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8_{392E6D2E-FA04-46C5-B344-B45147760531}" xr6:coauthVersionLast="47" xr6:coauthVersionMax="47" xr10:uidLastSave="{00000000-0000-0000-0000-000000000000}"/>
  <bookViews>
    <workbookView xWindow="-120" yWindow="-120" windowWidth="29040" windowHeight="15840" tabRatio="921" firstSheet="1" activeTab="6" xr2:uid="{00000000-000D-0000-FFFF-FFFF00000000}"/>
  </bookViews>
  <sheets>
    <sheet name="README" sheetId="8" r:id="rId1"/>
    <sheet name="Data Quality Indicators" sheetId="29" r:id="rId2"/>
    <sheet name="Materials" sheetId="15" r:id="rId3"/>
    <sheet name="Input_NL" sheetId="20" r:id="rId4"/>
    <sheet name="Input_EU" sheetId="18" r:id="rId5"/>
    <sheet name="Input_Global" sheetId="52" r:id="rId6"/>
    <sheet name="Transfer coefficients" sheetId="19" r:id="rId7"/>
    <sheet name="Clothing" sheetId="50" r:id="rId8"/>
    <sheet name="WWTP TCs" sheetId="55" r:id="rId9"/>
    <sheet name="Textiles" sheetId="26" r:id="rId10"/>
    <sheet name="Textile waste collection" sheetId="53" r:id="rId11"/>
    <sheet name="Pellets" sheetId="46" r:id="rId12"/>
    <sheet name="Tyre wear" sheetId="44" r:id="rId13"/>
    <sheet name="Paints and Coatings" sheetId="39" r:id="rId14"/>
    <sheet name="Agriculture" sheetId="38" r:id="rId15"/>
    <sheet name="Intentionally_produced_MPs" sheetId="22" r:id="rId16"/>
    <sheet name="Packaging" sheetId="35" r:id="rId17"/>
    <sheet name="Recycling TCs" sheetId="37" r:id="rId18"/>
    <sheet name="Compost TCs" sheetId="43" r:id="rId19"/>
    <sheet name="Scaling tables" sheetId="45" r:id="rId20"/>
    <sheet name="Input projections" sheetId="47" r:id="rId21"/>
    <sheet name="Lifetimes" sheetId="13" r:id="rId22"/>
    <sheet name="Lifetimes_pairs" sheetId="25" r:id="rId23"/>
    <sheet name="Lifetimes_references" sheetId="48" r:id="rId24"/>
    <sheet name="Compartments" sheetId="33" r:id="rId25"/>
    <sheet name="Compartments_Kawecki&amp;Nowack19" sheetId="23" r:id="rId26"/>
    <sheet name="Compartments_Added" sheetId="36" r:id="rId27"/>
    <sheet name="Blad1" sheetId="54" r:id="rId28"/>
    <sheet name="Check_Compartments" sheetId="30" r:id="rId29"/>
  </sheets>
  <externalReferences>
    <externalReference r:id="rId30"/>
  </externalReferences>
  <definedNames>
    <definedName name="_xlnm._FilterDatabase" localSheetId="24" hidden="1">Compartments!$A$1:$D$407</definedName>
    <definedName name="_xlnm._FilterDatabase" localSheetId="26" hidden="1">Compartments_Added!$A$2:$C$197</definedName>
    <definedName name="_xlnm._FilterDatabase" localSheetId="25" hidden="1">'Compartments_Kawecki&amp;Nowack19'!$A$2:$F$136</definedName>
    <definedName name="_xlnm._FilterDatabase" localSheetId="4" hidden="1">Input_EU!$A$1:$L$810</definedName>
    <definedName name="_xlnm._FilterDatabase" localSheetId="3" hidden="1">Input_NL!$A$1:$L$1147</definedName>
    <definedName name="_xlnm._FilterDatabase" localSheetId="22" hidden="1">Lifetimes_pairs!$A$1:$B$93</definedName>
    <definedName name="_xlnm._FilterDatabase" localSheetId="13" hidden="1">'Paints and Coatings'!$A$60:$P$315</definedName>
    <definedName name="_xlnm._FilterDatabase" localSheetId="6" hidden="1">'Transfer coefficients'!$A$1:$P$1433</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34" i="19" l="1"/>
  <c r="C1434" i="19"/>
  <c r="D1434" i="19"/>
  <c r="E1434" i="19"/>
  <c r="F1434" i="19"/>
  <c r="B1435" i="19"/>
  <c r="C1435" i="19"/>
  <c r="D1435" i="19"/>
  <c r="E1435" i="19"/>
  <c r="F1435" i="19"/>
  <c r="G1435" i="19"/>
  <c r="H1435" i="19"/>
  <c r="I1435" i="19"/>
  <c r="J1435" i="19"/>
  <c r="K1435" i="19"/>
  <c r="L1435" i="19"/>
  <c r="M1435" i="19"/>
  <c r="B1436" i="19"/>
  <c r="C1436" i="19"/>
  <c r="D1436" i="19"/>
  <c r="E1436" i="19"/>
  <c r="F1436" i="19"/>
  <c r="B1437" i="19"/>
  <c r="C1437" i="19"/>
  <c r="D1437" i="19"/>
  <c r="E1437" i="19"/>
  <c r="F1437" i="19"/>
  <c r="G1437" i="19"/>
  <c r="H1437" i="19"/>
  <c r="I1437" i="19"/>
  <c r="J1437" i="19"/>
  <c r="K1437" i="19"/>
  <c r="L1437" i="19"/>
  <c r="M1437" i="19"/>
  <c r="B1438" i="19"/>
  <c r="C1438" i="19"/>
  <c r="D1438" i="19"/>
  <c r="E1438" i="19"/>
  <c r="F1438" i="19"/>
  <c r="B1439" i="19"/>
  <c r="C1439" i="19"/>
  <c r="D1439" i="19"/>
  <c r="E1439" i="19"/>
  <c r="F1439" i="19"/>
  <c r="G1439" i="19"/>
  <c r="H1439" i="19"/>
  <c r="I1439" i="19"/>
  <c r="J1439" i="19"/>
  <c r="K1439" i="19"/>
  <c r="L1439" i="19"/>
  <c r="M1439" i="19"/>
  <c r="B1440" i="19"/>
  <c r="C1440" i="19"/>
  <c r="D1440" i="19"/>
  <c r="E1440" i="19"/>
  <c r="F1440" i="19"/>
  <c r="G1440" i="19"/>
  <c r="H1440" i="19"/>
  <c r="I1440" i="19"/>
  <c r="J1440" i="19"/>
  <c r="K1440" i="19"/>
  <c r="L1440" i="19"/>
  <c r="M1440" i="19"/>
  <c r="B1441" i="19"/>
  <c r="C1441" i="19"/>
  <c r="D1441" i="19"/>
  <c r="E1441" i="19"/>
  <c r="F1441" i="19"/>
  <c r="G1441" i="19"/>
  <c r="H1441" i="19"/>
  <c r="I1441" i="19"/>
  <c r="J1441" i="19"/>
  <c r="K1441" i="19"/>
  <c r="L1441" i="19"/>
  <c r="M1441" i="19"/>
  <c r="B1442" i="19"/>
  <c r="C1442" i="19"/>
  <c r="D1442" i="19"/>
  <c r="E1442" i="19"/>
  <c r="F1442" i="19"/>
  <c r="G1442" i="19"/>
  <c r="H1442" i="19"/>
  <c r="I1442" i="19"/>
  <c r="J1442" i="19"/>
  <c r="K1442" i="19"/>
  <c r="L1442" i="19"/>
  <c r="M1442" i="19"/>
  <c r="A1435" i="19"/>
  <c r="A1436" i="19"/>
  <c r="A1437" i="19"/>
  <c r="A1438" i="19"/>
  <c r="A1439" i="19"/>
  <c r="A1440" i="19"/>
  <c r="A1441" i="19"/>
  <c r="A1442" i="19"/>
  <c r="A1434" i="19"/>
  <c r="O37" i="55"/>
  <c r="N37" i="55"/>
  <c r="O36" i="55"/>
  <c r="N36" i="55"/>
  <c r="O35" i="55"/>
  <c r="N35" i="55"/>
  <c r="O34" i="55"/>
  <c r="N34" i="55"/>
  <c r="O33" i="55"/>
  <c r="N33" i="55"/>
  <c r="O32" i="55"/>
  <c r="N32" i="55"/>
  <c r="O31" i="55"/>
  <c r="N31" i="55"/>
  <c r="O30" i="55"/>
  <c r="N30" i="55"/>
  <c r="O29" i="55"/>
  <c r="N29" i="55"/>
  <c r="O28" i="55"/>
  <c r="N28" i="55"/>
  <c r="O27" i="55"/>
  <c r="N27" i="55"/>
  <c r="O26" i="55"/>
  <c r="N26" i="55"/>
  <c r="O25" i="55"/>
  <c r="N25" i="55"/>
  <c r="O24" i="55"/>
  <c r="N24" i="55"/>
  <c r="O23" i="55"/>
  <c r="N23" i="55"/>
  <c r="O22" i="55"/>
  <c r="N22" i="55"/>
  <c r="O21" i="55"/>
  <c r="N21" i="55"/>
  <c r="O20" i="55"/>
  <c r="N20" i="55"/>
  <c r="O19" i="55"/>
  <c r="N19" i="55"/>
  <c r="O18" i="55"/>
  <c r="N18" i="55"/>
  <c r="O17" i="55"/>
  <c r="N17" i="55"/>
  <c r="O16" i="55"/>
  <c r="N16" i="55"/>
  <c r="K11" i="55"/>
  <c r="K10" i="55"/>
  <c r="K9" i="55"/>
  <c r="B12" i="55"/>
  <c r="K8" i="55"/>
  <c r="K6" i="55"/>
  <c r="K4" i="55"/>
  <c r="B10" i="55"/>
  <c r="B9" i="55"/>
  <c r="B8" i="55"/>
  <c r="D3" i="55"/>
  <c r="D5" i="55"/>
  <c r="D4" i="55"/>
  <c r="D241" i="36"/>
  <c r="D242" i="36"/>
  <c r="D243" i="36"/>
  <c r="D244" i="36"/>
  <c r="D240" i="36"/>
  <c r="D239" i="36"/>
  <c r="G1395" i="19"/>
  <c r="H1395" i="19"/>
  <c r="I1395" i="19"/>
  <c r="J1395" i="19"/>
  <c r="K1395" i="19"/>
  <c r="L1395" i="19"/>
  <c r="N1395" i="19" s="1"/>
  <c r="M1395" i="19"/>
  <c r="B1394" i="19"/>
  <c r="C1394" i="19"/>
  <c r="D1394" i="19"/>
  <c r="E1394" i="19"/>
  <c r="F1394" i="19"/>
  <c r="G1394" i="19"/>
  <c r="H1394" i="19"/>
  <c r="I1394" i="19"/>
  <c r="J1394" i="19"/>
  <c r="K1394" i="19"/>
  <c r="L1394" i="19"/>
  <c r="M1394" i="19"/>
  <c r="B1395" i="19"/>
  <c r="C1395" i="19"/>
  <c r="D1395" i="19"/>
  <c r="E1395" i="19"/>
  <c r="F1395" i="19"/>
  <c r="B1396" i="19"/>
  <c r="C1396" i="19"/>
  <c r="D1396" i="19"/>
  <c r="E1396" i="19"/>
  <c r="F1396" i="19"/>
  <c r="G1396" i="19"/>
  <c r="H1396" i="19"/>
  <c r="I1396" i="19"/>
  <c r="J1396" i="19"/>
  <c r="K1396" i="19"/>
  <c r="L1396" i="19"/>
  <c r="M1396" i="19"/>
  <c r="B1397" i="19"/>
  <c r="C1397" i="19"/>
  <c r="D1397" i="19"/>
  <c r="E1397" i="19"/>
  <c r="F1397" i="19"/>
  <c r="G1397" i="19"/>
  <c r="H1397" i="19"/>
  <c r="I1397" i="19"/>
  <c r="J1397" i="19"/>
  <c r="K1397" i="19"/>
  <c r="L1397" i="19"/>
  <c r="M1397" i="19"/>
  <c r="B1398" i="19"/>
  <c r="C1398" i="19"/>
  <c r="D1398" i="19"/>
  <c r="E1398" i="19"/>
  <c r="F1398" i="19"/>
  <c r="G1398" i="19"/>
  <c r="H1398" i="19"/>
  <c r="I1398" i="19"/>
  <c r="J1398" i="19"/>
  <c r="K1398" i="19"/>
  <c r="L1398" i="19"/>
  <c r="M1398" i="19"/>
  <c r="B1399" i="19"/>
  <c r="C1399" i="19"/>
  <c r="D1399" i="19"/>
  <c r="E1399" i="19"/>
  <c r="F1399" i="19"/>
  <c r="G1399" i="19"/>
  <c r="H1399" i="19"/>
  <c r="I1399" i="19"/>
  <c r="J1399" i="19"/>
  <c r="K1399" i="19"/>
  <c r="L1399" i="19"/>
  <c r="M1399" i="19"/>
  <c r="B1400" i="19"/>
  <c r="C1400" i="19"/>
  <c r="D1400" i="19"/>
  <c r="E1400" i="19"/>
  <c r="F1400" i="19"/>
  <c r="G1400" i="19"/>
  <c r="H1400" i="19"/>
  <c r="I1400" i="19"/>
  <c r="J1400" i="19"/>
  <c r="K1400" i="19"/>
  <c r="L1400" i="19"/>
  <c r="M1400" i="19"/>
  <c r="B1401" i="19"/>
  <c r="C1401" i="19"/>
  <c r="D1401" i="19"/>
  <c r="E1401" i="19"/>
  <c r="F1401" i="19"/>
  <c r="G1401" i="19"/>
  <c r="H1401" i="19"/>
  <c r="I1401" i="19"/>
  <c r="J1401" i="19"/>
  <c r="K1401" i="19"/>
  <c r="L1401" i="19"/>
  <c r="M1401" i="19"/>
  <c r="B1402" i="19"/>
  <c r="C1402" i="19"/>
  <c r="D1402" i="19"/>
  <c r="E1402" i="19"/>
  <c r="F1402" i="19"/>
  <c r="G1402" i="19"/>
  <c r="H1402" i="19"/>
  <c r="I1402" i="19"/>
  <c r="J1402" i="19"/>
  <c r="K1402" i="19"/>
  <c r="L1402" i="19"/>
  <c r="M1402" i="19"/>
  <c r="B1403" i="19"/>
  <c r="C1403" i="19"/>
  <c r="D1403" i="19"/>
  <c r="E1403" i="19"/>
  <c r="F1403" i="19"/>
  <c r="G1403" i="19"/>
  <c r="H1403" i="19"/>
  <c r="I1403" i="19"/>
  <c r="J1403" i="19"/>
  <c r="K1403" i="19"/>
  <c r="L1403" i="19"/>
  <c r="M1403" i="19"/>
  <c r="B1404" i="19"/>
  <c r="C1404" i="19"/>
  <c r="D1404" i="19"/>
  <c r="E1404" i="19"/>
  <c r="F1404" i="19"/>
  <c r="G1404" i="19"/>
  <c r="H1404" i="19"/>
  <c r="I1404" i="19"/>
  <c r="J1404" i="19"/>
  <c r="K1404" i="19"/>
  <c r="L1404" i="19"/>
  <c r="M1404" i="19"/>
  <c r="B1405" i="19"/>
  <c r="C1405" i="19"/>
  <c r="D1405" i="19"/>
  <c r="E1405" i="19"/>
  <c r="F1405" i="19"/>
  <c r="G1405" i="19"/>
  <c r="H1405" i="19"/>
  <c r="I1405" i="19"/>
  <c r="J1405" i="19"/>
  <c r="K1405" i="19"/>
  <c r="L1405" i="19"/>
  <c r="M1405" i="19"/>
  <c r="B1406" i="19"/>
  <c r="C1406" i="19"/>
  <c r="D1406" i="19"/>
  <c r="E1406" i="19"/>
  <c r="F1406" i="19"/>
  <c r="G1406" i="19"/>
  <c r="H1406" i="19"/>
  <c r="I1406" i="19"/>
  <c r="J1406" i="19"/>
  <c r="K1406" i="19"/>
  <c r="L1406" i="19"/>
  <c r="M1406" i="19"/>
  <c r="B1407" i="19"/>
  <c r="C1407" i="19"/>
  <c r="D1407" i="19"/>
  <c r="E1407" i="19"/>
  <c r="F1407" i="19"/>
  <c r="G1407" i="19"/>
  <c r="H1407" i="19"/>
  <c r="I1407" i="19"/>
  <c r="J1407" i="19"/>
  <c r="K1407" i="19"/>
  <c r="L1407" i="19"/>
  <c r="M1407" i="19"/>
  <c r="B1408" i="19"/>
  <c r="C1408" i="19"/>
  <c r="D1408" i="19"/>
  <c r="E1408" i="19"/>
  <c r="F1408" i="19"/>
  <c r="B1409" i="19"/>
  <c r="C1409" i="19"/>
  <c r="D1409" i="19"/>
  <c r="E1409" i="19"/>
  <c r="F1409" i="19"/>
  <c r="G1409" i="19"/>
  <c r="H1409" i="19"/>
  <c r="I1409" i="19"/>
  <c r="J1409" i="19"/>
  <c r="K1409" i="19"/>
  <c r="L1409" i="19"/>
  <c r="M1409" i="19"/>
  <c r="B1410" i="19"/>
  <c r="C1410" i="19"/>
  <c r="D1410" i="19"/>
  <c r="E1410" i="19"/>
  <c r="F1410" i="19"/>
  <c r="G1410" i="19"/>
  <c r="H1410" i="19"/>
  <c r="I1410" i="19"/>
  <c r="J1410" i="19"/>
  <c r="K1410" i="19"/>
  <c r="L1410" i="19"/>
  <c r="M1410" i="19"/>
  <c r="B1411" i="19"/>
  <c r="C1411" i="19"/>
  <c r="D1411" i="19"/>
  <c r="E1411" i="19"/>
  <c r="F1411" i="19"/>
  <c r="G1411" i="19"/>
  <c r="H1411" i="19"/>
  <c r="I1411" i="19"/>
  <c r="J1411" i="19"/>
  <c r="K1411" i="19"/>
  <c r="O1411" i="19" s="1"/>
  <c r="L1411" i="19"/>
  <c r="M1411" i="19"/>
  <c r="B1412" i="19"/>
  <c r="C1412" i="19"/>
  <c r="D1412" i="19"/>
  <c r="E1412" i="19"/>
  <c r="F1412" i="19"/>
  <c r="G1412" i="19"/>
  <c r="H1412" i="19"/>
  <c r="I1412" i="19"/>
  <c r="J1412" i="19"/>
  <c r="K1412" i="19"/>
  <c r="L1412" i="19"/>
  <c r="M1412" i="19"/>
  <c r="B1413" i="19"/>
  <c r="C1413" i="19"/>
  <c r="D1413" i="19"/>
  <c r="E1413" i="19"/>
  <c r="F1413" i="19"/>
  <c r="G1413" i="19"/>
  <c r="H1413" i="19"/>
  <c r="I1413" i="19"/>
  <c r="J1413" i="19"/>
  <c r="K1413" i="19"/>
  <c r="L1413" i="19"/>
  <c r="M1413" i="19"/>
  <c r="B1414" i="19"/>
  <c r="C1414" i="19"/>
  <c r="D1414" i="19"/>
  <c r="E1414" i="19"/>
  <c r="F1414" i="19"/>
  <c r="G1414" i="19"/>
  <c r="H1414" i="19"/>
  <c r="I1414" i="19"/>
  <c r="J1414" i="19"/>
  <c r="K1414" i="19"/>
  <c r="L1414" i="19"/>
  <c r="M1414" i="19"/>
  <c r="B1415" i="19"/>
  <c r="C1415" i="19"/>
  <c r="D1415" i="19"/>
  <c r="E1415" i="19"/>
  <c r="F1415" i="19"/>
  <c r="G1415" i="19"/>
  <c r="H1415" i="19"/>
  <c r="I1415" i="19"/>
  <c r="J1415" i="19"/>
  <c r="K1415" i="19"/>
  <c r="O1415" i="19" s="1"/>
  <c r="L1415" i="19"/>
  <c r="M1415" i="19"/>
  <c r="B1416" i="19"/>
  <c r="C1416" i="19"/>
  <c r="D1416" i="19"/>
  <c r="E1416" i="19"/>
  <c r="F1416" i="19"/>
  <c r="G1416" i="19"/>
  <c r="H1416" i="19"/>
  <c r="I1416" i="19"/>
  <c r="J1416" i="19"/>
  <c r="K1416" i="19"/>
  <c r="L1416" i="19"/>
  <c r="M1416" i="19"/>
  <c r="B1417" i="19"/>
  <c r="C1417" i="19"/>
  <c r="D1417" i="19"/>
  <c r="E1417" i="19"/>
  <c r="F1417" i="19"/>
  <c r="G1417" i="19"/>
  <c r="H1417" i="19"/>
  <c r="I1417" i="19"/>
  <c r="J1417" i="19"/>
  <c r="K1417" i="19"/>
  <c r="L1417" i="19"/>
  <c r="M1417" i="19"/>
  <c r="B1418" i="19"/>
  <c r="C1418" i="19"/>
  <c r="D1418" i="19"/>
  <c r="E1418" i="19"/>
  <c r="F1418" i="19"/>
  <c r="G1418" i="19"/>
  <c r="H1418" i="19"/>
  <c r="I1418" i="19"/>
  <c r="J1418" i="19"/>
  <c r="K1418" i="19"/>
  <c r="L1418" i="19"/>
  <c r="M1418" i="19"/>
  <c r="B1419" i="19"/>
  <c r="C1419" i="19"/>
  <c r="D1419" i="19"/>
  <c r="E1419" i="19"/>
  <c r="F1419" i="19"/>
  <c r="G1419" i="19"/>
  <c r="H1419" i="19"/>
  <c r="I1419" i="19"/>
  <c r="J1419" i="19"/>
  <c r="K1419" i="19"/>
  <c r="L1419" i="19"/>
  <c r="M1419" i="19"/>
  <c r="B1420" i="19"/>
  <c r="C1420" i="19"/>
  <c r="D1420" i="19"/>
  <c r="E1420" i="19"/>
  <c r="F1420" i="19"/>
  <c r="G1420" i="19"/>
  <c r="H1420" i="19"/>
  <c r="I1420" i="19"/>
  <c r="J1420" i="19"/>
  <c r="K1420" i="19"/>
  <c r="L1420" i="19"/>
  <c r="M1420" i="19"/>
  <c r="B1421" i="19"/>
  <c r="C1421" i="19"/>
  <c r="D1421" i="19"/>
  <c r="E1421" i="19"/>
  <c r="F1421" i="19"/>
  <c r="G1421" i="19"/>
  <c r="H1421" i="19"/>
  <c r="I1421" i="19"/>
  <c r="J1421" i="19"/>
  <c r="K1421" i="19"/>
  <c r="L1421" i="19"/>
  <c r="M1421" i="19"/>
  <c r="B1422" i="19"/>
  <c r="C1422" i="19"/>
  <c r="D1422" i="19"/>
  <c r="E1422" i="19"/>
  <c r="F1422" i="19"/>
  <c r="B1423" i="19"/>
  <c r="C1423" i="19"/>
  <c r="D1423" i="19"/>
  <c r="E1423" i="19"/>
  <c r="F1423" i="19"/>
  <c r="G1423" i="19"/>
  <c r="H1423" i="19"/>
  <c r="I1423" i="19"/>
  <c r="J1423" i="19"/>
  <c r="K1423" i="19"/>
  <c r="L1423" i="19"/>
  <c r="N1423" i="19" s="1"/>
  <c r="M1423" i="19"/>
  <c r="B1424" i="19"/>
  <c r="C1424" i="19"/>
  <c r="D1424" i="19"/>
  <c r="E1424" i="19"/>
  <c r="F1424" i="19"/>
  <c r="G1424" i="19"/>
  <c r="H1424" i="19"/>
  <c r="I1424" i="19"/>
  <c r="J1424" i="19"/>
  <c r="K1424" i="19"/>
  <c r="L1424" i="19"/>
  <c r="M1424" i="19"/>
  <c r="B1425" i="19"/>
  <c r="C1425" i="19"/>
  <c r="D1425" i="19"/>
  <c r="E1425" i="19"/>
  <c r="F1425" i="19"/>
  <c r="G1425" i="19"/>
  <c r="H1425" i="19"/>
  <c r="I1425" i="19"/>
  <c r="J1425" i="19"/>
  <c r="K1425" i="19"/>
  <c r="L1425" i="19"/>
  <c r="M1425" i="19"/>
  <c r="B1426" i="19"/>
  <c r="C1426" i="19"/>
  <c r="D1426" i="19"/>
  <c r="E1426" i="19"/>
  <c r="F1426" i="19"/>
  <c r="G1426" i="19"/>
  <c r="H1426" i="19"/>
  <c r="I1426" i="19"/>
  <c r="J1426" i="19"/>
  <c r="K1426" i="19"/>
  <c r="L1426" i="19"/>
  <c r="M1426" i="19"/>
  <c r="B1427" i="19"/>
  <c r="C1427" i="19"/>
  <c r="D1427" i="19"/>
  <c r="E1427" i="19"/>
  <c r="F1427" i="19"/>
  <c r="G1427" i="19"/>
  <c r="H1427" i="19"/>
  <c r="I1427" i="19"/>
  <c r="J1427" i="19"/>
  <c r="K1427" i="19"/>
  <c r="L1427" i="19"/>
  <c r="M1427" i="19"/>
  <c r="B1428" i="19"/>
  <c r="C1428" i="19"/>
  <c r="D1428" i="19"/>
  <c r="E1428" i="19"/>
  <c r="F1428" i="19"/>
  <c r="G1428" i="19"/>
  <c r="H1428" i="19"/>
  <c r="I1428" i="19"/>
  <c r="J1428" i="19"/>
  <c r="K1428" i="19"/>
  <c r="L1428" i="19"/>
  <c r="N1428" i="19" s="1"/>
  <c r="M1428" i="19"/>
  <c r="B1429" i="19"/>
  <c r="C1429" i="19"/>
  <c r="D1429" i="19"/>
  <c r="E1429" i="19"/>
  <c r="F1429" i="19"/>
  <c r="G1429" i="19"/>
  <c r="H1429" i="19"/>
  <c r="I1429" i="19"/>
  <c r="J1429" i="19"/>
  <c r="K1429" i="19"/>
  <c r="L1429" i="19"/>
  <c r="M1429" i="19"/>
  <c r="B1430" i="19"/>
  <c r="C1430" i="19"/>
  <c r="D1430" i="19"/>
  <c r="E1430" i="19"/>
  <c r="F1430" i="19"/>
  <c r="G1430" i="19"/>
  <c r="H1430" i="19"/>
  <c r="I1430" i="19"/>
  <c r="J1430" i="19"/>
  <c r="K1430" i="19"/>
  <c r="L1430" i="19"/>
  <c r="M1430" i="19"/>
  <c r="B1431" i="19"/>
  <c r="C1431" i="19"/>
  <c r="D1431" i="19"/>
  <c r="E1431" i="19"/>
  <c r="F1431" i="19"/>
  <c r="G1431" i="19"/>
  <c r="H1431" i="19"/>
  <c r="I1431" i="19"/>
  <c r="J1431" i="19"/>
  <c r="K1431" i="19"/>
  <c r="L1431" i="19"/>
  <c r="M1431" i="19"/>
  <c r="B1432" i="19"/>
  <c r="C1432" i="19"/>
  <c r="D1432" i="19"/>
  <c r="E1432" i="19"/>
  <c r="F1432" i="19"/>
  <c r="G1432" i="19"/>
  <c r="H1432" i="19"/>
  <c r="I1432" i="19"/>
  <c r="J1432" i="19"/>
  <c r="K1432" i="19"/>
  <c r="L1432" i="19"/>
  <c r="M1432" i="19"/>
  <c r="B1433" i="19"/>
  <c r="C1433" i="19"/>
  <c r="D1433" i="19"/>
  <c r="E1433" i="19"/>
  <c r="F1433" i="19"/>
  <c r="G1433" i="19"/>
  <c r="H1433" i="19"/>
  <c r="I1433" i="19"/>
  <c r="J1433" i="19"/>
  <c r="K1433" i="19"/>
  <c r="L1433" i="19"/>
  <c r="N1433" i="19" s="1"/>
  <c r="M1433" i="19"/>
  <c r="A1421" i="19"/>
  <c r="A1422" i="19"/>
  <c r="A1423" i="19"/>
  <c r="A1424" i="19"/>
  <c r="A1425" i="19"/>
  <c r="A1426" i="19"/>
  <c r="A1427" i="19"/>
  <c r="A1428" i="19"/>
  <c r="A1429" i="19"/>
  <c r="A1430" i="19"/>
  <c r="A1431" i="19"/>
  <c r="A1432" i="19"/>
  <c r="A1433" i="19"/>
  <c r="A1395" i="19"/>
  <c r="A1396" i="19"/>
  <c r="A1397" i="19"/>
  <c r="A1398" i="19"/>
  <c r="A1399" i="19"/>
  <c r="A1400" i="19"/>
  <c r="A1401" i="19"/>
  <c r="A1402" i="19"/>
  <c r="A1403" i="19"/>
  <c r="A1404" i="19"/>
  <c r="A1405" i="19"/>
  <c r="A1406" i="19"/>
  <c r="A1407" i="19"/>
  <c r="A1408" i="19"/>
  <c r="A1409" i="19"/>
  <c r="A1410" i="19"/>
  <c r="A1411" i="19"/>
  <c r="A1412" i="19"/>
  <c r="A1413" i="19"/>
  <c r="A1414" i="19"/>
  <c r="A1415" i="19"/>
  <c r="A1416" i="19"/>
  <c r="A1417" i="19"/>
  <c r="A1418" i="19"/>
  <c r="A1419" i="19"/>
  <c r="A1420" i="19"/>
  <c r="A1394" i="19"/>
  <c r="F646" i="50"/>
  <c r="F1392" i="19" s="1"/>
  <c r="F642" i="50"/>
  <c r="F1378" i="19"/>
  <c r="F1379" i="19"/>
  <c r="F1380" i="19"/>
  <c r="F1381" i="19"/>
  <c r="F1382" i="19"/>
  <c r="F1383" i="19"/>
  <c r="F1384" i="19"/>
  <c r="F1385" i="19"/>
  <c r="F1386" i="19"/>
  <c r="F1387" i="19"/>
  <c r="F1388" i="19"/>
  <c r="F1389" i="19"/>
  <c r="F1390" i="19"/>
  <c r="F1391" i="19"/>
  <c r="F1393" i="19"/>
  <c r="N1377" i="19"/>
  <c r="O1377" i="19"/>
  <c r="O1392" i="19"/>
  <c r="A1379" i="19"/>
  <c r="B1379" i="19"/>
  <c r="C1379" i="19"/>
  <c r="D1379" i="19"/>
  <c r="E1379" i="19"/>
  <c r="G1379" i="19"/>
  <c r="H1379" i="19"/>
  <c r="I1379" i="19"/>
  <c r="J1379" i="19"/>
  <c r="K1379" i="19"/>
  <c r="L1379" i="19"/>
  <c r="N1379" i="19" s="1"/>
  <c r="M1379" i="19"/>
  <c r="A1380" i="19"/>
  <c r="B1380" i="19"/>
  <c r="C1380" i="19"/>
  <c r="D1380" i="19"/>
  <c r="E1380" i="19"/>
  <c r="G1380" i="19"/>
  <c r="H1380" i="19"/>
  <c r="I1380" i="19"/>
  <c r="J1380" i="19"/>
  <c r="K1380" i="19"/>
  <c r="L1380" i="19"/>
  <c r="M1380" i="19"/>
  <c r="A1381" i="19"/>
  <c r="B1381" i="19"/>
  <c r="C1381" i="19"/>
  <c r="D1381" i="19"/>
  <c r="E1381" i="19"/>
  <c r="G1381" i="19"/>
  <c r="H1381" i="19"/>
  <c r="I1381" i="19"/>
  <c r="J1381" i="19"/>
  <c r="K1381" i="19"/>
  <c r="L1381" i="19"/>
  <c r="M1381" i="19"/>
  <c r="A1382" i="19"/>
  <c r="B1382" i="19"/>
  <c r="C1382" i="19"/>
  <c r="D1382" i="19"/>
  <c r="E1382" i="19"/>
  <c r="A1383" i="19"/>
  <c r="B1383" i="19"/>
  <c r="C1383" i="19"/>
  <c r="D1383" i="19"/>
  <c r="E1383" i="19"/>
  <c r="G1383" i="19"/>
  <c r="H1383" i="19"/>
  <c r="I1383" i="19"/>
  <c r="J1383" i="19"/>
  <c r="K1383" i="19"/>
  <c r="L1383" i="19"/>
  <c r="M1383" i="19"/>
  <c r="A1384" i="19"/>
  <c r="B1384" i="19"/>
  <c r="C1384" i="19"/>
  <c r="D1384" i="19"/>
  <c r="E1384" i="19"/>
  <c r="G1384" i="19"/>
  <c r="H1384" i="19"/>
  <c r="I1384" i="19"/>
  <c r="J1384" i="19"/>
  <c r="K1384" i="19"/>
  <c r="L1384" i="19"/>
  <c r="M1384" i="19"/>
  <c r="A1385" i="19"/>
  <c r="B1385" i="19"/>
  <c r="C1385" i="19"/>
  <c r="D1385" i="19"/>
  <c r="E1385" i="19"/>
  <c r="G1385" i="19"/>
  <c r="H1385" i="19"/>
  <c r="I1385" i="19"/>
  <c r="J1385" i="19"/>
  <c r="K1385" i="19"/>
  <c r="L1385" i="19"/>
  <c r="M1385" i="19"/>
  <c r="A1386" i="19"/>
  <c r="B1386" i="19"/>
  <c r="C1386" i="19"/>
  <c r="D1386" i="19"/>
  <c r="E1386" i="19"/>
  <c r="G1386" i="19"/>
  <c r="H1386" i="19"/>
  <c r="I1386" i="19"/>
  <c r="J1386" i="19"/>
  <c r="K1386" i="19"/>
  <c r="L1386" i="19"/>
  <c r="M1386" i="19"/>
  <c r="A1387" i="19"/>
  <c r="B1387" i="19"/>
  <c r="C1387" i="19"/>
  <c r="D1387" i="19"/>
  <c r="E1387" i="19"/>
  <c r="G1387" i="19"/>
  <c r="H1387" i="19"/>
  <c r="I1387" i="19"/>
  <c r="J1387" i="19"/>
  <c r="K1387" i="19"/>
  <c r="L1387" i="19"/>
  <c r="M1387" i="19"/>
  <c r="A1388" i="19"/>
  <c r="B1388" i="19"/>
  <c r="C1388" i="19"/>
  <c r="D1388" i="19"/>
  <c r="E1388" i="19"/>
  <c r="A1389" i="19"/>
  <c r="B1389" i="19"/>
  <c r="C1389" i="19"/>
  <c r="D1389" i="19"/>
  <c r="E1389" i="19"/>
  <c r="G1389" i="19"/>
  <c r="H1389" i="19"/>
  <c r="I1389" i="19"/>
  <c r="J1389" i="19"/>
  <c r="K1389" i="19"/>
  <c r="L1389" i="19"/>
  <c r="M1389" i="19"/>
  <c r="A1390" i="19"/>
  <c r="B1390" i="19"/>
  <c r="C1390" i="19"/>
  <c r="D1390" i="19"/>
  <c r="E1390" i="19"/>
  <c r="G1390" i="19"/>
  <c r="H1390" i="19"/>
  <c r="I1390" i="19"/>
  <c r="J1390" i="19"/>
  <c r="K1390" i="19"/>
  <c r="L1390" i="19"/>
  <c r="M1390" i="19"/>
  <c r="A1391" i="19"/>
  <c r="B1391" i="19"/>
  <c r="C1391" i="19"/>
  <c r="D1391" i="19"/>
  <c r="E1391" i="19"/>
  <c r="G1391" i="19"/>
  <c r="H1391" i="19"/>
  <c r="N1391" i="19" s="1"/>
  <c r="I1391" i="19"/>
  <c r="J1391" i="19"/>
  <c r="K1391" i="19"/>
  <c r="O1391" i="19" s="1"/>
  <c r="L1391" i="19"/>
  <c r="M1391" i="19"/>
  <c r="A1392" i="19"/>
  <c r="B1392" i="19"/>
  <c r="C1392" i="19"/>
  <c r="D1392" i="19"/>
  <c r="E1392" i="19"/>
  <c r="A1393" i="19"/>
  <c r="B1393" i="19"/>
  <c r="C1393" i="19"/>
  <c r="D1393" i="19"/>
  <c r="E1393" i="19"/>
  <c r="G1393" i="19"/>
  <c r="H1393" i="19"/>
  <c r="I1393" i="19"/>
  <c r="J1393" i="19"/>
  <c r="K1393" i="19"/>
  <c r="L1393" i="19"/>
  <c r="M1393" i="19"/>
  <c r="B1378" i="19"/>
  <c r="C1378" i="19"/>
  <c r="D1378" i="19"/>
  <c r="E1378" i="19"/>
  <c r="G1378" i="19"/>
  <c r="H1378" i="19"/>
  <c r="I1378" i="19"/>
  <c r="J1378" i="19"/>
  <c r="K1378" i="19"/>
  <c r="L1378" i="19"/>
  <c r="M1378" i="19"/>
  <c r="A1378" i="19"/>
  <c r="N1359" i="19"/>
  <c r="O1359" i="19"/>
  <c r="N1363" i="19"/>
  <c r="O1363" i="19"/>
  <c r="N1367" i="19"/>
  <c r="O1367" i="19"/>
  <c r="N1369" i="19"/>
  <c r="O1369" i="19"/>
  <c r="N1373" i="19"/>
  <c r="O1373" i="19"/>
  <c r="B1358" i="19"/>
  <c r="C1358" i="19"/>
  <c r="D1358" i="19"/>
  <c r="E1358" i="19"/>
  <c r="F1358" i="19"/>
  <c r="G1358" i="19"/>
  <c r="H1358" i="19"/>
  <c r="I1358" i="19"/>
  <c r="J1358" i="19"/>
  <c r="K1358" i="19"/>
  <c r="L1358" i="19"/>
  <c r="M1358" i="19"/>
  <c r="B1359" i="19"/>
  <c r="C1359" i="19"/>
  <c r="D1359" i="19"/>
  <c r="E1359" i="19"/>
  <c r="F1359" i="19"/>
  <c r="B1360" i="19"/>
  <c r="C1360" i="19"/>
  <c r="D1360" i="19"/>
  <c r="E1360" i="19"/>
  <c r="F1360" i="19"/>
  <c r="G1360" i="19"/>
  <c r="H1360" i="19"/>
  <c r="I1360" i="19"/>
  <c r="J1360" i="19"/>
  <c r="K1360" i="19"/>
  <c r="L1360" i="19"/>
  <c r="M1360" i="19"/>
  <c r="B1361" i="19"/>
  <c r="C1361" i="19"/>
  <c r="D1361" i="19"/>
  <c r="E1361" i="19"/>
  <c r="F1361" i="19"/>
  <c r="B1362" i="19"/>
  <c r="C1362" i="19"/>
  <c r="D1362" i="19"/>
  <c r="E1362" i="19"/>
  <c r="F1362" i="19"/>
  <c r="G1362" i="19"/>
  <c r="H1362" i="19"/>
  <c r="I1362" i="19"/>
  <c r="J1362" i="19"/>
  <c r="K1362" i="19"/>
  <c r="L1362" i="19"/>
  <c r="M1362" i="19"/>
  <c r="B1363" i="19"/>
  <c r="C1363" i="19"/>
  <c r="D1363" i="19"/>
  <c r="E1363" i="19"/>
  <c r="F1363" i="19"/>
  <c r="B1364" i="19"/>
  <c r="C1364" i="19"/>
  <c r="D1364" i="19"/>
  <c r="E1364" i="19"/>
  <c r="F1364" i="19"/>
  <c r="G1364" i="19"/>
  <c r="H1364" i="19"/>
  <c r="I1364" i="19"/>
  <c r="J1364" i="19"/>
  <c r="K1364" i="19"/>
  <c r="L1364" i="19"/>
  <c r="M1364" i="19"/>
  <c r="B1365" i="19"/>
  <c r="C1365" i="19"/>
  <c r="D1365" i="19"/>
  <c r="E1365" i="19"/>
  <c r="F1365" i="19"/>
  <c r="B1366" i="19"/>
  <c r="C1366" i="19"/>
  <c r="D1366" i="19"/>
  <c r="E1366" i="19"/>
  <c r="F1366" i="19"/>
  <c r="G1366" i="19"/>
  <c r="H1366" i="19"/>
  <c r="I1366" i="19"/>
  <c r="J1366" i="19"/>
  <c r="K1366" i="19"/>
  <c r="L1366" i="19"/>
  <c r="M1366" i="19"/>
  <c r="B1367" i="19"/>
  <c r="C1367" i="19"/>
  <c r="D1367" i="19"/>
  <c r="E1367" i="19"/>
  <c r="F1367" i="19"/>
  <c r="B1368" i="19"/>
  <c r="C1368" i="19"/>
  <c r="D1368" i="19"/>
  <c r="E1368" i="19"/>
  <c r="F1368" i="19"/>
  <c r="G1368" i="19"/>
  <c r="H1368" i="19"/>
  <c r="I1368" i="19"/>
  <c r="J1368" i="19"/>
  <c r="K1368" i="19"/>
  <c r="L1368" i="19"/>
  <c r="M1368" i="19"/>
  <c r="B1369" i="19"/>
  <c r="C1369" i="19"/>
  <c r="D1369" i="19"/>
  <c r="E1369" i="19"/>
  <c r="F1369" i="19"/>
  <c r="B1370" i="19"/>
  <c r="C1370" i="19"/>
  <c r="D1370" i="19"/>
  <c r="E1370" i="19"/>
  <c r="F1370" i="19"/>
  <c r="G1370" i="19"/>
  <c r="H1370" i="19"/>
  <c r="I1370" i="19"/>
  <c r="J1370" i="19"/>
  <c r="K1370" i="19"/>
  <c r="L1370" i="19"/>
  <c r="M1370" i="19"/>
  <c r="B1371" i="19"/>
  <c r="C1371" i="19"/>
  <c r="D1371" i="19"/>
  <c r="E1371" i="19"/>
  <c r="F1371" i="19"/>
  <c r="B1372" i="19"/>
  <c r="C1372" i="19"/>
  <c r="D1372" i="19"/>
  <c r="E1372" i="19"/>
  <c r="F1372" i="19"/>
  <c r="G1372" i="19"/>
  <c r="H1372" i="19"/>
  <c r="I1372" i="19"/>
  <c r="J1372" i="19"/>
  <c r="K1372" i="19"/>
  <c r="L1372" i="19"/>
  <c r="M1372" i="19"/>
  <c r="B1373" i="19"/>
  <c r="C1373" i="19"/>
  <c r="D1373" i="19"/>
  <c r="E1373" i="19"/>
  <c r="F1373" i="19"/>
  <c r="B1374" i="19"/>
  <c r="C1374" i="19"/>
  <c r="D1374" i="19"/>
  <c r="E1374" i="19"/>
  <c r="F1374" i="19"/>
  <c r="G1374" i="19"/>
  <c r="H1374" i="19"/>
  <c r="I1374" i="19"/>
  <c r="J1374" i="19"/>
  <c r="K1374" i="19"/>
  <c r="L1374" i="19"/>
  <c r="M1374" i="19"/>
  <c r="B1375" i="19"/>
  <c r="C1375" i="19"/>
  <c r="D1375" i="19"/>
  <c r="E1375" i="19"/>
  <c r="F1375" i="19"/>
  <c r="B1376" i="19"/>
  <c r="C1376" i="19"/>
  <c r="D1376" i="19"/>
  <c r="E1376" i="19"/>
  <c r="F1376" i="19"/>
  <c r="G1376" i="19"/>
  <c r="H1376" i="19"/>
  <c r="I1376" i="19"/>
  <c r="J1376" i="19"/>
  <c r="K1376" i="19"/>
  <c r="L1376" i="19"/>
  <c r="M1376" i="19"/>
  <c r="B1377" i="19"/>
  <c r="C1377" i="19"/>
  <c r="D1377" i="19"/>
  <c r="E1377" i="19"/>
  <c r="F1377" i="19"/>
  <c r="A1359" i="19"/>
  <c r="A1360" i="19"/>
  <c r="A1361" i="19"/>
  <c r="A1362" i="19"/>
  <c r="A1363" i="19"/>
  <c r="A1364" i="19"/>
  <c r="A1365" i="19"/>
  <c r="A1366" i="19"/>
  <c r="A1367" i="19"/>
  <c r="A1368" i="19"/>
  <c r="A1369" i="19"/>
  <c r="A1370" i="19"/>
  <c r="A1371" i="19"/>
  <c r="A1372" i="19"/>
  <c r="A1373" i="19"/>
  <c r="A1374" i="19"/>
  <c r="A1375" i="19"/>
  <c r="A1376" i="19"/>
  <c r="A1377" i="19"/>
  <c r="A1358" i="19"/>
  <c r="E676" i="50"/>
  <c r="E675" i="50"/>
  <c r="C676" i="50"/>
  <c r="D676" i="50"/>
  <c r="F676" i="50"/>
  <c r="G676" i="50"/>
  <c r="H676" i="50"/>
  <c r="I676" i="50"/>
  <c r="J676" i="50"/>
  <c r="K676" i="50"/>
  <c r="L676" i="50"/>
  <c r="M676" i="50"/>
  <c r="B676" i="50"/>
  <c r="B644" i="50"/>
  <c r="C644" i="50"/>
  <c r="D644" i="50"/>
  <c r="F644" i="50"/>
  <c r="B645" i="50"/>
  <c r="C645" i="50"/>
  <c r="D645" i="50"/>
  <c r="B646" i="50"/>
  <c r="C646" i="50"/>
  <c r="D646" i="50"/>
  <c r="B647" i="50"/>
  <c r="C647" i="50"/>
  <c r="D647" i="50"/>
  <c r="F647" i="50"/>
  <c r="A645" i="50"/>
  <c r="A646" i="50"/>
  <c r="A647" i="50"/>
  <c r="A644" i="50"/>
  <c r="B638" i="50"/>
  <c r="C638" i="50"/>
  <c r="D638" i="50"/>
  <c r="F638" i="50"/>
  <c r="B639" i="50"/>
  <c r="C639" i="50"/>
  <c r="D639" i="50"/>
  <c r="F639" i="50"/>
  <c r="B640" i="50"/>
  <c r="C640" i="50"/>
  <c r="D640" i="50"/>
  <c r="F640" i="50"/>
  <c r="B641" i="50"/>
  <c r="C641" i="50"/>
  <c r="D641" i="50"/>
  <c r="B642" i="50"/>
  <c r="C642" i="50"/>
  <c r="D642" i="50"/>
  <c r="B643" i="50"/>
  <c r="C643" i="50"/>
  <c r="D643" i="50"/>
  <c r="F643" i="50"/>
  <c r="A639" i="50"/>
  <c r="A640" i="50"/>
  <c r="A641" i="50"/>
  <c r="A642" i="50"/>
  <c r="A643" i="50"/>
  <c r="A638" i="50"/>
  <c r="B632" i="50"/>
  <c r="C632" i="50"/>
  <c r="D632" i="50"/>
  <c r="F632" i="50"/>
  <c r="B633" i="50"/>
  <c r="C633" i="50"/>
  <c r="D633" i="50"/>
  <c r="F633" i="50"/>
  <c r="B634" i="50"/>
  <c r="C634" i="50"/>
  <c r="D634" i="50"/>
  <c r="F634" i="50"/>
  <c r="B635" i="50"/>
  <c r="C635" i="50"/>
  <c r="D635" i="50"/>
  <c r="B636" i="50"/>
  <c r="C636" i="50"/>
  <c r="D636" i="50"/>
  <c r="E636" i="50"/>
  <c r="F636" i="50"/>
  <c r="B637" i="50"/>
  <c r="C637" i="50"/>
  <c r="D637" i="50"/>
  <c r="A633" i="50"/>
  <c r="A634" i="50"/>
  <c r="A635" i="50"/>
  <c r="A636" i="50"/>
  <c r="A637" i="50"/>
  <c r="A632" i="50"/>
  <c r="C628" i="50"/>
  <c r="D628" i="50"/>
  <c r="F628" i="50"/>
  <c r="G628" i="50"/>
  <c r="H628" i="50"/>
  <c r="I628" i="50"/>
  <c r="J628" i="50"/>
  <c r="K628" i="50"/>
  <c r="L628" i="50"/>
  <c r="M628" i="50"/>
  <c r="C629" i="50"/>
  <c r="D629" i="50"/>
  <c r="E629" i="50"/>
  <c r="F629" i="50"/>
  <c r="B629" i="50"/>
  <c r="B628" i="50"/>
  <c r="C626" i="50"/>
  <c r="D626" i="50"/>
  <c r="F626" i="50"/>
  <c r="G626" i="50"/>
  <c r="H626" i="50"/>
  <c r="I626" i="50"/>
  <c r="J626" i="50"/>
  <c r="K626" i="50"/>
  <c r="L626" i="50"/>
  <c r="M626" i="50"/>
  <c r="C627" i="50"/>
  <c r="D627" i="50"/>
  <c r="E627" i="50"/>
  <c r="F627" i="50"/>
  <c r="B627" i="50"/>
  <c r="B626" i="50"/>
  <c r="C624" i="50"/>
  <c r="D624" i="50"/>
  <c r="F624" i="50"/>
  <c r="G624" i="50"/>
  <c r="H624" i="50"/>
  <c r="I624" i="50"/>
  <c r="J624" i="50"/>
  <c r="K624" i="50"/>
  <c r="L624" i="50"/>
  <c r="M624" i="50"/>
  <c r="C625" i="50"/>
  <c r="D625" i="50"/>
  <c r="E625" i="50"/>
  <c r="F625" i="50"/>
  <c r="B625" i="50"/>
  <c r="B624" i="50"/>
  <c r="C622" i="50"/>
  <c r="D622" i="50"/>
  <c r="F622" i="50"/>
  <c r="G622" i="50"/>
  <c r="H622" i="50"/>
  <c r="I622" i="50"/>
  <c r="J622" i="50"/>
  <c r="K622" i="50"/>
  <c r="L622" i="50"/>
  <c r="M622" i="50"/>
  <c r="C623" i="50"/>
  <c r="D623" i="50"/>
  <c r="E623" i="50"/>
  <c r="F623" i="50"/>
  <c r="B623" i="50"/>
  <c r="B622" i="50"/>
  <c r="F621" i="50"/>
  <c r="E621" i="50"/>
  <c r="D621" i="50"/>
  <c r="C621" i="50"/>
  <c r="M620" i="50"/>
  <c r="L620" i="50"/>
  <c r="K620" i="50"/>
  <c r="J620" i="50"/>
  <c r="I620" i="50"/>
  <c r="H620" i="50"/>
  <c r="G620" i="50"/>
  <c r="F620" i="50"/>
  <c r="D620" i="50"/>
  <c r="C620" i="50"/>
  <c r="B620" i="50"/>
  <c r="B621" i="50"/>
  <c r="C618" i="50"/>
  <c r="D618" i="50"/>
  <c r="F618" i="50"/>
  <c r="G618" i="50"/>
  <c r="H618" i="50"/>
  <c r="I618" i="50"/>
  <c r="J618" i="50"/>
  <c r="K618" i="50"/>
  <c r="L618" i="50"/>
  <c r="M618" i="50"/>
  <c r="C619" i="50"/>
  <c r="D619" i="50"/>
  <c r="E619" i="50"/>
  <c r="F619" i="50"/>
  <c r="B619" i="50"/>
  <c r="B618" i="50"/>
  <c r="C616" i="50"/>
  <c r="D616" i="50"/>
  <c r="F616" i="50"/>
  <c r="G616" i="50"/>
  <c r="H616" i="50"/>
  <c r="I616" i="50"/>
  <c r="J616" i="50"/>
  <c r="K616" i="50"/>
  <c r="L616" i="50"/>
  <c r="M616" i="50"/>
  <c r="C617" i="50"/>
  <c r="D617" i="50"/>
  <c r="E617" i="50"/>
  <c r="F617" i="50"/>
  <c r="B617" i="50"/>
  <c r="B616" i="50"/>
  <c r="C614" i="50"/>
  <c r="D614" i="50"/>
  <c r="F614" i="50"/>
  <c r="G614" i="50"/>
  <c r="H614" i="50"/>
  <c r="I614" i="50"/>
  <c r="J614" i="50"/>
  <c r="K614" i="50"/>
  <c r="L614" i="50"/>
  <c r="M614" i="50"/>
  <c r="C615" i="50"/>
  <c r="D615" i="50"/>
  <c r="E615" i="50"/>
  <c r="F615" i="50"/>
  <c r="B615" i="50"/>
  <c r="B614" i="50"/>
  <c r="C612" i="50"/>
  <c r="D612" i="50"/>
  <c r="F612" i="50"/>
  <c r="C613" i="50"/>
  <c r="D613" i="50"/>
  <c r="E613" i="50"/>
  <c r="F613" i="50"/>
  <c r="B613" i="50"/>
  <c r="B612" i="50"/>
  <c r="C610" i="50"/>
  <c r="D610" i="50"/>
  <c r="F610" i="50"/>
  <c r="C611" i="50"/>
  <c r="D611" i="50"/>
  <c r="E611" i="50"/>
  <c r="F611" i="50"/>
  <c r="B611" i="50"/>
  <c r="B610" i="50"/>
  <c r="D603" i="50"/>
  <c r="A819" i="50"/>
  <c r="A820" i="50"/>
  <c r="C818" i="50"/>
  <c r="D818" i="50"/>
  <c r="E818" i="50"/>
  <c r="B818" i="50"/>
  <c r="B767" i="50"/>
  <c r="H569" i="50"/>
  <c r="I569" i="50"/>
  <c r="J569" i="50"/>
  <c r="K569" i="50"/>
  <c r="L569" i="50"/>
  <c r="L612" i="50" s="1"/>
  <c r="M569" i="50"/>
  <c r="M612" i="50" s="1"/>
  <c r="G569" i="50"/>
  <c r="G612" i="50" s="1"/>
  <c r="F637" i="50"/>
  <c r="G558" i="50"/>
  <c r="G637" i="50" s="1"/>
  <c r="H558" i="50"/>
  <c r="H637" i="50" s="1"/>
  <c r="I558" i="50"/>
  <c r="I637" i="50" s="1"/>
  <c r="J558" i="50"/>
  <c r="J637" i="50" s="1"/>
  <c r="K558" i="50"/>
  <c r="K637" i="50" s="1"/>
  <c r="L558" i="50"/>
  <c r="L637" i="50" s="1"/>
  <c r="M558" i="50"/>
  <c r="M637" i="50" s="1"/>
  <c r="H553" i="50"/>
  <c r="H632" i="50" s="1"/>
  <c r="I553" i="50"/>
  <c r="I632" i="50" s="1"/>
  <c r="J553" i="50"/>
  <c r="J632" i="50" s="1"/>
  <c r="K553" i="50"/>
  <c r="K632" i="50" s="1"/>
  <c r="L553" i="50"/>
  <c r="L632" i="50" s="1"/>
  <c r="M553" i="50"/>
  <c r="M632" i="50" s="1"/>
  <c r="H554" i="50"/>
  <c r="H633" i="50" s="1"/>
  <c r="I554" i="50"/>
  <c r="I633" i="50" s="1"/>
  <c r="J554" i="50"/>
  <c r="J633" i="50" s="1"/>
  <c r="K554" i="50"/>
  <c r="K633" i="50" s="1"/>
  <c r="L554" i="50"/>
  <c r="L633" i="50" s="1"/>
  <c r="M554" i="50"/>
  <c r="M633" i="50" s="1"/>
  <c r="H555" i="50"/>
  <c r="H634" i="50" s="1"/>
  <c r="I555" i="50"/>
  <c r="I634" i="50" s="1"/>
  <c r="J555" i="50"/>
  <c r="J634" i="50" s="1"/>
  <c r="K555" i="50"/>
  <c r="K634" i="50" s="1"/>
  <c r="L555" i="50"/>
  <c r="L634" i="50" s="1"/>
  <c r="M555" i="50"/>
  <c r="M634" i="50" s="1"/>
  <c r="G554" i="50"/>
  <c r="G633" i="50" s="1"/>
  <c r="G555" i="50"/>
  <c r="G634" i="50" s="1"/>
  <c r="G553" i="50"/>
  <c r="G632" i="50" s="1"/>
  <c r="H572" i="50"/>
  <c r="H638" i="50" s="1"/>
  <c r="I572" i="50"/>
  <c r="I638" i="50" s="1"/>
  <c r="J572" i="50"/>
  <c r="J638" i="50" s="1"/>
  <c r="K572" i="50"/>
  <c r="K638" i="50" s="1"/>
  <c r="L572" i="50"/>
  <c r="L638" i="50" s="1"/>
  <c r="M572" i="50"/>
  <c r="M638" i="50" s="1"/>
  <c r="H573" i="50"/>
  <c r="H639" i="50" s="1"/>
  <c r="I573" i="50"/>
  <c r="I639" i="50" s="1"/>
  <c r="J573" i="50"/>
  <c r="J639" i="50" s="1"/>
  <c r="K573" i="50"/>
  <c r="K639" i="50" s="1"/>
  <c r="L573" i="50"/>
  <c r="L639" i="50" s="1"/>
  <c r="M573" i="50"/>
  <c r="M639" i="50" s="1"/>
  <c r="H574" i="50"/>
  <c r="H640" i="50" s="1"/>
  <c r="I574" i="50"/>
  <c r="I640" i="50" s="1"/>
  <c r="J574" i="50"/>
  <c r="J640" i="50" s="1"/>
  <c r="K574" i="50"/>
  <c r="K640" i="50" s="1"/>
  <c r="L574" i="50"/>
  <c r="L640" i="50" s="1"/>
  <c r="M574" i="50"/>
  <c r="M640" i="50" s="1"/>
  <c r="G573" i="50"/>
  <c r="G639" i="50" s="1"/>
  <c r="G574" i="50"/>
  <c r="G640" i="50" s="1"/>
  <c r="G572" i="50"/>
  <c r="G638" i="50" s="1"/>
  <c r="E576" i="50"/>
  <c r="E642" i="50" s="1"/>
  <c r="G577" i="50"/>
  <c r="G643" i="50" s="1"/>
  <c r="H577" i="50"/>
  <c r="H643" i="50" s="1"/>
  <c r="I577" i="50"/>
  <c r="I643" i="50" s="1"/>
  <c r="J577" i="50"/>
  <c r="J643" i="50" s="1"/>
  <c r="K577" i="50"/>
  <c r="K643" i="50" s="1"/>
  <c r="L577" i="50"/>
  <c r="L643" i="50" s="1"/>
  <c r="M577" i="50"/>
  <c r="M643" i="50" s="1"/>
  <c r="H589" i="50"/>
  <c r="H586" i="50" s="1"/>
  <c r="H610" i="50" s="1"/>
  <c r="I589" i="50"/>
  <c r="I586" i="50" s="1"/>
  <c r="I610" i="50" s="1"/>
  <c r="J589" i="50"/>
  <c r="J586" i="50" s="1"/>
  <c r="J610" i="50" s="1"/>
  <c r="K589" i="50"/>
  <c r="K586" i="50" s="1"/>
  <c r="L589" i="50"/>
  <c r="L586" i="50" s="1"/>
  <c r="M589" i="50"/>
  <c r="M586" i="50" s="1"/>
  <c r="G589" i="50"/>
  <c r="G586" i="50" s="1"/>
  <c r="G610" i="50" s="1"/>
  <c r="G591" i="50"/>
  <c r="H591" i="50"/>
  <c r="I591" i="50"/>
  <c r="J591" i="50"/>
  <c r="K591" i="50"/>
  <c r="L591" i="50"/>
  <c r="M591" i="50"/>
  <c r="G592" i="50"/>
  <c r="G647" i="50" s="1"/>
  <c r="H592" i="50"/>
  <c r="H647" i="50" s="1"/>
  <c r="I592" i="50"/>
  <c r="I647" i="50" s="1"/>
  <c r="J592" i="50"/>
  <c r="J647" i="50" s="1"/>
  <c r="K592" i="50"/>
  <c r="K647" i="50" s="1"/>
  <c r="L592" i="50"/>
  <c r="L647" i="50" s="1"/>
  <c r="M592" i="50"/>
  <c r="M647" i="50" s="1"/>
  <c r="E591" i="50"/>
  <c r="E646" i="50" s="1"/>
  <c r="E592" i="50"/>
  <c r="E647" i="50" s="1"/>
  <c r="E580" i="50"/>
  <c r="E577" i="50"/>
  <c r="E643" i="50" s="1"/>
  <c r="E558" i="50"/>
  <c r="E637" i="50" s="1"/>
  <c r="E565" i="50"/>
  <c r="E566" i="50"/>
  <c r="E561" i="50"/>
  <c r="M566" i="50"/>
  <c r="L566" i="50"/>
  <c r="K566" i="50"/>
  <c r="J566" i="50"/>
  <c r="I566" i="50"/>
  <c r="H566" i="50"/>
  <c r="G566" i="50"/>
  <c r="M564" i="50"/>
  <c r="L564" i="50"/>
  <c r="K564" i="50"/>
  <c r="J564" i="50"/>
  <c r="I564" i="50"/>
  <c r="H564" i="50"/>
  <c r="G564" i="50"/>
  <c r="M563" i="50"/>
  <c r="L563" i="50"/>
  <c r="K563" i="50"/>
  <c r="J563" i="50"/>
  <c r="I563" i="50"/>
  <c r="H563" i="50"/>
  <c r="G563" i="50"/>
  <c r="M561" i="50"/>
  <c r="L561" i="50"/>
  <c r="K561" i="50"/>
  <c r="J561" i="50"/>
  <c r="I561" i="50"/>
  <c r="H561" i="50"/>
  <c r="G561" i="50"/>
  <c r="N1411" i="19" l="1"/>
  <c r="N1390" i="19"/>
  <c r="N1418" i="19"/>
  <c r="N1405" i="19"/>
  <c r="O1425" i="19"/>
  <c r="O1374" i="19"/>
  <c r="N1385" i="19"/>
  <c r="O1433" i="19"/>
  <c r="O1423" i="19"/>
  <c r="N1413" i="19"/>
  <c r="N1397" i="19"/>
  <c r="O1432" i="19"/>
  <c r="O1429" i="19"/>
  <c r="O1428" i="19"/>
  <c r="O1427" i="19"/>
  <c r="N1419" i="19"/>
  <c r="N1409" i="19"/>
  <c r="N1401" i="19"/>
  <c r="N1400" i="19"/>
  <c r="O1368" i="19"/>
  <c r="O1378" i="19"/>
  <c r="O1387" i="19"/>
  <c r="O1385" i="19"/>
  <c r="O1383" i="19"/>
  <c r="N1381" i="19"/>
  <c r="N1432" i="19"/>
  <c r="N1429" i="19"/>
  <c r="N1427" i="19"/>
  <c r="N1425" i="19"/>
  <c r="O1420" i="19"/>
  <c r="O1418" i="19"/>
  <c r="O1413" i="19"/>
  <c r="O1406" i="19"/>
  <c r="O1405" i="19"/>
  <c r="O1404" i="19"/>
  <c r="O1400" i="19"/>
  <c r="O1399" i="19"/>
  <c r="O1372" i="19"/>
  <c r="N1370" i="19"/>
  <c r="O1360" i="19"/>
  <c r="N1358" i="19"/>
  <c r="N1386" i="19"/>
  <c r="O1381" i="19"/>
  <c r="O1379" i="19"/>
  <c r="N1415" i="19"/>
  <c r="N1414" i="19"/>
  <c r="N1376" i="19"/>
  <c r="O1376" i="19"/>
  <c r="N1374" i="19"/>
  <c r="N1372" i="19"/>
  <c r="O1370" i="19"/>
  <c r="N1368" i="19"/>
  <c r="N1366" i="19"/>
  <c r="N1364" i="19"/>
  <c r="O1364" i="19"/>
  <c r="O1362" i="19"/>
  <c r="N1362" i="19"/>
  <c r="N1360" i="19"/>
  <c r="O1358" i="19"/>
  <c r="N1378" i="19"/>
  <c r="O1390" i="19"/>
  <c r="N1387" i="19"/>
  <c r="N1383" i="19"/>
  <c r="O1419" i="19"/>
  <c r="O1414" i="19"/>
  <c r="O1409" i="19"/>
  <c r="N1404" i="19"/>
  <c r="N1399" i="19"/>
  <c r="O1386" i="19"/>
  <c r="O1401" i="19"/>
  <c r="O1397" i="19"/>
  <c r="O1366" i="19"/>
  <c r="O1395" i="19"/>
  <c r="M644" i="50"/>
  <c r="L644" i="50"/>
  <c r="K644" i="50"/>
  <c r="J644" i="50"/>
  <c r="I644" i="50"/>
  <c r="H644" i="50"/>
  <c r="G644" i="50"/>
  <c r="M610" i="50"/>
  <c r="K612" i="50"/>
  <c r="L610" i="50"/>
  <c r="J612" i="50"/>
  <c r="K610" i="50"/>
  <c r="I612" i="50"/>
  <c r="H612" i="50"/>
  <c r="A1307" i="19" l="1"/>
  <c r="G25" i="53"/>
  <c r="G24" i="53"/>
  <c r="G509" i="50" l="1"/>
  <c r="G510" i="50"/>
  <c r="G508" i="50"/>
  <c r="E510" i="50"/>
  <c r="E509" i="50"/>
  <c r="E508" i="50"/>
  <c r="G1346" i="19" l="1"/>
  <c r="D230" i="36"/>
  <c r="D231" i="36"/>
  <c r="D232" i="36"/>
  <c r="D233" i="36"/>
  <c r="D234" i="36"/>
  <c r="D235" i="36"/>
  <c r="D236" i="36"/>
  <c r="D237" i="36"/>
  <c r="D238" i="36"/>
  <c r="N1330" i="19"/>
  <c r="O1330" i="19"/>
  <c r="N1337" i="19"/>
  <c r="O1337" i="19"/>
  <c r="N1349" i="19"/>
  <c r="O1349" i="19"/>
  <c r="N1354" i="19"/>
  <c r="O1354" i="19"/>
  <c r="B1335" i="19"/>
  <c r="C1335" i="19"/>
  <c r="D1335" i="19"/>
  <c r="F1335" i="19"/>
  <c r="G1335" i="19"/>
  <c r="H1335" i="19"/>
  <c r="I1335" i="19"/>
  <c r="J1335" i="19"/>
  <c r="K1335" i="19"/>
  <c r="L1335" i="19"/>
  <c r="M1335" i="19"/>
  <c r="B1336" i="19"/>
  <c r="C1336" i="19"/>
  <c r="D1336" i="19"/>
  <c r="F1336" i="19"/>
  <c r="G1336" i="19"/>
  <c r="H1336" i="19"/>
  <c r="I1336" i="19"/>
  <c r="J1336" i="19"/>
  <c r="K1336" i="19"/>
  <c r="L1336" i="19"/>
  <c r="M1336" i="19"/>
  <c r="B1337" i="19"/>
  <c r="C1337" i="19"/>
  <c r="D1337" i="19"/>
  <c r="E1337" i="19"/>
  <c r="F1337" i="19"/>
  <c r="G1337" i="19"/>
  <c r="B1338" i="19"/>
  <c r="C1338" i="19"/>
  <c r="D1338" i="19"/>
  <c r="E1338" i="19"/>
  <c r="F1338" i="19"/>
  <c r="G1338" i="19"/>
  <c r="H1338" i="19"/>
  <c r="I1338" i="19"/>
  <c r="J1338" i="19"/>
  <c r="K1338" i="19"/>
  <c r="L1338" i="19"/>
  <c r="M1338" i="19"/>
  <c r="B1339" i="19"/>
  <c r="C1339" i="19"/>
  <c r="D1339" i="19"/>
  <c r="F1339" i="19"/>
  <c r="G1339" i="19"/>
  <c r="H1339" i="19"/>
  <c r="I1339" i="19"/>
  <c r="J1339" i="19"/>
  <c r="K1339" i="19"/>
  <c r="L1339" i="19"/>
  <c r="M1339" i="19"/>
  <c r="B1340" i="19"/>
  <c r="C1340" i="19"/>
  <c r="D1340" i="19"/>
  <c r="E1340" i="19"/>
  <c r="F1340" i="19"/>
  <c r="G1340" i="19"/>
  <c r="H1340" i="19"/>
  <c r="I1340" i="19"/>
  <c r="J1340" i="19"/>
  <c r="K1340" i="19"/>
  <c r="L1340" i="19"/>
  <c r="M1340" i="19"/>
  <c r="B1341" i="19"/>
  <c r="C1341" i="19"/>
  <c r="D1341" i="19"/>
  <c r="F1341" i="19"/>
  <c r="G1341" i="19"/>
  <c r="H1341" i="19"/>
  <c r="I1341" i="19"/>
  <c r="J1341" i="19"/>
  <c r="K1341" i="19"/>
  <c r="L1341" i="19"/>
  <c r="M1341" i="19"/>
  <c r="B1342" i="19"/>
  <c r="C1342" i="19"/>
  <c r="D1342" i="19"/>
  <c r="F1342" i="19"/>
  <c r="G1342" i="19"/>
  <c r="H1342" i="19"/>
  <c r="I1342" i="19"/>
  <c r="J1342" i="19"/>
  <c r="K1342" i="19"/>
  <c r="L1342" i="19"/>
  <c r="M1342" i="19"/>
  <c r="B1343" i="19"/>
  <c r="C1343" i="19"/>
  <c r="D1343" i="19"/>
  <c r="E1343" i="19"/>
  <c r="F1343" i="19"/>
  <c r="G1343" i="19"/>
  <c r="B1344" i="19"/>
  <c r="C1344" i="19"/>
  <c r="D1344" i="19"/>
  <c r="E1344" i="19"/>
  <c r="F1344" i="19"/>
  <c r="G1344" i="19"/>
  <c r="H1344" i="19"/>
  <c r="I1344" i="19"/>
  <c r="J1344" i="19"/>
  <c r="K1344" i="19"/>
  <c r="L1344" i="19"/>
  <c r="M1344" i="19"/>
  <c r="B1345" i="19"/>
  <c r="C1345" i="19"/>
  <c r="D1345" i="19"/>
  <c r="F1345" i="19"/>
  <c r="G1345" i="19"/>
  <c r="H1345" i="19"/>
  <c r="I1345" i="19"/>
  <c r="J1345" i="19"/>
  <c r="K1345" i="19"/>
  <c r="L1345" i="19"/>
  <c r="M1345" i="19"/>
  <c r="B1346" i="19"/>
  <c r="C1346" i="19"/>
  <c r="D1346" i="19"/>
  <c r="E1346" i="19"/>
  <c r="F1346" i="19"/>
  <c r="H1346" i="19"/>
  <c r="I1346" i="19"/>
  <c r="J1346" i="19"/>
  <c r="K1346" i="19"/>
  <c r="L1346" i="19"/>
  <c r="M1346" i="19"/>
  <c r="B1347" i="19"/>
  <c r="C1347" i="19"/>
  <c r="D1347" i="19"/>
  <c r="F1347" i="19"/>
  <c r="G1347" i="19"/>
  <c r="H1347" i="19"/>
  <c r="I1347" i="19"/>
  <c r="J1347" i="19"/>
  <c r="K1347" i="19"/>
  <c r="L1347" i="19"/>
  <c r="M1347" i="19"/>
  <c r="B1348" i="19"/>
  <c r="C1348" i="19"/>
  <c r="D1348" i="19"/>
  <c r="F1348" i="19"/>
  <c r="G1348" i="19"/>
  <c r="H1348" i="19"/>
  <c r="I1348" i="19"/>
  <c r="J1348" i="19"/>
  <c r="K1348" i="19"/>
  <c r="L1348" i="19"/>
  <c r="M1348" i="19"/>
  <c r="B1349" i="19"/>
  <c r="C1349" i="19"/>
  <c r="D1349" i="19"/>
  <c r="E1349" i="19"/>
  <c r="F1349" i="19"/>
  <c r="G1349" i="19"/>
  <c r="B1350" i="19"/>
  <c r="C1350" i="19"/>
  <c r="D1350" i="19"/>
  <c r="E1350" i="19"/>
  <c r="F1350" i="19"/>
  <c r="G1350" i="19"/>
  <c r="H1350" i="19"/>
  <c r="I1350" i="19"/>
  <c r="J1350" i="19"/>
  <c r="K1350" i="19"/>
  <c r="L1350" i="19"/>
  <c r="M1350" i="19"/>
  <c r="B1351" i="19"/>
  <c r="C1351" i="19"/>
  <c r="D1351" i="19"/>
  <c r="F1351" i="19"/>
  <c r="G1351" i="19"/>
  <c r="H1351" i="19"/>
  <c r="I1351" i="19"/>
  <c r="J1351" i="19"/>
  <c r="K1351" i="19"/>
  <c r="L1351" i="19"/>
  <c r="M1351" i="19"/>
  <c r="B1352" i="19"/>
  <c r="C1352" i="19"/>
  <c r="D1352" i="19"/>
  <c r="E1352" i="19"/>
  <c r="F1352" i="19"/>
  <c r="G1352" i="19"/>
  <c r="H1352" i="19"/>
  <c r="I1352" i="19"/>
  <c r="J1352" i="19"/>
  <c r="K1352" i="19"/>
  <c r="L1352" i="19"/>
  <c r="M1352" i="19"/>
  <c r="B1353" i="19"/>
  <c r="C1353" i="19"/>
  <c r="D1353" i="19"/>
  <c r="E1353" i="19"/>
  <c r="F1353" i="19"/>
  <c r="G1353" i="19"/>
  <c r="H1353" i="19"/>
  <c r="I1353" i="19"/>
  <c r="J1353" i="19"/>
  <c r="K1353" i="19"/>
  <c r="L1353" i="19"/>
  <c r="M1353" i="19"/>
  <c r="B1354" i="19"/>
  <c r="C1354" i="19"/>
  <c r="D1354" i="19"/>
  <c r="E1354" i="19"/>
  <c r="F1354" i="19"/>
  <c r="B1355" i="19"/>
  <c r="C1355" i="19"/>
  <c r="D1355" i="19"/>
  <c r="E1355" i="19"/>
  <c r="F1355" i="19"/>
  <c r="G1355" i="19"/>
  <c r="H1355" i="19"/>
  <c r="I1355" i="19"/>
  <c r="J1355" i="19"/>
  <c r="K1355" i="19"/>
  <c r="L1355" i="19"/>
  <c r="M1355" i="19"/>
  <c r="B1356" i="19"/>
  <c r="C1356" i="19"/>
  <c r="D1356" i="19"/>
  <c r="E1356" i="19"/>
  <c r="F1356" i="19"/>
  <c r="G1356" i="19"/>
  <c r="H1356" i="19"/>
  <c r="I1356" i="19"/>
  <c r="J1356" i="19"/>
  <c r="K1356" i="19"/>
  <c r="L1356" i="19"/>
  <c r="M1356" i="19"/>
  <c r="B1357" i="19"/>
  <c r="C1357" i="19"/>
  <c r="D1357" i="19"/>
  <c r="E1357" i="19"/>
  <c r="F1357" i="19"/>
  <c r="G1357" i="19"/>
  <c r="H1357" i="19"/>
  <c r="I1357" i="19"/>
  <c r="J1357" i="19"/>
  <c r="K1357" i="19"/>
  <c r="L1357" i="19"/>
  <c r="M1357" i="19"/>
  <c r="A1336" i="19"/>
  <c r="A1337" i="19"/>
  <c r="A1338" i="19"/>
  <c r="A1339" i="19"/>
  <c r="A1340" i="19"/>
  <c r="A1341" i="19"/>
  <c r="A1342" i="19"/>
  <c r="A1343" i="19"/>
  <c r="A1344" i="19"/>
  <c r="A1345" i="19"/>
  <c r="A1346" i="19"/>
  <c r="A1347" i="19"/>
  <c r="A1348" i="19"/>
  <c r="A1349" i="19"/>
  <c r="A1350" i="19"/>
  <c r="A1351" i="19"/>
  <c r="A1352" i="19"/>
  <c r="A1353" i="19"/>
  <c r="A1354" i="19"/>
  <c r="A1355" i="19"/>
  <c r="A1356" i="19"/>
  <c r="A1357" i="19"/>
  <c r="A1335" i="19"/>
  <c r="B1332" i="19"/>
  <c r="C1332" i="19"/>
  <c r="D1332" i="19"/>
  <c r="F1332" i="19"/>
  <c r="G1332" i="19"/>
  <c r="H1332" i="19"/>
  <c r="I1332" i="19"/>
  <c r="J1332" i="19"/>
  <c r="K1332" i="19"/>
  <c r="L1332" i="19"/>
  <c r="M1332" i="19"/>
  <c r="B1333" i="19"/>
  <c r="C1333" i="19"/>
  <c r="D1333" i="19"/>
  <c r="F1333" i="19"/>
  <c r="G1333" i="19"/>
  <c r="H1333" i="19"/>
  <c r="I1333" i="19"/>
  <c r="J1333" i="19"/>
  <c r="K1333" i="19"/>
  <c r="L1333" i="19"/>
  <c r="M1333" i="19"/>
  <c r="B1334" i="19"/>
  <c r="C1334" i="19"/>
  <c r="D1334" i="19"/>
  <c r="E1334" i="19"/>
  <c r="F1334" i="19"/>
  <c r="G1334" i="19"/>
  <c r="H1334" i="19"/>
  <c r="I1334" i="19"/>
  <c r="J1334" i="19"/>
  <c r="K1334" i="19"/>
  <c r="L1334" i="19"/>
  <c r="M1334" i="19"/>
  <c r="A1333" i="19"/>
  <c r="A1334" i="19"/>
  <c r="A1332" i="19"/>
  <c r="B182" i="26"/>
  <c r="B174" i="26"/>
  <c r="E218" i="26"/>
  <c r="C530" i="50"/>
  <c r="D530" i="50"/>
  <c r="F530" i="50"/>
  <c r="G530" i="50"/>
  <c r="H530" i="50"/>
  <c r="I530" i="50"/>
  <c r="J530" i="50"/>
  <c r="K530" i="50"/>
  <c r="L530" i="50"/>
  <c r="M530" i="50"/>
  <c r="B530" i="50"/>
  <c r="C524" i="50"/>
  <c r="D524" i="50"/>
  <c r="E524" i="50"/>
  <c r="E595" i="50" s="1"/>
  <c r="F524" i="50"/>
  <c r="G524" i="50"/>
  <c r="G595" i="50" s="1"/>
  <c r="H524" i="50"/>
  <c r="H595" i="50" s="1"/>
  <c r="I524" i="50"/>
  <c r="I595" i="50" s="1"/>
  <c r="J524" i="50"/>
  <c r="K524" i="50"/>
  <c r="K595" i="50" s="1"/>
  <c r="L524" i="50"/>
  <c r="M524" i="50"/>
  <c r="M595" i="50" s="1"/>
  <c r="B524" i="50"/>
  <c r="B12" i="53"/>
  <c r="C11" i="53" s="1"/>
  <c r="C26" i="53"/>
  <c r="B26" i="53"/>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2" s="1"/>
  <c r="C198" i="50"/>
  <c r="C3" i="52" s="1"/>
  <c r="C199" i="50"/>
  <c r="C4" i="52" s="1"/>
  <c r="C200" i="50"/>
  <c r="C5" i="52" s="1"/>
  <c r="C201" i="50"/>
  <c r="C6" i="52" s="1"/>
  <c r="C202" i="50"/>
  <c r="C7" i="52" s="1"/>
  <c r="C203" i="50"/>
  <c r="C8" i="52" s="1"/>
  <c r="C204" i="50"/>
  <c r="C9" i="52" s="1"/>
  <c r="C205" i="50"/>
  <c r="C10" i="52" s="1"/>
  <c r="C206" i="50"/>
  <c r="C11" i="52" s="1"/>
  <c r="C207" i="50"/>
  <c r="C12" i="52" s="1"/>
  <c r="C208" i="50"/>
  <c r="C13" i="52" s="1"/>
  <c r="C209" i="50"/>
  <c r="C14" i="52" s="1"/>
  <c r="C210" i="50"/>
  <c r="C15" i="52" s="1"/>
  <c r="C211" i="50"/>
  <c r="C16" i="52" s="1"/>
  <c r="C212" i="50"/>
  <c r="C17" i="52" s="1"/>
  <c r="C213" i="50"/>
  <c r="C18" i="52" s="1"/>
  <c r="C214" i="50"/>
  <c r="C19" i="52" s="1"/>
  <c r="C215" i="50"/>
  <c r="C20" i="52" s="1"/>
  <c r="C216" i="50"/>
  <c r="C21" i="52" s="1"/>
  <c r="C217" i="50"/>
  <c r="C22" i="52" s="1"/>
  <c r="C218" i="50"/>
  <c r="C23" i="52" s="1"/>
  <c r="C219" i="50"/>
  <c r="C24" i="52" s="1"/>
  <c r="C220" i="50"/>
  <c r="C25" i="52" s="1"/>
  <c r="C221" i="50"/>
  <c r="C26" i="52" s="1"/>
  <c r="C222" i="50"/>
  <c r="C27" i="52" s="1"/>
  <c r="C223" i="50"/>
  <c r="C28" i="52" s="1"/>
  <c r="C224" i="50"/>
  <c r="C29" i="52" s="1"/>
  <c r="C225" i="50"/>
  <c r="C30" i="52" s="1"/>
  <c r="C226" i="50"/>
  <c r="C31" i="52" s="1"/>
  <c r="C227" i="50"/>
  <c r="C32" i="52" s="1"/>
  <c r="C228" i="50"/>
  <c r="C33" i="52" s="1"/>
  <c r="C229" i="50"/>
  <c r="C34" i="52" s="1"/>
  <c r="C230" i="50"/>
  <c r="C35" i="52" s="1"/>
  <c r="C231" i="50"/>
  <c r="C36" i="52" s="1"/>
  <c r="C232" i="50"/>
  <c r="C37" i="52" s="1"/>
  <c r="C233" i="50"/>
  <c r="C38" i="52" s="1"/>
  <c r="C234" i="50"/>
  <c r="C39" i="52" s="1"/>
  <c r="C235" i="50"/>
  <c r="C40" i="52" s="1"/>
  <c r="C236" i="50"/>
  <c r="C41" i="52" s="1"/>
  <c r="C237" i="50"/>
  <c r="C42" i="52" s="1"/>
  <c r="C238" i="50"/>
  <c r="C43" i="52" s="1"/>
  <c r="C239" i="50"/>
  <c r="C44" i="52" s="1"/>
  <c r="C240" i="50"/>
  <c r="C45" i="52" s="1"/>
  <c r="C241" i="50"/>
  <c r="C46" i="52" s="1"/>
  <c r="C242" i="50"/>
  <c r="C47" i="52" s="1"/>
  <c r="C243" i="50"/>
  <c r="C48" i="52" s="1"/>
  <c r="C244" i="50"/>
  <c r="C49" i="52" s="1"/>
  <c r="C245" i="50"/>
  <c r="C50" i="52" s="1"/>
  <c r="C246" i="50"/>
  <c r="C51" i="52" s="1"/>
  <c r="C247" i="50"/>
  <c r="C52" i="52" s="1"/>
  <c r="C248" i="50"/>
  <c r="C53" i="52" s="1"/>
  <c r="C249" i="50"/>
  <c r="C54" i="52" s="1"/>
  <c r="C250" i="50"/>
  <c r="C55" i="52" s="1"/>
  <c r="C251" i="50"/>
  <c r="C56" i="52" s="1"/>
  <c r="C252" i="50"/>
  <c r="C57" i="52" s="1"/>
  <c r="C253" i="50"/>
  <c r="C58" i="52" s="1"/>
  <c r="C254" i="50"/>
  <c r="C59" i="52" s="1"/>
  <c r="C255" i="50"/>
  <c r="C60" i="52" s="1"/>
  <c r="C256" i="50"/>
  <c r="C61" i="52" s="1"/>
  <c r="C257" i="50"/>
  <c r="C62" i="52" s="1"/>
  <c r="C258" i="50"/>
  <c r="C63" i="52" s="1"/>
  <c r="C259" i="50"/>
  <c r="C64" i="52" s="1"/>
  <c r="C260" i="50"/>
  <c r="C65" i="52" s="1"/>
  <c r="C261" i="50"/>
  <c r="C66" i="52" s="1"/>
  <c r="C262" i="50"/>
  <c r="C67" i="52" s="1"/>
  <c r="C263" i="50"/>
  <c r="C68" i="52" s="1"/>
  <c r="C264" i="50"/>
  <c r="C69" i="52" s="1"/>
  <c r="C265" i="50"/>
  <c r="C70" i="52" s="1"/>
  <c r="C266" i="50"/>
  <c r="C71" i="52" s="1"/>
  <c r="C267" i="50"/>
  <c r="C72" i="52" s="1"/>
  <c r="C268" i="50"/>
  <c r="C73" i="52" s="1"/>
  <c r="C269" i="50"/>
  <c r="C74" i="52" s="1"/>
  <c r="C270" i="50"/>
  <c r="C75" i="52" s="1"/>
  <c r="C271" i="50"/>
  <c r="C76" i="52" s="1"/>
  <c r="C272" i="50"/>
  <c r="C77" i="52" s="1"/>
  <c r="C273" i="50"/>
  <c r="C78" i="52" s="1"/>
  <c r="C274" i="50"/>
  <c r="C79" i="52" s="1"/>
  <c r="C275" i="50"/>
  <c r="C80" i="52" s="1"/>
  <c r="C276" i="50"/>
  <c r="C81" i="52" s="1"/>
  <c r="C277" i="50"/>
  <c r="C82" i="52" s="1"/>
  <c r="C278" i="50"/>
  <c r="C83" i="52" s="1"/>
  <c r="C279" i="50"/>
  <c r="C84" i="52" s="1"/>
  <c r="C280" i="50"/>
  <c r="C85" i="52" s="1"/>
  <c r="B262" i="50"/>
  <c r="B67" i="52" s="1"/>
  <c r="B263" i="50"/>
  <c r="B68" i="52" s="1"/>
  <c r="B264" i="50"/>
  <c r="B69" i="52" s="1"/>
  <c r="B265" i="50"/>
  <c r="B70" i="52" s="1"/>
  <c r="B266" i="50"/>
  <c r="B71" i="52" s="1"/>
  <c r="B267" i="50"/>
  <c r="B72" i="52" s="1"/>
  <c r="B268" i="50"/>
  <c r="B73" i="52" s="1"/>
  <c r="B269" i="50"/>
  <c r="B74" i="52" s="1"/>
  <c r="B270" i="50"/>
  <c r="B75" i="52" s="1"/>
  <c r="B271" i="50"/>
  <c r="B76" i="52" s="1"/>
  <c r="B272" i="50"/>
  <c r="B77" i="52" s="1"/>
  <c r="B273" i="50"/>
  <c r="B78" i="52" s="1"/>
  <c r="B274" i="50"/>
  <c r="B79" i="52" s="1"/>
  <c r="B275" i="50"/>
  <c r="B80" i="52" s="1"/>
  <c r="B276" i="50"/>
  <c r="B81" i="52" s="1"/>
  <c r="B277" i="50"/>
  <c r="B82" i="52" s="1"/>
  <c r="B278" i="50"/>
  <c r="B83" i="52" s="1"/>
  <c r="B279" i="50"/>
  <c r="B84" i="52" s="1"/>
  <c r="B280" i="50"/>
  <c r="B85" i="52" s="1"/>
  <c r="B245" i="50"/>
  <c r="B50" i="52" s="1"/>
  <c r="B246" i="50"/>
  <c r="B51" i="52" s="1"/>
  <c r="B247" i="50"/>
  <c r="B52" i="52" s="1"/>
  <c r="B248" i="50"/>
  <c r="B53" i="52" s="1"/>
  <c r="B249" i="50"/>
  <c r="B54" i="52" s="1"/>
  <c r="B250" i="50"/>
  <c r="B55" i="52" s="1"/>
  <c r="B251" i="50"/>
  <c r="B56" i="52" s="1"/>
  <c r="B252" i="50"/>
  <c r="B57" i="52" s="1"/>
  <c r="B253" i="50"/>
  <c r="B58" i="52" s="1"/>
  <c r="B254" i="50"/>
  <c r="B59" i="52" s="1"/>
  <c r="B255" i="50"/>
  <c r="B60" i="52" s="1"/>
  <c r="B256" i="50"/>
  <c r="B61" i="52" s="1"/>
  <c r="B257" i="50"/>
  <c r="B258" i="50"/>
  <c r="B259" i="50"/>
  <c r="B260" i="50"/>
  <c r="B261" i="50"/>
  <c r="B66" i="52" s="1"/>
  <c r="B231" i="50"/>
  <c r="B36" i="52" s="1"/>
  <c r="B232" i="50"/>
  <c r="B37" i="52" s="1"/>
  <c r="B233" i="50"/>
  <c r="B38" i="52" s="1"/>
  <c r="B234" i="50"/>
  <c r="B39" i="52" s="1"/>
  <c r="B235" i="50"/>
  <c r="B40" i="52" s="1"/>
  <c r="B236" i="50"/>
  <c r="B41" i="52" s="1"/>
  <c r="B237" i="50"/>
  <c r="B42" i="52" s="1"/>
  <c r="B238" i="50"/>
  <c r="B43" i="52" s="1"/>
  <c r="B239" i="50"/>
  <c r="B44" i="52" s="1"/>
  <c r="B240" i="50"/>
  <c r="B45" i="52" s="1"/>
  <c r="B241" i="50"/>
  <c r="B46" i="52" s="1"/>
  <c r="B242" i="50"/>
  <c r="B47" i="52" s="1"/>
  <c r="B243" i="50"/>
  <c r="B48" i="52" s="1"/>
  <c r="B244" i="50"/>
  <c r="B49" i="52" s="1"/>
  <c r="B198" i="50"/>
  <c r="B3" i="52" s="1"/>
  <c r="B199" i="50"/>
  <c r="B4" i="52" s="1"/>
  <c r="B200" i="50"/>
  <c r="B5" i="52" s="1"/>
  <c r="B201" i="50"/>
  <c r="B6" i="52" s="1"/>
  <c r="B202" i="50"/>
  <c r="B7" i="52" s="1"/>
  <c r="B203" i="50"/>
  <c r="B8" i="52" s="1"/>
  <c r="B204" i="50"/>
  <c r="B9" i="52" s="1"/>
  <c r="B205" i="50"/>
  <c r="B10" i="52" s="1"/>
  <c r="B206" i="50"/>
  <c r="B11" i="52" s="1"/>
  <c r="B207" i="50"/>
  <c r="B12" i="52" s="1"/>
  <c r="B208" i="50"/>
  <c r="B13" i="52" s="1"/>
  <c r="B209" i="50"/>
  <c r="B14" i="52" s="1"/>
  <c r="B210" i="50"/>
  <c r="B15" i="52" s="1"/>
  <c r="B211" i="50"/>
  <c r="B16" i="52" s="1"/>
  <c r="B212" i="50"/>
  <c r="B17" i="52" s="1"/>
  <c r="B213" i="50"/>
  <c r="B18" i="52" s="1"/>
  <c r="B214" i="50"/>
  <c r="B19" i="52" s="1"/>
  <c r="B215" i="50"/>
  <c r="B20" i="52" s="1"/>
  <c r="B216" i="50"/>
  <c r="B21" i="52" s="1"/>
  <c r="B217" i="50"/>
  <c r="B22" i="52" s="1"/>
  <c r="B218" i="50"/>
  <c r="B23" i="52" s="1"/>
  <c r="B219" i="50"/>
  <c r="B24" i="52" s="1"/>
  <c r="B220" i="50"/>
  <c r="B25" i="52" s="1"/>
  <c r="B221" i="50"/>
  <c r="B26" i="52" s="1"/>
  <c r="B222" i="50"/>
  <c r="B27" i="52" s="1"/>
  <c r="B223" i="50"/>
  <c r="B28" i="52" s="1"/>
  <c r="B224" i="50"/>
  <c r="B29" i="52" s="1"/>
  <c r="B225" i="50"/>
  <c r="B30" i="52" s="1"/>
  <c r="B226" i="50"/>
  <c r="B31" i="52" s="1"/>
  <c r="B227" i="50"/>
  <c r="B32" i="52" s="1"/>
  <c r="B228" i="50"/>
  <c r="B33" i="52" s="1"/>
  <c r="B229" i="50"/>
  <c r="B34" i="52" s="1"/>
  <c r="B230" i="50"/>
  <c r="B35" i="52" s="1"/>
  <c r="B197" i="50"/>
  <c r="B2" i="52"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1315" i="19"/>
  <c r="N1315" i="19"/>
  <c r="O1311" i="19"/>
  <c r="N1311" i="19"/>
  <c r="N1310" i="19"/>
  <c r="O1310" i="19"/>
  <c r="H1312" i="19"/>
  <c r="I1312" i="19"/>
  <c r="J1312" i="19"/>
  <c r="K1312" i="19"/>
  <c r="L1312" i="19"/>
  <c r="M1312" i="19"/>
  <c r="H1313" i="19"/>
  <c r="I1313" i="19"/>
  <c r="J1313" i="19"/>
  <c r="K1313" i="19"/>
  <c r="L1313" i="19"/>
  <c r="M1313" i="19"/>
  <c r="H1314" i="19"/>
  <c r="I1314" i="19"/>
  <c r="J1314" i="19"/>
  <c r="K1314" i="19"/>
  <c r="L1314" i="19"/>
  <c r="M1314" i="19"/>
  <c r="B1314" i="19"/>
  <c r="C1314" i="19"/>
  <c r="D1314" i="19"/>
  <c r="F1314" i="19"/>
  <c r="G1314" i="19"/>
  <c r="B1315" i="19"/>
  <c r="C1315" i="19"/>
  <c r="D1315" i="19"/>
  <c r="E1315" i="19"/>
  <c r="F1315" i="19"/>
  <c r="G1315" i="19"/>
  <c r="A1315" i="19"/>
  <c r="A1314" i="19"/>
  <c r="B1311" i="19"/>
  <c r="C1311" i="19"/>
  <c r="D1311" i="19"/>
  <c r="E1311" i="19"/>
  <c r="F1311" i="19"/>
  <c r="G1311" i="19"/>
  <c r="B1312" i="19"/>
  <c r="C1312" i="19"/>
  <c r="D1312" i="19"/>
  <c r="E1312" i="19"/>
  <c r="F1312" i="19"/>
  <c r="G1312" i="19"/>
  <c r="B1313" i="19"/>
  <c r="C1313" i="19"/>
  <c r="D1313" i="19"/>
  <c r="E1313" i="19"/>
  <c r="F1313" i="19"/>
  <c r="G1313" i="19"/>
  <c r="A1312" i="19"/>
  <c r="A1313" i="19"/>
  <c r="A1311" i="19"/>
  <c r="E738" i="50"/>
  <c r="E1314" i="19" s="1"/>
  <c r="J595" i="50"/>
  <c r="L595" i="50"/>
  <c r="N1326" i="19"/>
  <c r="O1326" i="19"/>
  <c r="O1302" i="19"/>
  <c r="O1304" i="19"/>
  <c r="O1306" i="19"/>
  <c r="O1308" i="19"/>
  <c r="H1328" i="19"/>
  <c r="I1328" i="19"/>
  <c r="J1328" i="19"/>
  <c r="K1328" i="19"/>
  <c r="L1328" i="19"/>
  <c r="M1328" i="19"/>
  <c r="H1329" i="19"/>
  <c r="I1329" i="19"/>
  <c r="J1329" i="19"/>
  <c r="K1329" i="19"/>
  <c r="L1329" i="19"/>
  <c r="M1329" i="19"/>
  <c r="I1282" i="19"/>
  <c r="J1282" i="19"/>
  <c r="K1282" i="19"/>
  <c r="L1282" i="19"/>
  <c r="M1282" i="19"/>
  <c r="H1282" i="19"/>
  <c r="G1303" i="19"/>
  <c r="C677" i="50"/>
  <c r="D677" i="50"/>
  <c r="F677" i="50"/>
  <c r="C678" i="50"/>
  <c r="D678" i="50"/>
  <c r="E678" i="50"/>
  <c r="F678" i="50"/>
  <c r="C679" i="50"/>
  <c r="D679" i="50"/>
  <c r="F679" i="50"/>
  <c r="C680" i="50"/>
  <c r="F680" i="50"/>
  <c r="C681" i="50"/>
  <c r="F681" i="50"/>
  <c r="C682" i="50"/>
  <c r="F682" i="50"/>
  <c r="C683" i="50"/>
  <c r="F683" i="50"/>
  <c r="C684" i="50"/>
  <c r="F684" i="50"/>
  <c r="C685" i="50"/>
  <c r="F685" i="50"/>
  <c r="C686" i="50"/>
  <c r="F686" i="50"/>
  <c r="C687" i="50"/>
  <c r="F687" i="50"/>
  <c r="C688" i="50"/>
  <c r="F688" i="50"/>
  <c r="C689" i="50"/>
  <c r="F689" i="50"/>
  <c r="B678" i="50"/>
  <c r="B679" i="50"/>
  <c r="B680" i="50"/>
  <c r="B681" i="50"/>
  <c r="B682" i="50"/>
  <c r="B683" i="50"/>
  <c r="B684" i="50"/>
  <c r="B685" i="50"/>
  <c r="B686" i="50"/>
  <c r="B687" i="50"/>
  <c r="B688" i="50"/>
  <c r="B689" i="50"/>
  <c r="B677" i="50"/>
  <c r="C663" i="50"/>
  <c r="D663" i="50"/>
  <c r="F663" i="50"/>
  <c r="C664" i="50"/>
  <c r="D664" i="50"/>
  <c r="E664" i="50"/>
  <c r="F664" i="50"/>
  <c r="C665" i="50"/>
  <c r="D665" i="50"/>
  <c r="F665" i="50"/>
  <c r="C666" i="50"/>
  <c r="F666" i="50"/>
  <c r="C667" i="50"/>
  <c r="F667" i="50"/>
  <c r="C668" i="50"/>
  <c r="F668" i="50"/>
  <c r="C669" i="50"/>
  <c r="F669" i="50"/>
  <c r="C670" i="50"/>
  <c r="F670" i="50"/>
  <c r="C671" i="50"/>
  <c r="F671" i="50"/>
  <c r="C672" i="50"/>
  <c r="F672" i="50"/>
  <c r="C673" i="50"/>
  <c r="F673" i="50"/>
  <c r="C674" i="50"/>
  <c r="F674" i="50"/>
  <c r="C675" i="50"/>
  <c r="F675" i="50"/>
  <c r="B668" i="50"/>
  <c r="B669" i="50"/>
  <c r="B670" i="50"/>
  <c r="B671" i="50"/>
  <c r="B672" i="50"/>
  <c r="B673" i="50"/>
  <c r="B674" i="50"/>
  <c r="B675" i="50"/>
  <c r="B664" i="50"/>
  <c r="B665" i="50"/>
  <c r="B666" i="50"/>
  <c r="B667" i="50"/>
  <c r="B663" i="50"/>
  <c r="F651" i="50"/>
  <c r="F652" i="50"/>
  <c r="F653" i="50"/>
  <c r="F654" i="50"/>
  <c r="F655" i="50"/>
  <c r="F656" i="50"/>
  <c r="F657" i="50"/>
  <c r="F658" i="50"/>
  <c r="F659" i="50"/>
  <c r="F660" i="50"/>
  <c r="F661" i="50"/>
  <c r="F662" i="50"/>
  <c r="F650" i="50"/>
  <c r="E651" i="50"/>
  <c r="D651" i="50"/>
  <c r="D652" i="50"/>
  <c r="D650" i="50"/>
  <c r="C651" i="50"/>
  <c r="C652" i="50"/>
  <c r="C653" i="50"/>
  <c r="C654" i="50"/>
  <c r="C655" i="50"/>
  <c r="C656" i="50"/>
  <c r="C657" i="50"/>
  <c r="C658" i="50"/>
  <c r="C659" i="50"/>
  <c r="C660" i="50"/>
  <c r="C661" i="50"/>
  <c r="C662" i="50"/>
  <c r="C650" i="50"/>
  <c r="B651" i="50"/>
  <c r="B652" i="50"/>
  <c r="B653" i="50"/>
  <c r="B654" i="50"/>
  <c r="B655" i="50"/>
  <c r="B656" i="50"/>
  <c r="B657" i="50"/>
  <c r="B658" i="50"/>
  <c r="B659" i="50"/>
  <c r="B660" i="50"/>
  <c r="B661" i="50"/>
  <c r="B662" i="50"/>
  <c r="B650" i="50"/>
  <c r="I598" i="50"/>
  <c r="I653" i="50" s="1"/>
  <c r="J598" i="50"/>
  <c r="J653" i="50" s="1"/>
  <c r="K598" i="50"/>
  <c r="K653" i="50" s="1"/>
  <c r="L598" i="50"/>
  <c r="L653" i="50" s="1"/>
  <c r="M598" i="50"/>
  <c r="M653" i="50" s="1"/>
  <c r="I599" i="50"/>
  <c r="I654" i="50" s="1"/>
  <c r="J599" i="50"/>
  <c r="J654" i="50" s="1"/>
  <c r="K599" i="50"/>
  <c r="K654" i="50" s="1"/>
  <c r="L599" i="50"/>
  <c r="L654" i="50" s="1"/>
  <c r="M599" i="50"/>
  <c r="M654" i="50" s="1"/>
  <c r="I600" i="50"/>
  <c r="I655" i="50" s="1"/>
  <c r="J600" i="50"/>
  <c r="J668" i="50" s="1"/>
  <c r="K600" i="50"/>
  <c r="K668" i="50" s="1"/>
  <c r="L600" i="50"/>
  <c r="L668" i="50" s="1"/>
  <c r="M600" i="50"/>
  <c r="M655" i="50" s="1"/>
  <c r="I601" i="50"/>
  <c r="I656" i="50" s="1"/>
  <c r="J601" i="50"/>
  <c r="J656" i="50" s="1"/>
  <c r="K601" i="50"/>
  <c r="K656" i="50" s="1"/>
  <c r="L601" i="50"/>
  <c r="L656" i="50" s="1"/>
  <c r="M601" i="50"/>
  <c r="M656" i="50" s="1"/>
  <c r="I602" i="50"/>
  <c r="I670" i="50" s="1"/>
  <c r="J602" i="50"/>
  <c r="J657" i="50" s="1"/>
  <c r="K602" i="50"/>
  <c r="K670" i="50" s="1"/>
  <c r="L602" i="50"/>
  <c r="L670" i="50" s="1"/>
  <c r="M602" i="50"/>
  <c r="M657" i="50" s="1"/>
  <c r="I603" i="50"/>
  <c r="I658" i="50" s="1"/>
  <c r="J603" i="50"/>
  <c r="J658" i="50" s="1"/>
  <c r="K603" i="50"/>
  <c r="K658" i="50" s="1"/>
  <c r="L603" i="50"/>
  <c r="L658" i="50" s="1"/>
  <c r="M603" i="50"/>
  <c r="M658" i="50" s="1"/>
  <c r="I604" i="50"/>
  <c r="I659" i="50" s="1"/>
  <c r="J604" i="50"/>
  <c r="J672" i="50" s="1"/>
  <c r="K604" i="50"/>
  <c r="K659" i="50" s="1"/>
  <c r="L604" i="50"/>
  <c r="L659" i="50" s="1"/>
  <c r="M604" i="50"/>
  <c r="M659" i="50" s="1"/>
  <c r="I605" i="50"/>
  <c r="I660" i="50" s="1"/>
  <c r="J605" i="50"/>
  <c r="J660" i="50" s="1"/>
  <c r="K605" i="50"/>
  <c r="K660" i="50" s="1"/>
  <c r="L605" i="50"/>
  <c r="L660" i="50" s="1"/>
  <c r="M605" i="50"/>
  <c r="M660" i="50" s="1"/>
  <c r="H599" i="50"/>
  <c r="H654" i="50" s="1"/>
  <c r="H600" i="50"/>
  <c r="H655" i="50" s="1"/>
  <c r="H601" i="50"/>
  <c r="H656" i="50" s="1"/>
  <c r="H602" i="50"/>
  <c r="H670" i="50" s="1"/>
  <c r="H603" i="50"/>
  <c r="H658" i="50" s="1"/>
  <c r="H604" i="50"/>
  <c r="H659" i="50" s="1"/>
  <c r="H605" i="50"/>
  <c r="H660" i="50" s="1"/>
  <c r="H598" i="50"/>
  <c r="H653" i="50" s="1"/>
  <c r="M607" i="50"/>
  <c r="M662" i="50" s="1"/>
  <c r="I522" i="50"/>
  <c r="J522" i="50"/>
  <c r="K522" i="50"/>
  <c r="L522" i="50"/>
  <c r="M522" i="50"/>
  <c r="H522" i="50"/>
  <c r="M521" i="50"/>
  <c r="I521" i="50"/>
  <c r="J521" i="50"/>
  <c r="K521" i="50"/>
  <c r="L521" i="50"/>
  <c r="H521" i="50"/>
  <c r="I607" i="50"/>
  <c r="I662" i="50" s="1"/>
  <c r="J607" i="50"/>
  <c r="J662" i="50" s="1"/>
  <c r="K607" i="50"/>
  <c r="K662" i="50" s="1"/>
  <c r="L607" i="50"/>
  <c r="L662" i="50" s="1"/>
  <c r="H607" i="50"/>
  <c r="H662" i="50" s="1"/>
  <c r="G599" i="50"/>
  <c r="G667" i="50" s="1"/>
  <c r="G600" i="50"/>
  <c r="G655" i="50" s="1"/>
  <c r="G601" i="50"/>
  <c r="G656" i="50" s="1"/>
  <c r="G602" i="50"/>
  <c r="G657" i="50" s="1"/>
  <c r="G603" i="50"/>
  <c r="G658" i="50" s="1"/>
  <c r="G604" i="50"/>
  <c r="G672" i="50" s="1"/>
  <c r="G605" i="50"/>
  <c r="G660" i="50" s="1"/>
  <c r="G598" i="50"/>
  <c r="G653" i="50" s="1"/>
  <c r="D607" i="50"/>
  <c r="D662" i="50" s="1"/>
  <c r="D606" i="50"/>
  <c r="D661" i="50" s="1"/>
  <c r="D599" i="50"/>
  <c r="D654" i="50" s="1"/>
  <c r="D600" i="50"/>
  <c r="D655" i="50" s="1"/>
  <c r="D601" i="50"/>
  <c r="D656" i="50" s="1"/>
  <c r="D602" i="50"/>
  <c r="D670" i="50" s="1"/>
  <c r="D658" i="50"/>
  <c r="D604" i="50"/>
  <c r="D659" i="50" s="1"/>
  <c r="D605" i="50"/>
  <c r="D660" i="50" s="1"/>
  <c r="D598" i="50"/>
  <c r="D653" i="50" s="1"/>
  <c r="G522" i="50"/>
  <c r="G607" i="50" s="1"/>
  <c r="G662" i="50" s="1"/>
  <c r="G521" i="50"/>
  <c r="G606" i="50" s="1"/>
  <c r="G661" i="50" s="1"/>
  <c r="E522" i="50"/>
  <c r="E607" i="50" s="1"/>
  <c r="E662" i="50" s="1"/>
  <c r="E521" i="50"/>
  <c r="E606" i="50" s="1"/>
  <c r="E674" i="50" s="1"/>
  <c r="E792" i="50"/>
  <c r="E793" i="50"/>
  <c r="E794" i="50"/>
  <c r="B775" i="50"/>
  <c r="B780" i="50" s="1"/>
  <c r="B781" i="50" s="1"/>
  <c r="J770" i="50" s="1"/>
  <c r="J773" i="50" s="1"/>
  <c r="C794" i="50"/>
  <c r="D794" i="50"/>
  <c r="B794" i="50"/>
  <c r="C793" i="50"/>
  <c r="D793" i="50"/>
  <c r="B793" i="50"/>
  <c r="C792" i="50"/>
  <c r="D792" i="50"/>
  <c r="B792" i="50"/>
  <c r="C791" i="50"/>
  <c r="D791" i="50"/>
  <c r="B791" i="50"/>
  <c r="A793" i="50"/>
  <c r="A794" i="50"/>
  <c r="A792" i="50"/>
  <c r="C510" i="50"/>
  <c r="C509" i="50"/>
  <c r="C508" i="50"/>
  <c r="D229" i="36"/>
  <c r="B1326" i="19"/>
  <c r="C1326" i="19"/>
  <c r="D1326" i="19"/>
  <c r="E1326" i="19"/>
  <c r="F1326" i="19"/>
  <c r="G1326" i="19"/>
  <c r="B1327" i="19"/>
  <c r="C1327" i="19"/>
  <c r="D1327" i="19"/>
  <c r="E1327" i="19"/>
  <c r="F1327" i="19"/>
  <c r="B1328" i="19"/>
  <c r="C1328" i="19"/>
  <c r="D1328" i="19"/>
  <c r="F1328" i="19"/>
  <c r="G1328" i="19"/>
  <c r="B1329" i="19"/>
  <c r="C1329" i="19"/>
  <c r="D1329" i="19"/>
  <c r="F1329" i="19"/>
  <c r="G1329" i="19"/>
  <c r="B1330" i="19"/>
  <c r="C1330" i="19"/>
  <c r="D1330" i="19"/>
  <c r="E1330" i="19"/>
  <c r="F1330" i="19"/>
  <c r="G1330" i="19"/>
  <c r="B1331" i="19"/>
  <c r="C1331" i="19"/>
  <c r="D1331" i="19"/>
  <c r="E1331" i="19"/>
  <c r="F1331" i="19"/>
  <c r="G1331" i="19"/>
  <c r="A1326" i="19"/>
  <c r="A1327" i="19"/>
  <c r="A1328" i="19"/>
  <c r="A1329" i="19"/>
  <c r="A1330" i="19"/>
  <c r="A1331" i="19"/>
  <c r="N1334" i="19" l="1"/>
  <c r="N1342" i="19"/>
  <c r="O1340" i="19"/>
  <c r="O1333" i="19"/>
  <c r="D508" i="50"/>
  <c r="D509" i="50"/>
  <c r="B64" i="52"/>
  <c r="B63" i="52"/>
  <c r="D510" i="50"/>
  <c r="B62" i="52"/>
  <c r="B65" i="52"/>
  <c r="M556" i="50"/>
  <c r="M635" i="50" s="1"/>
  <c r="M590" i="50"/>
  <c r="M645" i="50" s="1"/>
  <c r="M575" i="50"/>
  <c r="M641" i="50" s="1"/>
  <c r="L556" i="50"/>
  <c r="L635" i="50" s="1"/>
  <c r="L590" i="50"/>
  <c r="L645" i="50" s="1"/>
  <c r="L575" i="50"/>
  <c r="L641" i="50" s="1"/>
  <c r="K556" i="50"/>
  <c r="K635" i="50" s="1"/>
  <c r="K590" i="50"/>
  <c r="K645" i="50" s="1"/>
  <c r="K575" i="50"/>
  <c r="K641" i="50" s="1"/>
  <c r="J556" i="50"/>
  <c r="J635" i="50" s="1"/>
  <c r="J590" i="50"/>
  <c r="J645" i="50" s="1"/>
  <c r="J575" i="50"/>
  <c r="J641" i="50" s="1"/>
  <c r="I556" i="50"/>
  <c r="I635" i="50" s="1"/>
  <c r="I590" i="50"/>
  <c r="I645" i="50" s="1"/>
  <c r="I575" i="50"/>
  <c r="I641" i="50" s="1"/>
  <c r="H556" i="50"/>
  <c r="H635" i="50" s="1"/>
  <c r="H590" i="50"/>
  <c r="H645" i="50" s="1"/>
  <c r="H575" i="50"/>
  <c r="H641" i="50" s="1"/>
  <c r="G590" i="50"/>
  <c r="G645" i="50" s="1"/>
  <c r="G575" i="50"/>
  <c r="G641" i="50" s="1"/>
  <c r="G556" i="50"/>
  <c r="G635" i="50" s="1"/>
  <c r="F590" i="50"/>
  <c r="F645" i="50" s="1"/>
  <c r="F575" i="50"/>
  <c r="F641" i="50" s="1"/>
  <c r="F556" i="50"/>
  <c r="F635" i="50" s="1"/>
  <c r="F510" i="50"/>
  <c r="H510" i="50"/>
  <c r="F509" i="50"/>
  <c r="H509" i="50"/>
  <c r="F508" i="50"/>
  <c r="H508" i="50"/>
  <c r="O1334" i="19"/>
  <c r="O1356" i="19"/>
  <c r="N1346" i="19"/>
  <c r="N1345" i="19"/>
  <c r="N1338" i="19"/>
  <c r="O1357" i="19"/>
  <c r="O1341" i="19"/>
  <c r="O1332" i="19"/>
  <c r="O1338" i="19"/>
  <c r="N1340" i="19"/>
  <c r="N1356" i="19"/>
  <c r="O1342" i="19"/>
  <c r="N1341" i="19"/>
  <c r="N1336" i="19"/>
  <c r="N1332" i="19"/>
  <c r="N1333" i="19"/>
  <c r="O1350" i="19"/>
  <c r="O1353" i="19"/>
  <c r="O1352" i="19"/>
  <c r="N1350" i="19"/>
  <c r="N1344" i="19"/>
  <c r="N1353" i="19"/>
  <c r="N1352" i="19"/>
  <c r="N1348" i="19"/>
  <c r="N1357" i="19"/>
  <c r="O1348" i="19"/>
  <c r="O1346" i="19"/>
  <c r="O1345" i="19"/>
  <c r="O1344" i="19"/>
  <c r="O1336" i="19"/>
  <c r="C10" i="53"/>
  <c r="D26" i="53"/>
  <c r="E45" i="53" s="1"/>
  <c r="E1351" i="19" s="1"/>
  <c r="O1312" i="19"/>
  <c r="N1314" i="19"/>
  <c r="N1312" i="19"/>
  <c r="O1313" i="19"/>
  <c r="N1313" i="19"/>
  <c r="O1314" i="19"/>
  <c r="O1328" i="19"/>
  <c r="N1328" i="19"/>
  <c r="N1329" i="19"/>
  <c r="O1329" i="19"/>
  <c r="I689" i="50"/>
  <c r="H689" i="50"/>
  <c r="D685" i="50"/>
  <c r="M681" i="50"/>
  <c r="L681" i="50"/>
  <c r="J681" i="50"/>
  <c r="G688" i="50"/>
  <c r="D684" i="50"/>
  <c r="I681" i="50"/>
  <c r="L683" i="50"/>
  <c r="K683" i="50"/>
  <c r="L680" i="50"/>
  <c r="K680" i="50"/>
  <c r="M682" i="50"/>
  <c r="L689" i="50"/>
  <c r="M685" i="50"/>
  <c r="G689" i="50"/>
  <c r="D686" i="50"/>
  <c r="M683" i="50"/>
  <c r="L682" i="50"/>
  <c r="K681" i="50"/>
  <c r="J680" i="50"/>
  <c r="L673" i="50"/>
  <c r="E688" i="50"/>
  <c r="D687" i="50"/>
  <c r="M684" i="50"/>
  <c r="K682" i="50"/>
  <c r="I680" i="50"/>
  <c r="E689" i="50"/>
  <c r="D688" i="50"/>
  <c r="L684" i="50"/>
  <c r="J682" i="50"/>
  <c r="H680" i="50"/>
  <c r="D689" i="50"/>
  <c r="M686" i="50"/>
  <c r="L685" i="50"/>
  <c r="K684" i="50"/>
  <c r="J683" i="50"/>
  <c r="I682" i="50"/>
  <c r="H681" i="50"/>
  <c r="G680" i="50"/>
  <c r="M687" i="50"/>
  <c r="L686" i="50"/>
  <c r="K685" i="50"/>
  <c r="J684" i="50"/>
  <c r="I683" i="50"/>
  <c r="H682" i="50"/>
  <c r="G681" i="50"/>
  <c r="D666" i="50"/>
  <c r="L687" i="50"/>
  <c r="K686" i="50"/>
  <c r="J685" i="50"/>
  <c r="I684" i="50"/>
  <c r="H683" i="50"/>
  <c r="G682" i="50"/>
  <c r="M689" i="50"/>
  <c r="K687" i="50"/>
  <c r="J686" i="50"/>
  <c r="I685" i="50"/>
  <c r="H684" i="50"/>
  <c r="G683" i="50"/>
  <c r="D680" i="50"/>
  <c r="J659" i="50"/>
  <c r="J687" i="50"/>
  <c r="I686" i="50"/>
  <c r="H685" i="50"/>
  <c r="G684" i="50"/>
  <c r="D681" i="50"/>
  <c r="K689" i="50"/>
  <c r="I687" i="50"/>
  <c r="H686" i="50"/>
  <c r="G685" i="50"/>
  <c r="D682" i="50"/>
  <c r="G687" i="50"/>
  <c r="J689" i="50"/>
  <c r="H687" i="50"/>
  <c r="G686" i="50"/>
  <c r="D683" i="50"/>
  <c r="M680" i="50"/>
  <c r="G659" i="50"/>
  <c r="K673" i="50"/>
  <c r="H669" i="50"/>
  <c r="L657" i="50"/>
  <c r="J673" i="50"/>
  <c r="J671" i="50"/>
  <c r="G669" i="50"/>
  <c r="K657" i="50"/>
  <c r="I673" i="50"/>
  <c r="I671" i="50"/>
  <c r="I657" i="50"/>
  <c r="H673" i="50"/>
  <c r="H671" i="50"/>
  <c r="D669" i="50"/>
  <c r="H657" i="50"/>
  <c r="G671" i="50"/>
  <c r="D657" i="50"/>
  <c r="G668" i="50"/>
  <c r="M675" i="50"/>
  <c r="K672" i="50"/>
  <c r="I672" i="50"/>
  <c r="H672" i="50"/>
  <c r="G670" i="50"/>
  <c r="E661" i="50"/>
  <c r="J675" i="50"/>
  <c r="I675" i="50"/>
  <c r="G673" i="50"/>
  <c r="M667" i="50"/>
  <c r="L666" i="50"/>
  <c r="D668" i="50"/>
  <c r="L655" i="50"/>
  <c r="H675" i="50"/>
  <c r="G674" i="50"/>
  <c r="D671" i="50"/>
  <c r="M668" i="50"/>
  <c r="L667" i="50"/>
  <c r="K666" i="50"/>
  <c r="M666" i="50"/>
  <c r="K655" i="50"/>
  <c r="G675" i="50"/>
  <c r="D672" i="50"/>
  <c r="M669" i="50"/>
  <c r="K667" i="50"/>
  <c r="J666" i="50"/>
  <c r="K675" i="50"/>
  <c r="J655" i="50"/>
  <c r="D673" i="50"/>
  <c r="M670" i="50"/>
  <c r="L669" i="50"/>
  <c r="J667" i="50"/>
  <c r="I666" i="50"/>
  <c r="D667" i="50"/>
  <c r="G654" i="50"/>
  <c r="D674" i="50"/>
  <c r="M671" i="50"/>
  <c r="K669" i="50"/>
  <c r="I667" i="50"/>
  <c r="H666" i="50"/>
  <c r="D675" i="50"/>
  <c r="M672" i="50"/>
  <c r="L671" i="50"/>
  <c r="J669" i="50"/>
  <c r="I668" i="50"/>
  <c r="H667" i="50"/>
  <c r="G666" i="50"/>
  <c r="L675" i="50"/>
  <c r="M673" i="50"/>
  <c r="L672" i="50"/>
  <c r="K671" i="50"/>
  <c r="J670" i="50"/>
  <c r="I669" i="50"/>
  <c r="H668" i="50"/>
  <c r="E797" i="50"/>
  <c r="E799" i="50" s="1"/>
  <c r="E802" i="50" s="1"/>
  <c r="E814" i="50" s="1"/>
  <c r="C797" i="50"/>
  <c r="D797" i="50"/>
  <c r="B797" i="50"/>
  <c r="G770" i="50"/>
  <c r="G773" i="50" s="1"/>
  <c r="I770" i="50"/>
  <c r="I773" i="50" s="1"/>
  <c r="H770" i="50"/>
  <c r="H773" i="50" s="1"/>
  <c r="B782" i="50"/>
  <c r="J771" i="50" s="1"/>
  <c r="J774" i="50" s="1"/>
  <c r="B1316" i="19"/>
  <c r="C1316" i="19"/>
  <c r="F1316" i="19"/>
  <c r="G1316" i="19"/>
  <c r="B1317" i="19"/>
  <c r="C1317" i="19"/>
  <c r="F1317" i="19"/>
  <c r="G1317" i="19"/>
  <c r="B1318" i="19"/>
  <c r="C1318" i="19"/>
  <c r="F1318" i="19"/>
  <c r="G1318" i="19"/>
  <c r="B1319" i="19"/>
  <c r="C1319" i="19"/>
  <c r="F1319" i="19"/>
  <c r="G1319" i="19"/>
  <c r="B1320" i="19"/>
  <c r="C1320" i="19"/>
  <c r="F1320" i="19"/>
  <c r="G1320" i="19"/>
  <c r="B1321" i="19"/>
  <c r="C1321" i="19"/>
  <c r="F1321" i="19"/>
  <c r="G1321" i="19"/>
  <c r="B1322" i="19"/>
  <c r="C1322" i="19"/>
  <c r="F1322" i="19"/>
  <c r="G1322" i="19"/>
  <c r="B1323" i="19"/>
  <c r="C1323" i="19"/>
  <c r="F1323" i="19"/>
  <c r="G1323" i="19"/>
  <c r="B1324" i="19"/>
  <c r="C1324" i="19"/>
  <c r="F1324" i="19"/>
  <c r="G1324" i="19"/>
  <c r="B1325" i="19"/>
  <c r="C1325" i="19"/>
  <c r="F1325" i="19"/>
  <c r="G1325" i="19"/>
  <c r="A1317" i="19"/>
  <c r="A1318" i="19"/>
  <c r="A1319" i="19"/>
  <c r="A1320" i="19"/>
  <c r="A1321" i="19"/>
  <c r="A1322" i="19"/>
  <c r="A1323" i="19"/>
  <c r="A1324" i="19"/>
  <c r="A1325" i="19"/>
  <c r="A1316"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F764" i="18" s="1"/>
  <c r="G286" i="50"/>
  <c r="G764" i="18" s="1"/>
  <c r="H286" i="50"/>
  <c r="H764" i="18" s="1"/>
  <c r="I286" i="50"/>
  <c r="I764" i="18" s="1"/>
  <c r="J286" i="50"/>
  <c r="J764" i="18" s="1"/>
  <c r="F287" i="50"/>
  <c r="F765" i="18" s="1"/>
  <c r="G287" i="50"/>
  <c r="G765" i="18" s="1"/>
  <c r="H287" i="50"/>
  <c r="H765" i="18" s="1"/>
  <c r="I287" i="50"/>
  <c r="I765" i="18" s="1"/>
  <c r="J287" i="50"/>
  <c r="J765" i="18" s="1"/>
  <c r="F288" i="50"/>
  <c r="F766" i="18" s="1"/>
  <c r="G288" i="50"/>
  <c r="G766" i="18" s="1"/>
  <c r="H288" i="50"/>
  <c r="H766" i="18" s="1"/>
  <c r="I288" i="50"/>
  <c r="I766" i="18" s="1"/>
  <c r="J288" i="50"/>
  <c r="J766" i="18" s="1"/>
  <c r="F289" i="50"/>
  <c r="F767" i="18" s="1"/>
  <c r="G289" i="50"/>
  <c r="G767" i="18" s="1"/>
  <c r="H289" i="50"/>
  <c r="H767" i="18" s="1"/>
  <c r="I289" i="50"/>
  <c r="I767" i="18" s="1"/>
  <c r="J289" i="50"/>
  <c r="J767" i="18" s="1"/>
  <c r="F290" i="50"/>
  <c r="F768" i="18" s="1"/>
  <c r="G290" i="50"/>
  <c r="G768" i="18" s="1"/>
  <c r="H290" i="50"/>
  <c r="H768" i="18" s="1"/>
  <c r="I290" i="50"/>
  <c r="I768" i="18" s="1"/>
  <c r="J290" i="50"/>
  <c r="J768" i="18" s="1"/>
  <c r="F291" i="50"/>
  <c r="F769" i="18" s="1"/>
  <c r="G291" i="50"/>
  <c r="G769" i="18" s="1"/>
  <c r="H291" i="50"/>
  <c r="H769" i="18" s="1"/>
  <c r="I291" i="50"/>
  <c r="I769" i="18" s="1"/>
  <c r="J291" i="50"/>
  <c r="J769" i="18" s="1"/>
  <c r="F292" i="50"/>
  <c r="F770" i="18" s="1"/>
  <c r="G292" i="50"/>
  <c r="G770" i="18" s="1"/>
  <c r="H292" i="50"/>
  <c r="H770" i="18" s="1"/>
  <c r="I292" i="50"/>
  <c r="I770" i="18" s="1"/>
  <c r="J292" i="50"/>
  <c r="J770" i="18" s="1"/>
  <c r="F293" i="50"/>
  <c r="F771" i="18" s="1"/>
  <c r="G293" i="50"/>
  <c r="G771" i="18" s="1"/>
  <c r="H293" i="50"/>
  <c r="H771" i="18" s="1"/>
  <c r="I293" i="50"/>
  <c r="I771" i="18" s="1"/>
  <c r="J293" i="50"/>
  <c r="J771" i="18" s="1"/>
  <c r="F294" i="50"/>
  <c r="F772" i="18" s="1"/>
  <c r="G294" i="50"/>
  <c r="G772" i="18" s="1"/>
  <c r="H294" i="50"/>
  <c r="H772" i="18" s="1"/>
  <c r="I294" i="50"/>
  <c r="I772" i="18" s="1"/>
  <c r="J294" i="50"/>
  <c r="J772" i="18" s="1"/>
  <c r="F295" i="50"/>
  <c r="F773" i="18" s="1"/>
  <c r="G295" i="50"/>
  <c r="G773" i="18" s="1"/>
  <c r="H295" i="50"/>
  <c r="H773" i="18" s="1"/>
  <c r="I295" i="50"/>
  <c r="I773" i="18" s="1"/>
  <c r="J295" i="50"/>
  <c r="J773" i="18" s="1"/>
  <c r="F296" i="50"/>
  <c r="F774" i="18" s="1"/>
  <c r="G296" i="50"/>
  <c r="G774" i="18" s="1"/>
  <c r="H296" i="50"/>
  <c r="H774" i="18" s="1"/>
  <c r="I296" i="50"/>
  <c r="I774" i="18" s="1"/>
  <c r="J296" i="50"/>
  <c r="J774" i="18" s="1"/>
  <c r="F297" i="50"/>
  <c r="F775" i="18" s="1"/>
  <c r="G297" i="50"/>
  <c r="G775" i="18" s="1"/>
  <c r="H297" i="50"/>
  <c r="H775" i="18" s="1"/>
  <c r="I297" i="50"/>
  <c r="I775" i="18" s="1"/>
  <c r="J297" i="50"/>
  <c r="J775" i="18" s="1"/>
  <c r="F298" i="50"/>
  <c r="F776" i="18" s="1"/>
  <c r="G298" i="50"/>
  <c r="G776" i="18" s="1"/>
  <c r="H298" i="50"/>
  <c r="H776" i="18" s="1"/>
  <c r="I298" i="50"/>
  <c r="I776" i="18" s="1"/>
  <c r="J298" i="50"/>
  <c r="J776" i="18" s="1"/>
  <c r="F299" i="50"/>
  <c r="F777" i="18" s="1"/>
  <c r="G299" i="50"/>
  <c r="G777" i="18" s="1"/>
  <c r="H299" i="50"/>
  <c r="H777" i="18" s="1"/>
  <c r="I299" i="50"/>
  <c r="I777" i="18" s="1"/>
  <c r="J299" i="50"/>
  <c r="J777" i="18" s="1"/>
  <c r="F300" i="50"/>
  <c r="F778" i="18" s="1"/>
  <c r="G300" i="50"/>
  <c r="G778" i="18" s="1"/>
  <c r="H300" i="50"/>
  <c r="H778" i="18" s="1"/>
  <c r="I300" i="50"/>
  <c r="I778" i="18" s="1"/>
  <c r="J300" i="50"/>
  <c r="J778" i="18" s="1"/>
  <c r="F301" i="50"/>
  <c r="F779" i="18" s="1"/>
  <c r="G301" i="50"/>
  <c r="G779" i="18" s="1"/>
  <c r="H301" i="50"/>
  <c r="H779" i="18" s="1"/>
  <c r="I301" i="50"/>
  <c r="I779" i="18" s="1"/>
  <c r="J301" i="50"/>
  <c r="J779" i="18" s="1"/>
  <c r="F302" i="50"/>
  <c r="F780" i="18" s="1"/>
  <c r="G302" i="50"/>
  <c r="G780" i="18" s="1"/>
  <c r="H302" i="50"/>
  <c r="H780" i="18" s="1"/>
  <c r="I302" i="50"/>
  <c r="I780" i="18" s="1"/>
  <c r="J302" i="50"/>
  <c r="J780" i="18" s="1"/>
  <c r="F303" i="50"/>
  <c r="F781" i="18" s="1"/>
  <c r="G303" i="50"/>
  <c r="G781" i="18" s="1"/>
  <c r="H303" i="50"/>
  <c r="H781" i="18" s="1"/>
  <c r="I303" i="50"/>
  <c r="I781" i="18" s="1"/>
  <c r="J303" i="50"/>
  <c r="J781" i="18" s="1"/>
  <c r="F304" i="50"/>
  <c r="F782" i="18" s="1"/>
  <c r="G304" i="50"/>
  <c r="G782" i="18" s="1"/>
  <c r="H304" i="50"/>
  <c r="H782" i="18" s="1"/>
  <c r="I304" i="50"/>
  <c r="I782" i="18" s="1"/>
  <c r="J304" i="50"/>
  <c r="J782" i="18" s="1"/>
  <c r="F305" i="50"/>
  <c r="F783" i="18" s="1"/>
  <c r="G305" i="50"/>
  <c r="G783" i="18" s="1"/>
  <c r="H305" i="50"/>
  <c r="H783" i="18" s="1"/>
  <c r="I305" i="50"/>
  <c r="I783" i="18" s="1"/>
  <c r="J305" i="50"/>
  <c r="J783" i="18" s="1"/>
  <c r="F306" i="50"/>
  <c r="F784" i="18" s="1"/>
  <c r="G306" i="50"/>
  <c r="G784" i="18" s="1"/>
  <c r="H306" i="50"/>
  <c r="H784" i="18" s="1"/>
  <c r="I306" i="50"/>
  <c r="I784" i="18" s="1"/>
  <c r="J306" i="50"/>
  <c r="J784" i="18" s="1"/>
  <c r="F307" i="50"/>
  <c r="F785" i="18" s="1"/>
  <c r="G307" i="50"/>
  <c r="G785" i="18" s="1"/>
  <c r="H307" i="50"/>
  <c r="H785" i="18" s="1"/>
  <c r="I307" i="50"/>
  <c r="I785" i="18" s="1"/>
  <c r="J307" i="50"/>
  <c r="J785" i="18" s="1"/>
  <c r="F308" i="50"/>
  <c r="F786" i="18" s="1"/>
  <c r="G308" i="50"/>
  <c r="G786" i="18" s="1"/>
  <c r="H308" i="50"/>
  <c r="H786" i="18" s="1"/>
  <c r="I308" i="50"/>
  <c r="I786" i="18" s="1"/>
  <c r="J308" i="50"/>
  <c r="J786" i="18" s="1"/>
  <c r="G285" i="50"/>
  <c r="G763" i="18" s="1"/>
  <c r="H285" i="50"/>
  <c r="H763" i="18" s="1"/>
  <c r="I285" i="50"/>
  <c r="I763" i="18" s="1"/>
  <c r="J285" i="50"/>
  <c r="J763" i="18" s="1"/>
  <c r="F285" i="50"/>
  <c r="F763" i="18" s="1"/>
  <c r="F310" i="50"/>
  <c r="F788" i="18" s="1"/>
  <c r="G310" i="50"/>
  <c r="G788" i="18" s="1"/>
  <c r="H310" i="50"/>
  <c r="H788" i="18" s="1"/>
  <c r="I310" i="50"/>
  <c r="I788" i="18" s="1"/>
  <c r="J310" i="50"/>
  <c r="J788" i="18" s="1"/>
  <c r="F311" i="50"/>
  <c r="F789" i="18" s="1"/>
  <c r="G311" i="50"/>
  <c r="G789" i="18" s="1"/>
  <c r="H311" i="50"/>
  <c r="H789" i="18" s="1"/>
  <c r="I311" i="50"/>
  <c r="I789" i="18" s="1"/>
  <c r="J311" i="50"/>
  <c r="J789" i="18" s="1"/>
  <c r="F312" i="50"/>
  <c r="F790" i="18" s="1"/>
  <c r="G312" i="50"/>
  <c r="G790" i="18" s="1"/>
  <c r="H312" i="50"/>
  <c r="H790" i="18" s="1"/>
  <c r="I312" i="50"/>
  <c r="I790" i="18" s="1"/>
  <c r="J312" i="50"/>
  <c r="J790" i="18" s="1"/>
  <c r="F313" i="50"/>
  <c r="F791" i="18" s="1"/>
  <c r="G313" i="50"/>
  <c r="G791" i="18" s="1"/>
  <c r="H313" i="50"/>
  <c r="H791" i="18" s="1"/>
  <c r="I313" i="50"/>
  <c r="I791" i="18" s="1"/>
  <c r="J313" i="50"/>
  <c r="J791" i="18" s="1"/>
  <c r="F314" i="50"/>
  <c r="F792" i="18" s="1"/>
  <c r="G314" i="50"/>
  <c r="G792" i="18" s="1"/>
  <c r="H314" i="50"/>
  <c r="H792" i="18" s="1"/>
  <c r="I314" i="50"/>
  <c r="I792" i="18" s="1"/>
  <c r="J314" i="50"/>
  <c r="J792" i="18" s="1"/>
  <c r="F315" i="50"/>
  <c r="F793" i="18" s="1"/>
  <c r="G315" i="50"/>
  <c r="G793" i="18" s="1"/>
  <c r="H315" i="50"/>
  <c r="H793" i="18" s="1"/>
  <c r="I315" i="50"/>
  <c r="I793" i="18" s="1"/>
  <c r="J315" i="50"/>
  <c r="J793" i="18" s="1"/>
  <c r="F316" i="50"/>
  <c r="F794" i="18" s="1"/>
  <c r="G316" i="50"/>
  <c r="G794" i="18" s="1"/>
  <c r="H316" i="50"/>
  <c r="H794" i="18" s="1"/>
  <c r="I316" i="50"/>
  <c r="I794" i="18" s="1"/>
  <c r="J316" i="50"/>
  <c r="J794" i="18" s="1"/>
  <c r="F317" i="50"/>
  <c r="F795" i="18" s="1"/>
  <c r="G317" i="50"/>
  <c r="G795" i="18" s="1"/>
  <c r="H317" i="50"/>
  <c r="H795" i="18" s="1"/>
  <c r="I317" i="50"/>
  <c r="I795" i="18" s="1"/>
  <c r="J317" i="50"/>
  <c r="J795" i="18" s="1"/>
  <c r="F318" i="50"/>
  <c r="F796" i="18" s="1"/>
  <c r="G318" i="50"/>
  <c r="G796" i="18" s="1"/>
  <c r="H318" i="50"/>
  <c r="H796" i="18" s="1"/>
  <c r="I318" i="50"/>
  <c r="I796" i="18" s="1"/>
  <c r="J318" i="50"/>
  <c r="J796" i="18" s="1"/>
  <c r="F319" i="50"/>
  <c r="F797" i="18" s="1"/>
  <c r="G319" i="50"/>
  <c r="G797" i="18" s="1"/>
  <c r="H319" i="50"/>
  <c r="H797" i="18" s="1"/>
  <c r="I319" i="50"/>
  <c r="I797" i="18" s="1"/>
  <c r="J319" i="50"/>
  <c r="J797" i="18" s="1"/>
  <c r="F320" i="50"/>
  <c r="F798" i="18" s="1"/>
  <c r="G320" i="50"/>
  <c r="G798" i="18" s="1"/>
  <c r="H320" i="50"/>
  <c r="H798" i="18" s="1"/>
  <c r="I320" i="50"/>
  <c r="I798" i="18" s="1"/>
  <c r="J320" i="50"/>
  <c r="J798" i="18" s="1"/>
  <c r="F321" i="50"/>
  <c r="F799" i="18" s="1"/>
  <c r="G321" i="50"/>
  <c r="G799" i="18" s="1"/>
  <c r="H321" i="50"/>
  <c r="H799" i="18" s="1"/>
  <c r="I321" i="50"/>
  <c r="I799" i="18" s="1"/>
  <c r="J321" i="50"/>
  <c r="J799" i="18" s="1"/>
  <c r="F322" i="50"/>
  <c r="F800" i="18" s="1"/>
  <c r="G322" i="50"/>
  <c r="G800" i="18" s="1"/>
  <c r="H322" i="50"/>
  <c r="H800" i="18" s="1"/>
  <c r="I322" i="50"/>
  <c r="I800" i="18" s="1"/>
  <c r="J322" i="50"/>
  <c r="J800" i="18" s="1"/>
  <c r="F323" i="50"/>
  <c r="F801" i="18" s="1"/>
  <c r="G323" i="50"/>
  <c r="G801" i="18" s="1"/>
  <c r="H323" i="50"/>
  <c r="H801" i="18" s="1"/>
  <c r="I323" i="50"/>
  <c r="I801" i="18" s="1"/>
  <c r="J323" i="50"/>
  <c r="J801" i="18" s="1"/>
  <c r="F324" i="50"/>
  <c r="F802" i="18" s="1"/>
  <c r="G324" i="50"/>
  <c r="G802" i="18" s="1"/>
  <c r="H324" i="50"/>
  <c r="H802" i="18" s="1"/>
  <c r="I324" i="50"/>
  <c r="I802" i="18" s="1"/>
  <c r="J324" i="50"/>
  <c r="J802" i="18" s="1"/>
  <c r="F325" i="50"/>
  <c r="F803" i="18" s="1"/>
  <c r="G325" i="50"/>
  <c r="G803" i="18" s="1"/>
  <c r="H325" i="50"/>
  <c r="H803" i="18" s="1"/>
  <c r="I325" i="50"/>
  <c r="I803" i="18" s="1"/>
  <c r="J325" i="50"/>
  <c r="J803" i="18" s="1"/>
  <c r="F326" i="50"/>
  <c r="F804" i="18" s="1"/>
  <c r="G326" i="50"/>
  <c r="G804" i="18" s="1"/>
  <c r="H326" i="50"/>
  <c r="H804" i="18" s="1"/>
  <c r="I326" i="50"/>
  <c r="I804" i="18" s="1"/>
  <c r="J326" i="50"/>
  <c r="J804" i="18" s="1"/>
  <c r="F327" i="50"/>
  <c r="F805" i="18" s="1"/>
  <c r="G327" i="50"/>
  <c r="G805" i="18" s="1"/>
  <c r="H327" i="50"/>
  <c r="H805" i="18" s="1"/>
  <c r="I327" i="50"/>
  <c r="I805" i="18" s="1"/>
  <c r="J327" i="50"/>
  <c r="J805" i="18" s="1"/>
  <c r="F328" i="50"/>
  <c r="F806" i="18" s="1"/>
  <c r="G328" i="50"/>
  <c r="G806" i="18" s="1"/>
  <c r="H328" i="50"/>
  <c r="H806" i="18" s="1"/>
  <c r="I328" i="50"/>
  <c r="I806" i="18" s="1"/>
  <c r="J328" i="50"/>
  <c r="J806" i="18" s="1"/>
  <c r="F329" i="50"/>
  <c r="F807" i="18" s="1"/>
  <c r="G329" i="50"/>
  <c r="G807" i="18" s="1"/>
  <c r="H329" i="50"/>
  <c r="H807" i="18" s="1"/>
  <c r="I329" i="50"/>
  <c r="I807" i="18" s="1"/>
  <c r="J329" i="50"/>
  <c r="J807" i="18" s="1"/>
  <c r="F330" i="50"/>
  <c r="F808" i="18" s="1"/>
  <c r="G330" i="50"/>
  <c r="G808" i="18" s="1"/>
  <c r="H330" i="50"/>
  <c r="H808" i="18" s="1"/>
  <c r="I330" i="50"/>
  <c r="I808" i="18" s="1"/>
  <c r="J330" i="50"/>
  <c r="J808" i="18" s="1"/>
  <c r="F331" i="50"/>
  <c r="F809" i="18" s="1"/>
  <c r="G331" i="50"/>
  <c r="G809" i="18" s="1"/>
  <c r="H331" i="50"/>
  <c r="H809" i="18" s="1"/>
  <c r="I331" i="50"/>
  <c r="I809" i="18" s="1"/>
  <c r="J331" i="50"/>
  <c r="J809" i="18" s="1"/>
  <c r="F332" i="50"/>
  <c r="F810" i="18" s="1"/>
  <c r="G332" i="50"/>
  <c r="G810" i="18" s="1"/>
  <c r="H332" i="50"/>
  <c r="H810" i="18" s="1"/>
  <c r="I332" i="50"/>
  <c r="I810" i="18" s="1"/>
  <c r="J332" i="50"/>
  <c r="J810" i="18" s="1"/>
  <c r="G309" i="50"/>
  <c r="G787" i="18" s="1"/>
  <c r="H309" i="50"/>
  <c r="H787" i="18" s="1"/>
  <c r="I309" i="50"/>
  <c r="I787" i="18" s="1"/>
  <c r="J309" i="50"/>
  <c r="J787" i="18" s="1"/>
  <c r="F309" i="50"/>
  <c r="F787" i="18" s="1"/>
  <c r="I337" i="50"/>
  <c r="I1316" i="19" s="1"/>
  <c r="J337" i="50"/>
  <c r="J1316" i="19" s="1"/>
  <c r="K337" i="50"/>
  <c r="K1316" i="19" s="1"/>
  <c r="L337" i="50"/>
  <c r="L1316" i="19" s="1"/>
  <c r="M337" i="50"/>
  <c r="M1316" i="19" s="1"/>
  <c r="I338" i="50"/>
  <c r="I1317" i="19" s="1"/>
  <c r="J338" i="50"/>
  <c r="J1317" i="19" s="1"/>
  <c r="K338" i="50"/>
  <c r="K1317" i="19" s="1"/>
  <c r="L338" i="50"/>
  <c r="L1317" i="19" s="1"/>
  <c r="M338" i="50"/>
  <c r="M1317" i="19" s="1"/>
  <c r="I339" i="50"/>
  <c r="I1318" i="19" s="1"/>
  <c r="J339" i="50"/>
  <c r="J1318" i="19" s="1"/>
  <c r="K339" i="50"/>
  <c r="K1318" i="19" s="1"/>
  <c r="L339" i="50"/>
  <c r="L1318" i="19" s="1"/>
  <c r="M339" i="50"/>
  <c r="M1318" i="19" s="1"/>
  <c r="I340" i="50"/>
  <c r="I1319" i="19" s="1"/>
  <c r="J340" i="50"/>
  <c r="J1319" i="19" s="1"/>
  <c r="K340" i="50"/>
  <c r="K1319" i="19" s="1"/>
  <c r="L340" i="50"/>
  <c r="L1319" i="19" s="1"/>
  <c r="M340" i="50"/>
  <c r="M1319" i="19" s="1"/>
  <c r="I341" i="50"/>
  <c r="I1320" i="19" s="1"/>
  <c r="J341" i="50"/>
  <c r="J1320" i="19" s="1"/>
  <c r="K341" i="50"/>
  <c r="K1320" i="19" s="1"/>
  <c r="L341" i="50"/>
  <c r="L1320" i="19" s="1"/>
  <c r="M341" i="50"/>
  <c r="M1320" i="19" s="1"/>
  <c r="I342" i="50"/>
  <c r="I1321" i="19" s="1"/>
  <c r="J342" i="50"/>
  <c r="J1321" i="19" s="1"/>
  <c r="K342" i="50"/>
  <c r="K1321" i="19" s="1"/>
  <c r="L342" i="50"/>
  <c r="L1321" i="19" s="1"/>
  <c r="M342" i="50"/>
  <c r="M1321" i="19" s="1"/>
  <c r="I343" i="50"/>
  <c r="I1322" i="19" s="1"/>
  <c r="J343" i="50"/>
  <c r="J1322" i="19" s="1"/>
  <c r="K343" i="50"/>
  <c r="K1322" i="19" s="1"/>
  <c r="L343" i="50"/>
  <c r="L1322" i="19" s="1"/>
  <c r="M343" i="50"/>
  <c r="M1322" i="19" s="1"/>
  <c r="I344" i="50"/>
  <c r="I1323" i="19" s="1"/>
  <c r="J344" i="50"/>
  <c r="J1323" i="19" s="1"/>
  <c r="K344" i="50"/>
  <c r="K1323" i="19" s="1"/>
  <c r="L344" i="50"/>
  <c r="L1323" i="19" s="1"/>
  <c r="M344" i="50"/>
  <c r="M1323" i="19" s="1"/>
  <c r="I345" i="50"/>
  <c r="I1324" i="19" s="1"/>
  <c r="J345" i="50"/>
  <c r="J1324" i="19" s="1"/>
  <c r="K345" i="50"/>
  <c r="K1324" i="19" s="1"/>
  <c r="L345" i="50"/>
  <c r="L1324" i="19" s="1"/>
  <c r="M345" i="50"/>
  <c r="M1324" i="19" s="1"/>
  <c r="I346" i="50"/>
  <c r="I1325" i="19" s="1"/>
  <c r="J346" i="50"/>
  <c r="J1325" i="19" s="1"/>
  <c r="K346" i="50"/>
  <c r="K1325" i="19" s="1"/>
  <c r="L346" i="50"/>
  <c r="L1325" i="19" s="1"/>
  <c r="M346" i="50"/>
  <c r="M1325" i="19" s="1"/>
  <c r="D342" i="50"/>
  <c r="D1321" i="19" s="1"/>
  <c r="D343" i="50"/>
  <c r="D1322" i="19" s="1"/>
  <c r="D344" i="50"/>
  <c r="D1323" i="19" s="1"/>
  <c r="D345" i="50"/>
  <c r="D1324" i="19" s="1"/>
  <c r="D346" i="50"/>
  <c r="D1325" i="19" s="1"/>
  <c r="D337" i="50"/>
  <c r="D1316" i="19" s="1"/>
  <c r="D338" i="50"/>
  <c r="D1317" i="19" s="1"/>
  <c r="D339" i="50"/>
  <c r="D1318" i="19" s="1"/>
  <c r="D340" i="50"/>
  <c r="D1319" i="19" s="1"/>
  <c r="D341" i="50"/>
  <c r="D1320" i="19" s="1"/>
  <c r="G20" i="50"/>
  <c r="E479" i="50"/>
  <c r="E1329" i="19" s="1"/>
  <c r="E478" i="50"/>
  <c r="E1328" i="19" s="1"/>
  <c r="J762" i="18"/>
  <c r="I762" i="18"/>
  <c r="H762" i="18"/>
  <c r="G762" i="18"/>
  <c r="F762" i="18"/>
  <c r="D762" i="18"/>
  <c r="C762" i="18"/>
  <c r="B762" i="18"/>
  <c r="J761" i="18"/>
  <c r="I761" i="18"/>
  <c r="H761" i="18"/>
  <c r="G761" i="18"/>
  <c r="F761" i="18"/>
  <c r="D761" i="18"/>
  <c r="C761" i="18"/>
  <c r="B761" i="18"/>
  <c r="J760" i="18"/>
  <c r="I760" i="18"/>
  <c r="H760" i="18"/>
  <c r="G760" i="18"/>
  <c r="F760" i="18"/>
  <c r="D760" i="18"/>
  <c r="C760" i="18"/>
  <c r="B760" i="18"/>
  <c r="J759" i="18"/>
  <c r="I759" i="18"/>
  <c r="H759" i="18"/>
  <c r="G759" i="18"/>
  <c r="F759" i="18"/>
  <c r="D759" i="18"/>
  <c r="C759" i="18"/>
  <c r="B759" i="18"/>
  <c r="J758" i="18"/>
  <c r="I758" i="18"/>
  <c r="H758" i="18"/>
  <c r="G758" i="18"/>
  <c r="F758" i="18"/>
  <c r="D758" i="18"/>
  <c r="C758" i="18"/>
  <c r="B758" i="18"/>
  <c r="J757" i="18"/>
  <c r="I757" i="18"/>
  <c r="H757" i="18"/>
  <c r="G757" i="18"/>
  <c r="F757" i="18"/>
  <c r="D757" i="18"/>
  <c r="C757" i="18"/>
  <c r="B757" i="18"/>
  <c r="J756" i="18"/>
  <c r="I756" i="18"/>
  <c r="H756" i="18"/>
  <c r="G756" i="18"/>
  <c r="F756" i="18"/>
  <c r="D756" i="18"/>
  <c r="C756" i="18"/>
  <c r="B756" i="18"/>
  <c r="J755" i="18"/>
  <c r="I755" i="18"/>
  <c r="H755" i="18"/>
  <c r="G755" i="18"/>
  <c r="F755" i="18"/>
  <c r="D755" i="18"/>
  <c r="C755" i="18"/>
  <c r="B755" i="18"/>
  <c r="J754" i="18"/>
  <c r="I754" i="18"/>
  <c r="H754" i="18"/>
  <c r="G754" i="18"/>
  <c r="F754" i="18"/>
  <c r="D754" i="18"/>
  <c r="C754" i="18"/>
  <c r="B754" i="18"/>
  <c r="J753" i="18"/>
  <c r="I753" i="18"/>
  <c r="H753" i="18"/>
  <c r="G753" i="18"/>
  <c r="F753" i="18"/>
  <c r="D753" i="18"/>
  <c r="C753" i="18"/>
  <c r="B753" i="18"/>
  <c r="J752" i="18"/>
  <c r="I752" i="18"/>
  <c r="H752" i="18"/>
  <c r="G752" i="18"/>
  <c r="F752" i="18"/>
  <c r="D752" i="18"/>
  <c r="C752" i="18"/>
  <c r="B752" i="18"/>
  <c r="J751" i="18"/>
  <c r="I751" i="18"/>
  <c r="H751" i="18"/>
  <c r="G751" i="18"/>
  <c r="F751" i="18"/>
  <c r="D751" i="18"/>
  <c r="C751" i="18"/>
  <c r="B751" i="18"/>
  <c r="J750" i="18"/>
  <c r="I750" i="18"/>
  <c r="H750" i="18"/>
  <c r="G750" i="18"/>
  <c r="F750" i="18"/>
  <c r="D750" i="18"/>
  <c r="C750" i="18"/>
  <c r="B750" i="18"/>
  <c r="J749" i="18"/>
  <c r="I749" i="18"/>
  <c r="H749" i="18"/>
  <c r="G749" i="18"/>
  <c r="F749" i="18"/>
  <c r="D749" i="18"/>
  <c r="C749" i="18"/>
  <c r="B749" i="18"/>
  <c r="J748" i="18"/>
  <c r="I748" i="18"/>
  <c r="H748" i="18"/>
  <c r="G748" i="18"/>
  <c r="F748" i="18"/>
  <c r="D748" i="18"/>
  <c r="C748" i="18"/>
  <c r="B748" i="18"/>
  <c r="J747" i="18"/>
  <c r="I747" i="18"/>
  <c r="H747" i="18"/>
  <c r="G747" i="18"/>
  <c r="F747" i="18"/>
  <c r="D747" i="18"/>
  <c r="C747" i="18"/>
  <c r="B747" i="18"/>
  <c r="J746" i="18"/>
  <c r="I746" i="18"/>
  <c r="H746" i="18"/>
  <c r="G746" i="18"/>
  <c r="F746" i="18"/>
  <c r="D746" i="18"/>
  <c r="C746" i="18"/>
  <c r="B746" i="18"/>
  <c r="J745" i="18"/>
  <c r="I745" i="18"/>
  <c r="H745" i="18"/>
  <c r="G745" i="18"/>
  <c r="F745" i="18"/>
  <c r="D745" i="18"/>
  <c r="C745" i="18"/>
  <c r="B745" i="18"/>
  <c r="J744" i="18"/>
  <c r="I744" i="18"/>
  <c r="H744" i="18"/>
  <c r="G744" i="18"/>
  <c r="F744" i="18"/>
  <c r="D744" i="18"/>
  <c r="C744" i="18"/>
  <c r="B744" i="18"/>
  <c r="J743" i="18"/>
  <c r="I743" i="18"/>
  <c r="H743" i="18"/>
  <c r="G743" i="18"/>
  <c r="F743" i="18"/>
  <c r="D743" i="18"/>
  <c r="C743" i="18"/>
  <c r="B743" i="18"/>
  <c r="J742" i="18"/>
  <c r="I742" i="18"/>
  <c r="H742" i="18"/>
  <c r="G742" i="18"/>
  <c r="F742" i="18"/>
  <c r="D742" i="18"/>
  <c r="C742" i="18"/>
  <c r="B742" i="18"/>
  <c r="J741" i="18"/>
  <c r="I741" i="18"/>
  <c r="H741" i="18"/>
  <c r="G741" i="18"/>
  <c r="F741" i="18"/>
  <c r="D741" i="18"/>
  <c r="C741" i="18"/>
  <c r="B741" i="18"/>
  <c r="J740" i="18"/>
  <c r="I740" i="18"/>
  <c r="H740" i="18"/>
  <c r="G740" i="18"/>
  <c r="F740" i="18"/>
  <c r="D740" i="18"/>
  <c r="C740" i="18"/>
  <c r="B740" i="18"/>
  <c r="J739" i="18"/>
  <c r="I739" i="18"/>
  <c r="H739" i="18"/>
  <c r="G739" i="18"/>
  <c r="F739" i="18"/>
  <c r="D739" i="18"/>
  <c r="C739" i="18"/>
  <c r="B739" i="18"/>
  <c r="J738" i="18"/>
  <c r="I738" i="18"/>
  <c r="H738" i="18"/>
  <c r="G738" i="18"/>
  <c r="F738" i="18"/>
  <c r="D738" i="18"/>
  <c r="C738" i="18"/>
  <c r="B738" i="18"/>
  <c r="J737" i="18"/>
  <c r="I737" i="18"/>
  <c r="H737" i="18"/>
  <c r="G737" i="18"/>
  <c r="F737" i="18"/>
  <c r="D737" i="18"/>
  <c r="C737" i="18"/>
  <c r="B737" i="18"/>
  <c r="J736" i="18"/>
  <c r="I736" i="18"/>
  <c r="H736" i="18"/>
  <c r="G736" i="18"/>
  <c r="F736" i="18"/>
  <c r="D736" i="18"/>
  <c r="C736" i="18"/>
  <c r="B736" i="18"/>
  <c r="J735" i="18"/>
  <c r="I735" i="18"/>
  <c r="H735" i="18"/>
  <c r="G735" i="18"/>
  <c r="F735" i="18"/>
  <c r="D735" i="18"/>
  <c r="C735" i="18"/>
  <c r="B735" i="18"/>
  <c r="J734" i="18"/>
  <c r="I734" i="18"/>
  <c r="H734" i="18"/>
  <c r="G734" i="18"/>
  <c r="F734" i="18"/>
  <c r="D734" i="18"/>
  <c r="C734" i="18"/>
  <c r="B734" i="18"/>
  <c r="J733" i="18"/>
  <c r="I733" i="18"/>
  <c r="H733" i="18"/>
  <c r="G733" i="18"/>
  <c r="F733" i="18"/>
  <c r="D733" i="18"/>
  <c r="C733" i="18"/>
  <c r="B733" i="18"/>
  <c r="J732" i="18"/>
  <c r="I732" i="18"/>
  <c r="H732" i="18"/>
  <c r="G732" i="18"/>
  <c r="F732" i="18"/>
  <c r="D732" i="18"/>
  <c r="C732" i="18"/>
  <c r="B732" i="18"/>
  <c r="J731" i="18"/>
  <c r="I731" i="18"/>
  <c r="H731" i="18"/>
  <c r="G731" i="18"/>
  <c r="F731" i="18"/>
  <c r="D731" i="18"/>
  <c r="C731" i="18"/>
  <c r="B731" i="18"/>
  <c r="J730" i="18"/>
  <c r="I730" i="18"/>
  <c r="H730" i="18"/>
  <c r="G730" i="18"/>
  <c r="F730" i="18"/>
  <c r="D730" i="18"/>
  <c r="C730" i="18"/>
  <c r="B730" i="18"/>
  <c r="J729" i="18"/>
  <c r="I729" i="18"/>
  <c r="H729" i="18"/>
  <c r="G729" i="18"/>
  <c r="F729" i="18"/>
  <c r="D729" i="18"/>
  <c r="C729" i="18"/>
  <c r="B729" i="18"/>
  <c r="J728" i="18"/>
  <c r="I728" i="18"/>
  <c r="H728" i="18"/>
  <c r="G728" i="18"/>
  <c r="F728" i="18"/>
  <c r="D728" i="18"/>
  <c r="C728" i="18"/>
  <c r="B728" i="18"/>
  <c r="J727" i="18"/>
  <c r="I727" i="18"/>
  <c r="H727" i="18"/>
  <c r="G727" i="18"/>
  <c r="F727" i="18"/>
  <c r="D727" i="18"/>
  <c r="C727" i="18"/>
  <c r="B727" i="18"/>
  <c r="J726" i="18"/>
  <c r="I726" i="18"/>
  <c r="H726" i="18"/>
  <c r="G726" i="18"/>
  <c r="F726" i="18"/>
  <c r="D726" i="18"/>
  <c r="C726" i="18"/>
  <c r="B726" i="18"/>
  <c r="J725" i="18"/>
  <c r="I725" i="18"/>
  <c r="H725" i="18"/>
  <c r="G725" i="18"/>
  <c r="F725" i="18"/>
  <c r="D725" i="18"/>
  <c r="C725" i="18"/>
  <c r="B725" i="18"/>
  <c r="J724" i="18"/>
  <c r="I724" i="18"/>
  <c r="H724" i="18"/>
  <c r="G724" i="18"/>
  <c r="F724" i="18"/>
  <c r="D724" i="18"/>
  <c r="C724" i="18"/>
  <c r="B724" i="18"/>
  <c r="J723" i="18"/>
  <c r="I723" i="18"/>
  <c r="H723" i="18"/>
  <c r="G723" i="18"/>
  <c r="F723" i="18"/>
  <c r="D723" i="18"/>
  <c r="C723" i="18"/>
  <c r="B723" i="18"/>
  <c r="J722" i="18"/>
  <c r="I722" i="18"/>
  <c r="H722" i="18"/>
  <c r="G722" i="18"/>
  <c r="F722" i="18"/>
  <c r="D722" i="18"/>
  <c r="C722" i="18"/>
  <c r="B722" i="18"/>
  <c r="J721" i="18"/>
  <c r="I721" i="18"/>
  <c r="H721" i="18"/>
  <c r="G721" i="18"/>
  <c r="F721" i="18"/>
  <c r="D721" i="18"/>
  <c r="C721" i="18"/>
  <c r="B721" i="18"/>
  <c r="J720" i="18"/>
  <c r="I720" i="18"/>
  <c r="H720" i="18"/>
  <c r="G720" i="18"/>
  <c r="F720" i="18"/>
  <c r="D720" i="18"/>
  <c r="C720" i="18"/>
  <c r="B720" i="18"/>
  <c r="J719" i="18"/>
  <c r="I719" i="18"/>
  <c r="H719" i="18"/>
  <c r="G719" i="18"/>
  <c r="F719" i="18"/>
  <c r="D719" i="18"/>
  <c r="C719" i="18"/>
  <c r="B719" i="18"/>
  <c r="J718" i="18"/>
  <c r="I718" i="18"/>
  <c r="H718" i="18"/>
  <c r="G718" i="18"/>
  <c r="F718" i="18"/>
  <c r="D718" i="18"/>
  <c r="C718" i="18"/>
  <c r="B718" i="18"/>
  <c r="J717" i="18"/>
  <c r="I717" i="18"/>
  <c r="H717" i="18"/>
  <c r="G717" i="18"/>
  <c r="F717" i="18"/>
  <c r="D717" i="18"/>
  <c r="C717" i="18"/>
  <c r="B717" i="18"/>
  <c r="J716" i="18"/>
  <c r="I716" i="18"/>
  <c r="H716" i="18"/>
  <c r="G716" i="18"/>
  <c r="F716" i="18"/>
  <c r="D716" i="18"/>
  <c r="C716" i="18"/>
  <c r="B716" i="18"/>
  <c r="J715" i="18"/>
  <c r="I715" i="18"/>
  <c r="H715" i="18"/>
  <c r="G715" i="18"/>
  <c r="F715" i="18"/>
  <c r="D715" i="18"/>
  <c r="C715" i="18"/>
  <c r="B715" i="18"/>
  <c r="J714" i="18"/>
  <c r="I714" i="18"/>
  <c r="H714" i="18"/>
  <c r="G714" i="18"/>
  <c r="F714" i="18"/>
  <c r="D714" i="18"/>
  <c r="C714" i="18"/>
  <c r="B714" i="18"/>
  <c r="J713" i="18"/>
  <c r="I713" i="18"/>
  <c r="H713" i="18"/>
  <c r="G713" i="18"/>
  <c r="F713" i="18"/>
  <c r="D713" i="18"/>
  <c r="C713" i="18"/>
  <c r="B713" i="18"/>
  <c r="J712" i="18"/>
  <c r="I712" i="18"/>
  <c r="H712" i="18"/>
  <c r="G712" i="18"/>
  <c r="F712" i="18"/>
  <c r="D712" i="18"/>
  <c r="C712" i="18"/>
  <c r="B712" i="18"/>
  <c r="J711" i="18"/>
  <c r="I711" i="18"/>
  <c r="H711" i="18"/>
  <c r="G711" i="18"/>
  <c r="F711" i="18"/>
  <c r="D711" i="18"/>
  <c r="C711" i="18"/>
  <c r="B711" i="18"/>
  <c r="J710" i="18"/>
  <c r="I710" i="18"/>
  <c r="H710" i="18"/>
  <c r="G710" i="18"/>
  <c r="F710" i="18"/>
  <c r="D710" i="18"/>
  <c r="C710" i="18"/>
  <c r="B710" i="18"/>
  <c r="J709" i="18"/>
  <c r="I709" i="18"/>
  <c r="H709" i="18"/>
  <c r="G709" i="18"/>
  <c r="F709" i="18"/>
  <c r="D709" i="18"/>
  <c r="C709" i="18"/>
  <c r="B709" i="18"/>
  <c r="J708" i="18"/>
  <c r="I708" i="18"/>
  <c r="H708" i="18"/>
  <c r="G708" i="18"/>
  <c r="F708" i="18"/>
  <c r="D708" i="18"/>
  <c r="C708" i="18"/>
  <c r="B708" i="18"/>
  <c r="J707" i="18"/>
  <c r="I707" i="18"/>
  <c r="H707" i="18"/>
  <c r="G707" i="18"/>
  <c r="F707" i="18"/>
  <c r="D707" i="18"/>
  <c r="C707" i="18"/>
  <c r="B707" i="18"/>
  <c r="J706" i="18"/>
  <c r="I706" i="18"/>
  <c r="H706" i="18"/>
  <c r="G706" i="18"/>
  <c r="F706" i="18"/>
  <c r="D706" i="18"/>
  <c r="C706" i="18"/>
  <c r="B706" i="18"/>
  <c r="J705" i="18"/>
  <c r="I705" i="18"/>
  <c r="H705" i="18"/>
  <c r="G705" i="18"/>
  <c r="F705" i="18"/>
  <c r="D705" i="18"/>
  <c r="C705" i="18"/>
  <c r="B705" i="18"/>
  <c r="J704" i="18"/>
  <c r="I704" i="18"/>
  <c r="H704" i="18"/>
  <c r="G704" i="18"/>
  <c r="F704" i="18"/>
  <c r="D704" i="18"/>
  <c r="C704" i="18"/>
  <c r="B704" i="18"/>
  <c r="J703" i="18"/>
  <c r="I703" i="18"/>
  <c r="H703" i="18"/>
  <c r="G703" i="18"/>
  <c r="F703" i="18"/>
  <c r="D703" i="18"/>
  <c r="C703" i="18"/>
  <c r="B703" i="18"/>
  <c r="J702" i="18"/>
  <c r="I702" i="18"/>
  <c r="H702" i="18"/>
  <c r="G702" i="18"/>
  <c r="F702" i="18"/>
  <c r="D702" i="18"/>
  <c r="C702" i="18"/>
  <c r="B702" i="18"/>
  <c r="J701" i="18"/>
  <c r="I701" i="18"/>
  <c r="H701" i="18"/>
  <c r="G701" i="18"/>
  <c r="F701" i="18"/>
  <c r="D701" i="18"/>
  <c r="C701" i="18"/>
  <c r="B701" i="18"/>
  <c r="J700" i="18"/>
  <c r="I700" i="18"/>
  <c r="H700" i="18"/>
  <c r="G700" i="18"/>
  <c r="F700" i="18"/>
  <c r="D700" i="18"/>
  <c r="C700" i="18"/>
  <c r="B700" i="18"/>
  <c r="J699" i="18"/>
  <c r="I699" i="18"/>
  <c r="H699" i="18"/>
  <c r="G699" i="18"/>
  <c r="F699" i="18"/>
  <c r="D699" i="18"/>
  <c r="C699" i="18"/>
  <c r="B699" i="18"/>
  <c r="J698" i="18"/>
  <c r="I698" i="18"/>
  <c r="H698" i="18"/>
  <c r="G698" i="18"/>
  <c r="F698" i="18"/>
  <c r="D698" i="18"/>
  <c r="C698" i="18"/>
  <c r="B698" i="18"/>
  <c r="J697" i="18"/>
  <c r="I697" i="18"/>
  <c r="H697" i="18"/>
  <c r="G697" i="18"/>
  <c r="F697" i="18"/>
  <c r="D697" i="18"/>
  <c r="C697" i="18"/>
  <c r="B697" i="18"/>
  <c r="J696" i="18"/>
  <c r="I696" i="18"/>
  <c r="H696" i="18"/>
  <c r="G696" i="18"/>
  <c r="F696" i="18"/>
  <c r="D696" i="18"/>
  <c r="C696" i="18"/>
  <c r="B696" i="18"/>
  <c r="J695" i="18"/>
  <c r="I695" i="18"/>
  <c r="H695" i="18"/>
  <c r="G695" i="18"/>
  <c r="F695" i="18"/>
  <c r="D695" i="18"/>
  <c r="C695" i="18"/>
  <c r="B695" i="18"/>
  <c r="J694" i="18"/>
  <c r="I694" i="18"/>
  <c r="H694" i="18"/>
  <c r="G694" i="18"/>
  <c r="F694" i="18"/>
  <c r="D694" i="18"/>
  <c r="C694" i="18"/>
  <c r="B694" i="18"/>
  <c r="J693" i="18"/>
  <c r="I693" i="18"/>
  <c r="H693" i="18"/>
  <c r="G693" i="18"/>
  <c r="F693" i="18"/>
  <c r="D693" i="18"/>
  <c r="C693" i="18"/>
  <c r="B693" i="18"/>
  <c r="J692" i="18"/>
  <c r="I692" i="18"/>
  <c r="H692" i="18"/>
  <c r="G692" i="18"/>
  <c r="F692" i="18"/>
  <c r="D692" i="18"/>
  <c r="C692" i="18"/>
  <c r="B692" i="18"/>
  <c r="J691" i="18"/>
  <c r="I691" i="18"/>
  <c r="H691" i="18"/>
  <c r="G691" i="18"/>
  <c r="F691" i="18"/>
  <c r="D691" i="18"/>
  <c r="C691" i="18"/>
  <c r="B691" i="18"/>
  <c r="J690" i="18"/>
  <c r="I690" i="18"/>
  <c r="H690" i="18"/>
  <c r="G690" i="18"/>
  <c r="F690" i="18"/>
  <c r="D690" i="18"/>
  <c r="C690" i="18"/>
  <c r="B690" i="18"/>
  <c r="J689" i="18"/>
  <c r="I689" i="18"/>
  <c r="H689" i="18"/>
  <c r="G689" i="18"/>
  <c r="F689" i="18"/>
  <c r="D689" i="18"/>
  <c r="C689" i="18"/>
  <c r="B689" i="18"/>
  <c r="J688" i="18"/>
  <c r="I688" i="18"/>
  <c r="H688" i="18"/>
  <c r="G688" i="18"/>
  <c r="F688" i="18"/>
  <c r="D688" i="18"/>
  <c r="C688" i="18"/>
  <c r="B688" i="18"/>
  <c r="J687" i="18"/>
  <c r="I687" i="18"/>
  <c r="H687" i="18"/>
  <c r="G687" i="18"/>
  <c r="F687" i="18"/>
  <c r="D687" i="18"/>
  <c r="C687" i="18"/>
  <c r="B687" i="18"/>
  <c r="J686" i="18"/>
  <c r="I686" i="18"/>
  <c r="H686" i="18"/>
  <c r="G686" i="18"/>
  <c r="F686" i="18"/>
  <c r="D686" i="18"/>
  <c r="C686" i="18"/>
  <c r="B686" i="18"/>
  <c r="J685" i="18"/>
  <c r="I685" i="18"/>
  <c r="H685" i="18"/>
  <c r="G685" i="18"/>
  <c r="F685" i="18"/>
  <c r="D685" i="18"/>
  <c r="C685" i="18"/>
  <c r="B685" i="18"/>
  <c r="J684" i="18"/>
  <c r="I684" i="18"/>
  <c r="H684" i="18"/>
  <c r="G684" i="18"/>
  <c r="F684" i="18"/>
  <c r="D684" i="18"/>
  <c r="C684" i="18"/>
  <c r="B684" i="18"/>
  <c r="J683" i="18"/>
  <c r="I683" i="18"/>
  <c r="H683" i="18"/>
  <c r="G683" i="18"/>
  <c r="F683" i="18"/>
  <c r="D683" i="18"/>
  <c r="C683" i="18"/>
  <c r="B683" i="18"/>
  <c r="J682" i="18"/>
  <c r="I682" i="18"/>
  <c r="H682" i="18"/>
  <c r="G682" i="18"/>
  <c r="F682" i="18"/>
  <c r="D682" i="18"/>
  <c r="C682" i="18"/>
  <c r="B682" i="18"/>
  <c r="J681" i="18"/>
  <c r="I681" i="18"/>
  <c r="H681" i="18"/>
  <c r="G681" i="18"/>
  <c r="F681" i="18"/>
  <c r="D681" i="18"/>
  <c r="C681" i="18"/>
  <c r="B681" i="18"/>
  <c r="J680" i="18"/>
  <c r="I680" i="18"/>
  <c r="H680" i="18"/>
  <c r="G680" i="18"/>
  <c r="F680" i="18"/>
  <c r="D680" i="18"/>
  <c r="C680" i="18"/>
  <c r="B680" i="18"/>
  <c r="J679" i="18"/>
  <c r="I679" i="18"/>
  <c r="H679" i="18"/>
  <c r="G679" i="18"/>
  <c r="F679" i="18"/>
  <c r="D679" i="18"/>
  <c r="C679" i="18"/>
  <c r="B679" i="18"/>
  <c r="J678" i="18"/>
  <c r="I678" i="18"/>
  <c r="H678" i="18"/>
  <c r="G678" i="18"/>
  <c r="F678" i="18"/>
  <c r="E678" i="18"/>
  <c r="D678" i="18"/>
  <c r="C678" i="18"/>
  <c r="B678" i="18"/>
  <c r="J677" i="18"/>
  <c r="I677" i="18"/>
  <c r="H677" i="18"/>
  <c r="G677" i="18"/>
  <c r="F677" i="18"/>
  <c r="E677" i="18"/>
  <c r="D677" i="18"/>
  <c r="C677" i="18"/>
  <c r="B677" i="18"/>
  <c r="J676" i="18"/>
  <c r="I676" i="18"/>
  <c r="H676" i="18"/>
  <c r="G676" i="18"/>
  <c r="F676" i="18"/>
  <c r="E676" i="18"/>
  <c r="D676" i="18"/>
  <c r="C676" i="18"/>
  <c r="B676" i="18"/>
  <c r="J675" i="18"/>
  <c r="I675" i="18"/>
  <c r="H675" i="18"/>
  <c r="G675" i="18"/>
  <c r="F675" i="18"/>
  <c r="E675" i="18"/>
  <c r="D675" i="18"/>
  <c r="C675" i="18"/>
  <c r="B675" i="18"/>
  <c r="J674" i="18"/>
  <c r="I674" i="18"/>
  <c r="H674" i="18"/>
  <c r="G674" i="18"/>
  <c r="F674" i="18"/>
  <c r="E674" i="18"/>
  <c r="D674" i="18"/>
  <c r="C674" i="18"/>
  <c r="B674" i="18"/>
  <c r="J673" i="18"/>
  <c r="I673" i="18"/>
  <c r="H673" i="18"/>
  <c r="G673" i="18"/>
  <c r="F673" i="18"/>
  <c r="E673" i="18"/>
  <c r="D673" i="18"/>
  <c r="C673" i="18"/>
  <c r="B673" i="18"/>
  <c r="J672" i="18"/>
  <c r="I672" i="18"/>
  <c r="H672" i="18"/>
  <c r="G672" i="18"/>
  <c r="F672" i="18"/>
  <c r="E672" i="18"/>
  <c r="D672" i="18"/>
  <c r="C672" i="18"/>
  <c r="B672" i="18"/>
  <c r="J671" i="18"/>
  <c r="I671" i="18"/>
  <c r="H671" i="18"/>
  <c r="G671" i="18"/>
  <c r="F671" i="18"/>
  <c r="E671" i="18"/>
  <c r="D671" i="18"/>
  <c r="C671" i="18"/>
  <c r="B671" i="18"/>
  <c r="J670" i="18"/>
  <c r="I670" i="18"/>
  <c r="H670" i="18"/>
  <c r="G670" i="18"/>
  <c r="F670" i="18"/>
  <c r="E670" i="18"/>
  <c r="D670" i="18"/>
  <c r="C670" i="18"/>
  <c r="B670" i="18"/>
  <c r="J669" i="18"/>
  <c r="I669" i="18"/>
  <c r="H669" i="18"/>
  <c r="G669" i="18"/>
  <c r="F669" i="18"/>
  <c r="E669" i="18"/>
  <c r="D669" i="18"/>
  <c r="C669" i="18"/>
  <c r="B669" i="18"/>
  <c r="J668" i="18"/>
  <c r="I668" i="18"/>
  <c r="H668" i="18"/>
  <c r="G668" i="18"/>
  <c r="F668" i="18"/>
  <c r="E668" i="18"/>
  <c r="D668" i="18"/>
  <c r="C668" i="18"/>
  <c r="B668" i="18"/>
  <c r="J667" i="18"/>
  <c r="I667" i="18"/>
  <c r="H667" i="18"/>
  <c r="G667" i="18"/>
  <c r="F667" i="18"/>
  <c r="E667" i="18"/>
  <c r="D667" i="18"/>
  <c r="C667" i="18"/>
  <c r="B667" i="18"/>
  <c r="J666" i="18"/>
  <c r="I666" i="18"/>
  <c r="H666" i="18"/>
  <c r="G666" i="18"/>
  <c r="F666" i="18"/>
  <c r="E666" i="18"/>
  <c r="D666" i="18"/>
  <c r="C666" i="18"/>
  <c r="B666" i="18"/>
  <c r="J665" i="18"/>
  <c r="I665" i="18"/>
  <c r="H665" i="18"/>
  <c r="G665" i="18"/>
  <c r="F665" i="18"/>
  <c r="E665" i="18"/>
  <c r="D665" i="18"/>
  <c r="C665" i="18"/>
  <c r="B665" i="18"/>
  <c r="J664" i="18"/>
  <c r="I664" i="18"/>
  <c r="H664" i="18"/>
  <c r="G664" i="18"/>
  <c r="F664" i="18"/>
  <c r="E664" i="18"/>
  <c r="D664" i="18"/>
  <c r="C664" i="18"/>
  <c r="B664" i="18"/>
  <c r="J663" i="18"/>
  <c r="I663" i="18"/>
  <c r="H663" i="18"/>
  <c r="G663" i="18"/>
  <c r="F663" i="18"/>
  <c r="E663" i="18"/>
  <c r="D663" i="18"/>
  <c r="C663" i="18"/>
  <c r="B663" i="18"/>
  <c r="J662" i="18"/>
  <c r="I662" i="18"/>
  <c r="H662" i="18"/>
  <c r="G662" i="18"/>
  <c r="F662" i="18"/>
  <c r="E662" i="18"/>
  <c r="D662" i="18"/>
  <c r="C662" i="18"/>
  <c r="B662" i="18"/>
  <c r="J661" i="18"/>
  <c r="I661" i="18"/>
  <c r="H661" i="18"/>
  <c r="G661" i="18"/>
  <c r="F661" i="18"/>
  <c r="E661" i="18"/>
  <c r="D661" i="18"/>
  <c r="C661" i="18"/>
  <c r="B661" i="18"/>
  <c r="J660" i="18"/>
  <c r="I660" i="18"/>
  <c r="H660" i="18"/>
  <c r="G660" i="18"/>
  <c r="F660" i="18"/>
  <c r="E660" i="18"/>
  <c r="D660" i="18"/>
  <c r="C660" i="18"/>
  <c r="B660" i="18"/>
  <c r="J659" i="18"/>
  <c r="I659" i="18"/>
  <c r="H659" i="18"/>
  <c r="G659" i="18"/>
  <c r="F659" i="18"/>
  <c r="E659" i="18"/>
  <c r="D659" i="18"/>
  <c r="C659" i="18"/>
  <c r="B659" i="18"/>
  <c r="J658" i="18"/>
  <c r="I658" i="18"/>
  <c r="H658" i="18"/>
  <c r="G658" i="18"/>
  <c r="F658" i="18"/>
  <c r="E658" i="18"/>
  <c r="D658" i="18"/>
  <c r="C658" i="18"/>
  <c r="B658" i="18"/>
  <c r="J657" i="18"/>
  <c r="I657" i="18"/>
  <c r="H657" i="18"/>
  <c r="G657" i="18"/>
  <c r="F657" i="18"/>
  <c r="E657" i="18"/>
  <c r="D657" i="18"/>
  <c r="C657" i="18"/>
  <c r="B657" i="18"/>
  <c r="J656" i="18"/>
  <c r="I656" i="18"/>
  <c r="H656" i="18"/>
  <c r="G656" i="18"/>
  <c r="F656" i="18"/>
  <c r="E656" i="18"/>
  <c r="D656" i="18"/>
  <c r="C656" i="18"/>
  <c r="B656" i="18"/>
  <c r="J655" i="18"/>
  <c r="I655" i="18"/>
  <c r="H655" i="18"/>
  <c r="G655" i="18"/>
  <c r="F655" i="18"/>
  <c r="E655" i="18"/>
  <c r="D655" i="18"/>
  <c r="C655" i="18"/>
  <c r="B655" i="18"/>
  <c r="J654" i="18"/>
  <c r="I654" i="18"/>
  <c r="H654" i="18"/>
  <c r="G654" i="18"/>
  <c r="F654" i="18"/>
  <c r="E654" i="18"/>
  <c r="D654" i="18"/>
  <c r="C654" i="18"/>
  <c r="B654" i="18"/>
  <c r="J653" i="18"/>
  <c r="I653" i="18"/>
  <c r="H653" i="18"/>
  <c r="G653" i="18"/>
  <c r="F653" i="18"/>
  <c r="E653" i="18"/>
  <c r="D653" i="18"/>
  <c r="C653" i="18"/>
  <c r="B653" i="18"/>
  <c r="J652" i="18"/>
  <c r="I652" i="18"/>
  <c r="H652" i="18"/>
  <c r="G652" i="18"/>
  <c r="F652" i="18"/>
  <c r="E652" i="18"/>
  <c r="D652" i="18"/>
  <c r="C652" i="18"/>
  <c r="B652" i="18"/>
  <c r="J651" i="18"/>
  <c r="I651" i="18"/>
  <c r="H651" i="18"/>
  <c r="G651" i="18"/>
  <c r="F651" i="18"/>
  <c r="E651" i="18"/>
  <c r="D651" i="18"/>
  <c r="C651" i="18"/>
  <c r="B651" i="18"/>
  <c r="J650" i="18"/>
  <c r="I650" i="18"/>
  <c r="H650" i="18"/>
  <c r="G650" i="18"/>
  <c r="F650" i="18"/>
  <c r="E650" i="18"/>
  <c r="D650" i="18"/>
  <c r="C650" i="18"/>
  <c r="B650" i="18"/>
  <c r="J649" i="18"/>
  <c r="I649" i="18"/>
  <c r="H649" i="18"/>
  <c r="G649" i="18"/>
  <c r="F649" i="18"/>
  <c r="E649" i="18"/>
  <c r="D649" i="18"/>
  <c r="C649" i="18"/>
  <c r="B649" i="18"/>
  <c r="J648" i="18"/>
  <c r="I648" i="18"/>
  <c r="H648" i="18"/>
  <c r="G648" i="18"/>
  <c r="F648" i="18"/>
  <c r="E648" i="18"/>
  <c r="D648" i="18"/>
  <c r="C648" i="18"/>
  <c r="B648" i="18"/>
  <c r="J647" i="18"/>
  <c r="I647" i="18"/>
  <c r="H647" i="18"/>
  <c r="G647" i="18"/>
  <c r="F647" i="18"/>
  <c r="E647" i="18"/>
  <c r="D647" i="18"/>
  <c r="C647" i="18"/>
  <c r="B647" i="18"/>
  <c r="J646" i="18"/>
  <c r="I646" i="18"/>
  <c r="H646" i="18"/>
  <c r="G646" i="18"/>
  <c r="F646" i="18"/>
  <c r="E646" i="18"/>
  <c r="D646" i="18"/>
  <c r="C646" i="18"/>
  <c r="B646" i="18"/>
  <c r="J645" i="18"/>
  <c r="I645" i="18"/>
  <c r="H645" i="18"/>
  <c r="G645" i="18"/>
  <c r="F645" i="18"/>
  <c r="E645" i="18"/>
  <c r="D645" i="18"/>
  <c r="C645" i="18"/>
  <c r="B645" i="18"/>
  <c r="J644" i="18"/>
  <c r="I644" i="18"/>
  <c r="H644" i="18"/>
  <c r="G644" i="18"/>
  <c r="F644" i="18"/>
  <c r="E644" i="18"/>
  <c r="D644" i="18"/>
  <c r="C644" i="18"/>
  <c r="B644" i="18"/>
  <c r="J643" i="18"/>
  <c r="I643" i="18"/>
  <c r="H643" i="18"/>
  <c r="G643" i="18"/>
  <c r="F643" i="18"/>
  <c r="E643" i="18"/>
  <c r="D643" i="18"/>
  <c r="C643" i="18"/>
  <c r="B643" i="18"/>
  <c r="J642" i="18"/>
  <c r="I642" i="18"/>
  <c r="H642" i="18"/>
  <c r="G642" i="18"/>
  <c r="F642" i="18"/>
  <c r="E642" i="18"/>
  <c r="D642" i="18"/>
  <c r="C642" i="18"/>
  <c r="B642" i="18"/>
  <c r="J641" i="18"/>
  <c r="I641" i="18"/>
  <c r="H641" i="18"/>
  <c r="G641" i="18"/>
  <c r="F641" i="18"/>
  <c r="E641" i="18"/>
  <c r="D641" i="18"/>
  <c r="C641" i="18"/>
  <c r="B641" i="18"/>
  <c r="J640" i="18"/>
  <c r="I640" i="18"/>
  <c r="H640" i="18"/>
  <c r="G640" i="18"/>
  <c r="F640" i="18"/>
  <c r="E640" i="18"/>
  <c r="D640" i="18"/>
  <c r="C640" i="18"/>
  <c r="B640" i="18"/>
  <c r="J639" i="18"/>
  <c r="I639" i="18"/>
  <c r="H639" i="18"/>
  <c r="G639" i="18"/>
  <c r="F639" i="18"/>
  <c r="E639" i="18"/>
  <c r="D639" i="18"/>
  <c r="C639" i="18"/>
  <c r="B639" i="18"/>
  <c r="J638" i="18"/>
  <c r="I638" i="18"/>
  <c r="H638" i="18"/>
  <c r="G638" i="18"/>
  <c r="F638" i="18"/>
  <c r="E638" i="18"/>
  <c r="D638" i="18"/>
  <c r="C638" i="18"/>
  <c r="B638" i="18"/>
  <c r="J637" i="18"/>
  <c r="I637" i="18"/>
  <c r="H637" i="18"/>
  <c r="G637" i="18"/>
  <c r="F637" i="18"/>
  <c r="E637" i="18"/>
  <c r="D637" i="18"/>
  <c r="C637" i="18"/>
  <c r="B637" i="18"/>
  <c r="J636" i="18"/>
  <c r="I636" i="18"/>
  <c r="H636" i="18"/>
  <c r="G636" i="18"/>
  <c r="F636" i="18"/>
  <c r="E636" i="18"/>
  <c r="D636" i="18"/>
  <c r="C636" i="18"/>
  <c r="B636" i="18"/>
  <c r="J635" i="18"/>
  <c r="I635" i="18"/>
  <c r="H635" i="18"/>
  <c r="G635" i="18"/>
  <c r="F635" i="18"/>
  <c r="E635" i="18"/>
  <c r="D635" i="18"/>
  <c r="C635" i="18"/>
  <c r="B635" i="18"/>
  <c r="J634" i="18"/>
  <c r="I634" i="18"/>
  <c r="H634" i="18"/>
  <c r="G634" i="18"/>
  <c r="F634" i="18"/>
  <c r="E634" i="18"/>
  <c r="D634" i="18"/>
  <c r="C634" i="18"/>
  <c r="B634" i="18"/>
  <c r="J633" i="18"/>
  <c r="I633" i="18"/>
  <c r="H633" i="18"/>
  <c r="G633" i="18"/>
  <c r="F633" i="18"/>
  <c r="E633" i="18"/>
  <c r="D633" i="18"/>
  <c r="C633" i="18"/>
  <c r="B633" i="18"/>
  <c r="J632" i="18"/>
  <c r="I632" i="18"/>
  <c r="H632" i="18"/>
  <c r="G632" i="18"/>
  <c r="F632" i="18"/>
  <c r="E632" i="18"/>
  <c r="D632" i="18"/>
  <c r="C632" i="18"/>
  <c r="B632" i="18"/>
  <c r="J631" i="18"/>
  <c r="I631" i="18"/>
  <c r="H631" i="18"/>
  <c r="G631" i="18"/>
  <c r="F631" i="18"/>
  <c r="E631" i="18"/>
  <c r="D631" i="18"/>
  <c r="C631" i="18"/>
  <c r="B631" i="18"/>
  <c r="J630" i="18"/>
  <c r="I630" i="18"/>
  <c r="H630" i="18"/>
  <c r="G630" i="18"/>
  <c r="F630" i="18"/>
  <c r="E630" i="18"/>
  <c r="D630" i="18"/>
  <c r="C630" i="18"/>
  <c r="B630" i="18"/>
  <c r="J629" i="18"/>
  <c r="I629" i="18"/>
  <c r="H629" i="18"/>
  <c r="G629" i="18"/>
  <c r="F629" i="18"/>
  <c r="E629" i="18"/>
  <c r="D629" i="18"/>
  <c r="C629" i="18"/>
  <c r="B629" i="18"/>
  <c r="J628" i="18"/>
  <c r="I628" i="18"/>
  <c r="H628" i="18"/>
  <c r="G628" i="18"/>
  <c r="F628" i="18"/>
  <c r="E628" i="18"/>
  <c r="D628" i="18"/>
  <c r="C628" i="18"/>
  <c r="B628" i="18"/>
  <c r="J627" i="18"/>
  <c r="I627" i="18"/>
  <c r="H627" i="18"/>
  <c r="G627" i="18"/>
  <c r="F627" i="18"/>
  <c r="E627" i="18"/>
  <c r="D627" i="18"/>
  <c r="C627" i="18"/>
  <c r="B627" i="18"/>
  <c r="J626" i="18"/>
  <c r="I626" i="18"/>
  <c r="H626" i="18"/>
  <c r="G626" i="18"/>
  <c r="F626" i="18"/>
  <c r="E626" i="18"/>
  <c r="D626" i="18"/>
  <c r="C626" i="18"/>
  <c r="B626" i="18"/>
  <c r="J625" i="18"/>
  <c r="I625" i="18"/>
  <c r="H625" i="18"/>
  <c r="G625" i="18"/>
  <c r="F625" i="18"/>
  <c r="E625" i="18"/>
  <c r="D625" i="18"/>
  <c r="C625" i="18"/>
  <c r="B625" i="18"/>
  <c r="J624" i="18"/>
  <c r="I624" i="18"/>
  <c r="H624" i="18"/>
  <c r="G624" i="18"/>
  <c r="F624" i="18"/>
  <c r="E624" i="18"/>
  <c r="D624" i="18"/>
  <c r="C624" i="18"/>
  <c r="B624" i="18"/>
  <c r="J623" i="18"/>
  <c r="I623" i="18"/>
  <c r="H623" i="18"/>
  <c r="G623" i="18"/>
  <c r="F623" i="18"/>
  <c r="E623" i="18"/>
  <c r="D623" i="18"/>
  <c r="C623" i="18"/>
  <c r="B623" i="18"/>
  <c r="J622" i="18"/>
  <c r="I622" i="18"/>
  <c r="H622" i="18"/>
  <c r="G622" i="18"/>
  <c r="F622" i="18"/>
  <c r="E622" i="18"/>
  <c r="D622" i="18"/>
  <c r="C622" i="18"/>
  <c r="B622" i="18"/>
  <c r="J621" i="18"/>
  <c r="I621" i="18"/>
  <c r="H621" i="18"/>
  <c r="G621" i="18"/>
  <c r="F621" i="18"/>
  <c r="E621" i="18"/>
  <c r="D621" i="18"/>
  <c r="C621" i="18"/>
  <c r="B621" i="18"/>
  <c r="J620" i="18"/>
  <c r="I620" i="18"/>
  <c r="H620" i="18"/>
  <c r="G620" i="18"/>
  <c r="F620" i="18"/>
  <c r="E620" i="18"/>
  <c r="D620" i="18"/>
  <c r="C620" i="18"/>
  <c r="B620" i="18"/>
  <c r="J619" i="18"/>
  <c r="I619" i="18"/>
  <c r="H619" i="18"/>
  <c r="G619" i="18"/>
  <c r="F619" i="18"/>
  <c r="E619" i="18"/>
  <c r="D619" i="18"/>
  <c r="C619" i="18"/>
  <c r="B619" i="18"/>
  <c r="J618" i="18"/>
  <c r="I618" i="18"/>
  <c r="H618" i="18"/>
  <c r="G618" i="18"/>
  <c r="F618" i="18"/>
  <c r="E618" i="18"/>
  <c r="D618" i="18"/>
  <c r="C618" i="18"/>
  <c r="B618" i="18"/>
  <c r="J617" i="18"/>
  <c r="I617" i="18"/>
  <c r="H617" i="18"/>
  <c r="G617" i="18"/>
  <c r="F617" i="18"/>
  <c r="E617" i="18"/>
  <c r="D617" i="18"/>
  <c r="C617" i="18"/>
  <c r="B617" i="18"/>
  <c r="J616" i="18"/>
  <c r="I616" i="18"/>
  <c r="H616" i="18"/>
  <c r="G616" i="18"/>
  <c r="F616" i="18"/>
  <c r="E616" i="18"/>
  <c r="D616" i="18"/>
  <c r="C616" i="18"/>
  <c r="B616" i="18"/>
  <c r="J615" i="18"/>
  <c r="I615" i="18"/>
  <c r="H615" i="18"/>
  <c r="G615" i="18"/>
  <c r="F615" i="18"/>
  <c r="E615" i="18"/>
  <c r="D615" i="18"/>
  <c r="C615" i="18"/>
  <c r="B615" i="18"/>
  <c r="J614" i="18"/>
  <c r="I614" i="18"/>
  <c r="H614" i="18"/>
  <c r="G614" i="18"/>
  <c r="F614" i="18"/>
  <c r="E614" i="18"/>
  <c r="D614" i="18"/>
  <c r="C614" i="18"/>
  <c r="B614" i="18"/>
  <c r="J613" i="18"/>
  <c r="I613" i="18"/>
  <c r="H613" i="18"/>
  <c r="G613" i="18"/>
  <c r="F613" i="18"/>
  <c r="E613" i="18"/>
  <c r="D613" i="18"/>
  <c r="C613" i="18"/>
  <c r="B613" i="18"/>
  <c r="J612" i="18"/>
  <c r="I612" i="18"/>
  <c r="H612" i="18"/>
  <c r="G612" i="18"/>
  <c r="F612" i="18"/>
  <c r="E612" i="18"/>
  <c r="D612" i="18"/>
  <c r="C612" i="18"/>
  <c r="B612" i="18"/>
  <c r="J611" i="18"/>
  <c r="I611" i="18"/>
  <c r="H611" i="18"/>
  <c r="G611" i="18"/>
  <c r="F611" i="18"/>
  <c r="E611" i="18"/>
  <c r="D611" i="18"/>
  <c r="C611" i="18"/>
  <c r="B611" i="18"/>
  <c r="J610" i="18"/>
  <c r="I610" i="18"/>
  <c r="H610" i="18"/>
  <c r="G610" i="18"/>
  <c r="F610" i="18"/>
  <c r="E610" i="18"/>
  <c r="D610" i="18"/>
  <c r="C610" i="18"/>
  <c r="B610" i="18"/>
  <c r="J609" i="18"/>
  <c r="I609" i="18"/>
  <c r="H609" i="18"/>
  <c r="G609" i="18"/>
  <c r="F609" i="18"/>
  <c r="E609" i="18"/>
  <c r="D609" i="18"/>
  <c r="C609" i="18"/>
  <c r="B609" i="18"/>
  <c r="J608" i="18"/>
  <c r="I608" i="18"/>
  <c r="H608" i="18"/>
  <c r="G608" i="18"/>
  <c r="F608" i="18"/>
  <c r="E608" i="18"/>
  <c r="D608" i="18"/>
  <c r="C608" i="18"/>
  <c r="B608" i="18"/>
  <c r="J607" i="18"/>
  <c r="I607" i="18"/>
  <c r="H607" i="18"/>
  <c r="G607" i="18"/>
  <c r="F607" i="18"/>
  <c r="E607" i="18"/>
  <c r="D607" i="18"/>
  <c r="C607" i="18"/>
  <c r="B607" i="18"/>
  <c r="J606" i="18"/>
  <c r="I606" i="18"/>
  <c r="H606" i="18"/>
  <c r="G606" i="18"/>
  <c r="F606" i="18"/>
  <c r="E606" i="18"/>
  <c r="D606" i="18"/>
  <c r="C606" i="18"/>
  <c r="B606" i="18"/>
  <c r="J605" i="18"/>
  <c r="I605" i="18"/>
  <c r="H605" i="18"/>
  <c r="G605" i="18"/>
  <c r="F605" i="18"/>
  <c r="E605" i="18"/>
  <c r="D605" i="18"/>
  <c r="C605" i="18"/>
  <c r="B605" i="18"/>
  <c r="J604" i="18"/>
  <c r="I604" i="18"/>
  <c r="H604" i="18"/>
  <c r="G604" i="18"/>
  <c r="F604" i="18"/>
  <c r="E604" i="18"/>
  <c r="D604" i="18"/>
  <c r="C604" i="18"/>
  <c r="B604" i="18"/>
  <c r="J603" i="18"/>
  <c r="I603" i="18"/>
  <c r="H603" i="18"/>
  <c r="G603" i="18"/>
  <c r="F603" i="18"/>
  <c r="E603" i="18"/>
  <c r="D603" i="18"/>
  <c r="C603" i="18"/>
  <c r="B603" i="18"/>
  <c r="J602" i="18"/>
  <c r="I602" i="18"/>
  <c r="H602" i="18"/>
  <c r="G602" i="18"/>
  <c r="F602" i="18"/>
  <c r="E602" i="18"/>
  <c r="D602" i="18"/>
  <c r="C602" i="18"/>
  <c r="B602" i="18"/>
  <c r="J601" i="18"/>
  <c r="I601" i="18"/>
  <c r="H601" i="18"/>
  <c r="G601" i="18"/>
  <c r="F601" i="18"/>
  <c r="E601" i="18"/>
  <c r="D601" i="18"/>
  <c r="C601" i="18"/>
  <c r="B601" i="18"/>
  <c r="J600" i="18"/>
  <c r="I600" i="18"/>
  <c r="H600" i="18"/>
  <c r="G600" i="18"/>
  <c r="F600" i="18"/>
  <c r="E600" i="18"/>
  <c r="D600" i="18"/>
  <c r="C600" i="18"/>
  <c r="B600" i="18"/>
  <c r="J599" i="18"/>
  <c r="I599" i="18"/>
  <c r="H599" i="18"/>
  <c r="G599" i="18"/>
  <c r="F599" i="18"/>
  <c r="E599" i="18"/>
  <c r="D599" i="18"/>
  <c r="C599" i="18"/>
  <c r="B599" i="18"/>
  <c r="J598" i="18"/>
  <c r="I598" i="18"/>
  <c r="H598" i="18"/>
  <c r="G598" i="18"/>
  <c r="F598" i="18"/>
  <c r="E598" i="18"/>
  <c r="D598" i="18"/>
  <c r="C598" i="18"/>
  <c r="B598" i="18"/>
  <c r="J597" i="18"/>
  <c r="I597" i="18"/>
  <c r="H597" i="18"/>
  <c r="G597" i="18"/>
  <c r="F597" i="18"/>
  <c r="E597" i="18"/>
  <c r="D597" i="18"/>
  <c r="C597" i="18"/>
  <c r="B597" i="18"/>
  <c r="J596" i="18"/>
  <c r="I596" i="18"/>
  <c r="H596" i="18"/>
  <c r="G596" i="18"/>
  <c r="F596" i="18"/>
  <c r="E596" i="18"/>
  <c r="D596" i="18"/>
  <c r="C596" i="18"/>
  <c r="B596" i="18"/>
  <c r="J595" i="18"/>
  <c r="I595" i="18"/>
  <c r="H595" i="18"/>
  <c r="G595" i="18"/>
  <c r="F595" i="18"/>
  <c r="E595" i="18"/>
  <c r="D595" i="18"/>
  <c r="C595" i="18"/>
  <c r="B595" i="18"/>
  <c r="F813" i="20"/>
  <c r="G813" i="20"/>
  <c r="H813" i="20"/>
  <c r="I813" i="20"/>
  <c r="J813" i="20"/>
  <c r="F814" i="20"/>
  <c r="G814" i="20"/>
  <c r="H814" i="20"/>
  <c r="I814" i="20"/>
  <c r="J814"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96" i="20"/>
  <c r="G896" i="20"/>
  <c r="H896" i="20"/>
  <c r="I896" i="20"/>
  <c r="J896"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1064" i="20"/>
  <c r="G1064" i="20"/>
  <c r="H1064" i="20"/>
  <c r="I1064" i="20"/>
  <c r="J1064" i="20"/>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C97" i="25"/>
  <c r="C98" i="25"/>
  <c r="C99" i="25"/>
  <c r="C100" i="25"/>
  <c r="G744" i="50"/>
  <c r="G745" i="50"/>
  <c r="G746" i="50"/>
  <c r="G747" i="50"/>
  <c r="G748" i="50"/>
  <c r="G749" i="50"/>
  <c r="G750" i="50"/>
  <c r="G751" i="50"/>
  <c r="G752" i="50"/>
  <c r="G754" i="50"/>
  <c r="G755" i="50"/>
  <c r="G756" i="50"/>
  <c r="G753" i="50"/>
  <c r="F745" i="50"/>
  <c r="F746" i="50"/>
  <c r="F747" i="50"/>
  <c r="F748" i="50"/>
  <c r="F749" i="50"/>
  <c r="F750" i="50"/>
  <c r="F751" i="50"/>
  <c r="F752" i="50"/>
  <c r="F753" i="50"/>
  <c r="F754" i="50"/>
  <c r="F755" i="50"/>
  <c r="F756" i="50"/>
  <c r="F744" i="50"/>
  <c r="Z3" i="13"/>
  <c r="Z4" i="13"/>
  <c r="Z5" i="13"/>
  <c r="Z2" i="13"/>
  <c r="Y3" i="13"/>
  <c r="Y4" i="13"/>
  <c r="Y2" i="13"/>
  <c r="X3" i="13"/>
  <c r="X2" i="13"/>
  <c r="F1300" i="19"/>
  <c r="E1300" i="19"/>
  <c r="D1300" i="19"/>
  <c r="C1300" i="19"/>
  <c r="B1300" i="19"/>
  <c r="A1300" i="19"/>
  <c r="G1299" i="19"/>
  <c r="F1299" i="19"/>
  <c r="E1299" i="19"/>
  <c r="D1299" i="19"/>
  <c r="C1299" i="19"/>
  <c r="B1299" i="19"/>
  <c r="A1299" i="19"/>
  <c r="M1298" i="19"/>
  <c r="L1298" i="19"/>
  <c r="K1298" i="19"/>
  <c r="J1298" i="19"/>
  <c r="I1298" i="19"/>
  <c r="H1298" i="19"/>
  <c r="G1298" i="19"/>
  <c r="F1298" i="19"/>
  <c r="E1298" i="19"/>
  <c r="D1298" i="19"/>
  <c r="C1298" i="19"/>
  <c r="B1298" i="19"/>
  <c r="A1298" i="19"/>
  <c r="G1297" i="19"/>
  <c r="F1297" i="19"/>
  <c r="E1297" i="19"/>
  <c r="D1297" i="19"/>
  <c r="C1297" i="19"/>
  <c r="B1297" i="19"/>
  <c r="A1297" i="19"/>
  <c r="M1296" i="19"/>
  <c r="L1296" i="19"/>
  <c r="K1296" i="19"/>
  <c r="J1296" i="19"/>
  <c r="I1296" i="19"/>
  <c r="H1296" i="19"/>
  <c r="G1296" i="19"/>
  <c r="F1296" i="19"/>
  <c r="E1296" i="19"/>
  <c r="D1296" i="19"/>
  <c r="C1296" i="19"/>
  <c r="B1296" i="19"/>
  <c r="A1296" i="19"/>
  <c r="G1295" i="19"/>
  <c r="F1295" i="19"/>
  <c r="E1295" i="19"/>
  <c r="D1295" i="19"/>
  <c r="C1295" i="19"/>
  <c r="B1295" i="19"/>
  <c r="A1295" i="19"/>
  <c r="M1294" i="19"/>
  <c r="L1294" i="19"/>
  <c r="K1294" i="19"/>
  <c r="J1294" i="19"/>
  <c r="I1294" i="19"/>
  <c r="H1294" i="19"/>
  <c r="G1294" i="19"/>
  <c r="F1294" i="19"/>
  <c r="E1294" i="19"/>
  <c r="D1294" i="19"/>
  <c r="C1294" i="19"/>
  <c r="B1294" i="19"/>
  <c r="A1294" i="19"/>
  <c r="G1293" i="19"/>
  <c r="F1293" i="19"/>
  <c r="E1293" i="19"/>
  <c r="D1293" i="19"/>
  <c r="C1293" i="19"/>
  <c r="B1293" i="19"/>
  <c r="A1293" i="19"/>
  <c r="M1292" i="19"/>
  <c r="L1292" i="19"/>
  <c r="K1292" i="19"/>
  <c r="J1292" i="19"/>
  <c r="I1292" i="19"/>
  <c r="H1292" i="19"/>
  <c r="G1292" i="19"/>
  <c r="F1292" i="19"/>
  <c r="E1292" i="19"/>
  <c r="D1292" i="19"/>
  <c r="C1292" i="19"/>
  <c r="B1292" i="19"/>
  <c r="A1292" i="19"/>
  <c r="G1291" i="19"/>
  <c r="F1291" i="19"/>
  <c r="E1291" i="19"/>
  <c r="D1291" i="19"/>
  <c r="C1291" i="19"/>
  <c r="B1291" i="19"/>
  <c r="A1291" i="19"/>
  <c r="M1290" i="19"/>
  <c r="L1290" i="19"/>
  <c r="K1290" i="19"/>
  <c r="J1290" i="19"/>
  <c r="I1290" i="19"/>
  <c r="H1290" i="19"/>
  <c r="G1290" i="19"/>
  <c r="F1290" i="19"/>
  <c r="E1290" i="19"/>
  <c r="D1290" i="19"/>
  <c r="C1290" i="19"/>
  <c r="B1290" i="19"/>
  <c r="A1290" i="19"/>
  <c r="M1289" i="19"/>
  <c r="L1289" i="19"/>
  <c r="K1289" i="19"/>
  <c r="J1289" i="19"/>
  <c r="I1289" i="19"/>
  <c r="H1289" i="19"/>
  <c r="G1289" i="19"/>
  <c r="F1289" i="19"/>
  <c r="E1289" i="19"/>
  <c r="D1289" i="19"/>
  <c r="C1289" i="19"/>
  <c r="B1289" i="19"/>
  <c r="A1289" i="19"/>
  <c r="M1288" i="19"/>
  <c r="L1288" i="19"/>
  <c r="K1288" i="19"/>
  <c r="J1288" i="19"/>
  <c r="I1288" i="19"/>
  <c r="H1288" i="19"/>
  <c r="G1288" i="19"/>
  <c r="F1288" i="19"/>
  <c r="E1288" i="19"/>
  <c r="D1288" i="19"/>
  <c r="C1288" i="19"/>
  <c r="B1288" i="19"/>
  <c r="A1288" i="19"/>
  <c r="M1287" i="19"/>
  <c r="L1287" i="19"/>
  <c r="K1287" i="19"/>
  <c r="J1287" i="19"/>
  <c r="I1287" i="19"/>
  <c r="H1287" i="19"/>
  <c r="G1287" i="19"/>
  <c r="F1287" i="19"/>
  <c r="E1287" i="19"/>
  <c r="D1287" i="19"/>
  <c r="C1287" i="19"/>
  <c r="B1287" i="19"/>
  <c r="A1287" i="19"/>
  <c r="M1286" i="19"/>
  <c r="L1286" i="19"/>
  <c r="K1286" i="19"/>
  <c r="J1286" i="19"/>
  <c r="I1286" i="19"/>
  <c r="H1286" i="19"/>
  <c r="G1286" i="19"/>
  <c r="F1286" i="19"/>
  <c r="E1286" i="19"/>
  <c r="D1286" i="19"/>
  <c r="C1286" i="19"/>
  <c r="B1286" i="19"/>
  <c r="A1286" i="19"/>
  <c r="M1285" i="19"/>
  <c r="L1285" i="19"/>
  <c r="K1285" i="19"/>
  <c r="J1285" i="19"/>
  <c r="I1285" i="19"/>
  <c r="H1285" i="19"/>
  <c r="G1285" i="19"/>
  <c r="F1285" i="19"/>
  <c r="E1285" i="19"/>
  <c r="D1285" i="19"/>
  <c r="C1285" i="19"/>
  <c r="B1285" i="19"/>
  <c r="A1285" i="19"/>
  <c r="H1301" i="19"/>
  <c r="I1301" i="19"/>
  <c r="J1301" i="19"/>
  <c r="K1301" i="19"/>
  <c r="L1301" i="19"/>
  <c r="M1301" i="19"/>
  <c r="H1303" i="19"/>
  <c r="I1303" i="19"/>
  <c r="J1303" i="19"/>
  <c r="K1303" i="19"/>
  <c r="L1303" i="19"/>
  <c r="M1303" i="19"/>
  <c r="H1305" i="19"/>
  <c r="I1305" i="19"/>
  <c r="J1305" i="19"/>
  <c r="K1305" i="19"/>
  <c r="L1305" i="19"/>
  <c r="M1305" i="19"/>
  <c r="H1307" i="19"/>
  <c r="I1307" i="19"/>
  <c r="J1307" i="19"/>
  <c r="K1307" i="19"/>
  <c r="L1307" i="19"/>
  <c r="M1307" i="19"/>
  <c r="H1309" i="19"/>
  <c r="I1309" i="19"/>
  <c r="J1309" i="19"/>
  <c r="K1309" i="19"/>
  <c r="L1309" i="19"/>
  <c r="M1309" i="19"/>
  <c r="I1284" i="19"/>
  <c r="J1284" i="19"/>
  <c r="K1284" i="19"/>
  <c r="L1284" i="19"/>
  <c r="M1284" i="19"/>
  <c r="H1284" i="19"/>
  <c r="N1275" i="19"/>
  <c r="H1276" i="19"/>
  <c r="I1276" i="19"/>
  <c r="J1276" i="19"/>
  <c r="K1276" i="19"/>
  <c r="L1276" i="19"/>
  <c r="M1276" i="19"/>
  <c r="H1278" i="19"/>
  <c r="I1278" i="19"/>
  <c r="J1278" i="19"/>
  <c r="K1278" i="19"/>
  <c r="L1278" i="19"/>
  <c r="M1278" i="19"/>
  <c r="H1279" i="19"/>
  <c r="I1279" i="19"/>
  <c r="J1279" i="19"/>
  <c r="K1279" i="19"/>
  <c r="L1279" i="19"/>
  <c r="M1279" i="19"/>
  <c r="H1280" i="19"/>
  <c r="I1280" i="19"/>
  <c r="J1280" i="19"/>
  <c r="K1280" i="19"/>
  <c r="L1280" i="19"/>
  <c r="M1280" i="19"/>
  <c r="A1308" i="19"/>
  <c r="B1308" i="19"/>
  <c r="C1308" i="19"/>
  <c r="D1308" i="19"/>
  <c r="E1308" i="19"/>
  <c r="F1308" i="19"/>
  <c r="A1309" i="19"/>
  <c r="B1309" i="19"/>
  <c r="C1309" i="19"/>
  <c r="D1309" i="19"/>
  <c r="E1309" i="19"/>
  <c r="F1309" i="19"/>
  <c r="G1309" i="19"/>
  <c r="A1310" i="19"/>
  <c r="B1310" i="19"/>
  <c r="C1310" i="19"/>
  <c r="D1310" i="19"/>
  <c r="E1310" i="19"/>
  <c r="F1310" i="19"/>
  <c r="A1304" i="19"/>
  <c r="B1304" i="19"/>
  <c r="C1304" i="19"/>
  <c r="D1304" i="19"/>
  <c r="E1304" i="19"/>
  <c r="F1304" i="19"/>
  <c r="A1305" i="19"/>
  <c r="B1305" i="19"/>
  <c r="C1305" i="19"/>
  <c r="D1305" i="19"/>
  <c r="E1305" i="19"/>
  <c r="F1305" i="19"/>
  <c r="G1305" i="19"/>
  <c r="A1306" i="19"/>
  <c r="B1306" i="19"/>
  <c r="C1306" i="19"/>
  <c r="D1306" i="19"/>
  <c r="E1306" i="19"/>
  <c r="F1306" i="19"/>
  <c r="B1307" i="19"/>
  <c r="C1307" i="19"/>
  <c r="D1307" i="19"/>
  <c r="E1307" i="19"/>
  <c r="F1307" i="19"/>
  <c r="G1307" i="19"/>
  <c r="A1301" i="19"/>
  <c r="B1301" i="19"/>
  <c r="C1301" i="19"/>
  <c r="D1301" i="19"/>
  <c r="E1301" i="19"/>
  <c r="F1301" i="19"/>
  <c r="G1301" i="19"/>
  <c r="A1302" i="19"/>
  <c r="B1302" i="19"/>
  <c r="C1302" i="19"/>
  <c r="D1302" i="19"/>
  <c r="E1302" i="19"/>
  <c r="F1302" i="19"/>
  <c r="A1303" i="19"/>
  <c r="B1303" i="19"/>
  <c r="C1303" i="19"/>
  <c r="D1303" i="19"/>
  <c r="E1303" i="19"/>
  <c r="F1303" i="19"/>
  <c r="B1284" i="19"/>
  <c r="C1284" i="19"/>
  <c r="D1284" i="19"/>
  <c r="E1284" i="19"/>
  <c r="F1284" i="19"/>
  <c r="G1284" i="19"/>
  <c r="A1284" i="19"/>
  <c r="A1283" i="19"/>
  <c r="B1283" i="19"/>
  <c r="C1283" i="19"/>
  <c r="D1283" i="19"/>
  <c r="E1283" i="19"/>
  <c r="F1283" i="19"/>
  <c r="G1283" i="19"/>
  <c r="B1282" i="19"/>
  <c r="C1282" i="19"/>
  <c r="D1282" i="19"/>
  <c r="E1282" i="19"/>
  <c r="F1282" i="19"/>
  <c r="G1282" i="19"/>
  <c r="A1282" i="19"/>
  <c r="A1275" i="19"/>
  <c r="B1275" i="19"/>
  <c r="C1275" i="19"/>
  <c r="D1275" i="19"/>
  <c r="E1275" i="19"/>
  <c r="F1275" i="19"/>
  <c r="A1276" i="19"/>
  <c r="B1276" i="19"/>
  <c r="C1276" i="19"/>
  <c r="D1276" i="19"/>
  <c r="F1276" i="19"/>
  <c r="A1277" i="19"/>
  <c r="B1277" i="19"/>
  <c r="C1277" i="19"/>
  <c r="D1277" i="19"/>
  <c r="F1277" i="19"/>
  <c r="A1278" i="19"/>
  <c r="B1278" i="19"/>
  <c r="C1278" i="19"/>
  <c r="D1278" i="19"/>
  <c r="F1278" i="19"/>
  <c r="A1279" i="19"/>
  <c r="B1279" i="19"/>
  <c r="C1279" i="19"/>
  <c r="D1279" i="19"/>
  <c r="E1279" i="19"/>
  <c r="F1279" i="19"/>
  <c r="A1280" i="19"/>
  <c r="B1280" i="19"/>
  <c r="C1280" i="19"/>
  <c r="D1280" i="19"/>
  <c r="E1280" i="19"/>
  <c r="F1280" i="19"/>
  <c r="A1281" i="19"/>
  <c r="B1281" i="19"/>
  <c r="C1281" i="19"/>
  <c r="D1281" i="19"/>
  <c r="E1281" i="19"/>
  <c r="F1281" i="19"/>
  <c r="B1274" i="19"/>
  <c r="C1274" i="19"/>
  <c r="D1274" i="19"/>
  <c r="F1274" i="19"/>
  <c r="G1274" i="19"/>
  <c r="A1274" i="19"/>
  <c r="E695" i="50"/>
  <c r="E1278" i="19" s="1"/>
  <c r="G695" i="50"/>
  <c r="G1278" i="19" s="1"/>
  <c r="G694" i="50"/>
  <c r="G1277" i="19" s="1"/>
  <c r="E694" i="50"/>
  <c r="E1277" i="19" s="1"/>
  <c r="I583" i="50"/>
  <c r="J583" i="50"/>
  <c r="K583" i="50"/>
  <c r="L583" i="50"/>
  <c r="M583" i="50"/>
  <c r="H583" i="50"/>
  <c r="I581" i="50"/>
  <c r="J581" i="50"/>
  <c r="K581" i="50"/>
  <c r="L581" i="50"/>
  <c r="M581" i="50"/>
  <c r="H581" i="50"/>
  <c r="I580" i="50"/>
  <c r="J580" i="50"/>
  <c r="K580" i="50"/>
  <c r="L580" i="50"/>
  <c r="M580" i="50"/>
  <c r="H580" i="50"/>
  <c r="I547" i="50"/>
  <c r="J547" i="50"/>
  <c r="K547" i="50"/>
  <c r="L547" i="50"/>
  <c r="M547" i="50"/>
  <c r="H547" i="50"/>
  <c r="I545" i="50"/>
  <c r="J545" i="50"/>
  <c r="K545" i="50"/>
  <c r="L545" i="50"/>
  <c r="M545" i="50"/>
  <c r="H545" i="50"/>
  <c r="I544" i="50"/>
  <c r="J544" i="50"/>
  <c r="K544" i="50"/>
  <c r="L544" i="50"/>
  <c r="M544" i="50"/>
  <c r="H544" i="50"/>
  <c r="I543" i="50"/>
  <c r="J543" i="50"/>
  <c r="K543" i="50"/>
  <c r="L543" i="50"/>
  <c r="M543" i="50"/>
  <c r="H543" i="50"/>
  <c r="O702" i="50"/>
  <c r="N702" i="50"/>
  <c r="O701" i="50"/>
  <c r="N701" i="50"/>
  <c r="I542" i="50"/>
  <c r="J542" i="50"/>
  <c r="K542" i="50"/>
  <c r="L542" i="50"/>
  <c r="M542" i="50"/>
  <c r="H542" i="50"/>
  <c r="G542" i="50"/>
  <c r="J597" i="50" l="1"/>
  <c r="J679" i="50" s="1"/>
  <c r="I597" i="50"/>
  <c r="I679" i="50" s="1"/>
  <c r="I677" i="50"/>
  <c r="K606" i="50"/>
  <c r="K688" i="50" s="1"/>
  <c r="H677" i="50"/>
  <c r="M677" i="50"/>
  <c r="L677" i="50"/>
  <c r="E819" i="50"/>
  <c r="E518" i="50" s="1"/>
  <c r="J677" i="50"/>
  <c r="I562" i="50"/>
  <c r="M597" i="50"/>
  <c r="M679" i="50" s="1"/>
  <c r="K677" i="50"/>
  <c r="H606" i="50"/>
  <c r="H688" i="50" s="1"/>
  <c r="L597" i="50"/>
  <c r="L679" i="50" s="1"/>
  <c r="H597" i="50"/>
  <c r="H679" i="50" s="1"/>
  <c r="M606" i="50"/>
  <c r="M688" i="50" s="1"/>
  <c r="K597" i="50"/>
  <c r="K679" i="50" s="1"/>
  <c r="H562" i="50"/>
  <c r="L562" i="50"/>
  <c r="K562" i="50"/>
  <c r="J562" i="50"/>
  <c r="M562" i="50"/>
  <c r="J745" i="50"/>
  <c r="J746" i="50"/>
  <c r="J747" i="50"/>
  <c r="J748" i="50"/>
  <c r="I20" i="50"/>
  <c r="K20" i="50" s="1"/>
  <c r="E17" i="53"/>
  <c r="E16" i="53"/>
  <c r="E15" i="53"/>
  <c r="E530" i="50" s="1"/>
  <c r="E29" i="53"/>
  <c r="E1335" i="19" s="1"/>
  <c r="E30" i="53"/>
  <c r="E1336" i="19" s="1"/>
  <c r="E33" i="53"/>
  <c r="E1339" i="19" s="1"/>
  <c r="E35" i="53"/>
  <c r="E1341" i="19" s="1"/>
  <c r="E36" i="53"/>
  <c r="E1342" i="19" s="1"/>
  <c r="E41" i="53"/>
  <c r="E1347" i="19" s="1"/>
  <c r="E42" i="53"/>
  <c r="E1348" i="19" s="1"/>
  <c r="E39" i="53"/>
  <c r="E1345" i="19" s="1"/>
  <c r="O1316" i="19"/>
  <c r="N1316" i="19"/>
  <c r="J744" i="50"/>
  <c r="N1317" i="19"/>
  <c r="O1317" i="19"/>
  <c r="N1322" i="19"/>
  <c r="N1324" i="19"/>
  <c r="N1323" i="19"/>
  <c r="O1323" i="19"/>
  <c r="O1301" i="19"/>
  <c r="N1325" i="19"/>
  <c r="O1318" i="19"/>
  <c r="O1305" i="19"/>
  <c r="O1325" i="19"/>
  <c r="N1320" i="19"/>
  <c r="N1318" i="19"/>
  <c r="O1309" i="19"/>
  <c r="O1320" i="19"/>
  <c r="O1322" i="19"/>
  <c r="O1307" i="19"/>
  <c r="O1324" i="19"/>
  <c r="N1319" i="19"/>
  <c r="O1303" i="19"/>
  <c r="O1319" i="19"/>
  <c r="N1321" i="19"/>
  <c r="O1321" i="19"/>
  <c r="I650" i="50"/>
  <c r="I663" i="50"/>
  <c r="J652" i="50"/>
  <c r="J665" i="50"/>
  <c r="K674" i="50"/>
  <c r="I652" i="50"/>
  <c r="I665" i="50"/>
  <c r="H650" i="50"/>
  <c r="H663" i="50"/>
  <c r="M650" i="50"/>
  <c r="M663" i="50"/>
  <c r="L650" i="50"/>
  <c r="L663" i="50"/>
  <c r="J650" i="50"/>
  <c r="J663" i="50"/>
  <c r="K650" i="50"/>
  <c r="K663" i="50"/>
  <c r="L606" i="50"/>
  <c r="L688" i="50" s="1"/>
  <c r="J606" i="50"/>
  <c r="J688" i="50" s="1"/>
  <c r="I606" i="50"/>
  <c r="I688" i="50" s="1"/>
  <c r="E800" i="50"/>
  <c r="E803" i="50" s="1"/>
  <c r="E815" i="50" s="1"/>
  <c r="C799" i="50"/>
  <c r="C802" i="50" s="1"/>
  <c r="C814" i="50" s="1"/>
  <c r="D799" i="50"/>
  <c r="D802" i="50" s="1"/>
  <c r="D814" i="50" s="1"/>
  <c r="D819" i="50" s="1"/>
  <c r="E516" i="50" s="1"/>
  <c r="B799" i="50"/>
  <c r="B802" i="50" s="1"/>
  <c r="B814" i="50" s="1"/>
  <c r="G771" i="50"/>
  <c r="G774" i="50" s="1"/>
  <c r="B800" i="50" s="1"/>
  <c r="B803" i="50" s="1"/>
  <c r="B815" i="50" s="1"/>
  <c r="H771" i="50"/>
  <c r="H774" i="50" s="1"/>
  <c r="C800" i="50" s="1"/>
  <c r="C803" i="50" s="1"/>
  <c r="C815" i="50" s="1"/>
  <c r="I771" i="50"/>
  <c r="I774" i="50" s="1"/>
  <c r="D800" i="50" s="1"/>
  <c r="D803" i="50" s="1"/>
  <c r="D815" i="50"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K863" i="20"/>
  <c r="K836" i="20"/>
  <c r="K1043" i="20"/>
  <c r="K1034" i="20"/>
  <c r="K1016" i="20"/>
  <c r="K1007" i="20"/>
  <c r="K989" i="20"/>
  <c r="K980" i="20"/>
  <c r="K962" i="20"/>
  <c r="K953" i="20"/>
  <c r="K935" i="20"/>
  <c r="K926" i="20"/>
  <c r="K908" i="20"/>
  <c r="K899" i="20"/>
  <c r="K881" i="20"/>
  <c r="K872" i="20"/>
  <c r="K854" i="20"/>
  <c r="K845" i="20"/>
  <c r="K827" i="20"/>
  <c r="K818" i="20"/>
  <c r="N1284" i="19"/>
  <c r="O1284"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1285" i="19"/>
  <c r="N1301" i="19"/>
  <c r="O1276" i="19"/>
  <c r="O1296" i="19"/>
  <c r="N1290" i="19"/>
  <c r="N1281" i="19"/>
  <c r="N1279" i="19"/>
  <c r="O1279" i="19"/>
  <c r="N1306" i="19"/>
  <c r="N1304" i="19"/>
  <c r="N1303" i="19"/>
  <c r="N1295" i="19"/>
  <c r="N1294" i="19"/>
  <c r="N1292" i="19"/>
  <c r="O1282" i="19"/>
  <c r="O1278" i="19"/>
  <c r="N1277" i="19"/>
  <c r="N1305" i="19"/>
  <c r="N1302" i="19"/>
  <c r="N1300" i="19"/>
  <c r="O1299" i="19"/>
  <c r="N1298" i="19"/>
  <c r="N1297" i="19"/>
  <c r="N1296" i="19"/>
  <c r="N1293" i="19"/>
  <c r="N1291" i="19"/>
  <c r="O1290" i="19"/>
  <c r="N1289" i="19"/>
  <c r="N1288" i="19"/>
  <c r="N1287" i="19"/>
  <c r="N1286" i="19"/>
  <c r="N1299" i="19"/>
  <c r="O1288" i="19"/>
  <c r="N1282" i="19"/>
  <c r="O1281" i="19"/>
  <c r="N1280" i="19"/>
  <c r="O1294" i="19"/>
  <c r="O1293" i="19"/>
  <c r="O1285" i="19"/>
  <c r="N1309" i="19"/>
  <c r="N1307" i="19"/>
  <c r="N1308" i="19"/>
  <c r="O1297" i="19"/>
  <c r="O1287" i="19"/>
  <c r="N1283" i="19"/>
  <c r="N1278" i="19"/>
  <c r="N1276" i="19"/>
  <c r="O1275" i="19"/>
  <c r="N1274" i="19"/>
  <c r="O1300" i="19"/>
  <c r="O1291" i="19"/>
  <c r="O1298" i="19"/>
  <c r="O1295" i="19"/>
  <c r="O1292" i="19"/>
  <c r="O1289" i="19"/>
  <c r="O1286" i="19"/>
  <c r="O1283" i="19"/>
  <c r="O1280" i="19"/>
  <c r="O1277" i="19"/>
  <c r="O1274" i="19"/>
  <c r="H665" i="50" l="1"/>
  <c r="H652" i="50"/>
  <c r="K652" i="50"/>
  <c r="K661" i="50"/>
  <c r="L652" i="50"/>
  <c r="K665" i="50"/>
  <c r="H674" i="50"/>
  <c r="H661" i="50"/>
  <c r="M661" i="50"/>
  <c r="M652" i="50"/>
  <c r="M665" i="50"/>
  <c r="L665" i="50"/>
  <c r="C819" i="50"/>
  <c r="E514" i="50" s="1"/>
  <c r="E604" i="50"/>
  <c r="E686" i="50" s="1"/>
  <c r="E820" i="50"/>
  <c r="E519" i="50" s="1"/>
  <c r="E605" i="50" s="1"/>
  <c r="E687" i="50" s="1"/>
  <c r="E602" i="50"/>
  <c r="E684" i="50" s="1"/>
  <c r="D820" i="50"/>
  <c r="E517" i="50" s="1"/>
  <c r="E603" i="50" s="1"/>
  <c r="M674" i="50"/>
  <c r="C820" i="50"/>
  <c r="E515" i="50" s="1"/>
  <c r="E601" i="50" s="1"/>
  <c r="E683" i="50" s="1"/>
  <c r="B820" i="50"/>
  <c r="E513" i="50" s="1"/>
  <c r="B819" i="50"/>
  <c r="E512" i="50" s="1"/>
  <c r="I501" i="50" s="1"/>
  <c r="E556" i="50"/>
  <c r="E635" i="50" s="1"/>
  <c r="E590" i="50"/>
  <c r="E645" i="50" s="1"/>
  <c r="E575" i="50"/>
  <c r="E641" i="50" s="1"/>
  <c r="E564" i="50"/>
  <c r="J749" i="50"/>
  <c r="E1332" i="19"/>
  <c r="E174" i="26"/>
  <c r="E1333" i="19"/>
  <c r="E182" i="26"/>
  <c r="K744" i="50"/>
  <c r="AB2" i="13"/>
  <c r="AB3" i="13"/>
  <c r="K745" i="50"/>
  <c r="K748" i="50"/>
  <c r="AB6" i="13"/>
  <c r="K747" i="50"/>
  <c r="AB5" i="13"/>
  <c r="K746" i="50"/>
  <c r="AB4" i="13"/>
  <c r="J661" i="50"/>
  <c r="J674" i="50"/>
  <c r="E657" i="50"/>
  <c r="E670" i="50"/>
  <c r="L661" i="50"/>
  <c r="L674" i="50"/>
  <c r="I661" i="50"/>
  <c r="I674" i="50"/>
  <c r="E672" i="50" l="1"/>
  <c r="E659" i="50"/>
  <c r="E685" i="50"/>
  <c r="E658" i="50"/>
  <c r="E671" i="50"/>
  <c r="E673" i="50"/>
  <c r="E660" i="50"/>
  <c r="E669" i="50"/>
  <c r="I502" i="50"/>
  <c r="E656" i="50"/>
  <c r="I503" i="50"/>
  <c r="E598" i="50"/>
  <c r="E680" i="50" s="1"/>
  <c r="E600" i="50"/>
  <c r="E599" i="50"/>
  <c r="AC5" i="13"/>
  <c r="L747" i="50"/>
  <c r="AD5" i="13" s="1"/>
  <c r="AC6" i="13"/>
  <c r="L748" i="50"/>
  <c r="AD6" i="13" s="1"/>
  <c r="AC4" i="13"/>
  <c r="L746" i="50"/>
  <c r="AD4" i="13" s="1"/>
  <c r="L745" i="50"/>
  <c r="AD3" i="13" s="1"/>
  <c r="AC3" i="13"/>
  <c r="K749" i="50"/>
  <c r="K750" i="50" s="1"/>
  <c r="AC8" i="13" s="1"/>
  <c r="AB7" i="13"/>
  <c r="L744" i="50"/>
  <c r="AD2" i="13" s="1"/>
  <c r="AC2" i="13"/>
  <c r="E653" i="50" l="1"/>
  <c r="E681" i="50"/>
  <c r="E654" i="50"/>
  <c r="E667" i="50"/>
  <c r="E682" i="50"/>
  <c r="E655" i="50"/>
  <c r="E668" i="50"/>
  <c r="E666" i="50"/>
  <c r="L749" i="50"/>
  <c r="AD7" i="13" s="1"/>
  <c r="AC7" i="13"/>
  <c r="L750" i="50"/>
  <c r="AD8" i="13" s="1"/>
  <c r="O1157" i="19"/>
  <c r="N1157" i="19"/>
  <c r="O1156" i="19"/>
  <c r="N1156" i="19"/>
  <c r="O1155" i="19"/>
  <c r="N1155" i="19"/>
  <c r="O1154" i="19"/>
  <c r="N1154" i="19"/>
  <c r="O1153" i="19"/>
  <c r="N1153" i="19"/>
  <c r="O1152" i="19"/>
  <c r="N1152" i="19"/>
  <c r="O1151" i="19"/>
  <c r="N1151" i="19"/>
  <c r="O1150" i="19"/>
  <c r="N1150" i="19"/>
  <c r="O1149" i="19"/>
  <c r="N1149" i="19"/>
  <c r="O1148" i="19"/>
  <c r="N1148" i="19"/>
  <c r="O1147" i="19"/>
  <c r="N1147" i="19"/>
  <c r="H1217" i="19"/>
  <c r="I1217" i="19"/>
  <c r="J1217" i="19"/>
  <c r="K1217" i="19"/>
  <c r="L1217" i="19"/>
  <c r="M1217" i="19"/>
  <c r="H1218" i="19"/>
  <c r="I1218" i="19"/>
  <c r="J1218" i="19"/>
  <c r="K1218" i="19"/>
  <c r="L1218" i="19"/>
  <c r="M1218" i="19"/>
  <c r="H1219" i="19"/>
  <c r="I1219" i="19"/>
  <c r="J1219" i="19"/>
  <c r="K1219" i="19"/>
  <c r="L1219" i="19"/>
  <c r="M1219" i="19"/>
  <c r="H1220" i="19"/>
  <c r="I1220" i="19"/>
  <c r="J1220" i="19"/>
  <c r="K1220" i="19"/>
  <c r="L1220" i="19"/>
  <c r="M1220" i="19"/>
  <c r="H1221" i="19"/>
  <c r="I1221" i="19"/>
  <c r="J1221" i="19"/>
  <c r="K1221" i="19"/>
  <c r="L1221" i="19"/>
  <c r="M1221" i="19"/>
  <c r="H1222" i="19"/>
  <c r="I1222" i="19"/>
  <c r="J1222" i="19"/>
  <c r="K1222" i="19"/>
  <c r="L1222" i="19"/>
  <c r="M1222" i="19"/>
  <c r="H1223" i="19"/>
  <c r="I1223" i="19"/>
  <c r="J1223" i="19"/>
  <c r="K1223" i="19"/>
  <c r="L1223" i="19"/>
  <c r="M1223" i="19"/>
  <c r="H1224" i="19"/>
  <c r="I1224" i="19"/>
  <c r="J1224" i="19"/>
  <c r="K1224" i="19"/>
  <c r="L1224" i="19"/>
  <c r="M1224" i="19"/>
  <c r="H1225" i="19"/>
  <c r="I1225" i="19"/>
  <c r="J1225" i="19"/>
  <c r="K1225" i="19"/>
  <c r="L1225" i="19"/>
  <c r="M1225" i="19"/>
  <c r="H1226" i="19"/>
  <c r="I1226" i="19"/>
  <c r="J1226" i="19"/>
  <c r="K1226" i="19"/>
  <c r="L1226" i="19"/>
  <c r="M1226" i="19"/>
  <c r="H1227" i="19"/>
  <c r="I1227" i="19"/>
  <c r="J1227" i="19"/>
  <c r="K1227" i="19"/>
  <c r="L1227" i="19"/>
  <c r="M1227" i="19"/>
  <c r="H1228" i="19"/>
  <c r="I1228" i="19"/>
  <c r="J1228" i="19"/>
  <c r="K1228" i="19"/>
  <c r="L1228" i="19"/>
  <c r="M1228" i="19"/>
  <c r="H1229" i="19"/>
  <c r="I1229" i="19"/>
  <c r="J1229" i="19"/>
  <c r="K1229" i="19"/>
  <c r="L1229" i="19"/>
  <c r="M1229" i="19"/>
  <c r="H1230" i="19"/>
  <c r="I1230" i="19"/>
  <c r="J1230" i="19"/>
  <c r="K1230" i="19"/>
  <c r="L1230" i="19"/>
  <c r="M1230" i="19"/>
  <c r="H1231" i="19"/>
  <c r="I1231" i="19"/>
  <c r="J1231" i="19"/>
  <c r="K1231" i="19"/>
  <c r="L1231" i="19"/>
  <c r="M1231" i="19"/>
  <c r="H1232" i="19"/>
  <c r="I1232" i="19"/>
  <c r="J1232" i="19"/>
  <c r="K1232" i="19"/>
  <c r="L1232" i="19"/>
  <c r="M1232" i="19"/>
  <c r="H1233" i="19"/>
  <c r="I1233" i="19"/>
  <c r="J1233" i="19"/>
  <c r="K1233" i="19"/>
  <c r="L1233" i="19"/>
  <c r="M1233" i="19"/>
  <c r="H1234" i="19"/>
  <c r="I1234" i="19"/>
  <c r="J1234" i="19"/>
  <c r="K1234" i="19"/>
  <c r="L1234" i="19"/>
  <c r="M1234" i="19"/>
  <c r="H1235" i="19"/>
  <c r="I1235" i="19"/>
  <c r="J1235" i="19"/>
  <c r="K1235" i="19"/>
  <c r="L1235" i="19"/>
  <c r="M1235" i="19"/>
  <c r="H1236" i="19"/>
  <c r="I1236" i="19"/>
  <c r="J1236" i="19"/>
  <c r="K1236" i="19"/>
  <c r="L1236" i="19"/>
  <c r="M1236" i="19"/>
  <c r="H1237" i="19"/>
  <c r="I1237" i="19"/>
  <c r="J1237" i="19"/>
  <c r="K1237" i="19"/>
  <c r="L1237" i="19"/>
  <c r="M1237" i="19"/>
  <c r="H1238" i="19"/>
  <c r="I1238" i="19"/>
  <c r="J1238" i="19"/>
  <c r="K1238" i="19"/>
  <c r="L1238" i="19"/>
  <c r="M1238" i="19"/>
  <c r="H1239" i="19"/>
  <c r="I1239" i="19"/>
  <c r="J1239" i="19"/>
  <c r="K1239" i="19"/>
  <c r="L1239" i="19"/>
  <c r="M1239" i="19"/>
  <c r="H1240" i="19"/>
  <c r="I1240" i="19"/>
  <c r="J1240" i="19"/>
  <c r="K1240" i="19"/>
  <c r="L1240" i="19"/>
  <c r="M1240" i="19"/>
  <c r="H1241" i="19"/>
  <c r="I1241" i="19"/>
  <c r="J1241" i="19"/>
  <c r="K1241" i="19"/>
  <c r="L1241" i="19"/>
  <c r="M1241" i="19"/>
  <c r="H1242" i="19"/>
  <c r="I1242" i="19"/>
  <c r="J1242" i="19"/>
  <c r="K1242" i="19"/>
  <c r="L1242" i="19"/>
  <c r="M1242" i="19"/>
  <c r="H1243" i="19"/>
  <c r="I1243" i="19"/>
  <c r="J1243" i="19"/>
  <c r="K1243" i="19"/>
  <c r="L1243" i="19"/>
  <c r="M1243" i="19"/>
  <c r="H1244" i="19"/>
  <c r="I1244" i="19"/>
  <c r="J1244" i="19"/>
  <c r="K1244" i="19"/>
  <c r="L1244" i="19"/>
  <c r="M1244" i="19"/>
  <c r="H1245" i="19"/>
  <c r="I1245" i="19"/>
  <c r="J1245" i="19"/>
  <c r="K1245" i="19"/>
  <c r="L1245" i="19"/>
  <c r="M1245" i="19"/>
  <c r="H1246" i="19"/>
  <c r="I1246" i="19"/>
  <c r="J1246" i="19"/>
  <c r="K1246" i="19"/>
  <c r="L1246" i="19"/>
  <c r="M1246" i="19"/>
  <c r="H1247" i="19"/>
  <c r="I1247" i="19"/>
  <c r="J1247" i="19"/>
  <c r="K1247" i="19"/>
  <c r="L1247" i="19"/>
  <c r="M1247" i="19"/>
  <c r="H1248" i="19"/>
  <c r="I1248" i="19"/>
  <c r="J1248" i="19"/>
  <c r="K1248" i="19"/>
  <c r="L1248" i="19"/>
  <c r="M1248" i="19"/>
  <c r="H1249" i="19"/>
  <c r="I1249" i="19"/>
  <c r="J1249" i="19"/>
  <c r="K1249" i="19"/>
  <c r="L1249" i="19"/>
  <c r="M1249" i="19"/>
  <c r="H1250" i="19"/>
  <c r="I1250" i="19"/>
  <c r="J1250" i="19"/>
  <c r="K1250" i="19"/>
  <c r="L1250" i="19"/>
  <c r="M1250" i="19"/>
  <c r="H1251" i="19"/>
  <c r="I1251" i="19"/>
  <c r="J1251" i="19"/>
  <c r="K1251" i="19"/>
  <c r="L1251" i="19"/>
  <c r="M1251" i="19"/>
  <c r="H1252" i="19"/>
  <c r="I1252" i="19"/>
  <c r="J1252" i="19"/>
  <c r="K1252" i="19"/>
  <c r="L1252" i="19"/>
  <c r="M1252" i="19"/>
  <c r="H1253" i="19"/>
  <c r="I1253" i="19"/>
  <c r="J1253" i="19"/>
  <c r="K1253" i="19"/>
  <c r="L1253" i="19"/>
  <c r="M1253" i="19"/>
  <c r="H1254" i="19"/>
  <c r="I1254" i="19"/>
  <c r="J1254" i="19"/>
  <c r="K1254" i="19"/>
  <c r="L1254" i="19"/>
  <c r="M1254" i="19"/>
  <c r="H1255" i="19"/>
  <c r="I1255" i="19"/>
  <c r="J1255" i="19"/>
  <c r="K1255" i="19"/>
  <c r="L1255" i="19"/>
  <c r="M1255" i="19"/>
  <c r="H1256" i="19"/>
  <c r="I1256" i="19"/>
  <c r="J1256" i="19"/>
  <c r="K1256" i="19"/>
  <c r="L1256" i="19"/>
  <c r="M1256" i="19"/>
  <c r="H1257" i="19"/>
  <c r="I1257" i="19"/>
  <c r="J1257" i="19"/>
  <c r="K1257" i="19"/>
  <c r="L1257" i="19"/>
  <c r="M1257" i="19"/>
  <c r="H1258" i="19"/>
  <c r="I1258" i="19"/>
  <c r="J1258" i="19"/>
  <c r="K1258" i="19"/>
  <c r="L1258" i="19"/>
  <c r="M1258" i="19"/>
  <c r="H1259" i="19"/>
  <c r="I1259" i="19"/>
  <c r="J1259" i="19"/>
  <c r="K1259" i="19"/>
  <c r="L1259" i="19"/>
  <c r="M1259" i="19"/>
  <c r="H1260" i="19"/>
  <c r="I1260" i="19"/>
  <c r="J1260" i="19"/>
  <c r="K1260" i="19"/>
  <c r="L1260" i="19"/>
  <c r="M1260" i="19"/>
  <c r="H1261" i="19"/>
  <c r="I1261" i="19"/>
  <c r="J1261" i="19"/>
  <c r="K1261" i="19"/>
  <c r="L1261" i="19"/>
  <c r="M1261" i="19"/>
  <c r="H1262" i="19"/>
  <c r="I1262" i="19"/>
  <c r="J1262" i="19"/>
  <c r="K1262" i="19"/>
  <c r="L1262" i="19"/>
  <c r="M1262" i="19"/>
  <c r="H1263" i="19"/>
  <c r="I1263" i="19"/>
  <c r="J1263" i="19"/>
  <c r="K1263" i="19"/>
  <c r="L1263" i="19"/>
  <c r="M1263" i="19"/>
  <c r="H1264" i="19"/>
  <c r="I1264" i="19"/>
  <c r="J1264" i="19"/>
  <c r="K1264" i="19"/>
  <c r="L1264" i="19"/>
  <c r="M1264" i="19"/>
  <c r="H1265" i="19"/>
  <c r="I1265" i="19"/>
  <c r="J1265" i="19"/>
  <c r="K1265" i="19"/>
  <c r="L1265" i="19"/>
  <c r="M1265" i="19"/>
  <c r="H1266" i="19"/>
  <c r="I1266" i="19"/>
  <c r="J1266" i="19"/>
  <c r="K1266" i="19"/>
  <c r="L1266" i="19"/>
  <c r="M1266" i="19"/>
  <c r="H1267" i="19"/>
  <c r="I1267" i="19"/>
  <c r="J1267" i="19"/>
  <c r="K1267" i="19"/>
  <c r="L1267" i="19"/>
  <c r="M1267" i="19"/>
  <c r="H1268" i="19"/>
  <c r="I1268" i="19"/>
  <c r="J1268" i="19"/>
  <c r="K1268" i="19"/>
  <c r="L1268" i="19"/>
  <c r="M1268" i="19"/>
  <c r="H1269" i="19"/>
  <c r="I1269" i="19"/>
  <c r="J1269" i="19"/>
  <c r="K1269" i="19"/>
  <c r="L1269" i="19"/>
  <c r="M1269" i="19"/>
  <c r="H1270" i="19"/>
  <c r="I1270" i="19"/>
  <c r="J1270" i="19"/>
  <c r="K1270" i="19"/>
  <c r="L1270" i="19"/>
  <c r="M1270" i="19"/>
  <c r="H1271" i="19"/>
  <c r="I1271" i="19"/>
  <c r="J1271" i="19"/>
  <c r="K1271" i="19"/>
  <c r="L1271" i="19"/>
  <c r="M1271" i="19"/>
  <c r="H1272" i="19"/>
  <c r="I1272" i="19"/>
  <c r="J1272" i="19"/>
  <c r="K1272" i="19"/>
  <c r="L1272" i="19"/>
  <c r="M1272" i="19"/>
  <c r="H1273" i="19"/>
  <c r="I1273" i="19"/>
  <c r="J1273" i="19"/>
  <c r="K1273" i="19"/>
  <c r="L1273" i="19"/>
  <c r="M1273" i="19"/>
  <c r="H1216" i="19"/>
  <c r="I1216" i="19"/>
  <c r="J1216" i="19"/>
  <c r="K1216" i="19"/>
  <c r="L1216" i="19"/>
  <c r="M1216" i="19"/>
  <c r="A1217" i="19"/>
  <c r="B1217" i="19"/>
  <c r="C1217" i="19"/>
  <c r="D1217" i="19"/>
  <c r="E1217" i="19"/>
  <c r="F1217" i="19"/>
  <c r="G1217" i="19"/>
  <c r="A1218" i="19"/>
  <c r="B1218" i="19"/>
  <c r="C1218" i="19"/>
  <c r="D1218" i="19"/>
  <c r="E1218" i="19"/>
  <c r="F1218" i="19"/>
  <c r="G1218" i="19"/>
  <c r="A1219" i="19"/>
  <c r="B1219" i="19"/>
  <c r="C1219" i="19"/>
  <c r="D1219" i="19"/>
  <c r="E1219" i="19"/>
  <c r="F1219" i="19"/>
  <c r="G1219" i="19"/>
  <c r="A1220" i="19"/>
  <c r="B1220" i="19"/>
  <c r="C1220" i="19"/>
  <c r="D1220" i="19"/>
  <c r="E1220" i="19"/>
  <c r="F1220" i="19"/>
  <c r="G1220" i="19"/>
  <c r="A1221" i="19"/>
  <c r="B1221" i="19"/>
  <c r="C1221" i="19"/>
  <c r="D1221" i="19"/>
  <c r="E1221" i="19"/>
  <c r="F1221" i="19"/>
  <c r="G1221" i="19"/>
  <c r="A1222" i="19"/>
  <c r="B1222" i="19"/>
  <c r="C1222" i="19"/>
  <c r="D1222" i="19"/>
  <c r="E1222" i="19"/>
  <c r="F1222" i="19"/>
  <c r="G1222" i="19"/>
  <c r="A1223" i="19"/>
  <c r="B1223" i="19"/>
  <c r="C1223" i="19"/>
  <c r="D1223" i="19"/>
  <c r="E1223" i="19"/>
  <c r="F1223" i="19"/>
  <c r="G1223" i="19"/>
  <c r="A1224" i="19"/>
  <c r="B1224" i="19"/>
  <c r="C1224" i="19"/>
  <c r="D1224" i="19"/>
  <c r="E1224" i="19"/>
  <c r="F1224" i="19"/>
  <c r="G1224" i="19"/>
  <c r="A1225" i="19"/>
  <c r="B1225" i="19"/>
  <c r="C1225" i="19"/>
  <c r="D1225" i="19"/>
  <c r="E1225" i="19"/>
  <c r="F1225" i="19"/>
  <c r="G1225" i="19"/>
  <c r="A1226" i="19"/>
  <c r="B1226" i="19"/>
  <c r="C1226" i="19"/>
  <c r="D1226" i="19"/>
  <c r="E1226" i="19"/>
  <c r="F1226" i="19"/>
  <c r="G1226" i="19"/>
  <c r="A1227" i="19"/>
  <c r="B1227" i="19"/>
  <c r="C1227" i="19"/>
  <c r="D1227" i="19"/>
  <c r="E1227" i="19"/>
  <c r="F1227" i="19"/>
  <c r="G1227" i="19"/>
  <c r="A1228" i="19"/>
  <c r="B1228" i="19"/>
  <c r="C1228" i="19"/>
  <c r="D1228" i="19"/>
  <c r="E1228" i="19"/>
  <c r="F1228" i="19"/>
  <c r="G1228" i="19"/>
  <c r="A1229" i="19"/>
  <c r="B1229" i="19"/>
  <c r="C1229" i="19"/>
  <c r="D1229" i="19"/>
  <c r="E1229" i="19"/>
  <c r="F1229" i="19"/>
  <c r="G1229" i="19"/>
  <c r="A1230" i="19"/>
  <c r="B1230" i="19"/>
  <c r="C1230" i="19"/>
  <c r="D1230" i="19"/>
  <c r="E1230" i="19"/>
  <c r="F1230" i="19"/>
  <c r="G1230" i="19"/>
  <c r="A1231" i="19"/>
  <c r="B1231" i="19"/>
  <c r="C1231" i="19"/>
  <c r="D1231" i="19"/>
  <c r="E1231" i="19"/>
  <c r="F1231" i="19"/>
  <c r="G1231" i="19"/>
  <c r="A1232" i="19"/>
  <c r="B1232" i="19"/>
  <c r="C1232" i="19"/>
  <c r="D1232" i="19"/>
  <c r="E1232" i="19"/>
  <c r="F1232" i="19"/>
  <c r="G1232" i="19"/>
  <c r="A1233" i="19"/>
  <c r="B1233" i="19"/>
  <c r="C1233" i="19"/>
  <c r="D1233" i="19"/>
  <c r="E1233" i="19"/>
  <c r="F1233" i="19"/>
  <c r="G1233" i="19"/>
  <c r="A1234" i="19"/>
  <c r="B1234" i="19"/>
  <c r="C1234" i="19"/>
  <c r="D1234" i="19"/>
  <c r="E1234" i="19"/>
  <c r="F1234" i="19"/>
  <c r="G1234" i="19"/>
  <c r="A1235" i="19"/>
  <c r="B1235" i="19"/>
  <c r="C1235" i="19"/>
  <c r="D1235" i="19"/>
  <c r="E1235" i="19"/>
  <c r="F1235" i="19"/>
  <c r="G1235" i="19"/>
  <c r="A1236" i="19"/>
  <c r="B1236" i="19"/>
  <c r="C1236" i="19"/>
  <c r="D1236" i="19"/>
  <c r="E1236" i="19"/>
  <c r="F1236" i="19"/>
  <c r="G1236" i="19"/>
  <c r="A1237" i="19"/>
  <c r="B1237" i="19"/>
  <c r="C1237" i="19"/>
  <c r="D1237" i="19"/>
  <c r="E1237" i="19"/>
  <c r="F1237" i="19"/>
  <c r="G1237" i="19"/>
  <c r="A1238" i="19"/>
  <c r="B1238" i="19"/>
  <c r="C1238" i="19"/>
  <c r="D1238" i="19"/>
  <c r="E1238" i="19"/>
  <c r="F1238" i="19"/>
  <c r="G1238" i="19"/>
  <c r="A1239" i="19"/>
  <c r="B1239" i="19"/>
  <c r="C1239" i="19"/>
  <c r="D1239" i="19"/>
  <c r="E1239" i="19"/>
  <c r="F1239" i="19"/>
  <c r="G1239" i="19"/>
  <c r="A1240" i="19"/>
  <c r="B1240" i="19"/>
  <c r="C1240" i="19"/>
  <c r="D1240" i="19"/>
  <c r="E1240" i="19"/>
  <c r="F1240" i="19"/>
  <c r="G1240" i="19"/>
  <c r="A1241" i="19"/>
  <c r="B1241" i="19"/>
  <c r="C1241" i="19"/>
  <c r="D1241" i="19"/>
  <c r="E1241" i="19"/>
  <c r="F1241" i="19"/>
  <c r="G1241" i="19"/>
  <c r="A1242" i="19"/>
  <c r="B1242" i="19"/>
  <c r="C1242" i="19"/>
  <c r="D1242" i="19"/>
  <c r="E1242" i="19"/>
  <c r="F1242" i="19"/>
  <c r="G1242" i="19"/>
  <c r="A1243" i="19"/>
  <c r="B1243" i="19"/>
  <c r="C1243" i="19"/>
  <c r="D1243" i="19"/>
  <c r="E1243" i="19"/>
  <c r="F1243" i="19"/>
  <c r="G1243" i="19"/>
  <c r="A1244" i="19"/>
  <c r="B1244" i="19"/>
  <c r="C1244" i="19"/>
  <c r="D1244" i="19"/>
  <c r="E1244" i="19"/>
  <c r="F1244" i="19"/>
  <c r="G1244" i="19"/>
  <c r="A1245" i="19"/>
  <c r="B1245" i="19"/>
  <c r="C1245" i="19"/>
  <c r="D1245" i="19"/>
  <c r="E1245" i="19"/>
  <c r="F1245" i="19"/>
  <c r="G1245" i="19"/>
  <c r="A1246" i="19"/>
  <c r="B1246" i="19"/>
  <c r="C1246" i="19"/>
  <c r="D1246" i="19"/>
  <c r="E1246" i="19"/>
  <c r="F1246" i="19"/>
  <c r="G1246" i="19"/>
  <c r="A1247" i="19"/>
  <c r="B1247" i="19"/>
  <c r="C1247" i="19"/>
  <c r="D1247" i="19"/>
  <c r="E1247" i="19"/>
  <c r="F1247" i="19"/>
  <c r="G1247" i="19"/>
  <c r="A1248" i="19"/>
  <c r="B1248" i="19"/>
  <c r="C1248" i="19"/>
  <c r="D1248" i="19"/>
  <c r="E1248" i="19"/>
  <c r="F1248" i="19"/>
  <c r="G1248" i="19"/>
  <c r="A1249" i="19"/>
  <c r="B1249" i="19"/>
  <c r="C1249" i="19"/>
  <c r="D1249" i="19"/>
  <c r="E1249" i="19"/>
  <c r="F1249" i="19"/>
  <c r="G1249" i="19"/>
  <c r="A1250" i="19"/>
  <c r="B1250" i="19"/>
  <c r="C1250" i="19"/>
  <c r="D1250" i="19"/>
  <c r="E1250" i="19"/>
  <c r="F1250" i="19"/>
  <c r="G1250" i="19"/>
  <c r="A1251" i="19"/>
  <c r="B1251" i="19"/>
  <c r="C1251" i="19"/>
  <c r="D1251" i="19"/>
  <c r="E1251" i="19"/>
  <c r="F1251" i="19"/>
  <c r="G1251" i="19"/>
  <c r="A1252" i="19"/>
  <c r="B1252" i="19"/>
  <c r="C1252" i="19"/>
  <c r="D1252" i="19"/>
  <c r="E1252" i="19"/>
  <c r="F1252" i="19"/>
  <c r="G1252" i="19"/>
  <c r="A1253" i="19"/>
  <c r="B1253" i="19"/>
  <c r="C1253" i="19"/>
  <c r="D1253" i="19"/>
  <c r="E1253" i="19"/>
  <c r="F1253" i="19"/>
  <c r="G1253" i="19"/>
  <c r="A1254" i="19"/>
  <c r="B1254" i="19"/>
  <c r="C1254" i="19"/>
  <c r="D1254" i="19"/>
  <c r="E1254" i="19"/>
  <c r="F1254" i="19"/>
  <c r="G1254" i="19"/>
  <c r="A1255" i="19"/>
  <c r="B1255" i="19"/>
  <c r="C1255" i="19"/>
  <c r="D1255" i="19"/>
  <c r="E1255" i="19"/>
  <c r="F1255" i="19"/>
  <c r="G1255" i="19"/>
  <c r="A1256" i="19"/>
  <c r="B1256" i="19"/>
  <c r="C1256" i="19"/>
  <c r="D1256" i="19"/>
  <c r="E1256" i="19"/>
  <c r="F1256" i="19"/>
  <c r="G1256" i="19"/>
  <c r="A1257" i="19"/>
  <c r="B1257" i="19"/>
  <c r="C1257" i="19"/>
  <c r="D1257" i="19"/>
  <c r="E1257" i="19"/>
  <c r="F1257" i="19"/>
  <c r="G1257" i="19"/>
  <c r="A1258" i="19"/>
  <c r="B1258" i="19"/>
  <c r="C1258" i="19"/>
  <c r="D1258" i="19"/>
  <c r="E1258" i="19"/>
  <c r="F1258" i="19"/>
  <c r="G1258" i="19"/>
  <c r="A1259" i="19"/>
  <c r="B1259" i="19"/>
  <c r="C1259" i="19"/>
  <c r="D1259" i="19"/>
  <c r="E1259" i="19"/>
  <c r="F1259" i="19"/>
  <c r="G1259" i="19"/>
  <c r="A1260" i="19"/>
  <c r="B1260" i="19"/>
  <c r="C1260" i="19"/>
  <c r="D1260" i="19"/>
  <c r="E1260" i="19"/>
  <c r="F1260" i="19"/>
  <c r="G1260" i="19"/>
  <c r="A1261" i="19"/>
  <c r="B1261" i="19"/>
  <c r="C1261" i="19"/>
  <c r="D1261" i="19"/>
  <c r="E1261" i="19"/>
  <c r="F1261" i="19"/>
  <c r="G1261" i="19"/>
  <c r="A1262" i="19"/>
  <c r="B1262" i="19"/>
  <c r="C1262" i="19"/>
  <c r="D1262" i="19"/>
  <c r="E1262" i="19"/>
  <c r="F1262" i="19"/>
  <c r="G1262" i="19"/>
  <c r="A1263" i="19"/>
  <c r="B1263" i="19"/>
  <c r="C1263" i="19"/>
  <c r="D1263" i="19"/>
  <c r="E1263" i="19"/>
  <c r="F1263" i="19"/>
  <c r="G1263" i="19"/>
  <c r="A1264" i="19"/>
  <c r="B1264" i="19"/>
  <c r="C1264" i="19"/>
  <c r="D1264" i="19"/>
  <c r="E1264" i="19"/>
  <c r="F1264" i="19"/>
  <c r="G1264" i="19"/>
  <c r="A1265" i="19"/>
  <c r="B1265" i="19"/>
  <c r="C1265" i="19"/>
  <c r="D1265" i="19"/>
  <c r="E1265" i="19"/>
  <c r="F1265" i="19"/>
  <c r="G1265" i="19"/>
  <c r="A1266" i="19"/>
  <c r="B1266" i="19"/>
  <c r="C1266" i="19"/>
  <c r="D1266" i="19"/>
  <c r="E1266" i="19"/>
  <c r="F1266" i="19"/>
  <c r="G1266" i="19"/>
  <c r="A1267" i="19"/>
  <c r="B1267" i="19"/>
  <c r="C1267" i="19"/>
  <c r="D1267" i="19"/>
  <c r="E1267" i="19"/>
  <c r="F1267" i="19"/>
  <c r="G1267" i="19"/>
  <c r="A1268" i="19"/>
  <c r="B1268" i="19"/>
  <c r="C1268" i="19"/>
  <c r="D1268" i="19"/>
  <c r="E1268" i="19"/>
  <c r="F1268" i="19"/>
  <c r="G1268" i="19"/>
  <c r="A1269" i="19"/>
  <c r="B1269" i="19"/>
  <c r="C1269" i="19"/>
  <c r="D1269" i="19"/>
  <c r="E1269" i="19"/>
  <c r="F1269" i="19"/>
  <c r="G1269" i="19"/>
  <c r="A1270" i="19"/>
  <c r="B1270" i="19"/>
  <c r="C1270" i="19"/>
  <c r="D1270" i="19"/>
  <c r="E1270" i="19"/>
  <c r="F1270" i="19"/>
  <c r="G1270" i="19"/>
  <c r="A1271" i="19"/>
  <c r="B1271" i="19"/>
  <c r="C1271" i="19"/>
  <c r="D1271" i="19"/>
  <c r="E1271" i="19"/>
  <c r="F1271" i="19"/>
  <c r="G1271" i="19"/>
  <c r="A1272" i="19"/>
  <c r="B1272" i="19"/>
  <c r="C1272" i="19"/>
  <c r="D1272" i="19"/>
  <c r="E1272" i="19"/>
  <c r="F1272" i="19"/>
  <c r="G1272" i="19"/>
  <c r="A1273" i="19"/>
  <c r="B1273" i="19"/>
  <c r="C1273" i="19"/>
  <c r="D1273" i="19"/>
  <c r="E1273" i="19"/>
  <c r="F1273" i="19"/>
  <c r="G1273" i="19"/>
  <c r="B1216" i="19"/>
  <c r="C1216" i="19"/>
  <c r="D1216" i="19"/>
  <c r="E1216" i="19"/>
  <c r="F1216" i="19"/>
  <c r="G1216" i="19"/>
  <c r="A1216" i="19"/>
  <c r="E501" i="50"/>
  <c r="E500" i="50"/>
  <c r="E492" i="50"/>
  <c r="E490" i="50"/>
  <c r="G693" i="50"/>
  <c r="G1276" i="19" s="1"/>
  <c r="G692" i="50"/>
  <c r="G1275" i="19" s="1"/>
  <c r="E691" i="50"/>
  <c r="E1274" i="19" s="1"/>
  <c r="E485" i="50"/>
  <c r="E693" i="50" s="1"/>
  <c r="E1276" i="19" s="1"/>
  <c r="G581" i="50"/>
  <c r="G580" i="50"/>
  <c r="G583" i="50"/>
  <c r="G547" i="50"/>
  <c r="G562" i="50" s="1"/>
  <c r="G545" i="50"/>
  <c r="G543" i="50"/>
  <c r="G544" i="50"/>
  <c r="E536" i="50"/>
  <c r="E581" i="50" s="1"/>
  <c r="E542" i="50"/>
  <c r="E586" i="50"/>
  <c r="E589" i="50" l="1"/>
  <c r="E644" i="50" s="1"/>
  <c r="E610" i="50"/>
  <c r="E528" i="50"/>
  <c r="L751" i="50"/>
  <c r="AD9" i="13" s="1"/>
  <c r="G597" i="50"/>
  <c r="G679" i="50" s="1"/>
  <c r="G677" i="50"/>
  <c r="E583" i="50"/>
  <c r="N1254" i="19"/>
  <c r="N1272" i="19"/>
  <c r="N1263" i="19"/>
  <c r="N1220" i="19"/>
  <c r="N1217" i="19"/>
  <c r="N1252" i="19"/>
  <c r="N1245" i="19"/>
  <c r="N1243" i="19"/>
  <c r="N1236" i="19"/>
  <c r="N1234" i="19"/>
  <c r="N1232" i="19"/>
  <c r="N1229" i="19"/>
  <c r="N1226" i="19"/>
  <c r="N1223" i="19"/>
  <c r="O1267" i="19"/>
  <c r="O1258" i="19"/>
  <c r="O1249" i="19"/>
  <c r="O1247" i="19"/>
  <c r="O1240" i="19"/>
  <c r="O1238" i="19"/>
  <c r="O1230" i="19"/>
  <c r="O1227" i="19"/>
  <c r="O1224" i="19"/>
  <c r="O1221" i="19"/>
  <c r="O1218" i="19"/>
  <c r="O1216" i="19"/>
  <c r="O1273" i="19"/>
  <c r="O1272" i="19"/>
  <c r="O1271" i="19"/>
  <c r="O1270" i="19"/>
  <c r="O1269" i="19"/>
  <c r="O1268" i="19"/>
  <c r="O1266" i="19"/>
  <c r="O1265" i="19"/>
  <c r="O1264" i="19"/>
  <c r="O1263" i="19"/>
  <c r="O1262" i="19"/>
  <c r="O1261" i="19"/>
  <c r="O1260" i="19"/>
  <c r="O1259" i="19"/>
  <c r="O1257" i="19"/>
  <c r="O1256" i="19"/>
  <c r="O1255" i="19"/>
  <c r="O1254" i="19"/>
  <c r="O1253" i="19"/>
  <c r="O1252" i="19"/>
  <c r="O1251" i="19"/>
  <c r="O1250" i="19"/>
  <c r="O1248" i="19"/>
  <c r="O1246" i="19"/>
  <c r="O1245" i="19"/>
  <c r="O1244" i="19"/>
  <c r="O1243" i="19"/>
  <c r="O1242" i="19"/>
  <c r="O1241" i="19"/>
  <c r="O1239" i="19"/>
  <c r="O1237" i="19"/>
  <c r="O1236" i="19"/>
  <c r="O1235" i="19"/>
  <c r="O1234" i="19"/>
  <c r="O1233" i="19"/>
  <c r="O1232" i="19"/>
  <c r="O1231" i="19"/>
  <c r="O1229" i="19"/>
  <c r="O1228" i="19"/>
  <c r="O1226" i="19"/>
  <c r="O1225" i="19"/>
  <c r="O1223" i="19"/>
  <c r="O1222" i="19"/>
  <c r="O1220" i="19"/>
  <c r="O1219" i="19"/>
  <c r="O1217" i="19"/>
  <c r="N1216" i="19"/>
  <c r="N1273" i="19"/>
  <c r="N1271" i="19"/>
  <c r="N1270" i="19"/>
  <c r="N1269" i="19"/>
  <c r="N1268" i="19"/>
  <c r="N1267" i="19"/>
  <c r="N1266" i="19"/>
  <c r="N1265" i="19"/>
  <c r="N1264" i="19"/>
  <c r="N1262" i="19"/>
  <c r="N1261" i="19"/>
  <c r="N1260" i="19"/>
  <c r="N1259" i="19"/>
  <c r="N1258" i="19"/>
  <c r="N1257" i="19"/>
  <c r="N1256" i="19"/>
  <c r="N1255" i="19"/>
  <c r="N1253" i="19"/>
  <c r="N1251" i="19"/>
  <c r="N1250" i="19"/>
  <c r="N1249" i="19"/>
  <c r="N1248" i="19"/>
  <c r="N1247" i="19"/>
  <c r="N1246" i="19"/>
  <c r="N1244" i="19"/>
  <c r="N1242" i="19"/>
  <c r="N1241" i="19"/>
  <c r="N1240" i="19"/>
  <c r="N1239" i="19"/>
  <c r="N1238" i="19"/>
  <c r="N1237" i="19"/>
  <c r="N1235" i="19"/>
  <c r="N1233" i="19"/>
  <c r="N1231" i="19"/>
  <c r="N1230" i="19"/>
  <c r="N1228" i="19"/>
  <c r="N1227" i="19"/>
  <c r="N1225" i="19"/>
  <c r="N1224" i="19"/>
  <c r="N1222" i="19"/>
  <c r="N1221" i="19"/>
  <c r="N1219" i="19"/>
  <c r="N1218" i="19"/>
  <c r="E544" i="50"/>
  <c r="E527" i="50"/>
  <c r="E543" i="50" l="1"/>
  <c r="E550" i="50"/>
  <c r="E569" i="50"/>
  <c r="E562" i="50"/>
  <c r="E563" i="50"/>
  <c r="E677" i="50"/>
  <c r="E650" i="50"/>
  <c r="E663" i="50"/>
  <c r="G650" i="50"/>
  <c r="G663" i="50"/>
  <c r="G652" i="50"/>
  <c r="G665" i="50"/>
  <c r="E597" i="50"/>
  <c r="E679" i="50" s="1"/>
  <c r="E534" i="50"/>
  <c r="E535" i="50" s="1"/>
  <c r="E547" i="50" s="1"/>
  <c r="E572" i="50" l="1"/>
  <c r="E638" i="50" s="1"/>
  <c r="E612" i="50"/>
  <c r="E553" i="50"/>
  <c r="E632" i="50" s="1"/>
  <c r="E624" i="50"/>
  <c r="E616" i="50"/>
  <c r="E614" i="50"/>
  <c r="E626" i="50"/>
  <c r="E628" i="50"/>
  <c r="E618" i="50"/>
  <c r="E622" i="50"/>
  <c r="E620" i="50"/>
  <c r="E574" i="50"/>
  <c r="E640" i="50" s="1"/>
  <c r="E555" i="50"/>
  <c r="E634" i="50" s="1"/>
  <c r="E573" i="50"/>
  <c r="E639" i="50" s="1"/>
  <c r="E554" i="50"/>
  <c r="E633" i="50" s="1"/>
  <c r="E652" i="50"/>
  <c r="E665" i="50"/>
  <c r="E545" i="50"/>
  <c r="A1159" i="19" l="1"/>
  <c r="B1159" i="19"/>
  <c r="C1159" i="19"/>
  <c r="D1159" i="19"/>
  <c r="E1159" i="19"/>
  <c r="F1159" i="19"/>
  <c r="G1159" i="19"/>
  <c r="H1159" i="19"/>
  <c r="I1159" i="19"/>
  <c r="J1159" i="19"/>
  <c r="K1159" i="19"/>
  <c r="L1159" i="19"/>
  <c r="M1159" i="19"/>
  <c r="A1160" i="19"/>
  <c r="B1160" i="19"/>
  <c r="C1160" i="19"/>
  <c r="D1160" i="19"/>
  <c r="E1160" i="19"/>
  <c r="F1160" i="19"/>
  <c r="G1160" i="19"/>
  <c r="H1160" i="19"/>
  <c r="I1160" i="19"/>
  <c r="J1160" i="19"/>
  <c r="K1160" i="19"/>
  <c r="L1160" i="19"/>
  <c r="M1160" i="19"/>
  <c r="A1161" i="19"/>
  <c r="B1161" i="19"/>
  <c r="C1161" i="19"/>
  <c r="D1161" i="19"/>
  <c r="E1161" i="19"/>
  <c r="F1161" i="19"/>
  <c r="G1161" i="19"/>
  <c r="H1161" i="19"/>
  <c r="I1161" i="19"/>
  <c r="J1161" i="19"/>
  <c r="K1161" i="19"/>
  <c r="L1161" i="19"/>
  <c r="M1161" i="19"/>
  <c r="A1162" i="19"/>
  <c r="B1162" i="19"/>
  <c r="C1162" i="19"/>
  <c r="D1162" i="19"/>
  <c r="E1162" i="19"/>
  <c r="F1162" i="19"/>
  <c r="G1162" i="19"/>
  <c r="H1162" i="19"/>
  <c r="I1162" i="19"/>
  <c r="J1162" i="19"/>
  <c r="K1162" i="19"/>
  <c r="L1162" i="19"/>
  <c r="M1162" i="19"/>
  <c r="A1163" i="19"/>
  <c r="B1163" i="19"/>
  <c r="C1163" i="19"/>
  <c r="D1163" i="19"/>
  <c r="E1163" i="19"/>
  <c r="F1163" i="19"/>
  <c r="G1163" i="19"/>
  <c r="H1163" i="19"/>
  <c r="I1163" i="19"/>
  <c r="J1163" i="19"/>
  <c r="K1163" i="19"/>
  <c r="L1163" i="19"/>
  <c r="M1163" i="19"/>
  <c r="A1164" i="19"/>
  <c r="B1164" i="19"/>
  <c r="C1164" i="19"/>
  <c r="D1164" i="19"/>
  <c r="E1164" i="19"/>
  <c r="F1164" i="19"/>
  <c r="G1164" i="19"/>
  <c r="H1164" i="19"/>
  <c r="I1164" i="19"/>
  <c r="J1164" i="19"/>
  <c r="K1164" i="19"/>
  <c r="L1164" i="19"/>
  <c r="M1164" i="19"/>
  <c r="A1165" i="19"/>
  <c r="B1165" i="19"/>
  <c r="C1165" i="19"/>
  <c r="D1165" i="19"/>
  <c r="E1165" i="19"/>
  <c r="F1165" i="19"/>
  <c r="G1165" i="19"/>
  <c r="H1165" i="19"/>
  <c r="I1165" i="19"/>
  <c r="J1165" i="19"/>
  <c r="K1165" i="19"/>
  <c r="L1165" i="19"/>
  <c r="M1165" i="19"/>
  <c r="A1166" i="19"/>
  <c r="B1166" i="19"/>
  <c r="C1166" i="19"/>
  <c r="D1166" i="19"/>
  <c r="E1166" i="19"/>
  <c r="F1166" i="19"/>
  <c r="G1166" i="19"/>
  <c r="H1166" i="19"/>
  <c r="I1166" i="19"/>
  <c r="J1166" i="19"/>
  <c r="K1166" i="19"/>
  <c r="L1166" i="19"/>
  <c r="M1166" i="19"/>
  <c r="A1167" i="19"/>
  <c r="B1167" i="19"/>
  <c r="C1167" i="19"/>
  <c r="D1167" i="19"/>
  <c r="E1167" i="19"/>
  <c r="F1167" i="19"/>
  <c r="G1167" i="19"/>
  <c r="H1167" i="19"/>
  <c r="I1167" i="19"/>
  <c r="J1167" i="19"/>
  <c r="K1167" i="19"/>
  <c r="L1167" i="19"/>
  <c r="M1167" i="19"/>
  <c r="A1168" i="19"/>
  <c r="B1168" i="19"/>
  <c r="C1168" i="19"/>
  <c r="D1168" i="19"/>
  <c r="E1168" i="19"/>
  <c r="F1168" i="19"/>
  <c r="G1168" i="19"/>
  <c r="H1168" i="19"/>
  <c r="I1168" i="19"/>
  <c r="J1168" i="19"/>
  <c r="K1168" i="19"/>
  <c r="L1168" i="19"/>
  <c r="M1168" i="19"/>
  <c r="A1169" i="19"/>
  <c r="B1169" i="19"/>
  <c r="C1169" i="19"/>
  <c r="D1169" i="19"/>
  <c r="E1169" i="19"/>
  <c r="F1169" i="19"/>
  <c r="G1169" i="19"/>
  <c r="H1169" i="19"/>
  <c r="I1169" i="19"/>
  <c r="J1169" i="19"/>
  <c r="K1169" i="19"/>
  <c r="L1169" i="19"/>
  <c r="M1169" i="19"/>
  <c r="A1170" i="19"/>
  <c r="B1170" i="19"/>
  <c r="C1170" i="19"/>
  <c r="D1170" i="19"/>
  <c r="E1170" i="19"/>
  <c r="F1170" i="19"/>
  <c r="G1170" i="19"/>
  <c r="H1170" i="19"/>
  <c r="I1170" i="19"/>
  <c r="J1170" i="19"/>
  <c r="K1170" i="19"/>
  <c r="L1170" i="19"/>
  <c r="M1170" i="19"/>
  <c r="A1171" i="19"/>
  <c r="B1171" i="19"/>
  <c r="C1171" i="19"/>
  <c r="D1171" i="19"/>
  <c r="E1171" i="19"/>
  <c r="F1171" i="19"/>
  <c r="G1171" i="19"/>
  <c r="H1171" i="19"/>
  <c r="I1171" i="19"/>
  <c r="J1171" i="19"/>
  <c r="K1171" i="19"/>
  <c r="L1171" i="19"/>
  <c r="M1171" i="19"/>
  <c r="A1172" i="19"/>
  <c r="B1172" i="19"/>
  <c r="C1172" i="19"/>
  <c r="D1172" i="19"/>
  <c r="E1172" i="19"/>
  <c r="F1172" i="19"/>
  <c r="G1172" i="19"/>
  <c r="H1172" i="19"/>
  <c r="I1172" i="19"/>
  <c r="J1172" i="19"/>
  <c r="K1172" i="19"/>
  <c r="L1172" i="19"/>
  <c r="M1172" i="19"/>
  <c r="A1173" i="19"/>
  <c r="B1173" i="19"/>
  <c r="C1173" i="19"/>
  <c r="D1173" i="19"/>
  <c r="E1173" i="19"/>
  <c r="F1173" i="19"/>
  <c r="G1173" i="19"/>
  <c r="H1173" i="19"/>
  <c r="I1173" i="19"/>
  <c r="J1173" i="19"/>
  <c r="K1173" i="19"/>
  <c r="L1173" i="19"/>
  <c r="M1173" i="19"/>
  <c r="A1174" i="19"/>
  <c r="B1174" i="19"/>
  <c r="C1174" i="19"/>
  <c r="D1174" i="19"/>
  <c r="E1174" i="19"/>
  <c r="F1174" i="19"/>
  <c r="G1174" i="19"/>
  <c r="H1174" i="19"/>
  <c r="I1174" i="19"/>
  <c r="J1174" i="19"/>
  <c r="K1174" i="19"/>
  <c r="L1174" i="19"/>
  <c r="M1174" i="19"/>
  <c r="A1175" i="19"/>
  <c r="B1175" i="19"/>
  <c r="C1175" i="19"/>
  <c r="D1175" i="19"/>
  <c r="E1175" i="19"/>
  <c r="F1175" i="19"/>
  <c r="G1175" i="19"/>
  <c r="H1175" i="19"/>
  <c r="I1175" i="19"/>
  <c r="J1175" i="19"/>
  <c r="K1175" i="19"/>
  <c r="L1175" i="19"/>
  <c r="M1175" i="19"/>
  <c r="A1176" i="19"/>
  <c r="B1176" i="19"/>
  <c r="C1176" i="19"/>
  <c r="D1176" i="19"/>
  <c r="E1176" i="19"/>
  <c r="F1176" i="19"/>
  <c r="G1176" i="19"/>
  <c r="H1176" i="19"/>
  <c r="I1176" i="19"/>
  <c r="J1176" i="19"/>
  <c r="K1176" i="19"/>
  <c r="L1176" i="19"/>
  <c r="M1176" i="19"/>
  <c r="A1177" i="19"/>
  <c r="B1177" i="19"/>
  <c r="C1177" i="19"/>
  <c r="D1177" i="19"/>
  <c r="E1177" i="19"/>
  <c r="F1177" i="19"/>
  <c r="G1177" i="19"/>
  <c r="H1177" i="19"/>
  <c r="I1177" i="19"/>
  <c r="J1177" i="19"/>
  <c r="K1177" i="19"/>
  <c r="L1177" i="19"/>
  <c r="M1177" i="19"/>
  <c r="A1178" i="19"/>
  <c r="B1178" i="19"/>
  <c r="C1178" i="19"/>
  <c r="D1178" i="19"/>
  <c r="E1178" i="19"/>
  <c r="F1178" i="19"/>
  <c r="G1178" i="19"/>
  <c r="H1178" i="19"/>
  <c r="I1178" i="19"/>
  <c r="J1178" i="19"/>
  <c r="K1178" i="19"/>
  <c r="L1178" i="19"/>
  <c r="M1178" i="19"/>
  <c r="A1179" i="19"/>
  <c r="B1179" i="19"/>
  <c r="C1179" i="19"/>
  <c r="D1179" i="19"/>
  <c r="E1179" i="19"/>
  <c r="F1179" i="19"/>
  <c r="G1179" i="19"/>
  <c r="H1179" i="19"/>
  <c r="I1179" i="19"/>
  <c r="J1179" i="19"/>
  <c r="K1179" i="19"/>
  <c r="L1179" i="19"/>
  <c r="M1179" i="19"/>
  <c r="A1180" i="19"/>
  <c r="B1180" i="19"/>
  <c r="C1180" i="19"/>
  <c r="D1180" i="19"/>
  <c r="E1180" i="19"/>
  <c r="F1180" i="19"/>
  <c r="G1180" i="19"/>
  <c r="H1180" i="19"/>
  <c r="I1180" i="19"/>
  <c r="J1180" i="19"/>
  <c r="K1180" i="19"/>
  <c r="L1180" i="19"/>
  <c r="M1180" i="19"/>
  <c r="A1181" i="19"/>
  <c r="B1181" i="19"/>
  <c r="C1181" i="19"/>
  <c r="D1181" i="19"/>
  <c r="E1181" i="19"/>
  <c r="F1181" i="19"/>
  <c r="G1181" i="19"/>
  <c r="H1181" i="19"/>
  <c r="I1181" i="19"/>
  <c r="J1181" i="19"/>
  <c r="K1181" i="19"/>
  <c r="L1181" i="19"/>
  <c r="M1181" i="19"/>
  <c r="A1182" i="19"/>
  <c r="B1182" i="19"/>
  <c r="C1182" i="19"/>
  <c r="D1182" i="19"/>
  <c r="E1182" i="19"/>
  <c r="F1182" i="19"/>
  <c r="G1182" i="19"/>
  <c r="H1182" i="19"/>
  <c r="I1182" i="19"/>
  <c r="J1182" i="19"/>
  <c r="K1182" i="19"/>
  <c r="L1182" i="19"/>
  <c r="M1182" i="19"/>
  <c r="A1183" i="19"/>
  <c r="B1183" i="19"/>
  <c r="C1183" i="19"/>
  <c r="D1183" i="19"/>
  <c r="E1183" i="19"/>
  <c r="F1183" i="19"/>
  <c r="G1183" i="19"/>
  <c r="H1183" i="19"/>
  <c r="I1183" i="19"/>
  <c r="J1183" i="19"/>
  <c r="K1183" i="19"/>
  <c r="L1183" i="19"/>
  <c r="M1183" i="19"/>
  <c r="A1184" i="19"/>
  <c r="B1184" i="19"/>
  <c r="C1184" i="19"/>
  <c r="D1184" i="19"/>
  <c r="E1184" i="19"/>
  <c r="F1184" i="19"/>
  <c r="G1184" i="19"/>
  <c r="H1184" i="19"/>
  <c r="I1184" i="19"/>
  <c r="J1184" i="19"/>
  <c r="K1184" i="19"/>
  <c r="L1184" i="19"/>
  <c r="M1184" i="19"/>
  <c r="A1185" i="19"/>
  <c r="B1185" i="19"/>
  <c r="C1185" i="19"/>
  <c r="D1185" i="19"/>
  <c r="E1185" i="19"/>
  <c r="F1185" i="19"/>
  <c r="G1185" i="19"/>
  <c r="H1185" i="19"/>
  <c r="I1185" i="19"/>
  <c r="J1185" i="19"/>
  <c r="K1185" i="19"/>
  <c r="L1185" i="19"/>
  <c r="M1185" i="19"/>
  <c r="A1186" i="19"/>
  <c r="B1186" i="19"/>
  <c r="C1186" i="19"/>
  <c r="D1186" i="19"/>
  <c r="E1186" i="19"/>
  <c r="F1186" i="19"/>
  <c r="G1186" i="19"/>
  <c r="H1186" i="19"/>
  <c r="I1186" i="19"/>
  <c r="J1186" i="19"/>
  <c r="K1186" i="19"/>
  <c r="L1186" i="19"/>
  <c r="M1186" i="19"/>
  <c r="A1187" i="19"/>
  <c r="B1187" i="19"/>
  <c r="C1187" i="19"/>
  <c r="D1187" i="19"/>
  <c r="E1187" i="19"/>
  <c r="F1187" i="19"/>
  <c r="G1187" i="19"/>
  <c r="H1187" i="19"/>
  <c r="I1187" i="19"/>
  <c r="J1187" i="19"/>
  <c r="K1187" i="19"/>
  <c r="L1187" i="19"/>
  <c r="M1187" i="19"/>
  <c r="A1188" i="19"/>
  <c r="B1188" i="19"/>
  <c r="C1188" i="19"/>
  <c r="D1188" i="19"/>
  <c r="E1188" i="19"/>
  <c r="F1188" i="19"/>
  <c r="G1188" i="19"/>
  <c r="H1188" i="19"/>
  <c r="I1188" i="19"/>
  <c r="J1188" i="19"/>
  <c r="K1188" i="19"/>
  <c r="L1188" i="19"/>
  <c r="M1188" i="19"/>
  <c r="A1189" i="19"/>
  <c r="B1189" i="19"/>
  <c r="C1189" i="19"/>
  <c r="D1189" i="19"/>
  <c r="E1189" i="19"/>
  <c r="F1189" i="19"/>
  <c r="G1189" i="19"/>
  <c r="H1189" i="19"/>
  <c r="I1189" i="19"/>
  <c r="J1189" i="19"/>
  <c r="K1189" i="19"/>
  <c r="L1189" i="19"/>
  <c r="M1189" i="19"/>
  <c r="A1190" i="19"/>
  <c r="B1190" i="19"/>
  <c r="C1190" i="19"/>
  <c r="D1190" i="19"/>
  <c r="E1190" i="19"/>
  <c r="F1190" i="19"/>
  <c r="G1190" i="19"/>
  <c r="H1190" i="19"/>
  <c r="I1190" i="19"/>
  <c r="J1190" i="19"/>
  <c r="K1190" i="19"/>
  <c r="L1190" i="19"/>
  <c r="M1190" i="19"/>
  <c r="A1191" i="19"/>
  <c r="B1191" i="19"/>
  <c r="C1191" i="19"/>
  <c r="D1191" i="19"/>
  <c r="E1191" i="19"/>
  <c r="F1191" i="19"/>
  <c r="G1191" i="19"/>
  <c r="H1191" i="19"/>
  <c r="I1191" i="19"/>
  <c r="J1191" i="19"/>
  <c r="K1191" i="19"/>
  <c r="L1191" i="19"/>
  <c r="M1191" i="19"/>
  <c r="A1192" i="19"/>
  <c r="B1192" i="19"/>
  <c r="C1192" i="19"/>
  <c r="D1192" i="19"/>
  <c r="E1192" i="19"/>
  <c r="F1192" i="19"/>
  <c r="G1192" i="19"/>
  <c r="H1192" i="19"/>
  <c r="I1192" i="19"/>
  <c r="J1192" i="19"/>
  <c r="K1192" i="19"/>
  <c r="L1192" i="19"/>
  <c r="M1192" i="19"/>
  <c r="A1193" i="19"/>
  <c r="B1193" i="19"/>
  <c r="C1193" i="19"/>
  <c r="D1193" i="19"/>
  <c r="E1193" i="19"/>
  <c r="F1193" i="19"/>
  <c r="G1193" i="19"/>
  <c r="H1193" i="19"/>
  <c r="I1193" i="19"/>
  <c r="J1193" i="19"/>
  <c r="K1193" i="19"/>
  <c r="L1193" i="19"/>
  <c r="M1193" i="19"/>
  <c r="A1194" i="19"/>
  <c r="B1194" i="19"/>
  <c r="C1194" i="19"/>
  <c r="D1194" i="19"/>
  <c r="E1194" i="19"/>
  <c r="F1194" i="19"/>
  <c r="G1194" i="19"/>
  <c r="H1194" i="19"/>
  <c r="I1194" i="19"/>
  <c r="J1194" i="19"/>
  <c r="K1194" i="19"/>
  <c r="L1194" i="19"/>
  <c r="M1194" i="19"/>
  <c r="A1195" i="19"/>
  <c r="B1195" i="19"/>
  <c r="C1195" i="19"/>
  <c r="D1195" i="19"/>
  <c r="E1195" i="19"/>
  <c r="F1195" i="19"/>
  <c r="G1195" i="19"/>
  <c r="H1195" i="19"/>
  <c r="I1195" i="19"/>
  <c r="J1195" i="19"/>
  <c r="K1195" i="19"/>
  <c r="L1195" i="19"/>
  <c r="M1195" i="19"/>
  <c r="A1196" i="19"/>
  <c r="B1196" i="19"/>
  <c r="C1196" i="19"/>
  <c r="D1196" i="19"/>
  <c r="E1196" i="19"/>
  <c r="F1196" i="19"/>
  <c r="G1196" i="19"/>
  <c r="H1196" i="19"/>
  <c r="I1196" i="19"/>
  <c r="J1196" i="19"/>
  <c r="K1196" i="19"/>
  <c r="L1196" i="19"/>
  <c r="M1196" i="19"/>
  <c r="A1197" i="19"/>
  <c r="B1197" i="19"/>
  <c r="C1197" i="19"/>
  <c r="D1197" i="19"/>
  <c r="E1197" i="19"/>
  <c r="F1197" i="19"/>
  <c r="G1197" i="19"/>
  <c r="H1197" i="19"/>
  <c r="I1197" i="19"/>
  <c r="J1197" i="19"/>
  <c r="K1197" i="19"/>
  <c r="L1197" i="19"/>
  <c r="M1197" i="19"/>
  <c r="A1198" i="19"/>
  <c r="B1198" i="19"/>
  <c r="C1198" i="19"/>
  <c r="D1198" i="19"/>
  <c r="E1198" i="19"/>
  <c r="F1198" i="19"/>
  <c r="G1198" i="19"/>
  <c r="H1198" i="19"/>
  <c r="I1198" i="19"/>
  <c r="J1198" i="19"/>
  <c r="K1198" i="19"/>
  <c r="L1198" i="19"/>
  <c r="M1198" i="19"/>
  <c r="A1199" i="19"/>
  <c r="B1199" i="19"/>
  <c r="C1199" i="19"/>
  <c r="D1199" i="19"/>
  <c r="E1199" i="19"/>
  <c r="F1199" i="19"/>
  <c r="G1199" i="19"/>
  <c r="H1199" i="19"/>
  <c r="I1199" i="19"/>
  <c r="J1199" i="19"/>
  <c r="K1199" i="19"/>
  <c r="L1199" i="19"/>
  <c r="M1199" i="19"/>
  <c r="A1200" i="19"/>
  <c r="B1200" i="19"/>
  <c r="C1200" i="19"/>
  <c r="D1200" i="19"/>
  <c r="E1200" i="19"/>
  <c r="F1200" i="19"/>
  <c r="G1200" i="19"/>
  <c r="H1200" i="19"/>
  <c r="I1200" i="19"/>
  <c r="J1200" i="19"/>
  <c r="K1200" i="19"/>
  <c r="L1200" i="19"/>
  <c r="M1200" i="19"/>
  <c r="A1201" i="19"/>
  <c r="B1201" i="19"/>
  <c r="C1201" i="19"/>
  <c r="D1201" i="19"/>
  <c r="E1201" i="19"/>
  <c r="F1201" i="19"/>
  <c r="G1201" i="19"/>
  <c r="H1201" i="19"/>
  <c r="I1201" i="19"/>
  <c r="J1201" i="19"/>
  <c r="K1201" i="19"/>
  <c r="L1201" i="19"/>
  <c r="M1201" i="19"/>
  <c r="A1202" i="19"/>
  <c r="B1202" i="19"/>
  <c r="C1202" i="19"/>
  <c r="D1202" i="19"/>
  <c r="E1202" i="19"/>
  <c r="F1202" i="19"/>
  <c r="G1202" i="19"/>
  <c r="H1202" i="19"/>
  <c r="I1202" i="19"/>
  <c r="J1202" i="19"/>
  <c r="K1202" i="19"/>
  <c r="L1202" i="19"/>
  <c r="M1202" i="19"/>
  <c r="A1203" i="19"/>
  <c r="B1203" i="19"/>
  <c r="C1203" i="19"/>
  <c r="D1203" i="19"/>
  <c r="E1203" i="19"/>
  <c r="F1203" i="19"/>
  <c r="G1203" i="19"/>
  <c r="H1203" i="19"/>
  <c r="I1203" i="19"/>
  <c r="J1203" i="19"/>
  <c r="K1203" i="19"/>
  <c r="L1203" i="19"/>
  <c r="M1203" i="19"/>
  <c r="A1204" i="19"/>
  <c r="B1204" i="19"/>
  <c r="C1204" i="19"/>
  <c r="D1204" i="19"/>
  <c r="E1204" i="19"/>
  <c r="F1204" i="19"/>
  <c r="G1204" i="19"/>
  <c r="H1204" i="19"/>
  <c r="I1204" i="19"/>
  <c r="J1204" i="19"/>
  <c r="K1204" i="19"/>
  <c r="L1204" i="19"/>
  <c r="M1204" i="19"/>
  <c r="A1205" i="19"/>
  <c r="B1205" i="19"/>
  <c r="C1205" i="19"/>
  <c r="D1205" i="19"/>
  <c r="E1205" i="19"/>
  <c r="F1205" i="19"/>
  <c r="G1205" i="19"/>
  <c r="H1205" i="19"/>
  <c r="I1205" i="19"/>
  <c r="J1205" i="19"/>
  <c r="K1205" i="19"/>
  <c r="L1205" i="19"/>
  <c r="M1205" i="19"/>
  <c r="A1206" i="19"/>
  <c r="B1206" i="19"/>
  <c r="C1206" i="19"/>
  <c r="D1206" i="19"/>
  <c r="E1206" i="19"/>
  <c r="F1206" i="19"/>
  <c r="G1206" i="19"/>
  <c r="H1206" i="19"/>
  <c r="I1206" i="19"/>
  <c r="J1206" i="19"/>
  <c r="K1206" i="19"/>
  <c r="L1206" i="19"/>
  <c r="M1206" i="19"/>
  <c r="A1207" i="19"/>
  <c r="B1207" i="19"/>
  <c r="C1207" i="19"/>
  <c r="D1207" i="19"/>
  <c r="E1207" i="19"/>
  <c r="F1207" i="19"/>
  <c r="G1207" i="19"/>
  <c r="H1207" i="19"/>
  <c r="I1207" i="19"/>
  <c r="J1207" i="19"/>
  <c r="K1207" i="19"/>
  <c r="L1207" i="19"/>
  <c r="M1207" i="19"/>
  <c r="A1208" i="19"/>
  <c r="B1208" i="19"/>
  <c r="C1208" i="19"/>
  <c r="D1208" i="19"/>
  <c r="E1208" i="19"/>
  <c r="F1208" i="19"/>
  <c r="G1208" i="19"/>
  <c r="H1208" i="19"/>
  <c r="I1208" i="19"/>
  <c r="J1208" i="19"/>
  <c r="K1208" i="19"/>
  <c r="L1208" i="19"/>
  <c r="M1208" i="19"/>
  <c r="A1209" i="19"/>
  <c r="B1209" i="19"/>
  <c r="C1209" i="19"/>
  <c r="D1209" i="19"/>
  <c r="E1209" i="19"/>
  <c r="F1209" i="19"/>
  <c r="G1209" i="19"/>
  <c r="H1209" i="19"/>
  <c r="I1209" i="19"/>
  <c r="J1209" i="19"/>
  <c r="K1209" i="19"/>
  <c r="L1209" i="19"/>
  <c r="M1209" i="19"/>
  <c r="A1210" i="19"/>
  <c r="B1210" i="19"/>
  <c r="C1210" i="19"/>
  <c r="D1210" i="19"/>
  <c r="E1210" i="19"/>
  <c r="F1210" i="19"/>
  <c r="G1210" i="19"/>
  <c r="H1210" i="19"/>
  <c r="I1210" i="19"/>
  <c r="J1210" i="19"/>
  <c r="K1210" i="19"/>
  <c r="L1210" i="19"/>
  <c r="M1210" i="19"/>
  <c r="A1211" i="19"/>
  <c r="B1211" i="19"/>
  <c r="C1211" i="19"/>
  <c r="D1211" i="19"/>
  <c r="E1211" i="19"/>
  <c r="F1211" i="19"/>
  <c r="G1211" i="19"/>
  <c r="H1211" i="19"/>
  <c r="I1211" i="19"/>
  <c r="J1211" i="19"/>
  <c r="K1211" i="19"/>
  <c r="L1211" i="19"/>
  <c r="M1211" i="19"/>
  <c r="A1212" i="19"/>
  <c r="B1212" i="19"/>
  <c r="C1212" i="19"/>
  <c r="D1212" i="19"/>
  <c r="E1212" i="19"/>
  <c r="F1212" i="19"/>
  <c r="G1212" i="19"/>
  <c r="H1212" i="19"/>
  <c r="I1212" i="19"/>
  <c r="J1212" i="19"/>
  <c r="K1212" i="19"/>
  <c r="L1212" i="19"/>
  <c r="M1212" i="19"/>
  <c r="A1213" i="19"/>
  <c r="B1213" i="19"/>
  <c r="C1213" i="19"/>
  <c r="D1213" i="19"/>
  <c r="E1213" i="19"/>
  <c r="F1213" i="19"/>
  <c r="G1213" i="19"/>
  <c r="H1213" i="19"/>
  <c r="I1213" i="19"/>
  <c r="J1213" i="19"/>
  <c r="K1213" i="19"/>
  <c r="L1213" i="19"/>
  <c r="M1213" i="19"/>
  <c r="A1214" i="19"/>
  <c r="B1214" i="19"/>
  <c r="C1214" i="19"/>
  <c r="D1214" i="19"/>
  <c r="E1214" i="19"/>
  <c r="F1214" i="19"/>
  <c r="G1214" i="19"/>
  <c r="H1214" i="19"/>
  <c r="I1214" i="19"/>
  <c r="J1214" i="19"/>
  <c r="K1214" i="19"/>
  <c r="L1214" i="19"/>
  <c r="M1214" i="19"/>
  <c r="A1215" i="19"/>
  <c r="B1215" i="19"/>
  <c r="C1215" i="19"/>
  <c r="D1215" i="19"/>
  <c r="E1215" i="19"/>
  <c r="F1215" i="19"/>
  <c r="G1215" i="19"/>
  <c r="H1215" i="19"/>
  <c r="I1215" i="19"/>
  <c r="J1215" i="19"/>
  <c r="K1215" i="19"/>
  <c r="L1215" i="19"/>
  <c r="M1215" i="19"/>
  <c r="I1158" i="19"/>
  <c r="J1158" i="19"/>
  <c r="K1158" i="19"/>
  <c r="L1158" i="19"/>
  <c r="M1158" i="19"/>
  <c r="H1158" i="19"/>
  <c r="G1158" i="19"/>
  <c r="F1158" i="19"/>
  <c r="E1158" i="19"/>
  <c r="D1158" i="19"/>
  <c r="C1158" i="19"/>
  <c r="B1158" i="19"/>
  <c r="A1158"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F812" i="20"/>
  <c r="G812" i="20"/>
  <c r="H812" i="20"/>
  <c r="I812" i="20"/>
  <c r="J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I21" i="50" l="1"/>
  <c r="L21" i="50" s="1"/>
  <c r="D897" i="20" s="1"/>
  <c r="G275" i="50"/>
  <c r="I215" i="50"/>
  <c r="I238" i="50"/>
  <c r="I201" i="50"/>
  <c r="G247" i="50"/>
  <c r="G225" i="50"/>
  <c r="I234" i="50"/>
  <c r="I197" i="50"/>
  <c r="G244" i="50"/>
  <c r="I272" i="50"/>
  <c r="I231" i="50"/>
  <c r="I266" i="50"/>
  <c r="G217" i="50"/>
  <c r="G252" i="50"/>
  <c r="G263" i="50"/>
  <c r="I203" i="50"/>
  <c r="I226" i="50"/>
  <c r="G237" i="50"/>
  <c r="G235" i="50"/>
  <c r="I212" i="50"/>
  <c r="I222" i="50"/>
  <c r="I269" i="50"/>
  <c r="G232" i="50"/>
  <c r="G279" i="50"/>
  <c r="I219" i="50"/>
  <c r="I254" i="50"/>
  <c r="G205" i="50"/>
  <c r="G240" i="50"/>
  <c r="G251" i="50"/>
  <c r="G274" i="50"/>
  <c r="I214" i="50"/>
  <c r="G272" i="50"/>
  <c r="G223" i="50"/>
  <c r="G270" i="50"/>
  <c r="I210" i="50"/>
  <c r="I257" i="50"/>
  <c r="G220" i="50"/>
  <c r="G267" i="50"/>
  <c r="I207" i="50"/>
  <c r="I242" i="50"/>
  <c r="I277" i="50"/>
  <c r="G228" i="50"/>
  <c r="G239" i="50"/>
  <c r="G262" i="50"/>
  <c r="I202" i="50"/>
  <c r="G260" i="50"/>
  <c r="G211" i="50"/>
  <c r="G258" i="50"/>
  <c r="I198" i="50"/>
  <c r="I245" i="50"/>
  <c r="G208" i="50"/>
  <c r="G255" i="50"/>
  <c r="G200" i="50"/>
  <c r="I230" i="50"/>
  <c r="I265" i="50"/>
  <c r="G216" i="50"/>
  <c r="G227" i="50"/>
  <c r="G250" i="50"/>
  <c r="G273" i="50"/>
  <c r="G248" i="50"/>
  <c r="G199" i="50"/>
  <c r="G246" i="50"/>
  <c r="G224" i="50"/>
  <c r="I233" i="50"/>
  <c r="I280" i="50"/>
  <c r="G243" i="50"/>
  <c r="G278" i="50"/>
  <c r="I218" i="50"/>
  <c r="I253" i="50"/>
  <c r="G204" i="50"/>
  <c r="G215" i="50"/>
  <c r="G238" i="50"/>
  <c r="G261" i="50"/>
  <c r="G236" i="50"/>
  <c r="I271" i="50"/>
  <c r="G234" i="50"/>
  <c r="G197" i="50"/>
  <c r="I221" i="50"/>
  <c r="I268" i="50"/>
  <c r="G231" i="50"/>
  <c r="G266" i="50"/>
  <c r="I206" i="50"/>
  <c r="I241" i="50"/>
  <c r="I276" i="50"/>
  <c r="G203" i="50"/>
  <c r="G226" i="50"/>
  <c r="I273" i="50"/>
  <c r="G212" i="50"/>
  <c r="I259" i="50"/>
  <c r="G222" i="50"/>
  <c r="G269" i="50"/>
  <c r="I209" i="50"/>
  <c r="I256" i="50"/>
  <c r="G219" i="50"/>
  <c r="G254" i="50"/>
  <c r="I248" i="50"/>
  <c r="I229" i="50"/>
  <c r="I264" i="50"/>
  <c r="I275" i="50"/>
  <c r="G214" i="50"/>
  <c r="I261" i="50"/>
  <c r="I200" i="50"/>
  <c r="I247" i="50"/>
  <c r="G210" i="50"/>
  <c r="G257" i="50"/>
  <c r="G201" i="50"/>
  <c r="I244" i="50"/>
  <c r="G207" i="50"/>
  <c r="G242" i="50"/>
  <c r="G277" i="50"/>
  <c r="I217" i="50"/>
  <c r="I252" i="50"/>
  <c r="I263" i="50"/>
  <c r="G202" i="50"/>
  <c r="I249" i="50"/>
  <c r="G213" i="50"/>
  <c r="I235" i="50"/>
  <c r="G198" i="50"/>
  <c r="G245" i="50"/>
  <c r="I260" i="50"/>
  <c r="I232" i="50"/>
  <c r="I279" i="50"/>
  <c r="G230" i="50"/>
  <c r="G265" i="50"/>
  <c r="I205" i="50"/>
  <c r="I240" i="50"/>
  <c r="I251" i="50"/>
  <c r="I274" i="50"/>
  <c r="I237" i="50"/>
  <c r="I224" i="50"/>
  <c r="I223" i="50"/>
  <c r="I270" i="50"/>
  <c r="G233" i="50"/>
  <c r="G280" i="50"/>
  <c r="I220" i="50"/>
  <c r="I267" i="50"/>
  <c r="G218" i="50"/>
  <c r="G253" i="50"/>
  <c r="I236" i="50"/>
  <c r="I228" i="50"/>
  <c r="I239" i="50"/>
  <c r="I262" i="50"/>
  <c r="I225" i="50"/>
  <c r="G271" i="50"/>
  <c r="I211" i="50"/>
  <c r="I258" i="50"/>
  <c r="G221" i="50"/>
  <c r="G268" i="50"/>
  <c r="I208" i="50"/>
  <c r="I255" i="50"/>
  <c r="G206" i="50"/>
  <c r="G241" i="50"/>
  <c r="G276" i="50"/>
  <c r="I216" i="50"/>
  <c r="I227" i="50"/>
  <c r="I250" i="50"/>
  <c r="I213" i="50"/>
  <c r="G259" i="50"/>
  <c r="I199" i="50"/>
  <c r="I246" i="50"/>
  <c r="G209" i="50"/>
  <c r="G256" i="50"/>
  <c r="G249" i="50"/>
  <c r="I243" i="50"/>
  <c r="I278" i="50"/>
  <c r="G229" i="50"/>
  <c r="G264" i="50"/>
  <c r="I204" i="50"/>
  <c r="F273" i="50"/>
  <c r="D78" i="52" s="1"/>
  <c r="H213" i="50"/>
  <c r="H236" i="50"/>
  <c r="H259" i="50"/>
  <c r="F198" i="50"/>
  <c r="D3" i="52" s="1"/>
  <c r="F233" i="50"/>
  <c r="D38" i="52" s="1"/>
  <c r="F256" i="50"/>
  <c r="D61" i="52" s="1"/>
  <c r="F279" i="50"/>
  <c r="D84" i="52" s="1"/>
  <c r="H219" i="50"/>
  <c r="H242" i="50"/>
  <c r="H265" i="50"/>
  <c r="F204" i="50"/>
  <c r="D9" i="52" s="1"/>
  <c r="F227" i="50"/>
  <c r="D32" i="52" s="1"/>
  <c r="F250" i="50"/>
  <c r="D55" i="52" s="1"/>
  <c r="F261" i="50"/>
  <c r="D66" i="52" s="1"/>
  <c r="H201" i="50"/>
  <c r="H224" i="50"/>
  <c r="H247" i="50"/>
  <c r="H270" i="50"/>
  <c r="F221" i="50"/>
  <c r="D26" i="52" s="1"/>
  <c r="F244" i="50"/>
  <c r="D49" i="52" s="1"/>
  <c r="F267" i="50"/>
  <c r="D72" i="52" s="1"/>
  <c r="H207" i="50"/>
  <c r="H230" i="50"/>
  <c r="H253" i="50"/>
  <c r="H276" i="50"/>
  <c r="F215" i="50"/>
  <c r="D20" i="52" s="1"/>
  <c r="F238" i="50"/>
  <c r="D43" i="52" s="1"/>
  <c r="F249" i="50"/>
  <c r="D54" i="52" s="1"/>
  <c r="F272" i="50"/>
  <c r="D77" i="52" s="1"/>
  <c r="H212" i="50"/>
  <c r="H235" i="50"/>
  <c r="H258" i="50"/>
  <c r="F209" i="50"/>
  <c r="D14" i="52" s="1"/>
  <c r="F232" i="50"/>
  <c r="D37" i="52" s="1"/>
  <c r="F255" i="50"/>
  <c r="D60" i="52" s="1"/>
  <c r="F278" i="50"/>
  <c r="D83" i="52" s="1"/>
  <c r="H218" i="50"/>
  <c r="H241" i="50"/>
  <c r="H264" i="50"/>
  <c r="F203" i="50"/>
  <c r="D8" i="52" s="1"/>
  <c r="F226" i="50"/>
  <c r="D31" i="52" s="1"/>
  <c r="F237" i="50"/>
  <c r="D42" i="52" s="1"/>
  <c r="F260" i="50"/>
  <c r="D65" i="52" s="1"/>
  <c r="H200" i="50"/>
  <c r="H223" i="50"/>
  <c r="H246" i="50"/>
  <c r="H197" i="50"/>
  <c r="F220" i="50"/>
  <c r="D25" i="52" s="1"/>
  <c r="F243" i="50"/>
  <c r="D48" i="52" s="1"/>
  <c r="F266" i="50"/>
  <c r="D71" i="52" s="1"/>
  <c r="H206" i="50"/>
  <c r="H229" i="50"/>
  <c r="H252" i="50"/>
  <c r="H275" i="50"/>
  <c r="F214" i="50"/>
  <c r="D19" i="52" s="1"/>
  <c r="F225" i="50"/>
  <c r="D30" i="52" s="1"/>
  <c r="F248" i="50"/>
  <c r="D53" i="52" s="1"/>
  <c r="F271" i="50"/>
  <c r="D76" i="52" s="1"/>
  <c r="H211" i="50"/>
  <c r="H234" i="50"/>
  <c r="H269" i="50"/>
  <c r="F208" i="50"/>
  <c r="D13" i="52" s="1"/>
  <c r="F231" i="50"/>
  <c r="D36" i="52" s="1"/>
  <c r="F254" i="50"/>
  <c r="D59" i="52" s="1"/>
  <c r="F277" i="50"/>
  <c r="D82" i="52" s="1"/>
  <c r="H217" i="50"/>
  <c r="H240" i="50"/>
  <c r="H263" i="50"/>
  <c r="F202" i="50"/>
  <c r="D7" i="52" s="1"/>
  <c r="F213" i="50"/>
  <c r="D18" i="52" s="1"/>
  <c r="F236" i="50"/>
  <c r="D41" i="52" s="1"/>
  <c r="F259" i="50"/>
  <c r="D64" i="52" s="1"/>
  <c r="H199" i="50"/>
  <c r="H222" i="50"/>
  <c r="H257" i="50"/>
  <c r="H280" i="50"/>
  <c r="F219" i="50"/>
  <c r="D24" i="52" s="1"/>
  <c r="F242" i="50"/>
  <c r="D47" i="52" s="1"/>
  <c r="F265" i="50"/>
  <c r="D70" i="52" s="1"/>
  <c r="H205" i="50"/>
  <c r="H228" i="50"/>
  <c r="H251" i="50"/>
  <c r="H274" i="50"/>
  <c r="F201" i="50"/>
  <c r="D6" i="52" s="1"/>
  <c r="F224" i="50"/>
  <c r="D29" i="52" s="1"/>
  <c r="F247" i="50"/>
  <c r="D52" i="52" s="1"/>
  <c r="F270" i="50"/>
  <c r="D75" i="52" s="1"/>
  <c r="H210" i="50"/>
  <c r="H245" i="50"/>
  <c r="H268" i="50"/>
  <c r="F207" i="50"/>
  <c r="D12" i="52" s="1"/>
  <c r="F230" i="50"/>
  <c r="D35" i="52" s="1"/>
  <c r="F253" i="50"/>
  <c r="D58" i="52" s="1"/>
  <c r="F276" i="50"/>
  <c r="D81" i="52" s="1"/>
  <c r="H216" i="50"/>
  <c r="H239" i="50"/>
  <c r="H262" i="50"/>
  <c r="H273" i="50"/>
  <c r="F212" i="50"/>
  <c r="D17" i="52" s="1"/>
  <c r="F235" i="50"/>
  <c r="D40" i="52" s="1"/>
  <c r="F258" i="50"/>
  <c r="D63" i="52" s="1"/>
  <c r="H198" i="50"/>
  <c r="H233" i="50"/>
  <c r="H256" i="50"/>
  <c r="H279" i="50"/>
  <c r="F218" i="50"/>
  <c r="D23" i="52" s="1"/>
  <c r="F241" i="50"/>
  <c r="D46" i="52" s="1"/>
  <c r="F264" i="50"/>
  <c r="D69" i="52" s="1"/>
  <c r="H204" i="50"/>
  <c r="H227" i="50"/>
  <c r="H250" i="50"/>
  <c r="H261" i="50"/>
  <c r="F200" i="50"/>
  <c r="D5" i="52" s="1"/>
  <c r="F223" i="50"/>
  <c r="D28" i="52" s="1"/>
  <c r="F246" i="50"/>
  <c r="D51" i="52" s="1"/>
  <c r="F197" i="50"/>
  <c r="D2" i="52" s="1"/>
  <c r="H221" i="50"/>
  <c r="H244" i="50"/>
  <c r="H267" i="50"/>
  <c r="F206" i="50"/>
  <c r="D11" i="52" s="1"/>
  <c r="F229" i="50"/>
  <c r="D34" i="52" s="1"/>
  <c r="F252" i="50"/>
  <c r="D57" i="52" s="1"/>
  <c r="F275" i="50"/>
  <c r="D80" i="52" s="1"/>
  <c r="H215" i="50"/>
  <c r="H238" i="50"/>
  <c r="H249" i="50"/>
  <c r="H272" i="50"/>
  <c r="F211" i="50"/>
  <c r="D16" i="52" s="1"/>
  <c r="F234" i="50"/>
  <c r="D39" i="52" s="1"/>
  <c r="F269" i="50"/>
  <c r="D74" i="52" s="1"/>
  <c r="H209" i="50"/>
  <c r="H232" i="50"/>
  <c r="H255" i="50"/>
  <c r="H278" i="50"/>
  <c r="F217" i="50"/>
  <c r="D22" i="52" s="1"/>
  <c r="F240" i="50"/>
  <c r="D45" i="52" s="1"/>
  <c r="F263" i="50"/>
  <c r="D68" i="52" s="1"/>
  <c r="H203" i="50"/>
  <c r="H226" i="50"/>
  <c r="H237" i="50"/>
  <c r="H260" i="50"/>
  <c r="F199" i="50"/>
  <c r="D4" i="52" s="1"/>
  <c r="F222" i="50"/>
  <c r="D27" i="52" s="1"/>
  <c r="F257" i="50"/>
  <c r="D62" i="52" s="1"/>
  <c r="F280" i="50"/>
  <c r="D85" i="52" s="1"/>
  <c r="H220" i="50"/>
  <c r="H243" i="50"/>
  <c r="H266" i="50"/>
  <c r="F205" i="50"/>
  <c r="D10" i="52" s="1"/>
  <c r="F228" i="50"/>
  <c r="D33" i="52" s="1"/>
  <c r="F251" i="50"/>
  <c r="D56" i="52" s="1"/>
  <c r="F274" i="50"/>
  <c r="D79" i="52" s="1"/>
  <c r="H214" i="50"/>
  <c r="H225" i="50"/>
  <c r="H248" i="50"/>
  <c r="H271" i="50"/>
  <c r="F210" i="50"/>
  <c r="D15" i="52" s="1"/>
  <c r="F245" i="50"/>
  <c r="D50" i="52" s="1"/>
  <c r="F268" i="50"/>
  <c r="D73" i="52" s="1"/>
  <c r="H208" i="50"/>
  <c r="H231" i="50"/>
  <c r="H254" i="50"/>
  <c r="H277" i="50"/>
  <c r="F216" i="50"/>
  <c r="D21" i="52" s="1"/>
  <c r="F239" i="50"/>
  <c r="D44" i="52" s="1"/>
  <c r="F262" i="50"/>
  <c r="D67" i="52" s="1"/>
  <c r="H202" i="50"/>
  <c r="K812" i="20"/>
  <c r="O1158" i="19"/>
  <c r="N1215" i="19"/>
  <c r="O1214" i="19"/>
  <c r="N1212" i="19"/>
  <c r="O1211" i="19"/>
  <c r="N1209" i="19"/>
  <c r="O1208" i="19"/>
  <c r="N1206" i="19"/>
  <c r="O1205" i="19"/>
  <c r="N1203" i="19"/>
  <c r="O1202" i="19"/>
  <c r="N1200" i="19"/>
  <c r="O1199" i="19"/>
  <c r="N1197" i="19"/>
  <c r="O1196" i="19"/>
  <c r="N1194" i="19"/>
  <c r="O1193" i="19"/>
  <c r="N1191" i="19"/>
  <c r="O1190" i="19"/>
  <c r="N1188" i="19"/>
  <c r="O1187" i="19"/>
  <c r="N1185" i="19"/>
  <c r="O1184" i="19"/>
  <c r="N1182" i="19"/>
  <c r="O1181" i="19"/>
  <c r="N1179" i="19"/>
  <c r="O1178" i="19"/>
  <c r="N1176" i="19"/>
  <c r="O1175" i="19"/>
  <c r="N1173" i="19"/>
  <c r="O1172" i="19"/>
  <c r="N1170" i="19"/>
  <c r="O1169" i="19"/>
  <c r="N1167" i="19"/>
  <c r="O1166" i="19"/>
  <c r="N1164" i="19"/>
  <c r="O1163" i="19"/>
  <c r="N1161" i="19"/>
  <c r="O1160" i="19"/>
  <c r="N1158" i="19"/>
  <c r="N1214" i="19"/>
  <c r="O1213" i="19"/>
  <c r="N1211" i="19"/>
  <c r="O1210" i="19"/>
  <c r="N1208" i="19"/>
  <c r="O1207" i="19"/>
  <c r="N1205" i="19"/>
  <c r="O1204" i="19"/>
  <c r="N1202" i="19"/>
  <c r="O1201" i="19"/>
  <c r="N1199" i="19"/>
  <c r="O1198" i="19"/>
  <c r="N1196" i="19"/>
  <c r="O1195" i="19"/>
  <c r="N1193" i="19"/>
  <c r="O1192" i="19"/>
  <c r="N1190" i="19"/>
  <c r="O1189" i="19"/>
  <c r="N1187" i="19"/>
  <c r="O1186" i="19"/>
  <c r="N1184" i="19"/>
  <c r="O1183" i="19"/>
  <c r="N1181" i="19"/>
  <c r="O1180" i="19"/>
  <c r="N1178" i="19"/>
  <c r="O1177" i="19"/>
  <c r="N1175" i="19"/>
  <c r="O1174" i="19"/>
  <c r="N1172" i="19"/>
  <c r="O1171" i="19"/>
  <c r="N1169" i="19"/>
  <c r="O1168" i="19"/>
  <c r="N1166" i="19"/>
  <c r="O1165" i="19"/>
  <c r="N1163" i="19"/>
  <c r="O1162" i="19"/>
  <c r="N1160" i="19"/>
  <c r="O1159" i="19"/>
  <c r="O1215" i="19"/>
  <c r="N1213" i="19"/>
  <c r="O1212" i="19"/>
  <c r="N1210" i="19"/>
  <c r="O1209" i="19"/>
  <c r="N1207" i="19"/>
  <c r="O1206" i="19"/>
  <c r="N1204" i="19"/>
  <c r="O1203" i="19"/>
  <c r="N1201" i="19"/>
  <c r="O1200" i="19"/>
  <c r="N1198" i="19"/>
  <c r="O1197" i="19"/>
  <c r="N1195" i="19"/>
  <c r="O1194" i="19"/>
  <c r="N1192" i="19"/>
  <c r="O1191" i="19"/>
  <c r="N1189" i="19"/>
  <c r="O1188" i="19"/>
  <c r="N1186" i="19"/>
  <c r="O1185" i="19"/>
  <c r="N1183" i="19"/>
  <c r="O1182" i="19"/>
  <c r="N1180" i="19"/>
  <c r="O1179" i="19"/>
  <c r="N1177" i="19"/>
  <c r="O1176" i="19"/>
  <c r="N1174" i="19"/>
  <c r="O1173" i="19"/>
  <c r="N1171" i="19"/>
  <c r="O1170" i="19"/>
  <c r="N1168" i="19"/>
  <c r="O1167" i="19"/>
  <c r="N1165" i="19"/>
  <c r="O1164" i="19"/>
  <c r="N1162" i="19"/>
  <c r="O1161" i="19"/>
  <c r="N1159"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883" i="19"/>
  <c r="E881" i="19"/>
  <c r="E397" i="46"/>
  <c r="E399" i="46"/>
  <c r="O962" i="19"/>
  <c r="N962" i="19"/>
  <c r="O943" i="19"/>
  <c r="N943" i="19"/>
  <c r="O924" i="19"/>
  <c r="N924" i="19"/>
  <c r="N892" i="19"/>
  <c r="O892" i="19"/>
  <c r="O893" i="19"/>
  <c r="N894" i="19"/>
  <c r="O894" i="19"/>
  <c r="N895" i="19"/>
  <c r="O895" i="19"/>
  <c r="N896" i="19"/>
  <c r="O896" i="19"/>
  <c r="N897" i="19"/>
  <c r="O897" i="19"/>
  <c r="N898" i="19"/>
  <c r="O898" i="19"/>
  <c r="N899" i="19"/>
  <c r="O899" i="19"/>
  <c r="N900" i="19"/>
  <c r="O900" i="19"/>
  <c r="N901" i="19"/>
  <c r="O901" i="19"/>
  <c r="N902" i="19"/>
  <c r="O902" i="19"/>
  <c r="N903" i="19"/>
  <c r="O903" i="19"/>
  <c r="N904" i="19"/>
  <c r="O904" i="19"/>
  <c r="N905" i="19"/>
  <c r="O905" i="19"/>
  <c r="N906" i="19"/>
  <c r="O906" i="19"/>
  <c r="N907" i="19"/>
  <c r="O907" i="19"/>
  <c r="N908" i="19"/>
  <c r="O908" i="19"/>
  <c r="N909" i="19"/>
  <c r="O909" i="19"/>
  <c r="N910" i="19"/>
  <c r="O910" i="19"/>
  <c r="N911" i="19"/>
  <c r="O911" i="19"/>
  <c r="N912" i="19"/>
  <c r="O912" i="19"/>
  <c r="N913" i="19"/>
  <c r="O913" i="19"/>
  <c r="N914" i="19"/>
  <c r="O914" i="19"/>
  <c r="N915" i="19"/>
  <c r="O915" i="19"/>
  <c r="E916" i="19"/>
  <c r="N916" i="19"/>
  <c r="O916" i="19"/>
  <c r="E917" i="19"/>
  <c r="N917" i="19"/>
  <c r="O917" i="19"/>
  <c r="N918" i="19"/>
  <c r="O918" i="19"/>
  <c r="N919" i="19"/>
  <c r="O919" i="19"/>
  <c r="N920" i="19"/>
  <c r="O920" i="19"/>
  <c r="N921" i="19"/>
  <c r="O921" i="19"/>
  <c r="N922" i="19"/>
  <c r="O922" i="19"/>
  <c r="N923" i="19"/>
  <c r="O923" i="19"/>
  <c r="E925" i="19"/>
  <c r="N925" i="19"/>
  <c r="O925" i="19"/>
  <c r="N926" i="19"/>
  <c r="O926" i="19"/>
  <c r="N927" i="19"/>
  <c r="O927" i="19"/>
  <c r="N928" i="19"/>
  <c r="O928" i="19"/>
  <c r="N929" i="19"/>
  <c r="O929" i="19"/>
  <c r="N930" i="19"/>
  <c r="O930" i="19"/>
  <c r="N931" i="19"/>
  <c r="O931" i="19"/>
  <c r="N932" i="19"/>
  <c r="O932" i="19"/>
  <c r="N933" i="19"/>
  <c r="O933" i="19"/>
  <c r="N934" i="19"/>
  <c r="O934" i="19"/>
  <c r="E935" i="19"/>
  <c r="N935" i="19"/>
  <c r="O935" i="19"/>
  <c r="E936" i="19"/>
  <c r="N936" i="19"/>
  <c r="O936" i="19"/>
  <c r="N937" i="19"/>
  <c r="O937" i="19"/>
  <c r="N938" i="19"/>
  <c r="O938" i="19"/>
  <c r="N939" i="19"/>
  <c r="O939" i="19"/>
  <c r="N940" i="19"/>
  <c r="O940" i="19"/>
  <c r="N941" i="19"/>
  <c r="O941" i="19"/>
  <c r="N942" i="19"/>
  <c r="O942" i="19"/>
  <c r="E944" i="19"/>
  <c r="N944" i="19"/>
  <c r="O944" i="19"/>
  <c r="N945" i="19"/>
  <c r="O945" i="19"/>
  <c r="N946" i="19"/>
  <c r="O946" i="19"/>
  <c r="N947" i="19"/>
  <c r="O947" i="19"/>
  <c r="N948" i="19"/>
  <c r="O948" i="19"/>
  <c r="N949" i="19"/>
  <c r="O949" i="19"/>
  <c r="N950" i="19"/>
  <c r="O950" i="19"/>
  <c r="N951" i="19"/>
  <c r="O951" i="19"/>
  <c r="N952" i="19"/>
  <c r="O952" i="19"/>
  <c r="N953" i="19"/>
  <c r="O953" i="19"/>
  <c r="E954" i="19"/>
  <c r="N954" i="19"/>
  <c r="O954" i="19"/>
  <c r="E955" i="19"/>
  <c r="N955" i="19"/>
  <c r="O955" i="19"/>
  <c r="N956" i="19"/>
  <c r="O956" i="19"/>
  <c r="N957" i="19"/>
  <c r="O957" i="19"/>
  <c r="N958" i="19"/>
  <c r="O958" i="19"/>
  <c r="N959" i="19"/>
  <c r="O959" i="19"/>
  <c r="N960" i="19"/>
  <c r="O960" i="19"/>
  <c r="N961" i="19"/>
  <c r="O961" i="19"/>
  <c r="E963" i="19"/>
  <c r="N963" i="19"/>
  <c r="O963" i="19"/>
  <c r="N964" i="19"/>
  <c r="O964" i="19"/>
  <c r="N965" i="19"/>
  <c r="O965" i="19"/>
  <c r="N966" i="19"/>
  <c r="O966" i="19"/>
  <c r="N967" i="19"/>
  <c r="O967" i="19"/>
  <c r="N968" i="19"/>
  <c r="O968" i="19"/>
  <c r="N969" i="19"/>
  <c r="O969" i="19"/>
  <c r="N970" i="19"/>
  <c r="O970" i="19"/>
  <c r="N971" i="19"/>
  <c r="O971" i="19"/>
  <c r="N972" i="19"/>
  <c r="O972" i="19"/>
  <c r="E973" i="19"/>
  <c r="N973" i="19"/>
  <c r="O973" i="19"/>
  <c r="E974" i="19"/>
  <c r="N974" i="19"/>
  <c r="O974" i="19"/>
  <c r="N975" i="19"/>
  <c r="O975" i="19"/>
  <c r="N976" i="19"/>
  <c r="O976" i="19"/>
  <c r="N977" i="19"/>
  <c r="O977" i="19"/>
  <c r="N978" i="19"/>
  <c r="O978" i="19"/>
  <c r="N979" i="19"/>
  <c r="O979" i="19"/>
  <c r="N980" i="19"/>
  <c r="O980" i="19"/>
  <c r="E982" i="19"/>
  <c r="N982" i="19"/>
  <c r="O982" i="19"/>
  <c r="N983" i="19"/>
  <c r="O983" i="19"/>
  <c r="N984" i="19"/>
  <c r="O984" i="19"/>
  <c r="N985" i="19"/>
  <c r="O985" i="19"/>
  <c r="N986" i="19"/>
  <c r="O986" i="19"/>
  <c r="N987" i="19"/>
  <c r="O987" i="19"/>
  <c r="N988" i="19"/>
  <c r="O988" i="19"/>
  <c r="N989" i="19"/>
  <c r="O989" i="19"/>
  <c r="N990" i="19"/>
  <c r="O990" i="19"/>
  <c r="N991" i="19"/>
  <c r="O991" i="19"/>
  <c r="E992" i="19"/>
  <c r="N992" i="19"/>
  <c r="O992" i="19"/>
  <c r="E993" i="19"/>
  <c r="N993" i="19"/>
  <c r="O993" i="19"/>
  <c r="N994" i="19"/>
  <c r="O994" i="19"/>
  <c r="N995" i="19"/>
  <c r="O995" i="19"/>
  <c r="N996" i="19"/>
  <c r="O996" i="19"/>
  <c r="N997" i="19"/>
  <c r="O997" i="19"/>
  <c r="N998" i="19"/>
  <c r="O998" i="19"/>
  <c r="N999" i="19"/>
  <c r="O999" i="19"/>
  <c r="E1001" i="19"/>
  <c r="N1001" i="19"/>
  <c r="O1001" i="19"/>
  <c r="N1002" i="19"/>
  <c r="O1002" i="19"/>
  <c r="N1003" i="19"/>
  <c r="O1003" i="19"/>
  <c r="N1004" i="19"/>
  <c r="O1004" i="19"/>
  <c r="N1005" i="19"/>
  <c r="O1005" i="19"/>
  <c r="N1006" i="19"/>
  <c r="O1006" i="19"/>
  <c r="N1007" i="19"/>
  <c r="O1007" i="19"/>
  <c r="N1008" i="19"/>
  <c r="O1008" i="19"/>
  <c r="N1009" i="19"/>
  <c r="O1009" i="19"/>
  <c r="N1010" i="19"/>
  <c r="O1010" i="19"/>
  <c r="E1011" i="19"/>
  <c r="N1011" i="19"/>
  <c r="O1011" i="19"/>
  <c r="E1012" i="19"/>
  <c r="N1012" i="19"/>
  <c r="O1012" i="19"/>
  <c r="N1013" i="19"/>
  <c r="O1013" i="19"/>
  <c r="N1014" i="19"/>
  <c r="O1014" i="19"/>
  <c r="N1015" i="19"/>
  <c r="O1015" i="19"/>
  <c r="N1016" i="19"/>
  <c r="O1016" i="19"/>
  <c r="N1017" i="19"/>
  <c r="O1017" i="19"/>
  <c r="N1018" i="19"/>
  <c r="O1018" i="19"/>
  <c r="E1020" i="19"/>
  <c r="N1020" i="19"/>
  <c r="O1020" i="19"/>
  <c r="N1021" i="19"/>
  <c r="O1021" i="19"/>
  <c r="N1022" i="19"/>
  <c r="O1022" i="19"/>
  <c r="N1023" i="19"/>
  <c r="O1023" i="19"/>
  <c r="N1024" i="19"/>
  <c r="O1024" i="19"/>
  <c r="N1025" i="19"/>
  <c r="O1025" i="19"/>
  <c r="N1026" i="19"/>
  <c r="O1026" i="19"/>
  <c r="N1027" i="19"/>
  <c r="O1027" i="19"/>
  <c r="N1028" i="19"/>
  <c r="O1028" i="19"/>
  <c r="N1029" i="19"/>
  <c r="O1029" i="19"/>
  <c r="E1030" i="19"/>
  <c r="N1030" i="19"/>
  <c r="O1030" i="19"/>
  <c r="E1031" i="19"/>
  <c r="N1031" i="19"/>
  <c r="O1031" i="19"/>
  <c r="N1032" i="19"/>
  <c r="O1032" i="19"/>
  <c r="N1033" i="19"/>
  <c r="O1033" i="19"/>
  <c r="N1034" i="19"/>
  <c r="O1034" i="19"/>
  <c r="N1035" i="19"/>
  <c r="O1035" i="19"/>
  <c r="N1036" i="19"/>
  <c r="O1036" i="19"/>
  <c r="N1037" i="19"/>
  <c r="O1037" i="19"/>
  <c r="E1039" i="19"/>
  <c r="N1039" i="19"/>
  <c r="O1039" i="19"/>
  <c r="N1040" i="19"/>
  <c r="O1040" i="19"/>
  <c r="N1041" i="19"/>
  <c r="O1041" i="19"/>
  <c r="N1042" i="19"/>
  <c r="O1042" i="19"/>
  <c r="N1043" i="19"/>
  <c r="O1043" i="19"/>
  <c r="N1044" i="19"/>
  <c r="O1044" i="19"/>
  <c r="N1045" i="19"/>
  <c r="O1045" i="19"/>
  <c r="N1046" i="19"/>
  <c r="O1046" i="19"/>
  <c r="N1047" i="19"/>
  <c r="O1047" i="19"/>
  <c r="N1048" i="19"/>
  <c r="O1048" i="19"/>
  <c r="E1049" i="19"/>
  <c r="N1049" i="19"/>
  <c r="O1049" i="19"/>
  <c r="E1050" i="19"/>
  <c r="N1050" i="19"/>
  <c r="O1050" i="19"/>
  <c r="N1051" i="19"/>
  <c r="O1051" i="19"/>
  <c r="N1052" i="19"/>
  <c r="O1052" i="19"/>
  <c r="N1053" i="19"/>
  <c r="O1053" i="19"/>
  <c r="N1054" i="19"/>
  <c r="O1054" i="19"/>
  <c r="N1055" i="19"/>
  <c r="O1055" i="19"/>
  <c r="N1056" i="19"/>
  <c r="O1056" i="19"/>
  <c r="E1058" i="19"/>
  <c r="N1058" i="19"/>
  <c r="O1058" i="19"/>
  <c r="N1059" i="19"/>
  <c r="O1059" i="19"/>
  <c r="N1060" i="19"/>
  <c r="O1060" i="19"/>
  <c r="N1061" i="19"/>
  <c r="O1061" i="19"/>
  <c r="N1062" i="19"/>
  <c r="O1062" i="19"/>
  <c r="N1063" i="19"/>
  <c r="O1063" i="19"/>
  <c r="N1064" i="19"/>
  <c r="O1064" i="19"/>
  <c r="N1065" i="19"/>
  <c r="O1065" i="19"/>
  <c r="N1066" i="19"/>
  <c r="O1066" i="19"/>
  <c r="N1067" i="19"/>
  <c r="O1067" i="19"/>
  <c r="E1068" i="19"/>
  <c r="N1068" i="19"/>
  <c r="O1068" i="19"/>
  <c r="E1069" i="19"/>
  <c r="N1069" i="19"/>
  <c r="O1069" i="19"/>
  <c r="N1070" i="19"/>
  <c r="O1070" i="19"/>
  <c r="N1071" i="19"/>
  <c r="O1071" i="19"/>
  <c r="N1072" i="19"/>
  <c r="O1072" i="19"/>
  <c r="N1073" i="19"/>
  <c r="O1073" i="19"/>
  <c r="N1074" i="19"/>
  <c r="O1074" i="19"/>
  <c r="N1075" i="19"/>
  <c r="O1075" i="19"/>
  <c r="E1077" i="19"/>
  <c r="N1077" i="19"/>
  <c r="O1077" i="19"/>
  <c r="N1078" i="19"/>
  <c r="O1078" i="19"/>
  <c r="N1079" i="19"/>
  <c r="O1079" i="19"/>
  <c r="N1080" i="19"/>
  <c r="O1080" i="19"/>
  <c r="N1081" i="19"/>
  <c r="O1081" i="19"/>
  <c r="N1082" i="19"/>
  <c r="O1082" i="19"/>
  <c r="N1083" i="19"/>
  <c r="O1083" i="19"/>
  <c r="N1084" i="19"/>
  <c r="O1084" i="19"/>
  <c r="N1085" i="19"/>
  <c r="O1085" i="19"/>
  <c r="N1086" i="19"/>
  <c r="O1086" i="19"/>
  <c r="N1087" i="19"/>
  <c r="O1087" i="19"/>
  <c r="N1088" i="19"/>
  <c r="O1088" i="19"/>
  <c r="N1089" i="19"/>
  <c r="O1089" i="19"/>
  <c r="N1090" i="19"/>
  <c r="O1090" i="19"/>
  <c r="N1091" i="19"/>
  <c r="O1091" i="19"/>
  <c r="N1092" i="19"/>
  <c r="O1092" i="19"/>
  <c r="N1093" i="19"/>
  <c r="O1093" i="19"/>
  <c r="N1094" i="19"/>
  <c r="O1094" i="19"/>
  <c r="N1096" i="19"/>
  <c r="O1096" i="19"/>
  <c r="E1097" i="19"/>
  <c r="N1097" i="19"/>
  <c r="O1097" i="19"/>
  <c r="E1098" i="19"/>
  <c r="N1098" i="19"/>
  <c r="O1098" i="19"/>
  <c r="N1099" i="19"/>
  <c r="O1099" i="19"/>
  <c r="N1100" i="19"/>
  <c r="O1100" i="19"/>
  <c r="N1101" i="19"/>
  <c r="O1101" i="19"/>
  <c r="N1102" i="19"/>
  <c r="O1102" i="19"/>
  <c r="N1103" i="19"/>
  <c r="O1103" i="19"/>
  <c r="N1104" i="19"/>
  <c r="O1104" i="19"/>
  <c r="N1105" i="19"/>
  <c r="O1105" i="19"/>
  <c r="N1106" i="19"/>
  <c r="O1106" i="19"/>
  <c r="N1107" i="19"/>
  <c r="O1107" i="19"/>
  <c r="N1108" i="19"/>
  <c r="O1108" i="19"/>
  <c r="N1109" i="19"/>
  <c r="O1109" i="19"/>
  <c r="N1110" i="19"/>
  <c r="O1110" i="19"/>
  <c r="N1111" i="19"/>
  <c r="O1111" i="19"/>
  <c r="N1112" i="19"/>
  <c r="O1112" i="19"/>
  <c r="N1113" i="19"/>
  <c r="O1113" i="19"/>
  <c r="N1114" i="19"/>
  <c r="O1114" i="19"/>
  <c r="N1115" i="19"/>
  <c r="O1115" i="19"/>
  <c r="N1116" i="19"/>
  <c r="O1116" i="19"/>
  <c r="E1118" i="19"/>
  <c r="N1118" i="19"/>
  <c r="O1118" i="19"/>
  <c r="N1119" i="19"/>
  <c r="O1119" i="19"/>
  <c r="N1120" i="19"/>
  <c r="O1120" i="19"/>
  <c r="N1121" i="19"/>
  <c r="O1121" i="19"/>
  <c r="N1122" i="19"/>
  <c r="O1122" i="19"/>
  <c r="N1123" i="19"/>
  <c r="O1123" i="19"/>
  <c r="N1124" i="19"/>
  <c r="O1124" i="19"/>
  <c r="N1125" i="19"/>
  <c r="O1125" i="19"/>
  <c r="N1126" i="19"/>
  <c r="O1126" i="19"/>
  <c r="N1127" i="19"/>
  <c r="O1127" i="19"/>
  <c r="N1128" i="19"/>
  <c r="O1128" i="19"/>
  <c r="N1129" i="19"/>
  <c r="O1129" i="19"/>
  <c r="N1130" i="19"/>
  <c r="O1130" i="19"/>
  <c r="N1131" i="19"/>
  <c r="O1131" i="19"/>
  <c r="N1132" i="19"/>
  <c r="O1132" i="19"/>
  <c r="N1133" i="19"/>
  <c r="O1133" i="19"/>
  <c r="N1134" i="19"/>
  <c r="O1134" i="19"/>
  <c r="N1135" i="19"/>
  <c r="O1135" i="19"/>
  <c r="E1137" i="19"/>
  <c r="N1137" i="19"/>
  <c r="O1137" i="19"/>
  <c r="N1138" i="19"/>
  <c r="O1138" i="19"/>
  <c r="N1139" i="19"/>
  <c r="O1139" i="19"/>
  <c r="N1140" i="19"/>
  <c r="O1140" i="19"/>
  <c r="N1141" i="19"/>
  <c r="O1141" i="19"/>
  <c r="N1142" i="19"/>
  <c r="O1142" i="19"/>
  <c r="N1143" i="19"/>
  <c r="O1143" i="19"/>
  <c r="N1144" i="19"/>
  <c r="O1144" i="19"/>
  <c r="N1145" i="19"/>
  <c r="O1145" i="19"/>
  <c r="N1146" i="19"/>
  <c r="O1146" i="19"/>
  <c r="E749" i="19"/>
  <c r="E720" i="19"/>
  <c r="E716" i="19"/>
  <c r="E717" i="19"/>
  <c r="E280" i="19"/>
  <c r="E281" i="19"/>
  <c r="E277" i="19"/>
  <c r="E278" i="19"/>
  <c r="E874" i="19"/>
  <c r="E875" i="19"/>
  <c r="E876" i="19"/>
  <c r="E877" i="19"/>
  <c r="E878" i="19"/>
  <c r="E879" i="19"/>
  <c r="E10" i="37"/>
  <c r="E11" i="37"/>
  <c r="E12" i="37"/>
  <c r="E13" i="37"/>
  <c r="E8" i="37"/>
  <c r="E9" i="37"/>
  <c r="E15" i="37"/>
  <c r="E16" i="37"/>
  <c r="E17" i="37"/>
  <c r="E18" i="37"/>
  <c r="E6" i="37"/>
  <c r="E5" i="37"/>
  <c r="E4" i="37"/>
  <c r="E3" i="37"/>
  <c r="N20" i="37"/>
  <c r="O20" i="37"/>
  <c r="N21" i="37"/>
  <c r="O21" i="37"/>
  <c r="N880" i="19"/>
  <c r="O880" i="19"/>
  <c r="N881" i="19"/>
  <c r="O881" i="19"/>
  <c r="N882" i="19"/>
  <c r="O882" i="19"/>
  <c r="N883" i="19"/>
  <c r="O883" i="19"/>
  <c r="N884" i="19"/>
  <c r="O884" i="19"/>
  <c r="N885" i="19"/>
  <c r="O885" i="19"/>
  <c r="N886" i="19"/>
  <c r="O886" i="19"/>
  <c r="N887" i="19"/>
  <c r="O887" i="19"/>
  <c r="N888" i="19"/>
  <c r="O888" i="19"/>
  <c r="N889" i="19"/>
  <c r="O889" i="19"/>
  <c r="N890" i="19"/>
  <c r="O890" i="19"/>
  <c r="N891" i="19"/>
  <c r="O891"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874" i="19"/>
  <c r="N875" i="19"/>
  <c r="N876" i="19"/>
  <c r="N877" i="19"/>
  <c r="N878" i="19"/>
  <c r="N879" i="19"/>
  <c r="N873" i="19"/>
  <c r="O873"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E339" i="50" s="1"/>
  <c r="E1318" i="19" s="1"/>
  <c r="N182" i="50"/>
  <c r="E344" i="50" s="1"/>
  <c r="E1323" i="19" s="1"/>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E342" i="50" s="1"/>
  <c r="E1321" i="19" s="1"/>
  <c r="M180" i="50"/>
  <c r="E337" i="50" s="1"/>
  <c r="E1316" i="19" s="1"/>
  <c r="N127" i="50"/>
  <c r="M127" i="50"/>
  <c r="N154" i="50"/>
  <c r="M154" i="50"/>
  <c r="N181" i="50"/>
  <c r="E343" i="50" s="1"/>
  <c r="E1322" i="19" s="1"/>
  <c r="M181" i="50"/>
  <c r="E338" i="50" s="1"/>
  <c r="E1317" i="19" s="1"/>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E345" i="50" s="1"/>
  <c r="E1324" i="19" s="1"/>
  <c r="M183" i="50"/>
  <c r="E340" i="50" s="1"/>
  <c r="E1319" i="19" s="1"/>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E346" i="50" s="1"/>
  <c r="E1325" i="19" s="1"/>
  <c r="M184" i="50"/>
  <c r="E341" i="50" s="1"/>
  <c r="E1320" i="19" s="1"/>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840" i="19"/>
  <c r="N840" i="19"/>
  <c r="O686" i="19"/>
  <c r="N686" i="19"/>
  <c r="N297" i="19"/>
  <c r="O297" i="19"/>
  <c r="N298" i="19"/>
  <c r="O298" i="19"/>
  <c r="N299" i="19"/>
  <c r="O299" i="19"/>
  <c r="N300" i="19"/>
  <c r="O300" i="19"/>
  <c r="N301" i="19"/>
  <c r="O301" i="19"/>
  <c r="N302" i="19"/>
  <c r="O302" i="19"/>
  <c r="N303" i="19"/>
  <c r="O303" i="19"/>
  <c r="N403" i="19"/>
  <c r="O403" i="19"/>
  <c r="N683" i="19"/>
  <c r="O683" i="19"/>
  <c r="N684" i="19"/>
  <c r="O684" i="19"/>
  <c r="N685" i="19"/>
  <c r="O685" i="19"/>
  <c r="N687" i="19"/>
  <c r="O687" i="19"/>
  <c r="N702" i="19"/>
  <c r="O702" i="19"/>
  <c r="N714" i="19"/>
  <c r="O714" i="19"/>
  <c r="N718" i="19"/>
  <c r="O718" i="19"/>
  <c r="N748" i="19"/>
  <c r="O748" i="19"/>
  <c r="N790" i="19"/>
  <c r="O790" i="19"/>
  <c r="N791" i="19"/>
  <c r="O791" i="19"/>
  <c r="N794" i="19"/>
  <c r="O794" i="19"/>
  <c r="N795" i="19"/>
  <c r="O795" i="19"/>
  <c r="N796" i="19"/>
  <c r="O796" i="19"/>
  <c r="N797" i="19"/>
  <c r="O797" i="19"/>
  <c r="N839" i="19"/>
  <c r="O839" i="19"/>
  <c r="N841" i="19"/>
  <c r="O841" i="19"/>
  <c r="N861" i="19"/>
  <c r="O861"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785" i="19"/>
  <c r="O785"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634" i="19" l="1"/>
  <c r="N634" i="19"/>
  <c r="O633" i="19"/>
  <c r="N633" i="19"/>
  <c r="O79" i="44"/>
  <c r="O75" i="44"/>
  <c r="O494" i="19" l="1"/>
  <c r="N494"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394" i="19"/>
  <c r="O437" i="19"/>
  <c r="O442" i="19"/>
  <c r="O441" i="19"/>
  <c r="O179" i="19"/>
  <c r="O244" i="19"/>
  <c r="O462" i="19"/>
  <c r="O461" i="19"/>
  <c r="N394" i="19"/>
  <c r="N437" i="19"/>
  <c r="N442" i="19"/>
  <c r="N441" i="19"/>
  <c r="N179" i="19"/>
  <c r="N244" i="19"/>
  <c r="N462" i="19"/>
  <c r="N461" i="19"/>
  <c r="E447" i="19"/>
  <c r="N709" i="19"/>
  <c r="O709" i="19"/>
  <c r="K443" i="19"/>
  <c r="O443" i="19" s="1"/>
  <c r="N447" i="19"/>
  <c r="O447" i="19"/>
  <c r="K466" i="19"/>
  <c r="O466" i="19" s="1"/>
  <c r="O706" i="19"/>
  <c r="N706" i="19"/>
  <c r="O445" i="19"/>
  <c r="N445"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443" i="19" l="1"/>
  <c r="N466"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21" i="19"/>
  <c r="N521" i="19"/>
  <c r="O520" i="19"/>
  <c r="N520" i="19"/>
  <c r="O715" i="19"/>
  <c r="N715" i="19"/>
  <c r="O851" i="19"/>
  <c r="N851" i="19"/>
  <c r="O421" i="19"/>
  <c r="N421" i="19"/>
  <c r="O420" i="19"/>
  <c r="N420" i="19"/>
  <c r="N149" i="22"/>
  <c r="N150" i="22"/>
  <c r="O149" i="22"/>
  <c r="O150" i="22"/>
  <c r="K467" i="19"/>
  <c r="N467" i="19" s="1"/>
  <c r="O711" i="19"/>
  <c r="N711" i="19"/>
  <c r="N712" i="19"/>
  <c r="O712" i="19"/>
  <c r="P16" i="30"/>
  <c r="E156" i="22"/>
  <c r="O467"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15" i="19"/>
  <c r="O615" i="19"/>
  <c r="N607" i="19"/>
  <c r="O607" i="19"/>
  <c r="N599" i="19"/>
  <c r="O599" i="19"/>
  <c r="N544" i="19"/>
  <c r="O544" i="19"/>
  <c r="N203" i="19"/>
  <c r="O203" i="19"/>
  <c r="N195" i="19"/>
  <c r="O195" i="19"/>
  <c r="N187" i="19"/>
  <c r="O187"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62" i="19"/>
  <c r="P98" i="19"/>
  <c r="P99" i="19"/>
  <c r="P163" i="19"/>
  <c r="P242"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60" i="19"/>
  <c r="G147" i="19"/>
  <c r="G113" i="19"/>
  <c r="A105" i="19"/>
  <c r="E105" i="19"/>
  <c r="F105" i="19"/>
  <c r="A96" i="19"/>
  <c r="F96" i="19"/>
  <c r="A97" i="19"/>
  <c r="F97" i="19"/>
  <c r="A162" i="19"/>
  <c r="F162" i="19"/>
  <c r="A106" i="19"/>
  <c r="E106" i="19"/>
  <c r="F106" i="19"/>
  <c r="A98" i="19"/>
  <c r="A99" i="19"/>
  <c r="A163" i="19"/>
  <c r="A242" i="19"/>
  <c r="F242" i="19"/>
  <c r="G242"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30" i="19"/>
  <c r="N530" i="19"/>
  <c r="O518" i="19"/>
  <c r="N518" i="19"/>
  <c r="O848" i="19"/>
  <c r="N848" i="19"/>
  <c r="O847" i="19"/>
  <c r="N847" i="19"/>
  <c r="O516" i="19"/>
  <c r="N516" i="19"/>
  <c r="O517" i="19"/>
  <c r="N517" i="19"/>
  <c r="O860" i="19"/>
  <c r="N860" i="19"/>
  <c r="O536" i="19"/>
  <c r="N536" i="19"/>
  <c r="O535" i="19"/>
  <c r="N535" i="19"/>
  <c r="O722" i="19"/>
  <c r="N722" i="19"/>
  <c r="O721" i="19"/>
  <c r="N721" i="19"/>
  <c r="O778" i="19"/>
  <c r="N778" i="19"/>
  <c r="O777" i="19"/>
  <c r="N777" i="19"/>
  <c r="O639" i="19"/>
  <c r="N639" i="19"/>
  <c r="O638" i="19"/>
  <c r="N638" i="19"/>
  <c r="O834" i="19"/>
  <c r="N834" i="19"/>
  <c r="O836" i="19"/>
  <c r="N836" i="19"/>
  <c r="O835" i="19"/>
  <c r="N835" i="19"/>
  <c r="O146" i="19"/>
  <c r="N146" i="19"/>
  <c r="O250" i="19"/>
  <c r="N250" i="19"/>
  <c r="O150" i="19"/>
  <c r="N150" i="19"/>
  <c r="O149" i="19"/>
  <c r="N149" i="19"/>
  <c r="O148" i="19"/>
  <c r="N148" i="19"/>
  <c r="O143" i="19"/>
  <c r="N143" i="19"/>
  <c r="O145" i="19"/>
  <c r="N145" i="19"/>
  <c r="O144" i="19"/>
  <c r="N144" i="19"/>
  <c r="O243" i="19"/>
  <c r="N243" i="19"/>
  <c r="O121" i="19"/>
  <c r="N121" i="19"/>
  <c r="O116" i="19"/>
  <c r="N116" i="19"/>
  <c r="O123" i="19"/>
  <c r="N123" i="19"/>
  <c r="O124" i="19"/>
  <c r="N124" i="19"/>
  <c r="O91" i="19"/>
  <c r="N91" i="19"/>
  <c r="O109" i="19"/>
  <c r="N109" i="19"/>
  <c r="O128" i="19"/>
  <c r="N128" i="19"/>
  <c r="O245" i="19"/>
  <c r="N245" i="19"/>
  <c r="O130" i="19"/>
  <c r="N130" i="19"/>
  <c r="O125" i="19"/>
  <c r="N125" i="19"/>
  <c r="O127" i="19"/>
  <c r="N127" i="19"/>
  <c r="O126" i="19"/>
  <c r="N126" i="19"/>
  <c r="O266" i="19"/>
  <c r="N266" i="19"/>
  <c r="O531" i="19"/>
  <c r="N531" i="19"/>
  <c r="O532" i="19"/>
  <c r="N532" i="19"/>
  <c r="O529" i="19"/>
  <c r="N529" i="19"/>
  <c r="O528" i="19"/>
  <c r="N528" i="19"/>
  <c r="O827" i="19"/>
  <c r="N827" i="19"/>
  <c r="O826" i="19"/>
  <c r="N826" i="19"/>
  <c r="O825" i="19"/>
  <c r="N825" i="19"/>
  <c r="O823" i="19"/>
  <c r="N823" i="19"/>
  <c r="O822" i="19"/>
  <c r="N822" i="19"/>
  <c r="O821" i="19"/>
  <c r="N821" i="19"/>
  <c r="O820" i="19"/>
  <c r="N820" i="19"/>
  <c r="O819" i="19"/>
  <c r="N819" i="19"/>
  <c r="O818" i="19"/>
  <c r="N818" i="19"/>
  <c r="O817" i="19"/>
  <c r="N817" i="19"/>
  <c r="O816" i="19"/>
  <c r="N816" i="19"/>
  <c r="O815" i="19"/>
  <c r="N815" i="19"/>
  <c r="O814" i="19"/>
  <c r="N814" i="19"/>
  <c r="O813" i="19"/>
  <c r="N813" i="19"/>
  <c r="O812" i="19"/>
  <c r="N812" i="19"/>
  <c r="O811" i="19"/>
  <c r="N811" i="19"/>
  <c r="O810" i="19"/>
  <c r="N810" i="19"/>
  <c r="O809" i="19"/>
  <c r="N809" i="19"/>
  <c r="O808" i="19"/>
  <c r="N808" i="19"/>
  <c r="O807" i="19"/>
  <c r="N807" i="19"/>
  <c r="O806" i="19"/>
  <c r="N806" i="19"/>
  <c r="O805" i="19"/>
  <c r="N805" i="19"/>
  <c r="O804" i="19"/>
  <c r="N804" i="19"/>
  <c r="O803" i="19"/>
  <c r="N803" i="19"/>
  <c r="O747" i="19"/>
  <c r="N747" i="19"/>
  <c r="O746" i="19"/>
  <c r="N746" i="19"/>
  <c r="O745" i="19"/>
  <c r="N745" i="19"/>
  <c r="O872" i="19"/>
  <c r="N872" i="19"/>
  <c r="O871" i="19"/>
  <c r="N871" i="19"/>
  <c r="O870" i="19"/>
  <c r="N870" i="19"/>
  <c r="O869" i="19"/>
  <c r="N869" i="19"/>
  <c r="O868" i="19"/>
  <c r="N868" i="19"/>
  <c r="O867" i="19"/>
  <c r="N867" i="19"/>
  <c r="O866" i="19"/>
  <c r="N866" i="19"/>
  <c r="O865" i="19"/>
  <c r="N865" i="19"/>
  <c r="O864" i="19"/>
  <c r="N864" i="19"/>
  <c r="O744" i="19"/>
  <c r="N744" i="19"/>
  <c r="O743" i="19"/>
  <c r="N743" i="19"/>
  <c r="O742" i="19"/>
  <c r="N742" i="19"/>
  <c r="O741" i="19"/>
  <c r="N741" i="19"/>
  <c r="O740" i="19"/>
  <c r="N740" i="19"/>
  <c r="O739" i="19"/>
  <c r="N739" i="19"/>
  <c r="O710" i="19"/>
  <c r="N710" i="19"/>
  <c r="O668" i="19"/>
  <c r="N668" i="19"/>
  <c r="O667" i="19"/>
  <c r="N667" i="19"/>
  <c r="O623" i="19"/>
  <c r="N623" i="19"/>
  <c r="O622" i="19"/>
  <c r="N622" i="19"/>
  <c r="O621" i="19"/>
  <c r="N621" i="19"/>
  <c r="O620" i="19"/>
  <c r="N620" i="19"/>
  <c r="O619" i="19"/>
  <c r="N619" i="19"/>
  <c r="O618" i="19"/>
  <c r="N618" i="19"/>
  <c r="O617" i="19"/>
  <c r="N617" i="19"/>
  <c r="O616" i="19"/>
  <c r="N616" i="19"/>
  <c r="O533" i="19"/>
  <c r="N533" i="19"/>
  <c r="O666" i="19"/>
  <c r="N666" i="19"/>
  <c r="O665" i="19"/>
  <c r="N665" i="19"/>
  <c r="O664" i="19"/>
  <c r="N664" i="19"/>
  <c r="O663" i="19"/>
  <c r="N663" i="19"/>
  <c r="O662" i="19"/>
  <c r="N662" i="19"/>
  <c r="O661" i="19"/>
  <c r="N661" i="19"/>
  <c r="O660" i="19"/>
  <c r="N660" i="19"/>
  <c r="O637" i="19"/>
  <c r="N637" i="19"/>
  <c r="O624" i="19"/>
  <c r="N624" i="19"/>
  <c r="O858" i="19"/>
  <c r="N858" i="19"/>
  <c r="O838" i="19"/>
  <c r="N838" i="19"/>
  <c r="O837" i="19"/>
  <c r="N837" i="19"/>
  <c r="O833" i="19"/>
  <c r="N833" i="19"/>
  <c r="O832" i="19"/>
  <c r="N832" i="19"/>
  <c r="O831" i="19"/>
  <c r="N831" i="19"/>
  <c r="O830" i="19"/>
  <c r="N830" i="19"/>
  <c r="O829" i="19"/>
  <c r="N829" i="19"/>
  <c r="O828" i="19"/>
  <c r="N828" i="19"/>
  <c r="O265" i="19"/>
  <c r="N265" i="19"/>
  <c r="O515" i="19"/>
  <c r="N515" i="19"/>
  <c r="O846" i="19"/>
  <c r="N846" i="19"/>
  <c r="O264" i="19"/>
  <c r="N264" i="19"/>
  <c r="O514" i="19"/>
  <c r="N514" i="19"/>
  <c r="O845" i="19"/>
  <c r="N845" i="19"/>
  <c r="O259" i="19"/>
  <c r="N259" i="19"/>
  <c r="O513" i="19"/>
  <c r="N513" i="19"/>
  <c r="O844" i="19"/>
  <c r="N844" i="19"/>
  <c r="O843" i="19"/>
  <c r="N843" i="19"/>
  <c r="O258" i="19"/>
  <c r="N258" i="19"/>
  <c r="O526" i="19"/>
  <c r="N526" i="19"/>
  <c r="O511" i="19"/>
  <c r="N511" i="19"/>
  <c r="O512" i="19"/>
  <c r="N512" i="19"/>
  <c r="O509" i="19"/>
  <c r="N509" i="19"/>
  <c r="O249" i="19"/>
  <c r="N249" i="19"/>
  <c r="O510" i="19"/>
  <c r="N510" i="19"/>
  <c r="O859" i="19"/>
  <c r="N859" i="19"/>
  <c r="O251" i="19"/>
  <c r="N251" i="19"/>
  <c r="O178" i="19"/>
  <c r="N178" i="19"/>
  <c r="O235" i="19"/>
  <c r="N235" i="19"/>
  <c r="O234" i="19"/>
  <c r="N234" i="19"/>
  <c r="O233" i="19"/>
  <c r="N233" i="19"/>
  <c r="O232" i="19"/>
  <c r="N232" i="19"/>
  <c r="O151" i="19"/>
  <c r="N151" i="19"/>
  <c r="O153" i="19"/>
  <c r="N153" i="19"/>
  <c r="O152" i="19"/>
  <c r="N152" i="19"/>
  <c r="O261" i="19"/>
  <c r="N261" i="19"/>
  <c r="O260" i="19"/>
  <c r="N260" i="19"/>
  <c r="O256" i="19"/>
  <c r="N256" i="19"/>
  <c r="O254" i="19"/>
  <c r="N254" i="19"/>
  <c r="O240" i="19"/>
  <c r="N240" i="19"/>
  <c r="O239" i="19"/>
  <c r="N239" i="19"/>
  <c r="O238" i="19"/>
  <c r="N238" i="19"/>
  <c r="O237" i="19"/>
  <c r="N237" i="19"/>
  <c r="O236" i="19"/>
  <c r="N236" i="19"/>
  <c r="O335" i="19"/>
  <c r="N335" i="19"/>
  <c r="O334" i="19"/>
  <c r="N334" i="19"/>
  <c r="O333" i="19"/>
  <c r="N333" i="19"/>
  <c r="O332" i="19"/>
  <c r="N332" i="19"/>
  <c r="O284" i="19"/>
  <c r="N284" i="19"/>
  <c r="O283" i="19"/>
  <c r="N283" i="19"/>
  <c r="O268" i="19"/>
  <c r="N268" i="19"/>
  <c r="O263" i="19"/>
  <c r="N263" i="19"/>
  <c r="O262" i="19"/>
  <c r="N262" i="19"/>
  <c r="O351" i="19"/>
  <c r="N351" i="19"/>
  <c r="O343" i="19"/>
  <c r="N343" i="19"/>
  <c r="O342" i="19"/>
  <c r="N342" i="19"/>
  <c r="O341" i="19"/>
  <c r="N341" i="19"/>
  <c r="O340" i="19"/>
  <c r="N340" i="19"/>
  <c r="O339" i="19"/>
  <c r="N339" i="19"/>
  <c r="O338" i="19"/>
  <c r="N338" i="19"/>
  <c r="O337" i="19"/>
  <c r="N337" i="19"/>
  <c r="O336" i="19"/>
  <c r="N336" i="19"/>
  <c r="O360" i="19"/>
  <c r="N360" i="19"/>
  <c r="O359" i="19"/>
  <c r="N359" i="19"/>
  <c r="O358" i="19"/>
  <c r="N358" i="19"/>
  <c r="O357" i="19"/>
  <c r="N357" i="19"/>
  <c r="O356" i="19"/>
  <c r="N356" i="19"/>
  <c r="O355" i="19"/>
  <c r="N355" i="19"/>
  <c r="O354" i="19"/>
  <c r="N354" i="19"/>
  <c r="O353" i="19"/>
  <c r="N353" i="19"/>
  <c r="O352" i="19"/>
  <c r="N352" i="19"/>
  <c r="O449" i="19"/>
  <c r="N449" i="19"/>
  <c r="O448" i="19"/>
  <c r="N448" i="19"/>
  <c r="O399" i="19"/>
  <c r="N399" i="19"/>
  <c r="O398" i="19"/>
  <c r="N398" i="19"/>
  <c r="O397" i="19"/>
  <c r="N397" i="19"/>
  <c r="O396" i="19"/>
  <c r="N396" i="19"/>
  <c r="O395" i="19"/>
  <c r="N395" i="19"/>
  <c r="O362" i="19"/>
  <c r="N362" i="19"/>
  <c r="O361" i="19"/>
  <c r="N361" i="19"/>
  <c r="O478" i="19"/>
  <c r="N478" i="19"/>
  <c r="O477" i="19"/>
  <c r="N477" i="19"/>
  <c r="O476" i="19"/>
  <c r="N476" i="19"/>
  <c r="O475" i="19"/>
  <c r="N475" i="19"/>
  <c r="O474" i="19"/>
  <c r="N474" i="19"/>
  <c r="O473" i="19"/>
  <c r="N473" i="19"/>
  <c r="O472" i="19"/>
  <c r="N472" i="19"/>
  <c r="O471" i="19"/>
  <c r="N471" i="19"/>
  <c r="O470" i="19"/>
  <c r="N470" i="19"/>
  <c r="O82" i="19"/>
  <c r="N82" i="19"/>
  <c r="O83" i="19"/>
  <c r="N83" i="19"/>
  <c r="O115" i="19"/>
  <c r="N115" i="19"/>
  <c r="O114" i="19"/>
  <c r="N114" i="19"/>
  <c r="O98" i="19"/>
  <c r="N98" i="19"/>
  <c r="O96" i="19"/>
  <c r="N96" i="19"/>
  <c r="O94" i="19"/>
  <c r="N94" i="19"/>
  <c r="O113" i="19"/>
  <c r="O92" i="19"/>
  <c r="N92" i="19"/>
  <c r="O112" i="19"/>
  <c r="N112" i="19"/>
  <c r="O856" i="19"/>
  <c r="N856" i="19"/>
  <c r="O801" i="19"/>
  <c r="N801" i="19"/>
  <c r="O800" i="19"/>
  <c r="N800" i="19"/>
  <c r="O799" i="19"/>
  <c r="N799" i="19"/>
  <c r="O855" i="19"/>
  <c r="N855" i="19"/>
  <c r="O842" i="19"/>
  <c r="N842" i="19"/>
  <c r="O776" i="19"/>
  <c r="N776" i="19"/>
  <c r="O798" i="19"/>
  <c r="N798" i="19"/>
  <c r="O735" i="19"/>
  <c r="N735" i="19"/>
  <c r="O731" i="19"/>
  <c r="N731" i="19"/>
  <c r="O738" i="19"/>
  <c r="N738" i="19"/>
  <c r="O737" i="19"/>
  <c r="N737" i="19"/>
  <c r="O728" i="19"/>
  <c r="N728" i="19"/>
  <c r="E728" i="19"/>
  <c r="O730" i="19"/>
  <c r="N730" i="19"/>
  <c r="E730" i="19"/>
  <c r="O729" i="19"/>
  <c r="N729" i="19"/>
  <c r="O727" i="19"/>
  <c r="N727" i="19"/>
  <c r="O726" i="19"/>
  <c r="N726" i="19"/>
  <c r="O725" i="19"/>
  <c r="N725" i="19"/>
  <c r="O723" i="19"/>
  <c r="N723" i="19"/>
  <c r="O724" i="19"/>
  <c r="N724" i="19"/>
  <c r="O632" i="19"/>
  <c r="N632" i="19"/>
  <c r="O636" i="19"/>
  <c r="N636" i="19"/>
  <c r="O635" i="19"/>
  <c r="N635" i="19"/>
  <c r="O630" i="19"/>
  <c r="N630" i="19"/>
  <c r="O631" i="19"/>
  <c r="N631" i="19"/>
  <c r="O629" i="19"/>
  <c r="N629" i="19"/>
  <c r="O391" i="19"/>
  <c r="N391" i="19"/>
  <c r="O347" i="19"/>
  <c r="N347" i="19"/>
  <c r="O346" i="19"/>
  <c r="N346" i="19"/>
  <c r="O345" i="19"/>
  <c r="N345" i="19"/>
  <c r="O344" i="19"/>
  <c r="N344" i="19"/>
  <c r="O350" i="19"/>
  <c r="N350" i="19"/>
  <c r="O349" i="19"/>
  <c r="N349" i="19"/>
  <c r="O736" i="19"/>
  <c r="N736" i="19"/>
  <c r="O734" i="19"/>
  <c r="N734" i="19"/>
  <c r="O733" i="19"/>
  <c r="N733" i="19"/>
  <c r="O393" i="19"/>
  <c r="N393" i="19"/>
  <c r="O436" i="19"/>
  <c r="N436" i="19"/>
  <c r="O440" i="19"/>
  <c r="N440" i="19"/>
  <c r="O438" i="19"/>
  <c r="N438" i="19"/>
  <c r="O172" i="19"/>
  <c r="N172" i="19"/>
  <c r="O171" i="19"/>
  <c r="N171" i="19"/>
  <c r="O170" i="19"/>
  <c r="N170" i="19"/>
  <c r="O389" i="19"/>
  <c r="N389" i="19"/>
  <c r="O704" i="19"/>
  <c r="N704" i="19"/>
  <c r="O169" i="19"/>
  <c r="N169" i="19"/>
  <c r="O168" i="19"/>
  <c r="N168" i="19"/>
  <c r="O167" i="19"/>
  <c r="N167" i="19"/>
  <c r="O388" i="19"/>
  <c r="N388" i="19"/>
  <c r="O703" i="19"/>
  <c r="N703" i="19"/>
  <c r="O560" i="19"/>
  <c r="N560" i="19"/>
  <c r="O784" i="19"/>
  <c r="N784" i="19"/>
  <c r="O783" i="19"/>
  <c r="N783" i="19"/>
  <c r="O782" i="19"/>
  <c r="N782" i="19"/>
  <c r="O781" i="19"/>
  <c r="N781" i="19"/>
  <c r="O780" i="19"/>
  <c r="N780" i="19"/>
  <c r="O863" i="19"/>
  <c r="N863" i="19"/>
  <c r="O559" i="19"/>
  <c r="N559" i="19"/>
  <c r="O862" i="19"/>
  <c r="N862" i="19"/>
  <c r="O387" i="19"/>
  <c r="N387" i="19"/>
  <c r="O792" i="19"/>
  <c r="N792" i="19"/>
  <c r="O295" i="19"/>
  <c r="N295" i="19"/>
  <c r="O294" i="19"/>
  <c r="N294" i="19"/>
  <c r="O296" i="19"/>
  <c r="N296" i="19"/>
  <c r="O292" i="19"/>
  <c r="N292" i="19"/>
  <c r="O291" i="19"/>
  <c r="N291" i="19"/>
  <c r="O293" i="19"/>
  <c r="N293" i="19"/>
  <c r="O386" i="19"/>
  <c r="N386" i="19"/>
  <c r="O385" i="19"/>
  <c r="N385" i="19"/>
  <c r="O108" i="19"/>
  <c r="N108" i="19"/>
  <c r="O120" i="19"/>
  <c r="N120" i="19"/>
  <c r="O768" i="19"/>
  <c r="N768" i="19"/>
  <c r="O789" i="19"/>
  <c r="N789" i="19"/>
  <c r="O824" i="19"/>
  <c r="N824" i="19"/>
  <c r="O751" i="19"/>
  <c r="N751" i="19"/>
  <c r="O767" i="19"/>
  <c r="N767" i="19"/>
  <c r="O788" i="19"/>
  <c r="N788" i="19"/>
  <c r="O107" i="19"/>
  <c r="N107" i="19"/>
  <c r="O119" i="19"/>
  <c r="N119" i="19"/>
  <c r="O290" i="19"/>
  <c r="N290" i="19"/>
  <c r="O525" i="19"/>
  <c r="N525" i="19"/>
  <c r="O857" i="19"/>
  <c r="N857" i="19"/>
  <c r="O382" i="19"/>
  <c r="N382" i="19"/>
  <c r="O381" i="19"/>
  <c r="N381" i="19"/>
  <c r="O380" i="19"/>
  <c r="N380" i="19"/>
  <c r="O379" i="19"/>
  <c r="N379" i="19"/>
  <c r="O378" i="19"/>
  <c r="N378" i="19"/>
  <c r="O377" i="19"/>
  <c r="N377" i="19"/>
  <c r="O376" i="19"/>
  <c r="N376" i="19"/>
  <c r="O446" i="19"/>
  <c r="N446" i="19"/>
  <c r="O439" i="19"/>
  <c r="N439" i="19"/>
  <c r="O405" i="19"/>
  <c r="N405" i="19"/>
  <c r="O404" i="19"/>
  <c r="N404" i="19"/>
  <c r="O402" i="19"/>
  <c r="N402" i="19"/>
  <c r="O401" i="19"/>
  <c r="N401" i="19"/>
  <c r="O392" i="19"/>
  <c r="N392" i="19"/>
  <c r="O717" i="19"/>
  <c r="N717" i="19"/>
  <c r="O716" i="19"/>
  <c r="N716" i="19"/>
  <c r="O719" i="19"/>
  <c r="N719" i="19"/>
  <c r="O749" i="19"/>
  <c r="N749" i="19"/>
  <c r="O720" i="19"/>
  <c r="N720" i="19"/>
  <c r="O750" i="19"/>
  <c r="N750" i="19"/>
  <c r="O275" i="19"/>
  <c r="N275" i="19"/>
  <c r="O274" i="19"/>
  <c r="N274" i="19"/>
  <c r="O273" i="19"/>
  <c r="N273" i="19"/>
  <c r="O272" i="19"/>
  <c r="N272" i="19"/>
  <c r="O271" i="19"/>
  <c r="N271" i="19"/>
  <c r="O270" i="19"/>
  <c r="N270" i="19"/>
  <c r="O269" i="19"/>
  <c r="N269" i="19"/>
  <c r="O375" i="19"/>
  <c r="N375" i="19"/>
  <c r="O374" i="19"/>
  <c r="N374" i="19"/>
  <c r="O373" i="19"/>
  <c r="N373" i="19"/>
  <c r="O372" i="19"/>
  <c r="N372" i="19"/>
  <c r="O371" i="19"/>
  <c r="N371" i="19"/>
  <c r="O370" i="19"/>
  <c r="N370" i="19"/>
  <c r="O369" i="19"/>
  <c r="N369" i="19"/>
  <c r="O659" i="19"/>
  <c r="N659" i="19"/>
  <c r="O708" i="19"/>
  <c r="N708"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186" i="19"/>
  <c r="N186" i="19"/>
  <c r="O185" i="19"/>
  <c r="N185" i="19"/>
  <c r="O184" i="19"/>
  <c r="N184" i="19"/>
  <c r="O183" i="19"/>
  <c r="N183" i="19"/>
  <c r="O182" i="19"/>
  <c r="N182" i="19"/>
  <c r="O181" i="19"/>
  <c r="N181" i="19"/>
  <c r="O180" i="19"/>
  <c r="N180" i="19"/>
  <c r="O194" i="19"/>
  <c r="N194" i="19"/>
  <c r="O193" i="19"/>
  <c r="N193" i="19"/>
  <c r="O192" i="19"/>
  <c r="N192" i="19"/>
  <c r="O191" i="19"/>
  <c r="N191" i="19"/>
  <c r="O190" i="19"/>
  <c r="N190" i="19"/>
  <c r="O189" i="19"/>
  <c r="N189" i="19"/>
  <c r="O188" i="19"/>
  <c r="N188" i="19"/>
  <c r="O202" i="19"/>
  <c r="N202" i="19"/>
  <c r="O201" i="19"/>
  <c r="N201" i="19"/>
  <c r="O200" i="19"/>
  <c r="N200" i="19"/>
  <c r="O199" i="19"/>
  <c r="N199" i="19"/>
  <c r="O198" i="19"/>
  <c r="N198" i="19"/>
  <c r="O197" i="19"/>
  <c r="N197" i="19"/>
  <c r="O196" i="19"/>
  <c r="N196" i="19"/>
  <c r="O543" i="19"/>
  <c r="N543" i="19"/>
  <c r="O542" i="19"/>
  <c r="N542" i="19"/>
  <c r="O541" i="19"/>
  <c r="N541" i="19"/>
  <c r="O540" i="19"/>
  <c r="N540" i="19"/>
  <c r="O539" i="19"/>
  <c r="N539" i="19"/>
  <c r="O538" i="19"/>
  <c r="N538" i="19"/>
  <c r="O537" i="19"/>
  <c r="N537" i="19"/>
  <c r="O598" i="19"/>
  <c r="N598" i="19"/>
  <c r="O597" i="19"/>
  <c r="N597" i="19"/>
  <c r="O596" i="19"/>
  <c r="N596" i="19"/>
  <c r="O595" i="19"/>
  <c r="N595" i="19"/>
  <c r="O594" i="19"/>
  <c r="N594" i="19"/>
  <c r="O593" i="19"/>
  <c r="N593" i="19"/>
  <c r="O592" i="19"/>
  <c r="N592" i="19"/>
  <c r="O606" i="19"/>
  <c r="N606" i="19"/>
  <c r="O605" i="19"/>
  <c r="N605" i="19"/>
  <c r="O604" i="19"/>
  <c r="N604" i="19"/>
  <c r="O603" i="19"/>
  <c r="N603" i="19"/>
  <c r="O602" i="19"/>
  <c r="N602" i="19"/>
  <c r="O601" i="19"/>
  <c r="N601" i="19"/>
  <c r="O600" i="19"/>
  <c r="N600" i="19"/>
  <c r="O614" i="19"/>
  <c r="N614" i="19"/>
  <c r="O613" i="19"/>
  <c r="N613" i="19"/>
  <c r="O612" i="19"/>
  <c r="N612" i="19"/>
  <c r="O611" i="19"/>
  <c r="N611" i="19"/>
  <c r="O610" i="19"/>
  <c r="N610" i="19"/>
  <c r="O609" i="19"/>
  <c r="N609" i="19"/>
  <c r="O608" i="19"/>
  <c r="N608" i="19"/>
  <c r="O257" i="19"/>
  <c r="N257" i="19"/>
  <c r="O460" i="19"/>
  <c r="N460" i="19"/>
  <c r="O459" i="19"/>
  <c r="N459" i="19"/>
  <c r="O508" i="19"/>
  <c r="N508" i="19"/>
  <c r="O658" i="19"/>
  <c r="N658" i="19"/>
  <c r="O657" i="19"/>
  <c r="N657" i="19"/>
  <c r="O656" i="19"/>
  <c r="N656" i="19"/>
  <c r="O655" i="19"/>
  <c r="N655" i="19"/>
  <c r="O654" i="19"/>
  <c r="N654" i="19"/>
  <c r="O653" i="19"/>
  <c r="N653" i="19"/>
  <c r="O652" i="19"/>
  <c r="N652" i="19"/>
  <c r="O255" i="19"/>
  <c r="N255" i="19"/>
  <c r="O458" i="19"/>
  <c r="N458" i="19"/>
  <c r="O457" i="19"/>
  <c r="N457" i="19"/>
  <c r="O507" i="19"/>
  <c r="N507" i="19"/>
  <c r="O651" i="19"/>
  <c r="N651" i="19"/>
  <c r="O159" i="19"/>
  <c r="N159" i="19"/>
  <c r="O253" i="19"/>
  <c r="N253" i="19"/>
  <c r="L506" i="19"/>
  <c r="K506" i="19"/>
  <c r="O588" i="19"/>
  <c r="N588" i="19"/>
  <c r="O587" i="19"/>
  <c r="N587" i="19"/>
  <c r="O586" i="19"/>
  <c r="N586" i="19"/>
  <c r="O585" i="19"/>
  <c r="N585" i="19"/>
  <c r="O584" i="19"/>
  <c r="N584" i="19"/>
  <c r="O583" i="19"/>
  <c r="N583" i="19"/>
  <c r="O582" i="19"/>
  <c r="N582" i="19"/>
  <c r="O650" i="19"/>
  <c r="N650" i="19"/>
  <c r="O469" i="19"/>
  <c r="N469" i="19"/>
  <c r="O468" i="19"/>
  <c r="N468" i="19"/>
  <c r="O505" i="19"/>
  <c r="N505" i="19"/>
  <c r="O456" i="19"/>
  <c r="N456" i="19"/>
  <c r="O455" i="19"/>
  <c r="N455" i="19"/>
  <c r="O504" i="19"/>
  <c r="N504" i="19"/>
  <c r="O451" i="19"/>
  <c r="N451" i="19"/>
  <c r="O503" i="19"/>
  <c r="N503" i="19"/>
  <c r="O589" i="19"/>
  <c r="N589" i="19"/>
  <c r="O590" i="19"/>
  <c r="N590" i="19"/>
  <c r="O591" i="19"/>
  <c r="N591" i="19"/>
  <c r="O774" i="19"/>
  <c r="N774" i="19"/>
  <c r="O773" i="19"/>
  <c r="N773" i="19"/>
  <c r="O772" i="19"/>
  <c r="N772" i="19"/>
  <c r="O771" i="19"/>
  <c r="N771" i="19"/>
  <c r="O770" i="19"/>
  <c r="N770" i="19"/>
  <c r="O769" i="19"/>
  <c r="N769" i="19"/>
  <c r="O779" i="19"/>
  <c r="N779" i="19"/>
  <c r="O766" i="19"/>
  <c r="N766" i="19"/>
  <c r="O802" i="19"/>
  <c r="N802" i="19"/>
  <c r="O252" i="19"/>
  <c r="N252" i="19"/>
  <c r="O454" i="19"/>
  <c r="N454" i="19"/>
  <c r="O453" i="19"/>
  <c r="N453" i="19"/>
  <c r="O502" i="19"/>
  <c r="N502" i="19"/>
  <c r="O649" i="19"/>
  <c r="N649" i="19"/>
  <c r="K444" i="19"/>
  <c r="O444" i="19" s="1"/>
  <c r="O464" i="19"/>
  <c r="N464" i="19"/>
  <c r="O465" i="19"/>
  <c r="N465" i="19"/>
  <c r="O524" i="19"/>
  <c r="N524" i="19"/>
  <c r="O854" i="19"/>
  <c r="N854" i="19"/>
  <c r="O786" i="19"/>
  <c r="N786" i="19"/>
  <c r="O775" i="19"/>
  <c r="N775" i="19"/>
  <c r="O787" i="19"/>
  <c r="N787" i="19"/>
  <c r="O501" i="19"/>
  <c r="N501" i="19"/>
  <c r="O534" i="19"/>
  <c r="N534" i="19"/>
  <c r="O707" i="19"/>
  <c r="N707" i="19"/>
  <c r="O732" i="19"/>
  <c r="N732" i="19"/>
  <c r="O493" i="19"/>
  <c r="N493" i="19"/>
  <c r="O499" i="19"/>
  <c r="N499" i="19"/>
  <c r="O500" i="19"/>
  <c r="N500" i="19"/>
  <c r="O523" i="19"/>
  <c r="N523" i="19"/>
  <c r="O853" i="19"/>
  <c r="N853" i="19"/>
  <c r="O217" i="19"/>
  <c r="N217" i="19"/>
  <c r="O216" i="19"/>
  <c r="N216" i="19"/>
  <c r="O215" i="19"/>
  <c r="N215" i="19"/>
  <c r="O214" i="19"/>
  <c r="N214" i="19"/>
  <c r="O213" i="19"/>
  <c r="N213" i="19"/>
  <c r="O212" i="19"/>
  <c r="N212" i="19"/>
  <c r="O211" i="19"/>
  <c r="N211" i="19"/>
  <c r="O210" i="19"/>
  <c r="N210" i="19"/>
  <c r="O209" i="19"/>
  <c r="N209" i="19"/>
  <c r="O208" i="19"/>
  <c r="N208" i="19"/>
  <c r="O207" i="19"/>
  <c r="N207" i="19"/>
  <c r="O206" i="19"/>
  <c r="N206" i="19"/>
  <c r="O205" i="19"/>
  <c r="N205" i="19"/>
  <c r="O204" i="19"/>
  <c r="N204" i="19"/>
  <c r="O231" i="19"/>
  <c r="N231" i="19"/>
  <c r="O230" i="19"/>
  <c r="N230" i="19"/>
  <c r="O229" i="19"/>
  <c r="N229" i="19"/>
  <c r="O228" i="19"/>
  <c r="N228" i="19"/>
  <c r="O227" i="19"/>
  <c r="N227" i="19"/>
  <c r="O226" i="19"/>
  <c r="N226" i="19"/>
  <c r="O225" i="19"/>
  <c r="N225" i="19"/>
  <c r="O224" i="19"/>
  <c r="N224" i="19"/>
  <c r="O223" i="19"/>
  <c r="N223" i="19"/>
  <c r="O222" i="19"/>
  <c r="N222" i="19"/>
  <c r="O221" i="19"/>
  <c r="N221" i="19"/>
  <c r="O220" i="19"/>
  <c r="N220" i="19"/>
  <c r="O219" i="19"/>
  <c r="N219" i="19"/>
  <c r="O218" i="19"/>
  <c r="N218" i="19"/>
  <c r="O317" i="19"/>
  <c r="N317" i="19"/>
  <c r="O316" i="19"/>
  <c r="N316" i="19"/>
  <c r="O315" i="19"/>
  <c r="N315" i="19"/>
  <c r="O314" i="19"/>
  <c r="N314" i="19"/>
  <c r="O313" i="19"/>
  <c r="N313" i="19"/>
  <c r="O312" i="19"/>
  <c r="N312" i="19"/>
  <c r="O311" i="19"/>
  <c r="N311" i="19"/>
  <c r="O310" i="19"/>
  <c r="N310" i="19"/>
  <c r="O309" i="19"/>
  <c r="N309" i="19"/>
  <c r="O308" i="19"/>
  <c r="N308" i="19"/>
  <c r="O307" i="19"/>
  <c r="N307" i="19"/>
  <c r="O306" i="19"/>
  <c r="N306" i="19"/>
  <c r="O305" i="19"/>
  <c r="N305" i="19"/>
  <c r="O304" i="19"/>
  <c r="N304" i="19"/>
  <c r="O331" i="19"/>
  <c r="N331" i="19"/>
  <c r="O330" i="19"/>
  <c r="N330" i="19"/>
  <c r="O329" i="19"/>
  <c r="N329" i="19"/>
  <c r="O328" i="19"/>
  <c r="N328" i="19"/>
  <c r="O327" i="19"/>
  <c r="N327" i="19"/>
  <c r="O326" i="19"/>
  <c r="N326" i="19"/>
  <c r="O325" i="19"/>
  <c r="N325" i="19"/>
  <c r="O324" i="19"/>
  <c r="N324" i="19"/>
  <c r="O323" i="19"/>
  <c r="N323" i="19"/>
  <c r="O322" i="19"/>
  <c r="N322" i="19"/>
  <c r="O321" i="19"/>
  <c r="N321" i="19"/>
  <c r="O320" i="19"/>
  <c r="N320" i="19"/>
  <c r="O319" i="19"/>
  <c r="N319" i="19"/>
  <c r="O318" i="19"/>
  <c r="N318" i="19"/>
  <c r="O419" i="19"/>
  <c r="N419" i="19"/>
  <c r="O418" i="19"/>
  <c r="N418" i="19"/>
  <c r="O417" i="19"/>
  <c r="N417" i="19"/>
  <c r="O416" i="19"/>
  <c r="N416" i="19"/>
  <c r="O415" i="19"/>
  <c r="N415" i="19"/>
  <c r="O414" i="19"/>
  <c r="N414" i="19"/>
  <c r="O413" i="19"/>
  <c r="N413" i="19"/>
  <c r="O412" i="19"/>
  <c r="N412" i="19"/>
  <c r="O411" i="19"/>
  <c r="N411" i="19"/>
  <c r="O410" i="19"/>
  <c r="N410" i="19"/>
  <c r="O409" i="19"/>
  <c r="N409" i="19"/>
  <c r="O408" i="19"/>
  <c r="N408" i="19"/>
  <c r="O407" i="19"/>
  <c r="N407" i="19"/>
  <c r="O406" i="19"/>
  <c r="N406" i="19"/>
  <c r="O435" i="19"/>
  <c r="N435" i="19"/>
  <c r="O434" i="19"/>
  <c r="N434" i="19"/>
  <c r="O433" i="19"/>
  <c r="N433" i="19"/>
  <c r="O432" i="19"/>
  <c r="N432" i="19"/>
  <c r="O431" i="19"/>
  <c r="N431" i="19"/>
  <c r="O430" i="19"/>
  <c r="N430" i="19"/>
  <c r="O429" i="19"/>
  <c r="N429" i="19"/>
  <c r="O428" i="19"/>
  <c r="N428" i="19"/>
  <c r="O427" i="19"/>
  <c r="N427" i="19"/>
  <c r="O426" i="19"/>
  <c r="N426" i="19"/>
  <c r="O425" i="19"/>
  <c r="N425" i="19"/>
  <c r="O424" i="19"/>
  <c r="N424" i="19"/>
  <c r="O423" i="19"/>
  <c r="N423" i="19"/>
  <c r="O422" i="19"/>
  <c r="N422" i="19"/>
  <c r="O492" i="19"/>
  <c r="N492" i="19"/>
  <c r="O491" i="19"/>
  <c r="N491" i="19"/>
  <c r="O490" i="19"/>
  <c r="N490" i="19"/>
  <c r="O489" i="19"/>
  <c r="N489" i="19"/>
  <c r="O488" i="19"/>
  <c r="N488" i="19"/>
  <c r="O487" i="19"/>
  <c r="N487" i="19"/>
  <c r="O486" i="19"/>
  <c r="N486" i="19"/>
  <c r="O485" i="19"/>
  <c r="N485" i="19"/>
  <c r="O484" i="19"/>
  <c r="N484" i="19"/>
  <c r="O483" i="19"/>
  <c r="N483" i="19"/>
  <c r="O482" i="19"/>
  <c r="N482" i="19"/>
  <c r="O481" i="19"/>
  <c r="N481" i="19"/>
  <c r="O480" i="19"/>
  <c r="N480" i="19"/>
  <c r="O479" i="19"/>
  <c r="N479" i="19"/>
  <c r="O558" i="19"/>
  <c r="N558" i="19"/>
  <c r="O557" i="19"/>
  <c r="N557" i="19"/>
  <c r="O556" i="19"/>
  <c r="N556" i="19"/>
  <c r="O555" i="19"/>
  <c r="N555" i="19"/>
  <c r="O554" i="19"/>
  <c r="N554" i="19"/>
  <c r="O553" i="19"/>
  <c r="N553" i="19"/>
  <c r="O552" i="19"/>
  <c r="N552" i="19"/>
  <c r="O551" i="19"/>
  <c r="N551" i="19"/>
  <c r="O550" i="19"/>
  <c r="N550" i="19"/>
  <c r="O549" i="19"/>
  <c r="N549" i="19"/>
  <c r="O548" i="19"/>
  <c r="N548" i="19"/>
  <c r="O547" i="19"/>
  <c r="N547" i="19"/>
  <c r="O546" i="19"/>
  <c r="N546" i="19"/>
  <c r="O545" i="19"/>
  <c r="N545" i="19"/>
  <c r="O682" i="19"/>
  <c r="N682" i="19"/>
  <c r="O681" i="19"/>
  <c r="N681" i="19"/>
  <c r="O680" i="19"/>
  <c r="N680" i="19"/>
  <c r="O679" i="19"/>
  <c r="N679" i="19"/>
  <c r="O678" i="19"/>
  <c r="N678" i="19"/>
  <c r="O677" i="19"/>
  <c r="N677" i="19"/>
  <c r="O676" i="19"/>
  <c r="N676" i="19"/>
  <c r="O675" i="19"/>
  <c r="N675" i="19"/>
  <c r="O674" i="19"/>
  <c r="N674" i="19"/>
  <c r="O673" i="19"/>
  <c r="N673" i="19"/>
  <c r="O672" i="19"/>
  <c r="N672" i="19"/>
  <c r="O671" i="19"/>
  <c r="N671" i="19"/>
  <c r="O670" i="19"/>
  <c r="N670" i="19"/>
  <c r="O669" i="19"/>
  <c r="N669" i="19"/>
  <c r="O701" i="19"/>
  <c r="N701" i="19"/>
  <c r="O700" i="19"/>
  <c r="N700" i="19"/>
  <c r="O699" i="19"/>
  <c r="N699" i="19"/>
  <c r="O698" i="19"/>
  <c r="N698" i="19"/>
  <c r="O697" i="19"/>
  <c r="N697" i="19"/>
  <c r="O696" i="19"/>
  <c r="N696" i="19"/>
  <c r="O695" i="19"/>
  <c r="N695" i="19"/>
  <c r="O694" i="19"/>
  <c r="N694" i="19"/>
  <c r="O693" i="19"/>
  <c r="N693" i="19"/>
  <c r="O692" i="19"/>
  <c r="N692" i="19"/>
  <c r="O691" i="19"/>
  <c r="N691" i="19"/>
  <c r="O690" i="19"/>
  <c r="N690" i="19"/>
  <c r="O689" i="19"/>
  <c r="N689" i="19"/>
  <c r="O688" i="19"/>
  <c r="N688" i="19"/>
  <c r="O765" i="19"/>
  <c r="N765" i="19"/>
  <c r="O764" i="19"/>
  <c r="N764" i="19"/>
  <c r="O763" i="19"/>
  <c r="N763" i="19"/>
  <c r="O762" i="19"/>
  <c r="N762" i="19"/>
  <c r="O761" i="19"/>
  <c r="N761" i="19"/>
  <c r="O760" i="19"/>
  <c r="N760" i="19"/>
  <c r="O759" i="19"/>
  <c r="N759" i="19"/>
  <c r="O758" i="19"/>
  <c r="N758" i="19"/>
  <c r="O757" i="19"/>
  <c r="N757" i="19"/>
  <c r="O756" i="19"/>
  <c r="N756" i="19"/>
  <c r="O755" i="19"/>
  <c r="N755" i="19"/>
  <c r="O754" i="19"/>
  <c r="N754" i="19"/>
  <c r="O753" i="19"/>
  <c r="N753" i="19"/>
  <c r="O752" i="19"/>
  <c r="N752" i="19"/>
  <c r="O287" i="19"/>
  <c r="N287" i="19"/>
  <c r="O288" i="19"/>
  <c r="N288" i="19"/>
  <c r="O289" i="19"/>
  <c r="N289" i="19"/>
  <c r="O498" i="19"/>
  <c r="N498" i="19"/>
  <c r="O850" i="19"/>
  <c r="N850" i="19"/>
  <c r="O400" i="19"/>
  <c r="N400" i="19"/>
  <c r="O628" i="19"/>
  <c r="N628" i="19"/>
  <c r="O627" i="19"/>
  <c r="N627" i="19"/>
  <c r="O626" i="19"/>
  <c r="N626" i="19"/>
  <c r="O625" i="19"/>
  <c r="N625" i="19"/>
  <c r="O267" i="19"/>
  <c r="N267" i="19"/>
  <c r="O286" i="19"/>
  <c r="N286" i="19"/>
  <c r="O522" i="19"/>
  <c r="N522" i="19"/>
  <c r="O852" i="19"/>
  <c r="N852" i="19"/>
  <c r="O102" i="19"/>
  <c r="N102" i="19"/>
  <c r="O118" i="19"/>
  <c r="N118" i="19"/>
  <c r="O450" i="19"/>
  <c r="N450" i="19"/>
  <c r="O452" i="19"/>
  <c r="N452" i="19"/>
  <c r="O463" i="19"/>
  <c r="N463" i="19"/>
  <c r="O285" i="19"/>
  <c r="N285" i="19"/>
  <c r="O519" i="19"/>
  <c r="N519" i="19"/>
  <c r="O849" i="19"/>
  <c r="N849" i="19"/>
  <c r="O101" i="19"/>
  <c r="N101" i="19"/>
  <c r="O117" i="19"/>
  <c r="N117" i="19"/>
  <c r="O158" i="19"/>
  <c r="N158" i="19"/>
  <c r="O248" i="19"/>
  <c r="N248" i="19"/>
  <c r="L497" i="19"/>
  <c r="K497" i="19"/>
  <c r="O581" i="19"/>
  <c r="N581" i="19"/>
  <c r="O580" i="19"/>
  <c r="N580" i="19"/>
  <c r="O579" i="19"/>
  <c r="N579" i="19"/>
  <c r="O578" i="19"/>
  <c r="N578" i="19"/>
  <c r="O577" i="19"/>
  <c r="N577" i="19"/>
  <c r="O576" i="19"/>
  <c r="N576" i="19"/>
  <c r="O575" i="19"/>
  <c r="N575" i="19"/>
  <c r="O648" i="19"/>
  <c r="N648" i="19"/>
  <c r="O157" i="19"/>
  <c r="N157" i="19"/>
  <c r="O247" i="19"/>
  <c r="N247" i="19"/>
  <c r="L496" i="19"/>
  <c r="K496" i="19"/>
  <c r="O574" i="19"/>
  <c r="N574" i="19"/>
  <c r="O573" i="19"/>
  <c r="N573" i="19"/>
  <c r="O572" i="19"/>
  <c r="N572" i="19"/>
  <c r="O571" i="19"/>
  <c r="N571" i="19"/>
  <c r="O570" i="19"/>
  <c r="N570" i="19"/>
  <c r="O569" i="19"/>
  <c r="N569" i="19"/>
  <c r="O568" i="19"/>
  <c r="N568" i="19"/>
  <c r="O647" i="19"/>
  <c r="N647" i="19"/>
  <c r="O646" i="19"/>
  <c r="N646" i="19"/>
  <c r="O645" i="19"/>
  <c r="N645" i="19"/>
  <c r="O644" i="19"/>
  <c r="N644" i="19"/>
  <c r="O643" i="19"/>
  <c r="N643" i="19"/>
  <c r="O642" i="19"/>
  <c r="N642" i="19"/>
  <c r="O641" i="19"/>
  <c r="N641" i="19"/>
  <c r="O156" i="19"/>
  <c r="N156" i="19"/>
  <c r="O246" i="19"/>
  <c r="N246" i="19"/>
  <c r="L495" i="19"/>
  <c r="K495" i="19"/>
  <c r="O567" i="19"/>
  <c r="N567" i="19"/>
  <c r="O566" i="19"/>
  <c r="N566" i="19"/>
  <c r="O565" i="19"/>
  <c r="N565" i="19"/>
  <c r="O564" i="19"/>
  <c r="N564" i="19"/>
  <c r="O563" i="19"/>
  <c r="N563" i="19"/>
  <c r="O562" i="19"/>
  <c r="N562" i="19"/>
  <c r="O561" i="19"/>
  <c r="N561" i="19"/>
  <c r="O640" i="19"/>
  <c r="N640" i="19"/>
  <c r="O100" i="19"/>
  <c r="N100" i="19"/>
  <c r="O713" i="19"/>
  <c r="N713" i="19"/>
  <c r="O90" i="19"/>
  <c r="N90" i="19"/>
  <c r="O705" i="19"/>
  <c r="N705" i="19"/>
  <c r="O174" i="19"/>
  <c r="N174" i="19"/>
  <c r="O173" i="19"/>
  <c r="N173" i="19"/>
  <c r="O176" i="19"/>
  <c r="N176" i="19"/>
  <c r="O175" i="19"/>
  <c r="N175" i="19"/>
  <c r="O177" i="19"/>
  <c r="N177" i="19"/>
  <c r="O365" i="19"/>
  <c r="N365" i="19"/>
  <c r="O166" i="19"/>
  <c r="N166" i="19"/>
  <c r="O165" i="19"/>
  <c r="N165" i="19"/>
  <c r="O793" i="19"/>
  <c r="N793" i="19"/>
  <c r="O364" i="19"/>
  <c r="N364" i="19"/>
  <c r="O363" i="19"/>
  <c r="N363" i="19"/>
  <c r="O155" i="19"/>
  <c r="N155" i="19"/>
  <c r="O89" i="19"/>
  <c r="N89" i="19"/>
  <c r="O88" i="19"/>
  <c r="N88" i="19"/>
  <c r="O111" i="19"/>
  <c r="N111" i="19"/>
  <c r="O241" i="19"/>
  <c r="N241" i="19"/>
  <c r="O154" i="19"/>
  <c r="N154" i="19"/>
  <c r="O87" i="19"/>
  <c r="N87" i="19"/>
  <c r="O86" i="19"/>
  <c r="N86" i="19"/>
  <c r="O110" i="19"/>
  <c r="N110" i="19"/>
  <c r="O164" i="19"/>
  <c r="N164" i="19"/>
  <c r="O72" i="19" l="1"/>
  <c r="O4" i="19"/>
  <c r="N30" i="19"/>
  <c r="O103" i="19"/>
  <c r="O93" i="19"/>
  <c r="O16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62" i="19"/>
  <c r="N64" i="19"/>
  <c r="N37" i="19"/>
  <c r="O68" i="19"/>
  <c r="N76" i="19"/>
  <c r="N77" i="19"/>
  <c r="N8" i="19"/>
  <c r="O26" i="19"/>
  <c r="O162" i="19"/>
  <c r="N122" i="19"/>
  <c r="N160" i="19"/>
  <c r="O122" i="19"/>
  <c r="N81" i="19"/>
  <c r="N66" i="19"/>
  <c r="N35" i="19"/>
  <c r="N13" i="19"/>
  <c r="O75" i="19"/>
  <c r="O7" i="19"/>
  <c r="N10" i="19"/>
  <c r="O160" i="19"/>
  <c r="O81" i="19"/>
  <c r="N60" i="19"/>
  <c r="N32" i="19"/>
  <c r="O35" i="19"/>
  <c r="O13" i="19"/>
  <c r="O18" i="19"/>
  <c r="N72" i="19"/>
  <c r="N75" i="19"/>
  <c r="N7" i="19"/>
  <c r="N22" i="19"/>
  <c r="O30" i="19"/>
  <c r="N93" i="19"/>
  <c r="O496" i="19"/>
  <c r="O495" i="19"/>
  <c r="O497" i="19"/>
  <c r="N497" i="19"/>
  <c r="N506" i="19"/>
  <c r="O97" i="19"/>
  <c r="O105" i="19"/>
  <c r="O27" i="19"/>
  <c r="N103" i="19"/>
  <c r="N58" i="19"/>
  <c r="N16" i="19"/>
  <c r="N163" i="19"/>
  <c r="N242" i="19"/>
  <c r="N78" i="19"/>
  <c r="O28" i="19"/>
  <c r="N5" i="19"/>
  <c r="N129" i="19"/>
  <c r="O60" i="19"/>
  <c r="O33" i="19"/>
  <c r="O36" i="19"/>
  <c r="N15" i="19"/>
  <c r="O73" i="19"/>
  <c r="O9" i="19"/>
  <c r="O22" i="19"/>
  <c r="O31" i="19"/>
  <c r="N95" i="19"/>
  <c r="N161" i="19"/>
  <c r="N99" i="19"/>
  <c r="O242" i="19"/>
  <c r="O69" i="19"/>
  <c r="N104" i="19"/>
  <c r="O16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06" i="19"/>
  <c r="O37" i="19"/>
  <c r="O15" i="19"/>
  <c r="O77" i="19"/>
  <c r="O5" i="19"/>
  <c r="O99" i="19"/>
  <c r="N147" i="19"/>
  <c r="N97" i="19"/>
  <c r="N28" i="19"/>
  <c r="O104" i="19"/>
  <c r="O79" i="19"/>
  <c r="N444" i="19"/>
  <c r="O58" i="19"/>
  <c r="O62" i="19"/>
  <c r="O66" i="19"/>
  <c r="O34" i="19"/>
  <c r="O38" i="19"/>
  <c r="O12" i="19"/>
  <c r="O16" i="19"/>
  <c r="O20" i="19"/>
  <c r="O70" i="19"/>
  <c r="O74" i="19"/>
  <c r="O2" i="19"/>
  <c r="O6" i="19"/>
  <c r="O10" i="19"/>
  <c r="O24" i="19"/>
  <c r="O129" i="19"/>
  <c r="N65" i="19"/>
  <c r="N19" i="19"/>
  <c r="N69" i="19"/>
  <c r="N33" i="19"/>
  <c r="N73" i="19"/>
  <c r="N495" i="19"/>
  <c r="N496" i="19"/>
  <c r="N9" i="19"/>
  <c r="N23" i="19"/>
  <c r="N27" i="19"/>
  <c r="O84" i="19"/>
  <c r="N105"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42" i="19" s="1"/>
  <c r="E237" i="38"/>
  <c r="D133" i="38"/>
  <c r="D114" i="19" s="1"/>
  <c r="D132" i="38"/>
  <c r="D242" i="19" s="1"/>
  <c r="C133" i="38"/>
  <c r="C114" i="19" s="1"/>
  <c r="C132" i="38"/>
  <c r="C242" i="19" s="1"/>
  <c r="B133" i="38"/>
  <c r="B114" i="19" s="1"/>
  <c r="B132" i="38"/>
  <c r="B242" i="19" s="1"/>
  <c r="G125" i="38"/>
  <c r="G96" i="19" s="1"/>
  <c r="G126" i="38"/>
  <c r="G97" i="19" s="1"/>
  <c r="G127" i="38"/>
  <c r="G162" i="19" s="1"/>
  <c r="G124" i="38"/>
  <c r="G105" i="19" s="1"/>
  <c r="G129" i="38"/>
  <c r="G98" i="19" s="1"/>
  <c r="G130" i="38"/>
  <c r="G99" i="19" s="1"/>
  <c r="G131" i="38"/>
  <c r="G163" i="19" s="1"/>
  <c r="G128" i="38"/>
  <c r="G106" i="19" s="1"/>
  <c r="F129" i="38"/>
  <c r="F98" i="19" s="1"/>
  <c r="F130" i="38"/>
  <c r="F99" i="19" s="1"/>
  <c r="F131" i="38"/>
  <c r="F163" i="19" s="1"/>
  <c r="E131" i="38"/>
  <c r="E163" i="19" s="1"/>
  <c r="E130" i="38"/>
  <c r="E99" i="19" s="1"/>
  <c r="E129" i="38"/>
  <c r="E98" i="19" s="1"/>
  <c r="E127" i="38"/>
  <c r="E162" i="19" s="1"/>
  <c r="E126" i="38"/>
  <c r="E97" i="19" s="1"/>
  <c r="E125" i="38"/>
  <c r="E96" i="19" s="1"/>
  <c r="D129" i="38"/>
  <c r="D98" i="19" s="1"/>
  <c r="D130" i="38"/>
  <c r="D99" i="19" s="1"/>
  <c r="D131" i="38"/>
  <c r="D163" i="19" s="1"/>
  <c r="D128" i="38"/>
  <c r="D106" i="19" s="1"/>
  <c r="C129" i="38"/>
  <c r="C98" i="19" s="1"/>
  <c r="C130" i="38"/>
  <c r="C99" i="19" s="1"/>
  <c r="C131" i="38"/>
  <c r="C163" i="19" s="1"/>
  <c r="C128" i="38"/>
  <c r="C106" i="19" s="1"/>
  <c r="B129" i="38"/>
  <c r="B98" i="19" s="1"/>
  <c r="B130" i="38"/>
  <c r="B99" i="19" s="1"/>
  <c r="B131" i="38"/>
  <c r="B163" i="19" s="1"/>
  <c r="B128" i="38"/>
  <c r="B106" i="19" s="1"/>
  <c r="D125" i="38"/>
  <c r="D96" i="19" s="1"/>
  <c r="D126" i="38"/>
  <c r="D97" i="19" s="1"/>
  <c r="D127" i="38"/>
  <c r="D162" i="19" s="1"/>
  <c r="D124" i="38"/>
  <c r="D105" i="19" s="1"/>
  <c r="C125" i="38"/>
  <c r="C96" i="19" s="1"/>
  <c r="C126" i="38"/>
  <c r="C97" i="19" s="1"/>
  <c r="C127" i="38"/>
  <c r="C162" i="19" s="1"/>
  <c r="C124" i="38"/>
  <c r="C105" i="19" s="1"/>
  <c r="B125" i="38"/>
  <c r="B96" i="19" s="1"/>
  <c r="B126" i="38"/>
  <c r="B97" i="19" s="1"/>
  <c r="B127" i="38"/>
  <c r="B162" i="19" s="1"/>
  <c r="B124" i="38"/>
  <c r="B105" i="19" s="1"/>
  <c r="G120" i="38"/>
  <c r="G104" i="19" s="1"/>
  <c r="G121" i="38"/>
  <c r="G94" i="19" s="1"/>
  <c r="G122" i="38"/>
  <c r="G95" i="19" s="1"/>
  <c r="G123" i="38"/>
  <c r="G161" i="19" s="1"/>
  <c r="F119" i="38"/>
  <c r="F113" i="19" s="1"/>
  <c r="F120" i="38"/>
  <c r="F104" i="19" s="1"/>
  <c r="F121" i="38"/>
  <c r="F94" i="19" s="1"/>
  <c r="F122" i="38"/>
  <c r="F95" i="19" s="1"/>
  <c r="F123" i="38"/>
  <c r="F161" i="19" s="1"/>
  <c r="F118" i="38"/>
  <c r="F147" i="19" s="1"/>
  <c r="E119" i="38"/>
  <c r="E113" i="19" s="1"/>
  <c r="E120" i="38"/>
  <c r="E104" i="19" s="1"/>
  <c r="E121" i="38"/>
  <c r="E94" i="19" s="1"/>
  <c r="E122" i="38"/>
  <c r="E95" i="19" s="1"/>
  <c r="E123" i="38"/>
  <c r="E161" i="19" s="1"/>
  <c r="E118" i="38"/>
  <c r="E147" i="19" s="1"/>
  <c r="D119" i="38"/>
  <c r="D113" i="19" s="1"/>
  <c r="D120" i="38"/>
  <c r="D104" i="19" s="1"/>
  <c r="D121" i="38"/>
  <c r="D94" i="19" s="1"/>
  <c r="D122" i="38"/>
  <c r="D95" i="19" s="1"/>
  <c r="D123" i="38"/>
  <c r="D161" i="19" s="1"/>
  <c r="D118" i="38"/>
  <c r="D147" i="19" s="1"/>
  <c r="C119" i="38"/>
  <c r="C113" i="19" s="1"/>
  <c r="C120" i="38"/>
  <c r="C104" i="19" s="1"/>
  <c r="C121" i="38"/>
  <c r="C94" i="19" s="1"/>
  <c r="C122" i="38"/>
  <c r="C95" i="19" s="1"/>
  <c r="C123" i="38"/>
  <c r="C161" i="19" s="1"/>
  <c r="C118" i="38"/>
  <c r="C147" i="19" s="1"/>
  <c r="B119" i="38"/>
  <c r="B113" i="19" s="1"/>
  <c r="B120" i="38"/>
  <c r="B104" i="19" s="1"/>
  <c r="B121" i="38"/>
  <c r="B94" i="19" s="1"/>
  <c r="B122" i="38"/>
  <c r="B95" i="19" s="1"/>
  <c r="B123" i="38"/>
  <c r="B161" i="19" s="1"/>
  <c r="B118" i="38"/>
  <c r="B147" i="19" s="1"/>
  <c r="A119" i="38"/>
  <c r="A113" i="19" s="1"/>
  <c r="A120" i="38"/>
  <c r="A104" i="19" s="1"/>
  <c r="A121" i="38"/>
  <c r="A94" i="19" s="1"/>
  <c r="A122" i="38"/>
  <c r="A95" i="19" s="1"/>
  <c r="A123" i="38"/>
  <c r="A161" i="19" s="1"/>
  <c r="A118" i="38"/>
  <c r="A147" i="19" s="1"/>
  <c r="G114" i="38"/>
  <c r="G103" i="19" s="1"/>
  <c r="G115" i="38"/>
  <c r="G92" i="19" s="1"/>
  <c r="G116" i="38"/>
  <c r="G93" i="19" s="1"/>
  <c r="G117" i="38"/>
  <c r="G160" i="19" s="1"/>
  <c r="F113" i="38"/>
  <c r="F112" i="19" s="1"/>
  <c r="F114" i="38"/>
  <c r="F103" i="19" s="1"/>
  <c r="F115" i="38"/>
  <c r="F92" i="19" s="1"/>
  <c r="F116" i="38"/>
  <c r="F93" i="19" s="1"/>
  <c r="F117" i="38"/>
  <c r="F160" i="19" s="1"/>
  <c r="F112" i="38"/>
  <c r="F129" i="19" s="1"/>
  <c r="E114" i="38"/>
  <c r="E103" i="19" s="1"/>
  <c r="E115" i="38"/>
  <c r="E92" i="19" s="1"/>
  <c r="E116" i="38"/>
  <c r="E93" i="19" s="1"/>
  <c r="E117" i="38"/>
  <c r="E160" i="19" s="1"/>
  <c r="E112" i="38"/>
  <c r="E129" i="19" s="1"/>
  <c r="D113" i="38"/>
  <c r="D112" i="19" s="1"/>
  <c r="D114" i="38"/>
  <c r="D103" i="19" s="1"/>
  <c r="D115" i="38"/>
  <c r="D92" i="19" s="1"/>
  <c r="D116" i="38"/>
  <c r="D93" i="19" s="1"/>
  <c r="D117" i="38"/>
  <c r="D160" i="19" s="1"/>
  <c r="D112" i="38"/>
  <c r="D129" i="19" s="1"/>
  <c r="C113" i="38"/>
  <c r="C112" i="19" s="1"/>
  <c r="C114" i="38"/>
  <c r="C103" i="19" s="1"/>
  <c r="C115" i="38"/>
  <c r="C92" i="19" s="1"/>
  <c r="C116" i="38"/>
  <c r="C93" i="19" s="1"/>
  <c r="C117" i="38"/>
  <c r="C160" i="19" s="1"/>
  <c r="C112" i="38"/>
  <c r="C129" i="19" s="1"/>
  <c r="B117" i="38"/>
  <c r="B160" i="19" s="1"/>
  <c r="B116" i="38"/>
  <c r="B93" i="19" s="1"/>
  <c r="B113" i="38"/>
  <c r="B112" i="19" s="1"/>
  <c r="B114" i="38"/>
  <c r="B103" i="19" s="1"/>
  <c r="B115" i="38"/>
  <c r="B92" i="19" s="1"/>
  <c r="B112" i="38"/>
  <c r="B129"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K229" i="30" s="1"/>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M274" i="30" l="1"/>
  <c r="M273" i="30"/>
  <c r="M272" i="30"/>
  <c r="K258" i="30"/>
  <c r="K233" i="30"/>
  <c r="K231" i="30"/>
  <c r="K243" i="30"/>
  <c r="K266" i="30"/>
  <c r="K257" i="30"/>
  <c r="K248" i="30"/>
  <c r="K239" i="30"/>
  <c r="K261" i="30"/>
  <c r="K240" i="30"/>
  <c r="K268" i="30"/>
  <c r="K259" i="30"/>
  <c r="K250" i="30"/>
  <c r="K241" i="30"/>
  <c r="K232" i="30"/>
  <c r="K270" i="30"/>
  <c r="K234" i="30"/>
  <c r="K263" i="30"/>
  <c r="K236" i="30"/>
  <c r="K237" i="30"/>
  <c r="K265" i="30"/>
  <c r="K238" i="30"/>
  <c r="K230" i="30"/>
  <c r="K264" i="30"/>
  <c r="K246" i="30"/>
  <c r="K269" i="30"/>
  <c r="K260" i="30"/>
  <c r="K251" i="30"/>
  <c r="K242" i="30"/>
  <c r="K267" i="30"/>
  <c r="K249" i="30"/>
  <c r="K271" i="30"/>
  <c r="K262" i="30"/>
  <c r="K235"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20" i="30"/>
  <c r="K72" i="30"/>
  <c r="K159" i="30"/>
  <c r="K95" i="30"/>
  <c r="K172" i="30"/>
  <c r="K85" i="30"/>
  <c r="K166" i="30"/>
  <c r="K18" i="30"/>
  <c r="K155" i="30"/>
  <c r="K168" i="30"/>
  <c r="K180" i="30"/>
  <c r="K34" i="30"/>
  <c r="K99" i="30"/>
  <c r="K11" i="30"/>
  <c r="K96" i="30"/>
  <c r="K65" i="30"/>
  <c r="K82" i="30"/>
  <c r="K59" i="30"/>
  <c r="K108" i="30"/>
  <c r="K216" i="30"/>
  <c r="K138" i="30"/>
  <c r="K97" i="30"/>
  <c r="K154" i="30"/>
  <c r="K206" i="30"/>
  <c r="K105" i="30"/>
  <c r="K93" i="30"/>
  <c r="K128" i="30"/>
  <c r="K150" i="30"/>
  <c r="K32" i="30"/>
  <c r="K202" i="30"/>
  <c r="K52" i="30"/>
  <c r="K181" i="30"/>
  <c r="K41" i="30"/>
  <c r="K76" i="30"/>
  <c r="K187" i="30"/>
  <c r="K130" i="30"/>
  <c r="K94" i="30"/>
  <c r="K70" i="30"/>
  <c r="K158" i="30"/>
  <c r="K142" i="30"/>
  <c r="K114" i="30"/>
  <c r="K135" i="30"/>
  <c r="K7" i="30"/>
  <c r="K21" i="30"/>
  <c r="K148" i="30"/>
  <c r="K71" i="30"/>
  <c r="K42" i="30"/>
  <c r="K123"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19" i="30"/>
  <c r="K13" i="30"/>
  <c r="K89" i="30"/>
  <c r="K78" i="30"/>
  <c r="K215" i="30"/>
  <c r="K134" i="30"/>
  <c r="K74" i="30"/>
  <c r="K117" i="30"/>
  <c r="K162" i="30"/>
  <c r="K175" i="30"/>
  <c r="K161" i="30"/>
  <c r="K35" i="30"/>
  <c r="K87" i="30"/>
  <c r="K151" i="30"/>
  <c r="K12" i="30"/>
  <c r="K30" i="30"/>
  <c r="K136" i="30"/>
  <c r="K218" i="30"/>
  <c r="K115" i="30"/>
  <c r="K44" i="30"/>
  <c r="K77" i="30"/>
  <c r="K204" i="30"/>
  <c r="K144" i="30"/>
  <c r="K66" i="30"/>
  <c r="K14" i="30"/>
  <c r="K15" i="30"/>
  <c r="K208" i="30"/>
  <c r="K28" i="30"/>
  <c r="K217" i="30"/>
  <c r="K147" i="30"/>
  <c r="K103" i="30"/>
  <c r="K16" i="30"/>
  <c r="K86" i="30"/>
  <c r="K223" i="30"/>
  <c r="K179" i="30"/>
  <c r="K170" i="30"/>
  <c r="K55" i="30"/>
  <c r="K211" i="30"/>
  <c r="K225" i="30"/>
  <c r="K189" i="30"/>
  <c r="K199" i="30"/>
  <c r="K98" i="30"/>
  <c r="K169" i="30"/>
  <c r="K133" i="30"/>
  <c r="K92" i="30"/>
  <c r="K8" i="30"/>
  <c r="K90" i="30"/>
  <c r="K9" i="30"/>
  <c r="K139" i="30"/>
  <c r="K140" i="30"/>
  <c r="K122" i="30"/>
  <c r="K58" i="30"/>
  <c r="K17" i="30"/>
  <c r="K20" i="30"/>
  <c r="K224" i="30"/>
  <c r="K57" i="30"/>
  <c r="K40" i="30"/>
  <c r="K173" i="30"/>
  <c r="K10" i="30"/>
  <c r="K149" i="30"/>
  <c r="K91"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F41" i="26" s="1"/>
  <c r="K12" i="26"/>
  <c r="J12" i="26"/>
  <c r="J8" i="26"/>
  <c r="F8" i="26"/>
  <c r="G120" i="26" l="1"/>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80" i="33" l="1"/>
  <c r="B281" i="33"/>
  <c r="B282" i="33"/>
  <c r="B283" i="33"/>
  <c r="B284" i="33"/>
  <c r="B285" i="33"/>
  <c r="D280" i="33"/>
  <c r="D282" i="33"/>
  <c r="D284" i="33"/>
  <c r="C280" i="33"/>
  <c r="C281" i="33"/>
  <c r="C282" i="33"/>
  <c r="C283" i="33"/>
  <c r="C284" i="33"/>
  <c r="C285" i="33"/>
  <c r="D281" i="33"/>
  <c r="D283" i="33"/>
  <c r="D285" i="33"/>
  <c r="B279" i="33"/>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K247" i="30" s="1"/>
  <c r="B3" i="30" a="1"/>
  <c r="B3" i="30" s="1"/>
  <c r="A3" i="30" a="1"/>
  <c r="A3" i="30" s="1"/>
  <c r="K244" i="30" l="1"/>
  <c r="K245" i="30"/>
  <c r="K60" i="30"/>
  <c r="K253" i="30"/>
  <c r="K219" i="30"/>
  <c r="K126" i="30"/>
  <c r="K256" i="30"/>
  <c r="K111" i="30"/>
  <c r="K220" i="30"/>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328"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22"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29" i="19" s="1"/>
  <c r="P117" i="22"/>
  <c r="P113" i="22"/>
  <c r="H115" i="22"/>
  <c r="F130" i="22" s="1"/>
  <c r="E207" i="19" s="1"/>
  <c r="H123" i="22"/>
  <c r="H116" i="22"/>
  <c r="H113" i="22"/>
  <c r="H117" i="22"/>
  <c r="H120" i="22"/>
  <c r="H118" i="22"/>
  <c r="H122" i="22"/>
  <c r="H119" i="22"/>
  <c r="H121" i="22"/>
  <c r="R130" i="22" s="1"/>
  <c r="E321" i="19" s="1"/>
  <c r="H114" i="22"/>
  <c r="L122" i="22"/>
  <c r="L118" i="22"/>
  <c r="L114" i="22"/>
  <c r="L121" i="22"/>
  <c r="L117" i="22"/>
  <c r="L113" i="22"/>
  <c r="L120" i="22"/>
  <c r="L116" i="22"/>
  <c r="L123" i="22"/>
  <c r="L119" i="22"/>
  <c r="L115" i="22"/>
  <c r="Q117" i="22"/>
  <c r="Q113" i="22"/>
  <c r="Q123" i="22"/>
  <c r="Q119" i="22"/>
  <c r="Q115" i="22"/>
  <c r="Q121" i="22"/>
  <c r="R139" i="22" s="1"/>
  <c r="E330" i="19" s="1"/>
  <c r="Q122" i="22"/>
  <c r="Q118" i="22"/>
  <c r="Q114" i="22"/>
  <c r="Q116" i="22"/>
  <c r="Q120" i="22"/>
  <c r="K120" i="22"/>
  <c r="K119" i="22"/>
  <c r="K122" i="22"/>
  <c r="K118" i="22"/>
  <c r="K114" i="22"/>
  <c r="K115" i="22"/>
  <c r="K121" i="22"/>
  <c r="K117" i="22"/>
  <c r="K113" i="22"/>
  <c r="K116" i="22"/>
  <c r="K123" i="22"/>
  <c r="D104" i="22"/>
  <c r="D106" i="22" s="1"/>
  <c r="D738" i="20" s="1"/>
  <c r="E115" i="22" l="1"/>
  <c r="F127" i="22" s="1"/>
  <c r="E204" i="19" s="1"/>
  <c r="E123" i="22"/>
  <c r="V127" i="22" s="1"/>
  <c r="E406" i="19" s="1"/>
  <c r="E120" i="22"/>
  <c r="P127" i="22" s="1"/>
  <c r="E479" i="19" s="1"/>
  <c r="E116" i="22"/>
  <c r="H127" i="22" s="1"/>
  <c r="E304" i="19" s="1"/>
  <c r="E122" i="22"/>
  <c r="T127" i="22" s="1"/>
  <c r="E545" i="19" s="1"/>
  <c r="E117" i="22"/>
  <c r="J127" i="22" s="1"/>
  <c r="E688" i="19" s="1"/>
  <c r="E118" i="22"/>
  <c r="L127" i="22" s="1"/>
  <c r="E752" i="19" s="1"/>
  <c r="E114" i="22"/>
  <c r="D127" i="22" s="1"/>
  <c r="E218" i="19" s="1"/>
  <c r="E119" i="22"/>
  <c r="N127" i="22" s="1"/>
  <c r="E422" i="19" s="1"/>
  <c r="E113" i="22"/>
  <c r="B127" i="22" s="1"/>
  <c r="E669" i="19" s="1"/>
  <c r="E121" i="22"/>
  <c r="R127" i="22" s="1"/>
  <c r="E318" i="19" s="1"/>
  <c r="R128" i="22"/>
  <c r="E319" i="19" s="1"/>
  <c r="R129" i="22"/>
  <c r="E320" i="19" s="1"/>
  <c r="H131" i="22"/>
  <c r="E308" i="19" s="1"/>
  <c r="P131" i="22"/>
  <c r="E483" i="19" s="1"/>
  <c r="F131" i="22"/>
  <c r="E208" i="19" s="1"/>
  <c r="N131" i="22"/>
  <c r="E426" i="19" s="1"/>
  <c r="V131" i="22"/>
  <c r="E410" i="19" s="1"/>
  <c r="D131" i="22"/>
  <c r="E222" i="19" s="1"/>
  <c r="L131" i="22"/>
  <c r="E756" i="19" s="1"/>
  <c r="T131" i="22"/>
  <c r="E549" i="19" s="1"/>
  <c r="J131" i="22"/>
  <c r="E692" i="19" s="1"/>
  <c r="B131" i="22"/>
  <c r="E673" i="19" s="1"/>
  <c r="F129" i="22"/>
  <c r="E206" i="19" s="1"/>
  <c r="N129" i="22"/>
  <c r="E424" i="19" s="1"/>
  <c r="V129" i="22"/>
  <c r="E408" i="19" s="1"/>
  <c r="D129" i="22"/>
  <c r="E220" i="19" s="1"/>
  <c r="L129" i="22"/>
  <c r="E754" i="19" s="1"/>
  <c r="T129" i="22"/>
  <c r="E547" i="19" s="1"/>
  <c r="J129" i="22"/>
  <c r="E690" i="19" s="1"/>
  <c r="B129" i="22"/>
  <c r="E671" i="19" s="1"/>
  <c r="H129" i="22"/>
  <c r="E306" i="19" s="1"/>
  <c r="P129" i="22"/>
  <c r="E481" i="19" s="1"/>
  <c r="B132" i="22"/>
  <c r="E674" i="19" s="1"/>
  <c r="H132" i="22"/>
  <c r="E309" i="19" s="1"/>
  <c r="P132" i="22"/>
  <c r="E484" i="19" s="1"/>
  <c r="F132" i="22"/>
  <c r="E209" i="19" s="1"/>
  <c r="N132" i="22"/>
  <c r="E427" i="19" s="1"/>
  <c r="V132" i="22"/>
  <c r="E411" i="19" s="1"/>
  <c r="D132" i="22"/>
  <c r="E223" i="19" s="1"/>
  <c r="L132" i="22"/>
  <c r="E757" i="19" s="1"/>
  <c r="T132" i="22"/>
  <c r="E550" i="19" s="1"/>
  <c r="J132" i="22"/>
  <c r="E693" i="19" s="1"/>
  <c r="F137" i="22"/>
  <c r="E214" i="19" s="1"/>
  <c r="N137" i="22"/>
  <c r="E432" i="19" s="1"/>
  <c r="V137" i="22"/>
  <c r="E416" i="19" s="1"/>
  <c r="D137" i="22"/>
  <c r="E228" i="19" s="1"/>
  <c r="L137" i="22"/>
  <c r="E762" i="19" s="1"/>
  <c r="T137" i="22"/>
  <c r="E555" i="19" s="1"/>
  <c r="J137" i="22"/>
  <c r="E698" i="19" s="1"/>
  <c r="B137" i="22"/>
  <c r="E679" i="19" s="1"/>
  <c r="H137" i="22"/>
  <c r="E314" i="19" s="1"/>
  <c r="P137" i="22"/>
  <c r="E489" i="19" s="1"/>
  <c r="R132" i="22"/>
  <c r="E323" i="19" s="1"/>
  <c r="F138" i="22"/>
  <c r="E215" i="19" s="1"/>
  <c r="N138" i="22"/>
  <c r="E433" i="19" s="1"/>
  <c r="V138" i="22"/>
  <c r="E417" i="19" s="1"/>
  <c r="D138" i="22"/>
  <c r="E229" i="19" s="1"/>
  <c r="L138" i="22"/>
  <c r="E763" i="19" s="1"/>
  <c r="T138" i="22"/>
  <c r="E556" i="19" s="1"/>
  <c r="J138" i="22"/>
  <c r="E699" i="19" s="1"/>
  <c r="B138" i="22"/>
  <c r="E680" i="19" s="1"/>
  <c r="H138" i="22"/>
  <c r="E315" i="19" s="1"/>
  <c r="P138" i="22"/>
  <c r="E490" i="19" s="1"/>
  <c r="D135" i="22"/>
  <c r="E226" i="19" s="1"/>
  <c r="L135" i="22"/>
  <c r="E760" i="19" s="1"/>
  <c r="T135" i="22"/>
  <c r="E553" i="19" s="1"/>
  <c r="J135" i="22"/>
  <c r="E696" i="19" s="1"/>
  <c r="B135" i="22"/>
  <c r="E677" i="19" s="1"/>
  <c r="H135" i="22"/>
  <c r="E312" i="19" s="1"/>
  <c r="P135" i="22"/>
  <c r="E487" i="19" s="1"/>
  <c r="F135" i="22"/>
  <c r="E212" i="19" s="1"/>
  <c r="N135" i="22"/>
  <c r="E430" i="19" s="1"/>
  <c r="V135" i="22"/>
  <c r="E414" i="19" s="1"/>
  <c r="J134" i="22"/>
  <c r="E695" i="19" s="1"/>
  <c r="B134" i="22"/>
  <c r="E676" i="19" s="1"/>
  <c r="H134" i="22"/>
  <c r="E311" i="19" s="1"/>
  <c r="P134" i="22"/>
  <c r="E486" i="19" s="1"/>
  <c r="F134" i="22"/>
  <c r="E211" i="19" s="1"/>
  <c r="N134" i="22"/>
  <c r="E429" i="19" s="1"/>
  <c r="V134" i="22"/>
  <c r="E413" i="19" s="1"/>
  <c r="D134" i="22"/>
  <c r="E225" i="19" s="1"/>
  <c r="L134" i="22"/>
  <c r="E759" i="19" s="1"/>
  <c r="T134" i="22"/>
  <c r="E552" i="19" s="1"/>
  <c r="R135" i="22"/>
  <c r="E326" i="19" s="1"/>
  <c r="B140" i="22"/>
  <c r="E682" i="19" s="1"/>
  <c r="H140" i="22"/>
  <c r="E317" i="19" s="1"/>
  <c r="P140" i="22"/>
  <c r="E492" i="19" s="1"/>
  <c r="F140" i="22"/>
  <c r="E217" i="19" s="1"/>
  <c r="N140" i="22"/>
  <c r="E435" i="19" s="1"/>
  <c r="V140" i="22"/>
  <c r="E419" i="19" s="1"/>
  <c r="D140" i="22"/>
  <c r="E231" i="19" s="1"/>
  <c r="L140" i="22"/>
  <c r="E765" i="19" s="1"/>
  <c r="T140" i="22"/>
  <c r="E558" i="19" s="1"/>
  <c r="J140" i="22"/>
  <c r="E701" i="19" s="1"/>
  <c r="D136" i="22"/>
  <c r="E227" i="19" s="1"/>
  <c r="L136" i="22"/>
  <c r="E761" i="19" s="1"/>
  <c r="T136" i="22"/>
  <c r="E554" i="19" s="1"/>
  <c r="J136" i="22"/>
  <c r="E697" i="19" s="1"/>
  <c r="B136" i="22"/>
  <c r="E678" i="19" s="1"/>
  <c r="H136" i="22"/>
  <c r="E313" i="19" s="1"/>
  <c r="P136" i="22"/>
  <c r="E488" i="19" s="1"/>
  <c r="F136" i="22"/>
  <c r="E213" i="19" s="1"/>
  <c r="N136" i="22"/>
  <c r="E431" i="19" s="1"/>
  <c r="V136" i="22"/>
  <c r="E415" i="19" s="1"/>
  <c r="H139" i="22"/>
  <c r="E316" i="19" s="1"/>
  <c r="P139" i="22"/>
  <c r="E491" i="19" s="1"/>
  <c r="F139" i="22"/>
  <c r="E216" i="19" s="1"/>
  <c r="N139" i="22"/>
  <c r="E434" i="19" s="1"/>
  <c r="V139" i="22"/>
  <c r="E418" i="19" s="1"/>
  <c r="D139" i="22"/>
  <c r="E230" i="19" s="1"/>
  <c r="L139" i="22"/>
  <c r="E764" i="19" s="1"/>
  <c r="T139" i="22"/>
  <c r="E557" i="19" s="1"/>
  <c r="J139" i="22"/>
  <c r="E700" i="19" s="1"/>
  <c r="B139" i="22"/>
  <c r="E681" i="19" s="1"/>
  <c r="D128" i="22"/>
  <c r="E219" i="19" s="1"/>
  <c r="L128" i="22"/>
  <c r="E753" i="19" s="1"/>
  <c r="T128" i="22"/>
  <c r="E546" i="19" s="1"/>
  <c r="J128" i="22"/>
  <c r="E689" i="19" s="1"/>
  <c r="B128" i="22"/>
  <c r="E670" i="19" s="1"/>
  <c r="H128" i="22"/>
  <c r="E305" i="19" s="1"/>
  <c r="P128" i="22"/>
  <c r="E480" i="19" s="1"/>
  <c r="F128" i="22"/>
  <c r="E205" i="19" s="1"/>
  <c r="N128" i="22"/>
  <c r="E423" i="19" s="1"/>
  <c r="V128" i="22"/>
  <c r="E407" i="19" s="1"/>
  <c r="R134" i="22"/>
  <c r="E325" i="19" s="1"/>
  <c r="J133" i="22"/>
  <c r="E694" i="19" s="1"/>
  <c r="B133" i="22"/>
  <c r="E675" i="19" s="1"/>
  <c r="H133" i="22"/>
  <c r="E310" i="19" s="1"/>
  <c r="P133" i="22"/>
  <c r="E485" i="19" s="1"/>
  <c r="F133" i="22"/>
  <c r="E210" i="19" s="1"/>
  <c r="N133" i="22"/>
  <c r="E428" i="19" s="1"/>
  <c r="V133" i="22"/>
  <c r="E412" i="19" s="1"/>
  <c r="D133" i="22"/>
  <c r="E224" i="19" s="1"/>
  <c r="L133" i="22"/>
  <c r="E758" i="19" s="1"/>
  <c r="T133" i="22"/>
  <c r="E551" i="19" s="1"/>
  <c r="R133" i="22"/>
  <c r="E324" i="19" s="1"/>
  <c r="R140" i="22"/>
  <c r="E331" i="19" s="1"/>
  <c r="N130" i="22"/>
  <c r="E425" i="19" s="1"/>
  <c r="V130" i="22"/>
  <c r="E409" i="19" s="1"/>
  <c r="D130" i="22"/>
  <c r="E221" i="19" s="1"/>
  <c r="L130" i="22"/>
  <c r="E755" i="19" s="1"/>
  <c r="T130" i="22"/>
  <c r="E548" i="19" s="1"/>
  <c r="J130" i="22"/>
  <c r="E691" i="19" s="1"/>
  <c r="B130" i="22"/>
  <c r="E672" i="19" s="1"/>
  <c r="H130" i="22"/>
  <c r="E307" i="19" s="1"/>
  <c r="P130" i="22"/>
  <c r="E482" i="19" s="1"/>
  <c r="R136" i="22"/>
  <c r="E327"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<sst xmlns="http://schemas.openxmlformats.org/spreadsheetml/2006/main" count="25772" uniqueCount="2326">
  <si>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</si>
  <si>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</si>
  <si>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</si>
  <si>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</si>
  <si>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</si>
  <si>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</si>
  <si>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</si>
  <si>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</si>
  <si>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</si>
  <si>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</si>
  <si>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</si>
  <si>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</si>
  <si>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</si>
  <si>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</si>
  <si>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</si>
  <si>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</si>
  <si>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</si>
  <si>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</si>
  <si>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</si>
  <si>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</si>
  <si>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</si>
  <si>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</si>
  <si>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</si>
  <si>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</si>
  <si>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</si>
  <si>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</si>
  <si>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</si>
  <si>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</si>
  <si>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</si>
  <si>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</si>
  <si>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</si>
  <si>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</si>
  <si>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</si>
  <si>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</si>
  <si>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</si>
  <si>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</si>
  <si>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</si>
  <si>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</si>
  <si>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</si>
  <si>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</si>
  <si>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</si>
  <si>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</si>
  <si>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</si>
  <si>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</si>
  <si>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</si>
  <si>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</si>
  <si>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</si>
  <si>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</si>
  <si>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</si>
  <si>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</si>
  <si>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</si>
  <si>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</si>
  <si>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</si>
  <si>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</si>
  <si>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</si>
  <si>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</si>
  <si>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</si>
  <si>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</si>
  <si>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</si>
  <si>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</si>
  <si>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</si>
  <si>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</si>
  <si>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</si>
  <si>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</si>
  <si>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</si>
  <si>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</si>
  <si>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</si>
  <si>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</si>
  <si>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</si>
  <si>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</si>
  <si>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</si>
  <si>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</si>
  <si>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</si>
  <si>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</si>
  <si>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</si>
  <si>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</si>
  <si>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</si>
  <si>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</si>
  <si>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</si>
  <si>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</si>
  <si>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</si>
  <si>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</si>
  <si>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</si>
  <si>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</si>
  <si>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</si>
  <si>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</si>
  <si>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</si>
  <si>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</si>
  <si>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</si>
  <si>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</si>
  <si>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</si>
  <si>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</si>
  <si>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</si>
  <si>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</si>
  <si>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</si>
  <si>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</si>
  <si>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</si>
  <si>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</si>
  <si>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</si>
  <si>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</si>
  <si>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</si>
  <si>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</si>
  <si>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</si>
  <si>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</si>
  <si>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</si>
  <si>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</si>
  <si>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</si>
  <si>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</si>
  <si>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</si>
  <si>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</si>
  <si>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</si>
  <si>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</si>
  <si>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</si>
  <si>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</si>
  <si>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</si>
  <si>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</si>
  <si>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</si>
  <si>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</si>
  <si>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</si>
  <si>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</si>
  <si>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</si>
  <si>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</si>
  <si>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</si>
  <si>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</si>
  <si>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</si>
  <si>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</si>
  <si>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</si>
  <si>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</si>
  <si>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</si>
  <si>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</si>
  <si>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</si>
  <si>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</si>
  <si>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</si>
  <si>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</si>
  <si>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</si>
  <si>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</si>
  <si>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</si>
  <si>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</si>
  <si>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</si>
  <si>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</si>
  <si>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</si>
  <si>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</si>
  <si>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</si>
  <si>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</si>
  <si>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</si>
  <si>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</si>
  <si>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</si>
  <si>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</si>
  <si>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</si>
  <si>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</si>
  <si>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</si>
  <si>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</si>
  <si>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</si>
  <si>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</si>
  <si>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</si>
  <si>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</si>
  <si>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</si>
  <si>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</si>
  <si>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</si>
  <si>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</si>
  <si>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</si>
  <si>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</si>
  <si>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</si>
  <si>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</si>
  <si>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</si>
  <si>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</si>
  <si>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</si>
  <si>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</si>
  <si>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</si>
  <si>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</si>
  <si>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</si>
  <si>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</si>
  <si>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</si>
  <si>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</si>
  <si>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</si>
  <si>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</si>
  <si>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</si>
  <si>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</si>
  <si>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</si>
  <si>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</si>
  <si>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</si>
  <si>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</si>
  <si>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</si>
  <si>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</si>
  <si>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</si>
  <si>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</si>
  <si>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</si>
  <si>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</si>
  <si>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</si>
  <si>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</si>
  <si>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</si>
  <si>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</si>
  <si>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</si>
  <si>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</si>
  <si>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</si>
  <si>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</si>
  <si>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</si>
  <si>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</si>
  <si>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</si>
  <si>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</si>
  <si>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</si>
  <si>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</si>
  <si>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</si>
  <si>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</si>
  <si>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</si>
  <si>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</si>
  <si>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</si>
  <si>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</si>
  <si>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</si>
  <si>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</si>
  <si>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</si>
  <si>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</si>
  <si>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</si>
  <si>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</si>
  <si>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</si>
  <si>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</si>
  <si>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</si>
  <si>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</si>
  <si>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</si>
  <si>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</si>
  <si>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</si>
  <si>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</si>
  <si>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</si>
  <si>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</si>
  <si>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</si>
  <si>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</si>
  <si>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</si>
  <si>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</si>
  <si>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</si>
  <si>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</si>
  <si>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</si>
  <si>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</si>
  <si>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</si>
  <si>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</si>
  <si>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</si>
  <si>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</si>
  <si>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</si>
  <si>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</si>
  <si>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</si>
  <si>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</si>
  <si>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</si>
  <si>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</si>
  <si>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</si>
  <si>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</si>
  <si>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</si>
  <si>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</si>
  <si>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</si>
  <si>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</si>
  <si>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</si>
  <si>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</si>
  <si>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</si>
  <si>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</si>
  <si>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</si>
  <si>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</si>
  <si>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</si>
  <si>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</si>
  <si>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</si>
  <si>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</si>
  <si>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</si>
  <si>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</si>
  <si>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</si>
  <si>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</si>
  <si>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</si>
  <si>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</si>
  <si>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</si>
  <si>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</si>
  <si>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</si>
  <si>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</si>
  <si>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</si>
  <si>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</si>
  <si>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</si>
  <si>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</si>
  <si>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</si>
  <si>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</si>
  <si>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</si>
  <si>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</si>
  <si>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</si>
  <si>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</si>
  <si>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</si>
  <si>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</si>
  <si>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</si>
  <si>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</si>
  <si>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</si>
  <si>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</si>
  <si>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</si>
  <si>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</si>
  <si>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</si>
  <si>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</si>
  <si>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treatment retention rate</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</si>
  <si>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</si>
  <si>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</si>
  <si>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</si>
  <si>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</si>
  <si>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</si>
  <si>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</si>
  <si>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</si>
  <si>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</si>
  <si>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</si>
  <si>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</si>
  <si>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</si>
  <si>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</si>
  <si>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</si>
  <si>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</si>
  <si>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</si>
  <si>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</si>
  <si>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</si>
  <si>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</si>
  <si>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</si>
  <si>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</si>
  <si>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</si>
  <si>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</si>
  <si>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</si>
  <si>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</si>
  <si>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</si>
  <si>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</si>
  <si>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</si>
  <si>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</si>
  <si>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</si>
  <si>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</si>
  <si>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</si>
  <si>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</si>
  <si>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</si>
  <si>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</si>
  <si>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</si>
  <si>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</si>
  <si>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</si>
  <si>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</si>
  <si>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</si>
  <si>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</si>
  <si>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</si>
  <si>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</si>
  <si>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</si>
  <si>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</si>
  <si>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</si>
  <si>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</si>
  <si>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</si>
  <si>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</si>
  <si>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</si>
  <si>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</si>
  <si>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</si>
  <si>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</si>
  <si>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</si>
  <si>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</si>
  <si>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</si>
  <si>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</si>
  <si>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</si>
  <si>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</si>
  <si>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</si>
  <si>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</si>
  <si>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</si>
  <si>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</si>
  <si>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</si>
  <si>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</si>
  <si>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</si>
  <si>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</si>
  <si>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</si>
  <si>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</si>
  <si>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</si>
  <si>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</si>
  <si>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</si>
  <si>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</si>
  <si>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</si>
  <si>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</si>
  <si>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</si>
  <si>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</si>
  <si>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</si>
  <si>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</si>
  <si>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</si>
  <si>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</si>
  <si>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</si>
  <si>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</si>
  <si>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</si>
  <si>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</si>
  <si>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</si>
  <si>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</si>
  <si>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</si>
  <si>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</si>
  <si>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</si>
  <si>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</si>
  <si>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</si>
  <si>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</si>
  <si>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</si>
  <si>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</si>
  <si>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</si>
  <si>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</si>
  <si>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</si>
  <si>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</si>
  <si>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</si>
  <si>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</si>
  <si>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</si>
  <si>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</si>
  <si>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</si>
  <si>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</si>
  <si>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</si>
  <si>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</si>
  <si>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</si>
  <si>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</si>
  <si>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</si>
  <si>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</si>
  <si>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</si>
  <si>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</si>
  <si>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</si>
  <si>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</si>
  <si>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</si>
  <si>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Based on private communication with ARA St Gallen</t>
  </si>
  <si>
    <t>Primary treatment retention rate (90% retained after primary and screens)</t>
  </si>
  <si>
    <t>Assume all the large macroplastic is retained in the sludge</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</si>
  <si>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</si>
  <si>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</si>
  <si>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</si>
  <si>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</si>
  <si>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</si>
  <si>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</si>
  <si>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</si>
  <si>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</si>
  <si>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</si>
  <si>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</si>
  <si>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</si>
  <si>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</si>
  <si>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</si>
  <si>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</si>
  <si>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</si>
  <si>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</si>
  <si>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</si>
  <si>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</si>
  <si>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</si>
  <si>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</si>
  <si>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</si>
  <si>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</si>
  <si>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</si>
  <si>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</si>
  <si>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</si>
  <si>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</si>
  <si>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</si>
  <si>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</si>
  <si>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</si>
  <si>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</si>
  <si>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</si>
  <si>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</si>
  <si>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</si>
  <si>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</si>
  <si>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</si>
  <si>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</si>
  <si>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</si>
  <si>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</si>
  <si>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</si>
  <si>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</si>
  <si>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</si>
  <si>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</si>
  <si>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</si>
  <si>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</si>
  <si>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</si>
  <si>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</si>
  <si>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</si>
  <si>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</si>
  <si>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</si>
  <si>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</si>
  <si>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</si>
  <si>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</si>
  <si>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</si>
  <si>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</si>
  <si>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</si>
  <si>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</si>
  <si>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</si>
  <si>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</si>
  <si>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</si>
  <si>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</si>
  <si>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</si>
  <si>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</si>
  <si>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</si>
  <si>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</si>
  <si>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</si>
  <si>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</si>
  <si>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</si>
  <si>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</si>
  <si>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</si>
  <si>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</si>
  <si>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</si>
  <si>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</si>
  <si>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</si>
  <si>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</si>
  <si>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</si>
  <si>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</si>
  <si>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</si>
  <si>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</si>
  <si>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</si>
  <si>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</si>
  <si>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</si>
  <si>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</si>
  <si>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</si>
  <si>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</si>
  <si>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</si>
  <si>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</si>
  <si>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</si>
  <si>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</si>
  <si>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</si>
  <si>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</si>
  <si>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</si>
  <si>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</si>
  <si>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</si>
  <si>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</si>
  <si>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</si>
  <si>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</si>
  <si>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</si>
  <si>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</si>
  <si>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</si>
  <si>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</si>
  <si>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</si>
  <si>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</si>
  <si>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</si>
  <si>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</si>
  <si>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</si>
  <si>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</si>
  <si>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</si>
  <si>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</si>
  <si>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</si>
  <si>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</si>
  <si>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</si>
  <si>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</si>
  <si>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</si>
  <si>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</si>
  <si>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</si>
  <si>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</si>
  <si>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</si>
  <si>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</si>
  <si>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</si>
  <si>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</si>
  <si>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</si>
  <si>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</si>
  <si>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</si>
  <si>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</si>
  <si>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</si>
  <si>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</si>
  <si>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</si>
  <si>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</si>
  <si>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</si>
  <si>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</si>
  <si>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</si>
  <si>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</si>
  <si>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</si>
  <si>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</si>
  <si>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</si>
  <si>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</si>
  <si>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</si>
  <si>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</si>
  <si>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</si>
  <si>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</si>
  <si>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</si>
  <si>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</si>
  <si>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</si>
  <si>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</si>
  <si>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</si>
  <si>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</si>
  <si>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</si>
  <si>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</si>
  <si>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</si>
  <si>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</si>
  <si>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</si>
  <si>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</si>
  <si>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</si>
  <si>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</si>
  <si>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</si>
  <si>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</si>
  <si>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</si>
  <si>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</si>
  <si>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</si>
  <si>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</si>
  <si>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</si>
  <si>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</si>
  <si>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</si>
  <si>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</si>
  <si>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</si>
  <si>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</si>
  <si>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</si>
  <si>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</si>
  <si>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</si>
  <si>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</si>
  <si>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</si>
  <si>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</si>
  <si>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</si>
  <si>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</si>
  <si>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</si>
  <si>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</si>
  <si>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</si>
  <si>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</si>
  <si>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</si>
  <si>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</si>
  <si>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</si>
  <si>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</si>
  <si>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</si>
  <si>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</si>
  <si>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</si>
  <si>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</si>
  <si>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</si>
  <si>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</si>
  <si>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</si>
  <si>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</si>
  <si>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</si>
  <si>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</si>
  <si>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</si>
  <si>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</si>
  <si>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</si>
  <si>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</si>
  <si>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</si>
  <si>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</si>
  <si>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</si>
  <si>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</si>
  <si>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</si>
  <si>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</si>
  <si>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</si>
  <si>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</si>
  <si>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</si>
  <si>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</si>
  <si>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</si>
  <si>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</si>
  <si>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</si>
  <si>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</si>
  <si>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</si>
  <si>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</si>
  <si>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</si>
  <si>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</si>
  <si>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</si>
  <si>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</si>
  <si>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</si>
  <si>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</si>
  <si>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</si>
  <si>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</si>
  <si>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</si>
  <si>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</si>
  <si>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</si>
  <si>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</si>
  <si>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</si>
  <si>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</si>
  <si>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</si>
  <si>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</si>
  <si>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</si>
  <si>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</si>
  <si>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</si>
  <si>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</si>
  <si>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</si>
  <si>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</si>
  <si>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</si>
  <si>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</si>
  <si>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</si>
  <si>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</si>
  <si>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</si>
  <si>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</si>
  <si>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</si>
  <si>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</si>
  <si>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</si>
  <si>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</si>
  <si>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</si>
  <si>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</si>
  <si>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</si>
  <si>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</si>
  <si>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</si>
  <si>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</si>
  <si>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</si>
  <si>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</si>
  <si>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</si>
  <si>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</si>
  <si>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</si>
  <si>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</si>
  <si>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</si>
  <si>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</si>
  <si>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</si>
  <si>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</si>
  <si>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</si>
  <si>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</si>
  <si>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</si>
  <si>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</si>
  <si>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</si>
  <si>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</si>
  <si>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</si>
  <si>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</si>
  <si>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</si>
  <si>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</si>
  <si>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</si>
  <si>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</si>
  <si>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</si>
  <si>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</si>
  <si>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</si>
  <si>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</si>
  <si>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</si>
  <si>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</si>
  <si>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</si>
  <si>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</si>
  <si>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</si>
  <si>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</si>
  <si>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</si>
  <si>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</si>
  <si>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</si>
  <si>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</si>
  <si>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</si>
  <si>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</si>
  <si>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</si>
  <si>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</si>
  <si>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</si>
  <si>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</si>
  <si>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</si>
  <si>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</si>
  <si>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</si>
  <si>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</si>
  <si>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</si>
  <si>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</si>
  <si>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</si>
  <si>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</si>
  <si>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</si>
  <si>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</si>
  <si>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</si>
  <si>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</si>
  <si>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</si>
  <si>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</si>
  <si>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</si>
  <si>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</si>
  <si>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</si>
  <si>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</si>
  <si>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</si>
  <si>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</si>
  <si>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</si>
  <si>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</si>
  <si>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</si>
  <si>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</si>
  <si>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</si>
  <si>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</si>
  <si>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</si>
  <si>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</si>
  <si>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</si>
  <si>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</si>
  <si>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</si>
  <si>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</si>
  <si>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</si>
  <si>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</si>
  <si>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</si>
  <si>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</si>
  <si>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</si>
  <si>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</si>
  <si>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</si>
  <si>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</si>
  <si>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</si>
  <si>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</si>
  <si>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</si>
  <si>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</si>
  <si>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</si>
  <si>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</si>
  <si>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</si>
  <si>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</si>
  <si>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</si>
  <si>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</si>
  <si>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</si>
  <si>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</si>
  <si>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</si>
  <si>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</si>
  <si>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</si>
  <si>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</si>
  <si>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</si>
  <si>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</si>
  <si>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</si>
  <si>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</si>
  <si>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</si>
  <si>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</si>
  <si>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</si>
  <si>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</si>
  <si>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</si>
  <si>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</si>
  <si>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</si>
  <si>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</si>
  <si>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</si>
  <si>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</si>
  <si>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</si>
  <si>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</si>
  <si>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</si>
  <si>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</si>
  <si>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</si>
  <si>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</si>
  <si>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</si>
  <si>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</si>
  <si>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</si>
  <si>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</si>
  <si>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</si>
  <si>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</si>
  <si>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</si>
  <si>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</si>
  <si>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</si>
  <si>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</si>
  <si>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</si>
  <si>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</si>
  <si>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</si>
  <si>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</si>
  <si>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</si>
  <si>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</si>
  <si>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</si>
  <si>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</si>
  <si>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</si>
  <si>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</si>
  <si>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</si>
  <si>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</si>
  <si>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</si>
  <si>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</si>
  <si>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</si>
  <si>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</si>
  <si>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</si>
  <si>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</si>
  <si>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</si>
  <si>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</si>
  <si>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</si>
  <si>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</si>
  <si>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</si>
  <si>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</si>
  <si>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</si>
  <si>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</si>
  <si>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</si>
  <si>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</si>
  <si>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</si>
  <si>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</si>
  <si>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</si>
  <si>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</si>
  <si>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</si>
  <si>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</si>
  <si>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</si>
  <si>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</si>
  <si>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</si>
  <si>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</si>
  <si>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</si>
  <si>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</si>
  <si>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</si>
  <si>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</si>
  <si>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</si>
  <si>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</si>
  <si>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</si>
  <si>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</si>
  <si>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</si>
  <si>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</si>
  <si>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</si>
  <si>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</si>
  <si>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</si>
  <si>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</si>
  <si>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</si>
  <si>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</si>
  <si>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</si>
  <si>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</si>
  <si>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</si>
  <si>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</si>
  <si>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</si>
  <si>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</si>
  <si>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</si>
  <si>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</si>
  <si>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</si>
  <si>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</si>
  <si>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</si>
  <si>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</si>
  <si>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</si>
  <si>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</si>
  <si>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</si>
  <si>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</si>
  <si>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</si>
  <si>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</si>
  <si>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</si>
  <si>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</si>
  <si>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</si>
  <si>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</si>
  <si>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</si>
  <si>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</si>
  <si>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</si>
  <si>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</si>
  <si>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</si>
  <si>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</si>
  <si>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</si>
  <si>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</si>
  <si>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</si>
  <si>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</si>
  <si>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</si>
  <si>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</si>
  <si>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</si>
  <si>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</si>
  <si>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</si>
  <si>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</si>
  <si>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</si>
  <si>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</si>
  <si>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</si>
  <si>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</si>
  <si>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</si>
  <si>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</si>
  <si>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</si>
  <si>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</si>
  <si>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</si>
  <si>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</si>
  <si>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</si>
  <si>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</si>
  <si>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</si>
  <si>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</si>
  <si>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</si>
  <si>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</si>
  <si>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</si>
  <si>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</si>
  <si>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</si>
  <si>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</si>
  <si>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</si>
  <si>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</si>
  <si>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</si>
  <si>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</si>
  <si>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</si>
  <si>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</si>
  <si>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</si>
  <si>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</si>
  <si>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</si>
  <si>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</si>
  <si>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</si>
  <si>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</si>
  <si>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</si>
  <si>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</si>
  <si>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</si>
  <si>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</si>
  <si>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</si>
  <si>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</si>
  <si>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</si>
  <si>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</si>
  <si>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</si>
  <si>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</si>
  <si>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</si>
  <si>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</si>
  <si>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</si>
  <si>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</si>
  <si>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</si>
  <si>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</si>
  <si>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</si>
  <si>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</si>
  <si>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</si>
  <si>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</si>
  <si>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</si>
  <si>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</si>
  <si>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</si>
  <si>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</si>
  <si>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</si>
  <si>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</si>
  <si>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</si>
  <si>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</si>
  <si>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</si>
  <si>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</si>
  <si>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</si>
  <si>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</si>
  <si>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</si>
  <si>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</si>
  <si>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</si>
  <si>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</si>
  <si>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</si>
  <si>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</si>
  <si>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</si>
  <si>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</si>
  <si>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</si>
  <si>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</si>
  <si>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</si>
  <si>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</si>
  <si>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</si>
  <si>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</si>
  <si>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</si>
  <si>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</si>
  <si>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</si>
  <si>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</si>
  <si>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</si>
  <si>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</si>
  <si>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</si>
  <si>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</si>
  <si>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</si>
  <si>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</si>
  <si>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</si>
  <si>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</si>
  <si>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</si>
  <si>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</si>
  <si>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</si>
  <si>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</si>
  <si>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</si>
  <si>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</si>
  <si>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</si>
  <si>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</si>
  <si>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</si>
  <si>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</si>
  <si>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</si>
  <si>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</si>
  <si>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</si>
  <si>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</si>
  <si>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</si>
  <si>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</si>
  <si>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</si>
  <si>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</si>
  <si>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</si>
  <si>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</si>
  <si>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</si>
  <si>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</si>
  <si>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</si>
  <si>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</si>
  <si>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</si>
  <si>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</si>
  <si>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</si>
  <si>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</si>
  <si>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</si>
  <si>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</si>
  <si>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</si>
  <si>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</si>
  <si>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</si>
  <si>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</si>
  <si>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</si>
  <si>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</si>
  <si>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</si>
  <si>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</si>
  <si>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</si>
  <si>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</si>
  <si>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</si>
  <si>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</si>
  <si>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</si>
  <si>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</si>
  <si>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</si>
  <si>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</si>
  <si>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</si>
  <si>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</si>
  <si>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</si>
  <si>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</si>
  <si>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</si>
  <si>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</si>
  <si>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</si>
  <si>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</si>
  <si>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</si>
  <si>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</si>
  <si>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</si>
  <si>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</si>
  <si>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</si>
  <si>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</si>
  <si>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</si>
  <si>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</si>
  <si>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</si>
  <si>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</si>
  <si>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</si>
  <si>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</si>
  <si>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</si>
  <si>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</si>
  <si>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</si>
  <si>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</si>
  <si>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</si>
  <si>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</si>
  <si>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</si>
  <si>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</si>
  <si>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</si>
  <si>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</si>
  <si>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</si>
  <si>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</si>
  <si>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</si>
  <si>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</si>
  <si>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</si>
  <si>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</si>
  <si>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</si>
  <si>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</si>
  <si>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</si>
  <si>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</si>
  <si>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</si>
  <si>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</si>
  <si>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</si>
  <si>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</si>
  <si>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</si>
  <si>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</si>
  <si>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</si>
  <si>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</si>
  <si>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</si>
  <si>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</si>
  <si>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</si>
  <si>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</si>
  <si>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</si>
  <si>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</si>
  <si>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</si>
  <si>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</si>
  <si>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</si>
  <si>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</si>
  <si>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</si>
  <si>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</si>
  <si>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</si>
  <si>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</si>
  <si>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</si>
  <si>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</si>
  <si>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</si>
  <si>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</si>
  <si>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</si>
  <si>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</si>
  <si>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</si>
  <si>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</si>
  <si>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</si>
  <si>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</si>
  <si>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</si>
  <si>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</si>
  <si>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</si>
  <si>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</si>
  <si>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</si>
  <si>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</si>
  <si>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</si>
  <si>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</si>
  <si>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</si>
  <si>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</si>
  <si>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</si>
  <si>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</si>
  <si>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</si>
  <si>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</si>
  <si>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</si>
  <si>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</si>
  <si>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</si>
  <si>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</si>
  <si>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</si>
  <si>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</si>
  <si>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</si>
  <si>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</si>
  <si>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</si>
  <si>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</si>
  <si>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</si>
  <si>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</si>
  <si>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</si>
  <si>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</si>
  <si>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</si>
  <si>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</si>
  <si>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</si>
  <si>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</si>
  <si>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</si>
  <si>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</si>
  <si>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</si>
  <si>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</si>
  <si>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</si>
  <si>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</si>
  <si>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</si>
  <si>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</si>
  <si>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</si>
  <si>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</si>
  <si>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</si>
  <si>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</si>
  <si>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</si>
  <si>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</si>
  <si>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</si>
  <si>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</si>
  <si>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</si>
  <si>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</si>
  <si>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</si>
  <si>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</si>
  <si>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</si>
  <si>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</si>
  <si>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</si>
  <si>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</si>
  <si>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</si>
  <si>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</si>
  <si>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</si>
  <si>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</si>
  <si>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</si>
  <si>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</si>
  <si>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</si>
  <si>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</si>
  <si>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</si>
  <si>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</si>
  <si>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</si>
  <si>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</si>
  <si>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</si>
  <si>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</si>
  <si>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</si>
  <si>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</si>
  <si>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</si>
  <si>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</si>
  <si>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</si>
  <si>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</si>
  <si>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</si>
  <si>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</si>
  <si>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</si>
  <si>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</si>
  <si>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</si>
  <si>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</si>
  <si>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</si>
  <si>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</si>
  <si>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</si>
  <si>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</si>
  <si>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</si>
  <si>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</si>
  <si>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</si>
  <si>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</si>
  <si>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</si>
  <si>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</si>
  <si>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</si>
  <si>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</si>
  <si>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</si>
  <si>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</si>
  <si>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</si>
  <si>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</si>
  <si>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</si>
  <si>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</si>
  <si>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</si>
  <si>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</si>
  <si>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</si>
  <si>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</si>
  <si>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</si>
  <si>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</si>
  <si>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</si>
  <si>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</si>
  <si>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</si>
  <si>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</si>
  <si>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</si>
  <si>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</si>
  <si>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</si>
  <si>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</si>
  <si>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</si>
  <si>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</si>
  <si>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</si>
  <si>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</si>
  <si>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</si>
  <si>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</si>
  <si>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</si>
  <si>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</si>
  <si>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</si>
  <si>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</si>
  <si>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</si>
  <si>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</si>
  <si>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</si>
  <si>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</si>
  <si>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</si>
  <si>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</si>
  <si>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</si>
  <si>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</si>
  <si>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</si>
  <si>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</si>
  <si>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</si>
  <si>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</si>
  <si>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</si>
  <si>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</si>
  <si>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</si>
  <si>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</si>
  <si>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</si>
  <si>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</si>
  <si>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</si>
  <si>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</si>
  <si>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</si>
  <si>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</si>
  <si>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</si>
  <si>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</si>
  <si>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</si>
  <si>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</si>
  <si>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</si>
  <si>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</si>
  <si>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</si>
  <si>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</si>
  <si>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</si>
  <si>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</si>
  <si>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</si>
  <si>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</si>
  <si>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</si>
  <si>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</si>
  <si>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</si>
  <si>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</si>
  <si>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</si>
  <si>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</si>
  <si>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</si>
  <si>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</si>
  <si>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</si>
  <si>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</si>
  <si>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</si>
  <si>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</si>
  <si>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</si>
  <si>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</si>
  <si>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</si>
  <si>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</si>
  <si>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</si>
  <si>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</si>
  <si>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</si>
  <si>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</si>
  <si>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</si>
  <si>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</si>
  <si>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</si>
  <si>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</si>
  <si>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</si>
  <si>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</si>
  <si>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</si>
  <si>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</si>
  <si>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</si>
  <si>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</si>
  <si>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</si>
  <si>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</si>
  <si>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</si>
  <si>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</si>
  <si>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</si>
  <si>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</si>
  <si>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</si>
  <si>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</si>
  <si>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</si>
  <si>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</si>
  <si>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</si>
  <si>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</si>
  <si>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</si>
  <si>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</si>
  <si>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</si>
  <si>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</si>
  <si>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</si>
  <si>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</si>
  <si>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</si>
  <si>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</si>
  <si>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</si>
  <si>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</si>
  <si>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</si>
  <si>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</si>
  <si>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</si>
  <si>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</si>
  <si>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</si>
  <si>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</si>
  <si>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</si>
  <si>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</si>
  <si>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</si>
  <si>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</si>
  <si>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</si>
  <si>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</si>
  <si>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</si>
  <si>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</si>
  <si>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</si>
  <si>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</si>
  <si>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</si>
  <si>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</si>
  <si>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</si>
  <si>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</si>
  <si>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</si>
  <si>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</si>
  <si>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</si>
  <si>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</si>
  <si>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</si>
  <si>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</si>
  <si>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</si>
  <si>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</si>
  <si>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</si>
  <si>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</si>
  <si>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</si>
  <si>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</si>
  <si>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</si>
  <si>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</si>
  <si>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</si>
  <si>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</si>
  <si>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</si>
  <si>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</si>
  <si>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</si>
  <si>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</si>
  <si>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</si>
  <si>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</si>
  <si>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</si>
  <si>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</si>
  <si>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</si>
  <si>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</si>
  <si>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</si>
  <si>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</si>
  <si>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</si>
  <si>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</si>
  <si>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</si>
  <si>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</si>
  <si>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</si>
  <si>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</si>
  <si>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</si>
  <si>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</si>
  <si>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</si>
  <si>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</si>
  <si>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</si>
  <si>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</si>
  <si>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</si>
  <si>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</si>
  <si>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</si>
  <si>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</si>
  <si>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</si>
  <si>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</si>
  <si>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</si>
  <si>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</si>
  <si>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</si>
  <si>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</si>
  <si>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</si>
  <si>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</si>
  <si>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</si>
  <si>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</si>
  <si>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</si>
  <si>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</si>
  <si>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</si>
  <si>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</si>
  <si>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</si>
  <si>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</si>
  <si>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</si>
  <si>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</si>
  <si>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</si>
  <si>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</si>
  <si>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</si>
  <si>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</si>
  <si>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</si>
  <si>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</si>
  <si>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</si>
  <si>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</si>
  <si>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</si>
  <si>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</si>
  <si>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</si>
  <si>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</si>
  <si>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</si>
  <si>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</si>
  <si>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</si>
  <si>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</si>
  <si>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</si>
  <si>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</si>
  <si>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</si>
  <si>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</si>
  <si>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</si>
  <si>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</si>
  <si>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</si>
  <si>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</si>
  <si>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</si>
  <si>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</si>
  <si>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</si>
  <si>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</si>
  <si>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</si>
  <si>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</si>
  <si>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</si>
  <si>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</si>
  <si>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</si>
  <si>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</si>
  <si>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</si>
  <si>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</si>
  <si>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</si>
  <si>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</si>
  <si>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</si>
  <si>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</si>
  <si>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</si>
  <si>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</si>
  <si>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</si>
  <si>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</si>
  <si>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</si>
  <si>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</si>
  <si>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</si>
  <si>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</si>
  <si>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</si>
  <si>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</si>
  <si>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</si>
  <si>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</si>
  <si>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</si>
  <si>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</si>
  <si>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</si>
  <si>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</si>
  <si>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</si>
  <si>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</si>
  <si>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</si>
  <si>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</si>
  <si>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</si>
  <si>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</si>
  <si>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</si>
  <si>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</si>
  <si>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</si>
  <si>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</si>
  <si>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</si>
  <si>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</si>
  <si>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</si>
  <si>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</si>
  <si>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</si>
  <si>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</si>
  <si>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</si>
  <si>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</si>
  <si>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</si>
  <si>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</si>
  <si>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</si>
  <si>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</si>
  <si>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</si>
  <si>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</si>
  <si>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</si>
  <si>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</si>
  <si>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</si>
  <si>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</si>
  <si>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</si>
  <si>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</si>
  <si>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</si>
  <si>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</si>
  <si>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</si>
  <si>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</si>
  <si>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</si>
  <si>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</si>
  <si>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</si>
  <si>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</si>
  <si>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</si>
  <si>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</si>
  <si>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</si>
  <si>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</si>
  <si>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</si>
  <si>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</si>
  <si>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</si>
  <si>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</si>
  <si>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</si>
  <si>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</si>
  <si>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</si>
  <si>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</si>
  <si>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</si>
  <si>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</si>
  <si>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</si>
  <si>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</si>
  <si>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</si>
  <si>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</si>
  <si>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</si>
  <si>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</si>
  <si>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</si>
  <si>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</si>
  <si>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</si>
  <si>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</si>
  <si>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</si>
  <si>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</si>
  <si>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</si>
  <si>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</si>
  <si>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</si>
  <si>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</si>
  <si>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</si>
  <si>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</si>
  <si>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</si>
  <si>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</si>
  <si>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</si>
  <si>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</si>
  <si>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</si>
  <si>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</si>
  <si>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</si>
  <si>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</si>
  <si>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</si>
  <si>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</si>
  <si>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</si>
  <si>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</si>
  <si>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</si>
  <si>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</si>
  <si>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</si>
  <si>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</si>
  <si>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</si>
  <si>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</si>
  <si>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</si>
  <si>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</si>
  <si>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</si>
  <si>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</si>
  <si>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</si>
  <si>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</si>
  <si>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</si>
  <si>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</si>
  <si>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</si>
  <si>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</si>
  <si>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</si>
  <si>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</si>
  <si>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</si>
  <si>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</si>
  <si>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</si>
  <si>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</si>
  <si>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</si>
  <si>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</si>
  <si>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</si>
  <si>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</si>
  <si>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</si>
  <si>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</si>
  <si>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</si>
  <si>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</si>
  <si>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</si>
  <si>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</si>
  <si>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</si>
  <si>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</si>
  <si>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</si>
  <si>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</si>
  <si>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</si>
  <si>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</si>
  <si>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</si>
  <si>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</si>
  <si>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</si>
  <si>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</si>
  <si>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</si>
  <si>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</si>
  <si>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</si>
  <si>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</si>
  <si>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</si>
  <si>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</si>
  <si>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</si>
  <si>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</si>
  <si>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</si>
  <si>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</si>
  <si>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</si>
  <si>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</si>
  <si>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</si>
  <si>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</si>
  <si>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</si>
  <si>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</si>
  <si>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</si>
  <si>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</si>
  <si>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</si>
  <si>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</si>
  <si>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</si>
  <si>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</si>
  <si>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</si>
  <si>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</si>
  <si>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</si>
  <si>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</si>
  <si>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</si>
  <si>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</si>
  <si>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</si>
  <si>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</si>
  <si>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</si>
  <si>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</si>
  <si>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</si>
  <si>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</si>
  <si>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</si>
  <si>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</si>
  <si>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</si>
  <si>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</si>
  <si>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</si>
  <si>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</si>
  <si>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</si>
  <si>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</si>
  <si>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</si>
  <si>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</si>
  <si>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</si>
  <si>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</si>
  <si>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</si>
  <si>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</si>
  <si>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</si>
  <si>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</si>
  <si>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</si>
  <si>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</si>
  <si>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</si>
  <si>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</si>
  <si>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</si>
  <si>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</si>
  <si>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</si>
  <si>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</si>
  <si>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</si>
  <si>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</si>
  <si>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</si>
  <si>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</si>
  <si>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</si>
  <si>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</si>
  <si>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</si>
  <si>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</si>
  <si>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</si>
  <si>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</si>
  <si>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</si>
  <si>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</si>
  <si>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</si>
  <si>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</si>
  <si>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</si>
  <si>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</si>
  <si>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</si>
  <si>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</si>
  <si>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</si>
  <si>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</si>
  <si>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</si>
  <si>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</si>
  <si>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</si>
  <si>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</si>
  <si>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</si>
  <si>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</si>
  <si>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</si>
  <si>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</si>
  <si>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</si>
  <si>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</si>
  <si>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</si>
  <si>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</si>
  <si>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</si>
  <si>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</si>
  <si>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</si>
  <si>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</si>
  <si>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</si>
  <si>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</si>
  <si>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</si>
  <si>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</si>
  <si>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</si>
  <si>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</si>
  <si>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</si>
  <si>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</si>
  <si>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</si>
  <si>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</si>
  <si>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</si>
  <si>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</si>
  <si>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</si>
  <si>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</si>
  <si>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</si>
  <si>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</si>
  <si>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</si>
  <si>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</si>
  <si>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</si>
  <si>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</si>
  <si>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</si>
  <si>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</si>
  <si>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</si>
  <si>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</si>
  <si>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</si>
  <si>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</si>
  <si>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</si>
  <si>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</si>
  <si>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</si>
  <si>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</si>
  <si>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</si>
  <si>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</si>
  <si>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</si>
  <si>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</si>
  <si>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</si>
  <si>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</si>
  <si>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</si>
  <si>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</si>
  <si>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</si>
  <si>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</si>
  <si>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</si>
  <si>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</si>
  <si>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</si>
  <si>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</si>
  <si>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</si>
  <si>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</si>
  <si>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</si>
  <si>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</si>
  <si>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</si>
  <si>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</si>
  <si>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</si>
  <si>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</si>
  <si>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</si>
  <si>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</si>
  <si>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</si>
  <si>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</si>
  <si>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</si>
  <si>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</si>
  <si>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</si>
  <si>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</si>
  <si>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</si>
  <si>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</si>
  <si>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</si>
  <si>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</si>
  <si>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</si>
  <si>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</si>
  <si>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</si>
  <si>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</si>
  <si>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</si>
  <si>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</si>
  <si>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</si>
  <si>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</si>
  <si>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</si>
  <si>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</si>
  <si>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</si>
  <si>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</si>
  <si>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</si>
  <si>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</si>
  <si>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</si>
  <si>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</si>
  <si>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</si>
  <si>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</si>
  <si>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</si>
  <si>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</si>
  <si>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</si>
  <si>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</si>
  <si>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</si>
  <si>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</si>
  <si>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</si>
  <si>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</si>
  <si>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</si>
  <si>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</si>
  <si>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</si>
  <si>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</si>
  <si>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</si>
  <si>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</si>
  <si>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</si>
  <si>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</si>
  <si>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</si>
  <si>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</si>
  <si>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</si>
  <si>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</si>
  <si>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</si>
  <si>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</si>
  <si>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</si>
  <si>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</si>
  <si>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</si>
  <si>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</si>
  <si>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</si>
  <si>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</si>
  <si>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</si>
  <si>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</si>
  <si>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</si>
  <si>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</si>
  <si>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</si>
  <si>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</si>
  <si>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</si>
  <si>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</si>
  <si>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</si>
  <si>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</si>
  <si>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</si>
  <si>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</si>
  <si>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</si>
  <si>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</si>
  <si>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</si>
  <si>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</si>
  <si>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</si>
  <si>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</si>
  <si>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</si>
  <si>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</si>
  <si>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</si>
  <si>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</si>
  <si>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</si>
  <si>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</si>
  <si>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</si>
  <si>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</si>
  <si>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</si>
  <si>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</si>
  <si>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</si>
  <si>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</si>
  <si>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</si>
  <si>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</si>
  <si>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</si>
  <si>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</si>
  <si>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</si>
  <si>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</si>
  <si>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</si>
  <si>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</si>
  <si>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</si>
  <si>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</si>
  <si>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</si>
  <si>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</si>
  <si>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</si>
  <si>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</si>
  <si>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</si>
  <si>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</si>
  <si>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</si>
  <si>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</si>
  <si>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</si>
  <si>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</si>
  <si>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</si>
  <si>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</si>
  <si>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</si>
  <si>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</si>
  <si>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</si>
  <si>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</si>
  <si>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</si>
  <si>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</si>
  <si>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</si>
  <si>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</si>
  <si>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</si>
  <si>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</si>
  <si>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</si>
  <si>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</si>
  <si>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</si>
  <si>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</si>
  <si>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</si>
  <si>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</si>
  <si>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</si>
  <si>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</si>
  <si>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</si>
  <si>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</si>
  <si>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</si>
  <si>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</si>
  <si>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</si>
  <si>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</si>
  <si>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</si>
  <si>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</si>
  <si>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</si>
  <si>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</si>
  <si>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</si>
  <si>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</si>
  <si>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</si>
  <si>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</si>
  <si>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</si>
  <si>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</si>
  <si>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</si>
  <si>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</si>
  <si>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</si>
  <si>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</si>
  <si>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</si>
  <si>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</si>
  <si>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</si>
  <si>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</si>
  <si>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</si>
  <si>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</si>
  <si>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</si>
  <si>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</si>
  <si>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</si>
  <si>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</si>
  <si>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</si>
  <si>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</si>
  <si>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</si>
  <si>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</si>
  <si>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</si>
  <si>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</si>
  <si>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</si>
  <si>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</si>
  <si>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</si>
  <si>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</si>
  <si>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</si>
  <si>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</si>
  <si>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</si>
  <si>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</si>
  <si>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</si>
  <si>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</si>
  <si>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</si>
  <si>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</si>
  <si>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</si>
  <si>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</si>
  <si>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</si>
  <si>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</si>
  <si>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</si>
  <si>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</si>
  <si>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</si>
  <si>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</si>
  <si>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</si>
  <si>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</si>
  <si>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</si>
  <si>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</si>
  <si>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</si>
  <si>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</si>
  <si>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</si>
  <si>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</si>
  <si>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</si>
  <si>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</si>
  <si>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</si>
  <si>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</si>
  <si>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</si>
  <si>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</si>
  <si>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</si>
  <si>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</si>
  <si>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</si>
  <si>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</si>
  <si>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</si>
  <si>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</si>
  <si>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</si>
  <si>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</si>
  <si>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</si>
  <si>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</si>
  <si>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</si>
  <si>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</si>
  <si>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</si>
  <si>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</si>
  <si>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</si>
  <si>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</si>
  <si>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</si>
  <si>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</si>
  <si>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</si>
  <si>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</si>
  <si>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</si>
  <si>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</si>
  <si>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</si>
  <si>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</si>
  <si>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</si>
  <si>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</si>
  <si>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</si>
  <si>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</si>
  <si>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</si>
  <si>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</si>
  <si>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</si>
  <si>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</si>
  <si>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</si>
  <si>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</si>
  <si>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</si>
  <si>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</si>
  <si>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</si>
  <si>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</si>
  <si>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</si>
  <si>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</si>
  <si>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</si>
  <si>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</si>
  <si>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</si>
  <si>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</si>
  <si>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</si>
  <si>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</si>
  <si>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</si>
  <si>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</si>
  <si>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</si>
  <si>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</si>
  <si>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</si>
  <si>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</si>
  <si>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</si>
  <si>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</si>
  <si>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</si>
  <si>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</si>
  <si>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</si>
  <si>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</si>
  <si>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</si>
  <si>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</si>
  <si>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</si>
  <si>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</si>
  <si>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</si>
  <si>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</si>
  <si>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</si>
  <si>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</si>
  <si>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</si>
  <si>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</si>
  <si>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</si>
  <si>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</si>
  <si>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</si>
  <si>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</si>
  <si>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</si>
  <si>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</si>
  <si>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</si>
  <si>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</si>
  <si>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</si>
  <si>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</si>
  <si>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</si>
  <si>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</si>
  <si>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</si>
  <si>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</si>
  <si>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</si>
  <si>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</si>
  <si>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</si>
  <si>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</si>
  <si>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</si>
  <si>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</si>
  <si>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</si>
  <si>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</si>
  <si>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</si>
  <si>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</si>
  <si>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</si>
  <si>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</si>
  <si>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</si>
  <si>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</si>
  <si>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</si>
  <si>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</si>
  <si>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</si>
  <si>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</si>
  <si>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</si>
  <si>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</si>
  <si>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</si>
  <si>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</si>
  <si>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</si>
  <si>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</si>
  <si>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</si>
  <si>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</si>
  <si>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</si>
  <si>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</si>
  <si>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</si>
  <si>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</si>
  <si>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</si>
  <si>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</si>
  <si>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</si>
  <si>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</si>
  <si>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</si>
  <si>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</si>
  <si>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</si>
  <si>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</si>
  <si>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</si>
  <si>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</si>
  <si>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</si>
  <si>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</si>
  <si>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</si>
  <si>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</si>
  <si>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</si>
  <si>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</si>
  <si>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</si>
  <si>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</si>
  <si>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</si>
  <si>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</si>
  <si>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</si>
  <si>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</si>
  <si>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</si>
  <si>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</si>
  <si>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</si>
  <si>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</si>
  <si>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</si>
  <si>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</si>
  <si>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</si>
  <si>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</si>
  <si>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</si>
  <si>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</si>
  <si>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</si>
  <si>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</si>
  <si>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</si>
  <si>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</si>
  <si>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</si>
  <si>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</si>
  <si>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</si>
  <si>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</si>
  <si>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</si>
  <si>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</si>
  <si>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</si>
  <si>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</si>
  <si>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</si>
  <si>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</si>
  <si>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</si>
  <si>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</si>
  <si>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</si>
  <si>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TCs to laundry, wear and EoL</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</si>
  <si>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</si>
  <si>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</si>
  <si>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</si>
  <si>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</si>
  <si>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</si>
  <si>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</si>
  <si>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</si>
  <si>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 xml:space="preserve">TCs for clothing that is washed </t>
  </si>
  <si>
    <t>Clothing category</t>
  </si>
  <si>
    <t xml:space="preserve">TCs for clothing that is not washed </t>
  </si>
  <si>
    <t>Discarded fraction non-washed</t>
  </si>
  <si>
    <t>Transfer coefficients EU</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</si>
  <si>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</si>
  <si>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</si>
  <si>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</si>
  <si>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</si>
  <si>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</si>
  <si>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</si>
  <si>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</si>
  <si>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</si>
  <si>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</si>
  <si>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</si>
  <si>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</si>
  <si>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</si>
  <si>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</si>
  <si>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</si>
  <si>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</si>
  <si>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</si>
  <si>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</si>
  <si>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</si>
  <si>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</si>
  <si>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</si>
  <si>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</si>
  <si>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</si>
  <si>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</si>
  <si>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</si>
  <si>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</si>
  <si>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</si>
  <si>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</si>
  <si>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</si>
  <si>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</si>
  <si>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</si>
  <si>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</si>
  <si>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</si>
  <si>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</si>
  <si>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</si>
  <si>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</si>
  <si>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</si>
  <si>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</si>
  <si>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</si>
  <si>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</si>
  <si>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</si>
  <si>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</si>
  <si>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</si>
  <si>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Fraction of microplastics caught by external filter</t>
  </si>
  <si>
    <t>(Kimmel et al., 2024) - Highest reported fraction of captured fibers</t>
  </si>
  <si>
    <t>(Kimmel et al., 2024) - Lowest reported fraction of captured fibers</t>
  </si>
  <si>
    <t xml:space="preserve">Assumption Kawecki et al. 2019 (SI Table 17) </t>
  </si>
  <si>
    <t>Combined data from CBS, RIVM, and Cummins et al. (2023)</t>
  </si>
  <si>
    <t>Cant find sources, ask Yvette about DQIS</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</si>
  <si>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</si>
  <si>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</si>
  <si>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</si>
  <si>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</si>
  <si>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</si>
  <si>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</si>
  <si>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</si>
  <si>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</si>
  <si>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</si>
  <si>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</si>
  <si>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</si>
  <si>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</si>
  <si>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</si>
  <si>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</si>
  <si>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</si>
  <si>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</si>
  <si>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</si>
  <si>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</si>
  <si>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</si>
  <si>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</si>
  <si>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</si>
  <si>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</si>
  <si>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</si>
  <si>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</si>
  <si>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</si>
  <si>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</si>
  <si>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</si>
  <si>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</si>
  <si>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</si>
  <si>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</si>
  <si>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ClothingTwoYears</t>
  </si>
  <si>
    <t>ClothingThreeYears</t>
  </si>
  <si>
    <t>ClothingFourYears</t>
  </si>
  <si>
    <t>ClothingFiveYears</t>
  </si>
  <si>
    <t>ClothingSixYears</t>
  </si>
  <si>
    <t>ClothingSevenYears</t>
  </si>
  <si>
    <t>ClothingEightYears</t>
  </si>
  <si>
    <t>Original lifetime clothing</t>
  </si>
  <si>
    <t>Weight factor</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</si>
  <si>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</si>
  <si>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</si>
  <si>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</si>
  <si>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</si>
  <si>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</si>
  <si>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</si>
  <si>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</si>
  <si>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</si>
  <si>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</si>
  <si>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</si>
  <si>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</si>
  <si>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</si>
  <si>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</si>
  <si>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For clothing</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</si>
  <si>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</si>
  <si>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</si>
  <si>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</si>
  <si>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</si>
  <si>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</si>
  <si>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</si>
  <si>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</si>
  <si>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</si>
  <si>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</si>
  <si>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</si>
  <si>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</si>
  <si>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</si>
  <si>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</si>
  <si>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</si>
  <si>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</si>
  <si>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</si>
  <si>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Calculated for shoesize EU 40</t>
  </si>
  <si>
    <t>Area of shoesole</t>
  </si>
  <si>
    <t>value</t>
  </si>
  <si>
    <t>unit</t>
  </si>
  <si>
    <t>cm^2</t>
  </si>
  <si>
    <t>Density of rubber</t>
  </si>
  <si>
    <t>Density of PUR</t>
  </si>
  <si>
    <t>Density of EVA</t>
  </si>
  <si>
    <t>g^cm3</t>
  </si>
  <si>
    <t>comment</t>
  </si>
  <si>
    <t>Area fraction of sole that touches the ground</t>
  </si>
  <si>
    <t>fraction</t>
  </si>
  <si>
    <t>Wear height low estimate</t>
  </si>
  <si>
    <t>Wear height high estimate</t>
  </si>
  <si>
    <t>EVA</t>
  </si>
  <si>
    <t>Wear area</t>
  </si>
  <si>
    <t>cm</t>
  </si>
  <si>
    <t>Wear volume (low estimate)</t>
  </si>
  <si>
    <t>Wear mass (high estimate)</t>
  </si>
  <si>
    <t>cm^3</t>
  </si>
  <si>
    <t>Wear mass (low estimate)</t>
  </si>
  <si>
    <t>g / pair of shoes</t>
  </si>
  <si>
    <t>g / shoe</t>
  </si>
  <si>
    <t xml:space="preserve">Wear per pair of shoes </t>
  </si>
  <si>
    <t>Close-toed shoes</t>
  </si>
  <si>
    <t>Fractions of shoes that are made with soles of specific polymer</t>
  </si>
  <si>
    <t>Number of pairs consumed NL</t>
  </si>
  <si>
    <t>Number of pairs consumed EU</t>
  </si>
  <si>
    <t>Pairs of shoes with soles made of specific polymer (NL)</t>
  </si>
  <si>
    <t>Wear fraction = total mass of wear/total mass of polymer in consumed shoes</t>
  </si>
  <si>
    <t>Total pairs of shoes consumed with each type of sole</t>
  </si>
  <si>
    <t>Total wear (low) in g</t>
  </si>
  <si>
    <t>Total wear (high) in g</t>
  </si>
  <si>
    <t>Total wear (low) in kt</t>
  </si>
  <si>
    <t>Total wear (high) in kt</t>
  </si>
  <si>
    <t xml:space="preserve">Wear per shoe category. All values are calculated with data for 2022, which is the most recent year available with complete data. </t>
  </si>
  <si>
    <t>Low TC</t>
  </si>
  <si>
    <t>High TC</t>
  </si>
  <si>
    <t>Density of PVC</t>
  </si>
  <si>
    <t>Wear volume (high estimate)</t>
  </si>
  <si>
    <t>Consumption of polymers in 2022 in NL</t>
  </si>
  <si>
    <t xml:space="preserve">In the model, the material for the EVA TCs will be OTHER, because EVA is not in the model and OTHER does not contain any other polymers for footwear. </t>
  </si>
  <si>
    <t>Shoesole abrasion</t>
  </si>
  <si>
    <t>Loss during wear (footwear)</t>
  </si>
  <si>
    <t>Assume TC for clothing wear for uppers of shoes</t>
  </si>
  <si>
    <t>Low estimate (see sole wear calculations below)</t>
  </si>
  <si>
    <t>High estimate (see sole wear calculations below)</t>
  </si>
  <si>
    <t>See shoesole wear calculation in clothing tab of MainInputFile</t>
  </si>
  <si>
    <t>TCs for footwear</t>
  </si>
  <si>
    <t>Footwear category</t>
  </si>
  <si>
    <t>Footwear wearing (soles)</t>
  </si>
  <si>
    <t>Footwear wearing (uppers)</t>
  </si>
  <si>
    <t>Footwear waste collection</t>
  </si>
  <si>
    <t>Footwear reuse</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</si>
  <si>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</si>
  <si>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</si>
  <si>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</si>
  <si>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</si>
  <si>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</si>
  <si>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</si>
  <si>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</si>
  <si>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</si>
  <si>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</si>
  <si>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</si>
  <si>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</si>
  <si>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</si>
  <si>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</si>
  <si>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</si>
  <si>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</si>
  <si>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</si>
  <si>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</si>
  <si>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</si>
  <si>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</si>
  <si>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Calculations textile waste collection using Massabalans textiel 2022</t>
  </si>
  <si>
    <t>Outside NL</t>
  </si>
  <si>
    <t>recyling</t>
  </si>
  <si>
    <t>reuse</t>
  </si>
  <si>
    <t>further sorting</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</si>
  <si>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</si>
  <si>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</si>
  <si>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</si>
  <si>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</si>
  <si>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</si>
  <si>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</si>
  <si>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</si>
  <si>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</si>
  <si>
    <t>25% van de schoenen wordt gescheiden ingezameld</t>
  </si>
  <si>
    <t>10% van de gescheiden ingezamelde schoenen wordt hergebruikt in NL of Europa</t>
  </si>
  <si>
    <t>Recyclaat wordt gebruikt voor laagwaardige producten</t>
  </si>
  <si>
    <t>(de Waart et al., 2023)</t>
  </si>
  <si>
    <t>Assume 0.01% recycling based on barely any collected footwear is recycled (de Waart et al., 2023)</t>
  </si>
  <si>
    <t>Er worden nauwelijks schoenen gerecycled uit de gescheiden ingezamelde schoenen. Vooral onverkochte/defecte voorraad wordt gerecycled. Ongeveer 5%</t>
  </si>
  <si>
    <t>Verkenning schoenketen (de Waart et al., 2023)</t>
  </si>
  <si>
    <t>Laitala et al. (2018)</t>
  </si>
  <si>
    <t>Total shoe consumption mass in 2019 (low)</t>
  </si>
  <si>
    <t>TC (low)</t>
  </si>
  <si>
    <t>Total shoe consumption mass in 2019 (high)</t>
  </si>
  <si>
    <t>TC (high)</t>
  </si>
  <si>
    <t>In use/Discarded</t>
  </si>
  <si>
    <t>Clothing washed (in use)</t>
  </si>
  <si>
    <t>Clothing washed (discarded)</t>
  </si>
  <si>
    <t>Clothing not washed (in use)</t>
  </si>
  <si>
    <t>Clothing not washed (discarded)</t>
  </si>
  <si>
    <t xml:space="preserve">TCs for clothing that is rarely washed </t>
  </si>
  <si>
    <t>Clothing rarely washed (in use)</t>
  </si>
  <si>
    <t>Clothing rarely washed (discarded)</t>
  </si>
  <si>
    <t>Computed from wearing, washing, drying TCs</t>
  </si>
  <si>
    <t>Women</t>
  </si>
  <si>
    <t>Men</t>
  </si>
  <si>
    <t>Mean number of shoes in posession</t>
  </si>
  <si>
    <t>TCs corrected for number of shoes in posession</t>
  </si>
  <si>
    <t>Clothing categories to in use/discarded</t>
  </si>
  <si>
    <t>Clothing In use/discarded to subsequent compartments</t>
  </si>
  <si>
    <t>Footwear categories to consequent compartments</t>
  </si>
  <si>
    <t>ClothingWashedInUse</t>
  </si>
  <si>
    <t>ClothingWashedDiscarded</t>
  </si>
  <si>
    <t>ClothingRarelyWashedInUse</t>
  </si>
  <si>
    <t>ClothingRarelyWashedDiscarded</t>
  </si>
  <si>
    <t>ClothingNotWashedInUse</t>
  </si>
  <si>
    <t>ClothingNotWashedDiscarded</t>
  </si>
  <si>
    <t>Iyare et al. (2022)</t>
  </si>
  <si>
    <t>Total removal after primary treatment</t>
  </si>
  <si>
    <t>Total removal after secondary treatment</t>
  </si>
  <si>
    <t>Total removal after tertiary treatment</t>
  </si>
  <si>
    <t>mean</t>
  </si>
  <si>
    <t>source</t>
  </si>
  <si>
    <t>Waternet (2025)</t>
  </si>
  <si>
    <t>Relative removal during primary treatment</t>
  </si>
  <si>
    <t>Relative removal during secondary treatment</t>
  </si>
  <si>
    <t>Relative removal during tertiary treatment</t>
  </si>
  <si>
    <t>Removal during step</t>
  </si>
  <si>
    <t>High estimate factor</t>
  </si>
  <si>
    <t>Iyare et al. (2020)</t>
  </si>
  <si>
    <t>Old TCs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</si>
</sst>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 numFmtId="176" formatCode="0.000%"/>
  </numFmts>
  <fonts count="78">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11"/>
      <color rgb="FFFA7D00"/>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b/>
      <sz val="11"/>
      <color theme="2" tint="-0.499984740745262"/>
      <name val="Calibri"/>
      <family val="2"/>
      <scheme val="minor"/>
    </font>
    <font>
      <sz val="22"/>
      <color theme="0"/>
      <name val="Calibri"/>
      <family val="2"/>
      <scheme val="minor"/>
    </font>
    <font>
      <sz val="10"/>
      <color indexed="8"/>
      <name val="Segoe UI"/>
      <family val="2"/>
    </font>
    <font>
      <sz val="11"/>
      <color theme="0" tint="-0.499984740745262"/>
      <name val="Calibri"/>
      <family val="2"/>
      <scheme val="minor"/>
    </font>
  </fonts>
  <fills count="6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F2F2F2"/>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59999389629810485"/>
        <bgColor indexed="65"/>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s>
  <borders count="97">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medium">
        <color indexed="64"/>
      </left>
      <right style="thin">
        <color rgb="FF7F7F7F"/>
      </right>
      <top style="thin">
        <color rgb="FF7F7F7F"/>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thin">
        <color rgb="FF7F7F7F"/>
      </right>
      <top/>
      <bottom/>
      <diagonal/>
    </border>
  </borders>
  <cellStyleXfs count="120">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0" fillId="58" borderId="12" applyNumberFormat="0" applyAlignment="0" applyProtection="0"/>
    <xf numFmtId="0" fontId="15" fillId="59" borderId="0" applyNumberFormat="0" applyBorder="0" applyAlignment="0" applyProtection="0"/>
    <xf numFmtId="0" fontId="15" fillId="60" borderId="0" applyNumberFormat="0" applyBorder="0" applyAlignment="0" applyProtection="0"/>
    <xf numFmtId="0" fontId="14" fillId="63" borderId="0" applyNumberFormat="0" applyBorder="0" applyAlignment="0" applyProtection="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cellStyleXfs>
  <cellXfs count="1270">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57" fillId="0" borderId="33" xfId="0" applyFont="1" applyBorder="1" applyAlignment="1">
      <alignment horizontal="left" vertical="center"/>
    </xf>
    <xf numFmtId="166" fontId="7" fillId="0" borderId="33" xfId="0" applyNumberFormat="1" applyFont="1" applyBorder="1" applyAlignment="1">
      <alignment horizontal="left" vertical="center"/>
    </xf>
    <xf numFmtId="168" fontId="7" fillId="0" borderId="33" xfId="0" applyNumberFormat="1" applyFont="1" applyBorder="1" applyAlignment="1">
      <alignment horizontal="left" vertical="center"/>
    </xf>
    <xf numFmtId="0" fontId="0" fillId="0" borderId="33" xfId="0" applyBorder="1" applyAlignment="1">
      <alignment horizontal="left"/>
    </xf>
    <xf numFmtId="0" fontId="0" fillId="0" borderId="33" xfId="0" applyBorder="1" applyAlignment="1">
      <alignment horizontal="left" vertical="top"/>
    </xf>
    <xf numFmtId="169" fontId="7" fillId="0" borderId="33" xfId="0" applyNumberFormat="1" applyFont="1" applyBorder="1" applyAlignment="1">
      <alignment horizontal="left" vertical="center"/>
    </xf>
    <xf numFmtId="173" fontId="7" fillId="0" borderId="33" xfId="0" applyNumberFormat="1" applyFont="1" applyBorder="1" applyAlignment="1">
      <alignment horizontal="left" vertical="center"/>
    </xf>
    <xf numFmtId="166" fontId="7" fillId="0" borderId="20" xfId="0" applyNumberFormat="1" applyFont="1" applyBorder="1" applyAlignment="1">
      <alignment horizontal="left" vertical="center"/>
    </xf>
    <xf numFmtId="166" fontId="7" fillId="0" borderId="7" xfId="0" applyNumberFormat="1" applyFont="1" applyBorder="1" applyAlignment="1">
      <alignment horizontal="left" vertical="center"/>
    </xf>
    <xf numFmtId="168" fontId="7" fillId="0" borderId="7" xfId="0" applyNumberFormat="1" applyFont="1" applyBorder="1" applyAlignment="1">
      <alignment horizontal="left" vertical="center"/>
    </xf>
    <xf numFmtId="0" fontId="0" fillId="0" borderId="7" xfId="0" applyBorder="1" applyAlignment="1">
      <alignment horizontal="left"/>
    </xf>
    <xf numFmtId="169" fontId="0" fillId="0" borderId="7" xfId="0" applyNumberFormat="1" applyBorder="1" applyAlignment="1">
      <alignment horizontal="left"/>
    </xf>
    <xf numFmtId="1" fontId="0" fillId="0" borderId="36" xfId="0" applyNumberFormat="1" applyBorder="1" applyAlignment="1">
      <alignment horizontal="left"/>
    </xf>
    <xf numFmtId="167" fontId="7" fillId="0" borderId="7" xfId="0" applyNumberFormat="1" applyFont="1" applyBorder="1" applyAlignment="1">
      <alignment horizontal="left" vertical="center"/>
    </xf>
    <xf numFmtId="0" fontId="34" fillId="0" borderId="7" xfId="37" applyFont="1" applyFill="1" applyBorder="1" applyAlignment="1">
      <alignment horizontal="left" vertical="center"/>
    </xf>
    <xf numFmtId="0" fontId="57" fillId="0" borderId="50" xfId="0" applyFont="1" applyBorder="1" applyAlignment="1">
      <alignment horizontal="left" vertical="center"/>
    </xf>
    <xf numFmtId="0" fontId="57" fillId="0" borderId="36" xfId="0" applyFont="1" applyBorder="1" applyAlignment="1">
      <alignment horizontal="left" vertical="center"/>
    </xf>
    <xf numFmtId="0" fontId="57" fillId="0" borderId="7" xfId="0" applyFont="1" applyBorder="1" applyAlignment="1">
      <alignment horizontal="left" vertical="center"/>
    </xf>
    <xf numFmtId="169" fontId="57" fillId="0" borderId="7" xfId="0" applyNumberFormat="1" applyFont="1" applyBorder="1" applyAlignment="1">
      <alignment horizontal="left" vertical="center"/>
    </xf>
    <xf numFmtId="1" fontId="57" fillId="0" borderId="36" xfId="0" applyNumberFormat="1" applyFont="1" applyBorder="1" applyAlignment="1">
      <alignment horizontal="left" vertical="center"/>
    </xf>
    <xf numFmtId="167" fontId="0" fillId="0" borderId="7" xfId="0" applyNumberFormat="1" applyBorder="1" applyAlignment="1">
      <alignment horizontal="left" vertical="top"/>
    </xf>
    <xf numFmtId="165" fontId="7" fillId="0" borderId="7" xfId="0" applyNumberFormat="1" applyFont="1" applyBorder="1" applyAlignment="1">
      <alignment horizontal="left" vertical="center"/>
    </xf>
    <xf numFmtId="0" fontId="7" fillId="0" borderId="37" xfId="0" applyFont="1"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14" fillId="10" borderId="0" xfId="42" applyAlignment="1">
      <alignment horizontal="left" vertical="center"/>
    </xf>
    <xf numFmtId="2" fontId="14" fillId="10" borderId="0" xfId="42" applyNumberFormat="1" applyAlignment="1">
      <alignment horizontal="left" vertical="center"/>
    </xf>
    <xf numFmtId="0" fontId="14" fillId="10" borderId="0" xfId="42"/>
    <xf numFmtId="167" fontId="14" fillId="10" borderId="0" xfId="42" applyNumberFormat="1" applyAlignment="1">
      <alignment horizontal="left" vertical="center"/>
    </xf>
    <xf numFmtId="0" fontId="14" fillId="10" borderId="26" xfId="42" applyBorder="1" applyAlignment="1">
      <alignment horizontal="left" vertical="center"/>
    </xf>
    <xf numFmtId="0" fontId="14" fillId="10" borderId="9" xfId="42" applyBorder="1" applyAlignment="1">
      <alignment horizontal="left" vertical="center"/>
    </xf>
    <xf numFmtId="0" fontId="14" fillId="10" borderId="33" xfId="42" applyBorder="1" applyAlignment="1">
      <alignment horizontal="left" vertical="center"/>
    </xf>
    <xf numFmtId="0" fontId="14" fillId="10" borderId="0" xfId="42" applyAlignment="1">
      <alignment horizontal="left"/>
    </xf>
    <xf numFmtId="0" fontId="70" fillId="58" borderId="12" xfId="103"/>
    <xf numFmtId="0" fontId="15" fillId="60" borderId="12" xfId="105" applyBorder="1"/>
    <xf numFmtId="0" fontId="17" fillId="60" borderId="12" xfId="105" applyFont="1" applyBorder="1"/>
    <xf numFmtId="0" fontId="72" fillId="0" borderId="0" xfId="0" applyFont="1"/>
    <xf numFmtId="0" fontId="0" fillId="62" borderId="0" xfId="0" applyFill="1"/>
    <xf numFmtId="0" fontId="14" fillId="10" borderId="43" xfId="42" applyBorder="1" applyAlignment="1">
      <alignment horizontal="left" vertical="center"/>
    </xf>
    <xf numFmtId="2" fontId="7" fillId="0" borderId="17" xfId="0" applyNumberFormat="1" applyFont="1" applyBorder="1" applyAlignment="1">
      <alignment horizontal="left" vertical="center"/>
    </xf>
    <xf numFmtId="0" fontId="14" fillId="10" borderId="66" xfId="42" applyBorder="1" applyAlignment="1">
      <alignment horizontal="left" vertical="center"/>
    </xf>
    <xf numFmtId="0" fontId="14" fillId="10" borderId="28" xfId="42" applyBorder="1" applyAlignment="1">
      <alignment horizontal="left" vertical="center"/>
    </xf>
    <xf numFmtId="2" fontId="7" fillId="0" borderId="29" xfId="0" applyNumberFormat="1" applyFont="1" applyBorder="1" applyAlignment="1">
      <alignment horizontal="left" vertical="center"/>
    </xf>
    <xf numFmtId="167" fontId="14" fillId="10" borderId="66" xfId="42" applyNumberFormat="1" applyBorder="1" applyAlignment="1">
      <alignment horizontal="left" vertical="center"/>
    </xf>
    <xf numFmtId="0" fontId="14" fillId="10" borderId="2" xfId="42" applyBorder="1" applyAlignment="1">
      <alignment horizontal="left" vertical="center"/>
    </xf>
    <xf numFmtId="167" fontId="14" fillId="10" borderId="2" xfId="42" applyNumberFormat="1" applyBorder="1" applyAlignment="1">
      <alignment horizontal="left" vertical="center"/>
    </xf>
    <xf numFmtId="0" fontId="14" fillId="10" borderId="0" xfId="42" applyBorder="1" applyAlignment="1">
      <alignment horizontal="left" vertical="center"/>
    </xf>
    <xf numFmtId="0" fontId="14" fillId="10" borderId="18" xfId="42" applyBorder="1" applyAlignment="1">
      <alignment horizontal="left" vertical="center"/>
    </xf>
    <xf numFmtId="0" fontId="14" fillId="10" borderId="23" xfId="42"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2" fillId="0" borderId="0" xfId="0" applyNumberFormat="1" applyFont="1"/>
    <xf numFmtId="0" fontId="14" fillId="10" borderId="81" xfId="42" applyBorder="1" applyAlignment="1">
      <alignment horizontal="left" vertical="center"/>
    </xf>
    <xf numFmtId="0" fontId="57" fillId="0" borderId="66" xfId="0" applyFont="1" applyBorder="1" applyAlignment="1">
      <alignment horizontal="left" vertical="center"/>
    </xf>
    <xf numFmtId="0" fontId="0" fillId="0" borderId="66" xfId="0" applyBorder="1" applyAlignment="1">
      <alignment horizontal="left"/>
    </xf>
    <xf numFmtId="165" fontId="70" fillId="58" borderId="12" xfId="103" applyNumberFormat="1"/>
    <xf numFmtId="169" fontId="18" fillId="0" borderId="7" xfId="0" applyNumberFormat="1" applyFont="1" applyBorder="1" applyAlignment="1">
      <alignment horizontal="left" vertical="center"/>
    </xf>
    <xf numFmtId="2" fontId="7" fillId="0" borderId="13" xfId="0" applyNumberFormat="1" applyFont="1" applyBorder="1" applyAlignment="1">
      <alignment horizontal="left" vertical="center"/>
    </xf>
    <xf numFmtId="0" fontId="0" fillId="64" borderId="0" xfId="0" applyFill="1"/>
    <xf numFmtId="0" fontId="14" fillId="63" borderId="0" xfId="106"/>
    <xf numFmtId="175" fontId="0" fillId="0" borderId="0" xfId="0" applyNumberFormat="1"/>
    <xf numFmtId="1" fontId="0" fillId="0" borderId="0" xfId="0" applyNumberFormat="1"/>
    <xf numFmtId="0" fontId="74" fillId="58" borderId="12" xfId="103" applyFont="1"/>
    <xf numFmtId="0" fontId="15" fillId="0" borderId="0" xfId="0" applyFont="1"/>
    <xf numFmtId="0" fontId="14" fillId="10" borderId="73" xfId="42" applyBorder="1" applyAlignment="1">
      <alignment horizontal="left" vertical="center"/>
    </xf>
    <xf numFmtId="2" fontId="54" fillId="47" borderId="59" xfId="0" applyNumberFormat="1" applyFont="1" applyFill="1" applyBorder="1" applyAlignment="1">
      <alignment horizontal="center" vertical="center"/>
    </xf>
    <xf numFmtId="2" fontId="54" fillId="47" borderId="0" xfId="0" applyNumberFormat="1" applyFont="1" applyFill="1" applyAlignment="1">
      <alignment horizontal="center" vertical="center"/>
    </xf>
    <xf numFmtId="2" fontId="54" fillId="47" borderId="7"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5" borderId="55" xfId="0" applyFont="1" applyFill="1" applyBorder="1" applyAlignment="1">
      <alignment horizontal="center" vertical="center"/>
    </xf>
    <xf numFmtId="0" fontId="55" fillId="65" borderId="18" xfId="0" applyFont="1" applyFill="1" applyBorder="1" applyAlignment="1">
      <alignment horizontal="center" vertical="center"/>
    </xf>
    <xf numFmtId="0" fontId="55" fillId="65" borderId="54" xfId="0" applyFont="1" applyFill="1" applyBorder="1" applyAlignment="1">
      <alignment horizontal="center" vertical="center"/>
    </xf>
    <xf numFmtId="2" fontId="54" fillId="65" borderId="23" xfId="0" applyNumberFormat="1" applyFont="1" applyFill="1" applyBorder="1" applyAlignment="1">
      <alignment horizontal="center" vertical="center"/>
    </xf>
    <xf numFmtId="2" fontId="54" fillId="65" borderId="24" xfId="0" applyNumberFormat="1" applyFont="1" applyFill="1" applyBorder="1" applyAlignment="1">
      <alignment horizontal="center" vertical="center"/>
    </xf>
    <xf numFmtId="2" fontId="54" fillId="65" borderId="25" xfId="0" applyNumberFormat="1" applyFont="1" applyFill="1" applyBorder="1" applyAlignment="1">
      <alignment horizontal="center" vertical="center"/>
    </xf>
    <xf numFmtId="2" fontId="54" fillId="65" borderId="26" xfId="0" applyNumberFormat="1" applyFont="1" applyFill="1" applyBorder="1" applyAlignment="1">
      <alignment horizontal="center" vertical="center"/>
    </xf>
    <xf numFmtId="2" fontId="54" fillId="65" borderId="9" xfId="0" applyNumberFormat="1" applyFont="1" applyFill="1" applyBorder="1" applyAlignment="1">
      <alignment horizontal="center" vertical="center"/>
    </xf>
    <xf numFmtId="2" fontId="54" fillId="65" borderId="27" xfId="0" applyNumberFormat="1" applyFont="1" applyFill="1" applyBorder="1" applyAlignment="1">
      <alignment horizontal="center" vertical="center"/>
    </xf>
    <xf numFmtId="2" fontId="54" fillId="65" borderId="28" xfId="0" applyNumberFormat="1" applyFont="1" applyFill="1" applyBorder="1" applyAlignment="1">
      <alignment horizontal="center" vertical="center"/>
    </xf>
    <xf numFmtId="2" fontId="54" fillId="65" borderId="29" xfId="0" applyNumberFormat="1" applyFont="1" applyFill="1" applyBorder="1" applyAlignment="1">
      <alignment horizontal="center" vertical="center"/>
    </xf>
    <xf numFmtId="2" fontId="54" fillId="65" borderId="30" xfId="0" applyNumberFormat="1" applyFont="1" applyFill="1" applyBorder="1" applyAlignment="1">
      <alignment horizontal="center" vertical="center"/>
    </xf>
    <xf numFmtId="0" fontId="0" fillId="66" borderId="0" xfId="0" applyFill="1"/>
    <xf numFmtId="0" fontId="27" fillId="40" borderId="62" xfId="0" applyFont="1" applyFill="1" applyBorder="1" applyAlignment="1">
      <alignment horizontal="left" vertical="top"/>
    </xf>
    <xf numFmtId="0" fontId="0" fillId="67" borderId="0" xfId="0" applyFill="1"/>
    <xf numFmtId="11" fontId="0" fillId="67" borderId="0" xfId="0" applyNumberFormat="1" applyFill="1"/>
    <xf numFmtId="11" fontId="0" fillId="62"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28" xfId="0" applyNumberFormat="1" applyFont="1" applyBorder="1" applyAlignment="1">
      <alignment horizontal="left" vertical="center"/>
    </xf>
    <xf numFmtId="2" fontId="7" fillId="0" borderId="29" xfId="0" applyNumberFormat="1" applyFont="1" applyBorder="1" applyAlignment="1">
      <alignment vertical="center"/>
    </xf>
    <xf numFmtId="169" fontId="18" fillId="0" borderId="29" xfId="0" applyNumberFormat="1" applyFont="1" applyBorder="1" applyAlignment="1">
      <alignment horizontal="left" vertical="center"/>
    </xf>
    <xf numFmtId="1" fontId="7" fillId="0" borderId="29"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69" fontId="18" fillId="0" borderId="16" xfId="0" applyNumberFormat="1" applyFont="1" applyBorder="1" applyAlignment="1">
      <alignment horizontal="left" vertical="center"/>
    </xf>
    <xf numFmtId="1" fontId="7" fillId="0" borderId="16" xfId="0" applyNumberFormat="1" applyFont="1" applyBorder="1" applyAlignment="1">
      <alignment horizontal="left" vertical="center"/>
    </xf>
    <xf numFmtId="0" fontId="7" fillId="0" borderId="29" xfId="0" applyFont="1" applyBorder="1"/>
    <xf numFmtId="0" fontId="0" fillId="0" borderId="29" xfId="0" applyBorder="1"/>
    <xf numFmtId="0" fontId="0" fillId="0" borderId="23" xfId="0" applyBorder="1"/>
    <xf numFmtId="0" fontId="0" fillId="0" borderId="24" xfId="0" applyBorder="1"/>
    <xf numFmtId="0" fontId="0" fillId="0" borderId="28" xfId="0"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11" fontId="0" fillId="0" borderId="24" xfId="0" applyNumberFormat="1" applyBorder="1"/>
    <xf numFmtId="11" fontId="7" fillId="0" borderId="9" xfId="0" applyNumberFormat="1" applyFont="1" applyBorder="1" applyAlignment="1">
      <alignment horizontal="right" vertical="center"/>
    </xf>
    <xf numFmtId="11" fontId="0" fillId="0" borderId="29" xfId="0" applyNumberFormat="1" applyBorder="1"/>
    <xf numFmtId="11" fontId="7" fillId="0" borderId="24" xfId="0" applyNumberFormat="1" applyFont="1" applyBorder="1" applyAlignment="1">
      <alignment horizontal="left" vertical="center"/>
    </xf>
    <xf numFmtId="11" fontId="7" fillId="0" borderId="9" xfId="0" applyNumberFormat="1" applyFont="1" applyBorder="1" applyAlignment="1">
      <alignment horizontal="left" vertical="center"/>
    </xf>
    <xf numFmtId="11" fontId="7" fillId="0" borderId="9" xfId="0" applyNumberFormat="1" applyFont="1" applyBorder="1"/>
    <xf numFmtId="11" fontId="7" fillId="0" borderId="29" xfId="0" applyNumberFormat="1" applyFont="1" applyBorder="1"/>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0" fontId="57" fillId="0" borderId="48" xfId="0" applyFont="1" applyBorder="1" applyAlignment="1">
      <alignment horizontal="left" vertical="center"/>
    </xf>
    <xf numFmtId="0" fontId="0" fillId="0" borderId="48" xfId="0" applyBorder="1" applyAlignment="1">
      <alignment horizontal="left"/>
    </xf>
    <xf numFmtId="166" fontId="14" fillId="10" borderId="0" xfId="42" applyNumberFormat="1" applyAlignment="1">
      <alignment horizontal="left" vertical="center"/>
    </xf>
    <xf numFmtId="1" fontId="14" fillId="10" borderId="0" xfId="42" applyNumberFormat="1" applyAlignment="1">
      <alignment horizontal="left" vertical="center"/>
    </xf>
    <xf numFmtId="2" fontId="14" fillId="10" borderId="66" xfId="42" applyNumberFormat="1" applyBorder="1" applyAlignment="1">
      <alignment horizontal="left" vertical="center"/>
    </xf>
    <xf numFmtId="1" fontId="14" fillId="10" borderId="66" xfId="42" applyNumberFormat="1" applyBorder="1" applyAlignment="1">
      <alignment horizontal="left" vertical="center"/>
    </xf>
    <xf numFmtId="2" fontId="7" fillId="0" borderId="86" xfId="0" applyNumberFormat="1" applyFont="1" applyBorder="1" applyAlignment="1">
      <alignment horizontal="left" vertical="center"/>
    </xf>
    <xf numFmtId="2" fontId="14" fillId="10" borderId="0" xfId="42" applyNumberFormat="1" applyBorder="1" applyAlignment="1">
      <alignment horizontal="left" vertical="center"/>
    </xf>
    <xf numFmtId="1" fontId="14" fillId="10" borderId="0" xfId="42" applyNumberFormat="1" applyBorder="1" applyAlignment="1">
      <alignment horizontal="left" vertical="center"/>
    </xf>
    <xf numFmtId="0" fontId="14" fillId="10" borderId="8" xfId="42" applyBorder="1" applyAlignment="1">
      <alignment horizontal="left" vertical="center"/>
    </xf>
    <xf numFmtId="2" fontId="14" fillId="10" borderId="73" xfId="42" applyNumberFormat="1" applyBorder="1" applyAlignment="1">
      <alignment horizontal="left" vertical="center"/>
    </xf>
    <xf numFmtId="2" fontId="7" fillId="0" borderId="10" xfId="0" applyNumberFormat="1" applyFont="1" applyBorder="1" applyAlignment="1">
      <alignment horizontal="left" vertical="center"/>
    </xf>
    <xf numFmtId="2" fontId="7" fillId="0" borderId="85" xfId="0" applyNumberFormat="1" applyFont="1" applyBorder="1" applyAlignment="1">
      <alignment horizontal="left" vertical="center"/>
    </xf>
    <xf numFmtId="0" fontId="7" fillId="0" borderId="43" xfId="0" applyFont="1" applyBorder="1"/>
    <xf numFmtId="11" fontId="7" fillId="0" borderId="17" xfId="0" applyNumberFormat="1" applyFont="1" applyBorder="1"/>
    <xf numFmtId="166" fontId="14" fillId="10" borderId="0" xfId="42" applyNumberFormat="1" applyBorder="1" applyAlignment="1">
      <alignment horizontal="left" vertical="center"/>
    </xf>
    <xf numFmtId="166" fontId="14" fillId="10" borderId="66" xfId="42" applyNumberFormat="1" applyBorder="1" applyAlignment="1">
      <alignment horizontal="left" vertical="center"/>
    </xf>
    <xf numFmtId="10" fontId="7" fillId="0" borderId="0" xfId="47" applyNumberFormat="1" applyFont="1" applyAlignment="1">
      <alignment horizontal="left" vertical="center"/>
    </xf>
    <xf numFmtId="0" fontId="70" fillId="58" borderId="87" xfId="103" applyBorder="1"/>
    <xf numFmtId="0" fontId="70" fillId="58" borderId="88" xfId="103" applyBorder="1"/>
    <xf numFmtId="0" fontId="6" fillId="58" borderId="90" xfId="103" applyFont="1" applyBorder="1"/>
    <xf numFmtId="0" fontId="70" fillId="58" borderId="91" xfId="103" applyBorder="1"/>
    <xf numFmtId="0" fontId="70" fillId="58" borderId="92" xfId="103" applyBorder="1"/>
    <xf numFmtId="0" fontId="70" fillId="58" borderId="93" xfId="103" applyBorder="1"/>
    <xf numFmtId="0" fontId="70" fillId="58" borderId="94" xfId="103" applyBorder="1"/>
    <xf numFmtId="0" fontId="70" fillId="58" borderId="95" xfId="103" applyBorder="1"/>
    <xf numFmtId="0" fontId="17" fillId="60" borderId="96" xfId="105" applyFont="1" applyBorder="1"/>
    <xf numFmtId="0" fontId="15" fillId="60" borderId="96" xfId="105" applyBorder="1"/>
    <xf numFmtId="0" fontId="70" fillId="58" borderId="89" xfId="103" applyBorder="1"/>
    <xf numFmtId="0" fontId="6" fillId="58" borderId="93" xfId="103" applyFont="1" applyBorder="1"/>
    <xf numFmtId="0" fontId="53" fillId="58" borderId="12" xfId="52" applyFill="1" applyBorder="1"/>
    <xf numFmtId="0" fontId="53" fillId="58" borderId="90" xfId="52" applyFill="1" applyBorder="1"/>
    <xf numFmtId="0" fontId="53" fillId="58" borderId="91" xfId="52" applyFill="1" applyBorder="1"/>
    <xf numFmtId="0" fontId="53" fillId="58" borderId="92" xfId="52" applyFill="1" applyBorder="1"/>
    <xf numFmtId="0" fontId="53" fillId="58" borderId="87" xfId="52" applyFill="1" applyBorder="1"/>
    <xf numFmtId="0" fontId="53" fillId="58" borderId="93" xfId="52" applyFill="1" applyBorder="1"/>
    <xf numFmtId="0" fontId="53" fillId="58" borderId="94" xfId="52" applyFill="1" applyBorder="1"/>
    <xf numFmtId="0" fontId="70" fillId="58" borderId="12" xfId="47" applyNumberFormat="1" applyFont="1" applyFill="1" applyBorder="1"/>
    <xf numFmtId="0" fontId="70" fillId="58" borderId="95" xfId="47" applyNumberFormat="1" applyFont="1" applyFill="1" applyBorder="1"/>
    <xf numFmtId="0" fontId="77" fillId="0" borderId="0" xfId="0" applyFont="1"/>
    <xf numFmtId="169" fontId="70" fillId="58" borderId="12" xfId="47" applyNumberFormat="1" applyFont="1" applyFill="1" applyBorder="1"/>
    <xf numFmtId="0" fontId="0" fillId="0" borderId="0" xfId="0"/>
    <xf numFmtId="0" fontId="7" fillId="0" borderId="66" xfId="0" applyFont="1" applyBorder="1" applyAlignment="1">
      <alignment horizontal="left" vertical="center"/>
    </xf>
    <xf numFmtId="0" fontId="7" fillId="0" borderId="0" xfId="0" applyFont="1" applyBorder="1" applyAlignment="1">
      <alignment horizontal="left" vertical="center"/>
    </xf>
    <xf numFmtId="2" fontId="7" fillId="0" borderId="0" xfId="0" applyNumberFormat="1" applyFont="1" applyBorder="1" applyAlignment="1">
      <alignment horizontal="left" vertical="center"/>
    </xf>
    <xf numFmtId="2" fontId="7" fillId="0" borderId="11" xfId="0" applyNumberFormat="1" applyFont="1" applyBorder="1" applyAlignment="1">
      <alignment horizontal="left" vertical="center"/>
    </xf>
    <xf numFmtId="0" fontId="0" fillId="0" borderId="9" xfId="0" applyFill="1" applyBorder="1"/>
    <xf numFmtId="0" fontId="0" fillId="0" borderId="9" xfId="0" applyFill="1" applyBorder="1" applyAlignment="1">
      <alignment horizontal="left"/>
    </xf>
    <xf numFmtId="170" fontId="0" fillId="0" borderId="0" xfId="47" applyNumberFormat="1" applyFont="1"/>
    <xf numFmtId="176" fontId="0" fillId="0" borderId="0" xfId="0" applyNumberFormat="1"/>
    <xf numFmtId="170" fontId="0" fillId="0" borderId="9" xfId="0" applyNumberFormat="1" applyBorder="1"/>
    <xf numFmtId="0" fontId="6" fillId="2" borderId="23" xfId="0" applyFont="1" applyFill="1" applyBorder="1" applyAlignment="1">
      <alignment horizontal="left" vertical="center"/>
    </xf>
    <xf numFmtId="0" fontId="6" fillId="2" borderId="24" xfId="0" applyFont="1" applyFill="1" applyBorder="1" applyAlignment="1">
      <alignment horizontal="left" vertical="center"/>
    </xf>
    <xf numFmtId="0" fontId="6" fillId="6" borderId="24" xfId="0" applyFont="1" applyFill="1" applyBorder="1" applyAlignment="1">
      <alignment horizontal="left" vertical="center"/>
    </xf>
    <xf numFmtId="167" fontId="6" fillId="6" borderId="24" xfId="0" applyNumberFormat="1" applyFont="1" applyFill="1" applyBorder="1" applyAlignment="1">
      <alignment horizontal="left" vertical="center"/>
    </xf>
    <xf numFmtId="0" fontId="6" fillId="6" borderId="25" xfId="0" applyFont="1" applyFill="1" applyBorder="1" applyAlignment="1">
      <alignment horizontal="left" vertical="center"/>
    </xf>
    <xf numFmtId="0" fontId="0" fillId="0" borderId="26" xfId="0" applyBorder="1"/>
    <xf numFmtId="170" fontId="0" fillId="0" borderId="29" xfId="0" applyNumberFormat="1" applyBorder="1"/>
    <xf numFmtId="0" fontId="0" fillId="0" borderId="29" xfId="0" applyFill="1" applyBorder="1"/>
    <xf numFmtId="2" fontId="7" fillId="0" borderId="9" xfId="0" applyNumberFormat="1" applyFont="1" applyBorder="1" applyAlignment="1">
      <alignment horizontal="left" vertical="center"/>
    </xf>
    <xf numFmtId="0" fontId="7" fillId="0" borderId="9" xfId="0" applyFont="1" applyBorder="1" applyAlignment="1">
      <alignment horizontal="left" vertical="center"/>
    </xf>
    <xf numFmtId="0" fontId="7" fillId="0" borderId="7" xfId="0" applyFont="1" applyBorder="1" applyAlignment="1">
      <alignment horizontal="left" vertical="center"/>
    </xf>
    <xf numFmtId="0" fontId="0" fillId="0" borderId="13" xfId="0" applyBorder="1" applyAlignment="1">
      <alignment horizontal="left" vertical="center" wrapText="1"/>
    </xf>
    <xf numFmtId="0" fontId="0" fillId="0" borderId="9" xfId="0" applyBorder="1" applyAlignment="1">
      <alignment horizontal="left" vertical="center" wrapText="1"/>
    </xf>
    <xf numFmtId="0" fontId="0" fillId="0" borderId="27"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0" fillId="0" borderId="53" xfId="0" applyBorder="1" applyAlignment="1">
      <alignment horizontal="left" vertical="center" wrapText="1"/>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45" fillId="18" borderId="0" xfId="0" applyFont="1" applyFill="1" applyAlignment="1">
      <alignment horizontal="left"/>
    </xf>
    <xf numFmtId="0" fontId="73" fillId="18" borderId="0" xfId="0" applyFont="1" applyFill="1" applyAlignment="1">
      <alignment horizontal="left"/>
    </xf>
    <xf numFmtId="0" fontId="71" fillId="20" borderId="0" xfId="0" applyFont="1" applyFill="1" applyAlignment="1">
      <alignment horizontal="left"/>
    </xf>
    <xf numFmtId="0" fontId="0" fillId="20" borderId="0" xfId="0" applyFill="1" applyAlignment="1">
      <alignment horizontal="left"/>
    </xf>
    <xf numFmtId="0" fontId="71" fillId="59" borderId="0" xfId="104" applyFont="1" applyAlignment="1">
      <alignment horizontal="left"/>
    </xf>
    <xf numFmtId="0" fontId="45" fillId="61" borderId="0" xfId="0" applyFont="1" applyFill="1" applyAlignment="1">
      <alignment horizontal="left"/>
    </xf>
    <xf numFmtId="0" fontId="0" fillId="61" borderId="0" xfId="0" applyFill="1" applyAlignment="1">
      <alignment horizontal="left"/>
    </xf>
    <xf numFmtId="0" fontId="15" fillId="61" borderId="0" xfId="0" applyFont="1" applyFill="1" applyAlignment="1">
      <alignment horizontal="left"/>
    </xf>
    <xf numFmtId="0" fontId="45" fillId="20" borderId="0" xfId="0" applyFont="1" applyFill="1" applyAlignment="1">
      <alignment horizontal="left"/>
    </xf>
    <xf numFmtId="0" fontId="71"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75" fillId="20" borderId="0" xfId="0" applyFont="1" applyFill="1" applyAlignment="1">
      <alignment horizontal="left"/>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63" xfId="0" applyFont="1" applyFill="1" applyBorder="1" applyAlignment="1">
      <alignment horizontal="left" vertical="center"/>
    </xf>
    <xf numFmtId="0" fontId="32" fillId="20" borderId="0" xfId="0" applyFont="1" applyFill="1" applyAlignment="1">
      <alignment horizontal="left" vertical="center"/>
    </xf>
    <xf numFmtId="0" fontId="5" fillId="27" borderId="9" xfId="0" applyFont="1" applyFill="1" applyBorder="1" applyAlignment="1">
      <alignment horizontal="left" vertical="center"/>
    </xf>
    <xf numFmtId="0" fontId="34" fillId="0" borderId="9" xfId="37" applyFont="1" applyFill="1" applyBorder="1" applyAlignment="1">
      <alignment horizontal="left" vertical="center" readingOrder="1"/>
    </xf>
    <xf numFmtId="0" fontId="7" fillId="0" borderId="9" xfId="37"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59" xfId="0" applyFont="1" applyFill="1" applyBorder="1" applyAlignment="1">
      <alignment horizontal="left" vertical="center"/>
    </xf>
    <xf numFmtId="0" fontId="5" fillId="27" borderId="7" xfId="0" applyFont="1" applyFill="1" applyBorder="1" applyAlignment="1">
      <alignment horizontal="left" vertical="center"/>
    </xf>
    <xf numFmtId="0" fontId="7" fillId="0" borderId="9" xfId="0" applyFont="1" applyBorder="1" applyAlignment="1">
      <alignment horizontal="left" vertical="center" readingOrder="1"/>
    </xf>
    <xf numFmtId="0" fontId="0" fillId="0" borderId="9" xfId="0" applyBorder="1" applyAlignment="1">
      <alignment horizontal="left" vertical="center"/>
    </xf>
    <xf numFmtId="165" fontId="6" fillId="0" borderId="9" xfId="0" applyNumberFormat="1" applyFont="1" applyBorder="1" applyAlignment="1">
      <alignment horizontal="left" vertical="center" readingOrder="1"/>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32" fillId="20" borderId="9" xfId="0" applyFont="1" applyFill="1" applyBorder="1" applyAlignment="1">
      <alignment horizontal="left" vertical="center"/>
    </xf>
    <xf numFmtId="0" fontId="5" fillId="27" borderId="17" xfId="0" applyFont="1" applyFill="1" applyBorder="1" applyAlignment="1">
      <alignment horizontal="left" vertical="center"/>
    </xf>
    <xf numFmtId="0" fontId="0" fillId="5" borderId="9" xfId="0"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3" xfId="0" applyFont="1" applyFill="1" applyBorder="1" applyAlignment="1">
      <alignment horizontal="left" vertical="center"/>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0" fillId="26" borderId="9" xfId="0" applyFill="1" applyBorder="1" applyAlignment="1">
      <alignment horizontal="left" vertical="center"/>
    </xf>
    <xf numFmtId="169" fontId="7" fillId="25" borderId="9" xfId="0" applyNumberFormat="1" applyFont="1" applyFill="1" applyBorder="1" applyAlignment="1">
      <alignment horizontal="center" vertical="center"/>
    </xf>
    <xf numFmtId="2" fontId="6" fillId="27" borderId="9" xfId="0" applyNumberFormat="1" applyFont="1" applyFill="1"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7" fillId="56" borderId="9" xfId="0" applyNumberFormat="1" applyFont="1" applyFill="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0" fontId="45" fillId="54" borderId="0" xfId="0" applyFont="1" applyFill="1" applyAlignment="1">
      <alignment horizontal="left"/>
    </xf>
    <xf numFmtId="0" fontId="45" fillId="55" borderId="0" xfId="0" applyFont="1" applyFill="1" applyAlignment="1">
      <alignment horizontal="left"/>
    </xf>
    <xf numFmtId="0" fontId="32" fillId="20" borderId="3" xfId="0" applyFont="1" applyFill="1" applyBorder="1" applyAlignment="1">
      <alignment horizontal="left" vertical="center"/>
    </xf>
    <xf numFmtId="0" fontId="5" fillId="27" borderId="9" xfId="0" applyFont="1" applyFill="1" applyBorder="1" applyAlignment="1">
      <alignment horizontal="left" vertical="center" wrapText="1"/>
    </xf>
    <xf numFmtId="0" fontId="0" fillId="0" borderId="9" xfId="0"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19" fillId="0" borderId="9" xfId="37"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0" xfId="0"/>
    <xf numFmtId="165" fontId="0" fillId="25" borderId="9" xfId="0" applyNumberFormat="1"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0" fontId="5" fillId="0" borderId="9" xfId="0" applyFon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165" fontId="0" fillId="0" borderId="9" xfId="0" applyNumberForma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9" xfId="0" applyFont="1" applyBorder="1" applyAlignment="1">
      <alignment horizontal="left" vertical="center"/>
    </xf>
    <xf numFmtId="0" fontId="7" fillId="0" borderId="61" xfId="0" applyFont="1" applyBorder="1" applyAlignment="1">
      <alignment horizontal="left" vertical="center"/>
    </xf>
    <xf numFmtId="0" fontId="7" fillId="0" borderId="8" xfId="0" applyFont="1" applyBorder="1" applyAlignment="1">
      <alignment horizontal="left" vertical="center"/>
    </xf>
    <xf numFmtId="0" fontId="7" fillId="0" borderId="3" xfId="0" applyFont="1" applyBorder="1" applyAlignment="1">
      <alignment horizontal="left" vertical="center"/>
    </xf>
    <xf numFmtId="0" fontId="35" fillId="0" borderId="59" xfId="0" applyFont="1" applyBorder="1" applyAlignment="1">
      <alignment horizontal="left" vertical="center"/>
    </xf>
    <xf numFmtId="0" fontId="35" fillId="0" borderId="0" xfId="0" applyFont="1"/>
    <xf numFmtId="0" fontId="68" fillId="20" borderId="0" xfId="0" applyFont="1" applyFill="1" applyAlignment="1">
      <alignment horizontal="left" vertical="center"/>
    </xf>
    <xf numFmtId="0" fontId="69" fillId="20" borderId="0" xfId="0" applyFont="1" applyFill="1" applyAlignment="1">
      <alignment horizontal="left" vertical="center"/>
    </xf>
    <xf numFmtId="0" fontId="0" fillId="24" borderId="9" xfId="0" applyFill="1" applyBorder="1" applyAlignment="1">
      <alignment horizontal="left" vertical="center"/>
    </xf>
    <xf numFmtId="0" fontId="19" fillId="0" borderId="9" xfId="37"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5" fillId="27" borderId="16"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45" fillId="20" borderId="0" xfId="0" applyFont="1" applyFill="1" applyAlignment="1">
      <alignment horizontal="left" vertical="center"/>
    </xf>
    <xf numFmtId="0" fontId="6" fillId="27" borderId="9" xfId="0" applyFont="1"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9" xfId="0" applyFont="1" applyFill="1" applyBorder="1" applyAlignment="1">
      <alignment horizontal="center" vertical="center"/>
    </xf>
    <xf numFmtId="165" fontId="0" fillId="0" borderId="9" xfId="0" applyNumberFormat="1" applyBorder="1" applyAlignment="1">
      <alignment horizontal="center"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xf numFmtId="0" fontId="5" fillId="28" borderId="0" xfId="0" applyFont="1" applyFill="1"/>
  </cellXfs>
  <cellStyles count="120">
    <cellStyle name="20% - Accent2" xfId="42" builtinId="34"/>
    <cellStyle name="20% - Accent3" xfId="43" builtinId="38"/>
    <cellStyle name="20% - Accent5" xfId="44" builtinId="46"/>
    <cellStyle name="20% - Accent6" xfId="45" builtinId="50"/>
    <cellStyle name="40% - Accent5" xfId="106" builtinId="47"/>
    <cellStyle name="60% - Accent2" xfId="48" builtinId="36"/>
    <cellStyle name="60% - Accent4" xfId="49" builtinId="44"/>
    <cellStyle name="Accent1" xfId="50" builtinId="29"/>
    <cellStyle name="Accent4" xfId="104" builtinId="41"/>
    <cellStyle name="Accent5" xfId="105" builtinId="45"/>
    <cellStyle name="Bad 2" xfId="39" xr:uid="{999C7675-14EA-484B-B14F-118DFBF2E243}"/>
    <cellStyle name="Berekening" xfId="103" builtinId="22"/>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ed" xfId="46" builtinId="26"/>
    <cellStyle name="Heading 1 2" xfId="30" xr:uid="{876D29DD-4C64-4561-A70C-9CE8D1664B51}"/>
    <cellStyle name="Heading 3 2" xfId="35" xr:uid="{ED55513B-6757-4B3C-A9BA-E3C360FD61ED}"/>
    <cellStyle name="Hyperlink" xfId="37" builtinId="8"/>
    <cellStyle name="Input 2" xfId="38" xr:uid="{8234E3CA-C7DF-4E75-9602-9530D3E8936D}"/>
    <cellStyle name="Invoer" xfId="40" builtinId="20"/>
    <cellStyle name="Kop 3" xfId="41" builtinId="18"/>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2_Textile waste collection" xfId="109" xr:uid="{8BD84672-7DCF-4DA4-858F-EAB01689DEDC}"/>
    <cellStyle name="Normal 2 2 3" xfId="79" xr:uid="{95ABDB91-3660-4DB5-8BA0-BA80D59FE0B7}"/>
    <cellStyle name="Normal 2 2 4" xfId="80" xr:uid="{8EF4B5A1-9792-4C8A-9ABB-0408691BB355}"/>
    <cellStyle name="Normal 2 2_Textile waste collection" xfId="108" xr:uid="{0F567C9E-1C76-4987-ADD0-B1160D99A5D2}"/>
    <cellStyle name="Normal 2 3" xfId="14" xr:uid="{00000000-0005-0000-0000-000011000000}"/>
    <cellStyle name="Normal 2 3 2" xfId="81" xr:uid="{74117AA4-DDA2-475E-84C3-37CC1352F486}"/>
    <cellStyle name="Normal 2 3 3" xfId="82" xr:uid="{05DA02C7-89FE-4948-837F-ED0DC3A7B735}"/>
    <cellStyle name="Normal 2 3_Textile waste collection" xfId="110" xr:uid="{1FE9E4D1-916D-4242-B76F-79FF70F560D5}"/>
    <cellStyle name="Normal 2 4" xfId="83" xr:uid="{76F614EB-C017-4E58-B6E6-33EBB7B0B5AF}"/>
    <cellStyle name="Normal 2 5" xfId="84" xr:uid="{7BC5996F-3FE1-405A-80FE-A65F233C61A0}"/>
    <cellStyle name="Normal 2_Textile waste collection" xfId="107" xr:uid="{A1CD0967-23FC-4057-A2D9-2118B8A06C3B}"/>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2_Textile waste collection" xfId="113" xr:uid="{217FDBAC-0F32-4D07-B03F-91C2A7C1C36F}"/>
    <cellStyle name="Normal 3 2 3" xfId="87" xr:uid="{469B2650-0A74-4A51-B7D9-D34FCF951FFD}"/>
    <cellStyle name="Normal 3 2 4" xfId="88" xr:uid="{E982FF70-C631-4BAE-91C9-84E44D2BD653}"/>
    <cellStyle name="Normal 3 2_Textile waste collection" xfId="112" xr:uid="{C92F2FF9-8119-4CE8-A3B1-28636C115C0E}"/>
    <cellStyle name="Normal 3 3" xfId="16" xr:uid="{00000000-0005-0000-0000-000015000000}"/>
    <cellStyle name="Normal 3 3 2" xfId="89" xr:uid="{825ADFB2-E216-479C-AAFD-7A0DFA357924}"/>
    <cellStyle name="Normal 3 3 3" xfId="90" xr:uid="{EBCF7A3E-550A-4C56-A796-2089C76AD245}"/>
    <cellStyle name="Normal 3 3_Textile waste collection" xfId="114" xr:uid="{67724B5C-449F-413F-A03B-70ECB7710F60}"/>
    <cellStyle name="Normal 3 4" xfId="91" xr:uid="{6652DF51-2510-48DB-8F87-FE44ECAD6D80}"/>
    <cellStyle name="Normal 3 5" xfId="92" xr:uid="{EEE6786F-A1C6-42AE-A090-48494A364C5C}"/>
    <cellStyle name="Normal 3_Textile waste collection" xfId="111" xr:uid="{1BAA19BC-4F96-4775-9097-D0F451D96E07}"/>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2_Textile waste collection" xfId="117" xr:uid="{80E602E7-E432-47DD-B577-C598BF839BB9}"/>
    <cellStyle name="Normal 4 2 3" xfId="95" xr:uid="{EA1F5AA3-770F-476F-A773-C89FF900E622}"/>
    <cellStyle name="Normal 4 2 4" xfId="96" xr:uid="{FEA09008-00B8-4B1E-9C55-4E4C8A087C61}"/>
    <cellStyle name="Normal 4 2_Textile waste collection" xfId="116" xr:uid="{9C0A3BD4-5F1A-4E95-9FD1-75353F69934A}"/>
    <cellStyle name="Normal 4 3" xfId="18" xr:uid="{00000000-0005-0000-0000-000019000000}"/>
    <cellStyle name="Normal 4 3 2" xfId="97" xr:uid="{5520A197-3206-4DB1-BE82-443130DDA858}"/>
    <cellStyle name="Normal 4 3 3" xfId="98" xr:uid="{CE62EDDD-A5BC-4863-B705-58713BAFAB18}"/>
    <cellStyle name="Normal 4 3_Textile waste collection" xfId="118" xr:uid="{3F8C9D93-32A0-4D2B-A06C-81D1698CE618}"/>
    <cellStyle name="Normal 4 4" xfId="99" xr:uid="{8F1D38D5-0E19-4412-B4D1-1A9F09120DC6}"/>
    <cellStyle name="Normal 4 5" xfId="100" xr:uid="{83B47DFA-4E31-45B4-9A2F-F84370CE9403}"/>
    <cellStyle name="Normal 4_Textile waste collection" xfId="115" xr:uid="{E6D7313F-8C89-44B1-AA8F-14C6470FC317}"/>
    <cellStyle name="Normal 5" xfId="13" xr:uid="{00000000-0005-0000-0000-00001A000000}"/>
    <cellStyle name="Normal 5 2" xfId="101" xr:uid="{9EFEC55F-3A26-48C7-A5F0-6DBBB5559648}"/>
    <cellStyle name="Normal 5 3" xfId="102" xr:uid="{7069C1FE-9643-4B92-ABDE-ADA7866002F8}"/>
    <cellStyle name="Normal 5_Textile waste collection" xfId="119" xr:uid="{2052AABA-AFCF-4B08-8732-D24626EA3F43}"/>
    <cellStyle name="Normal 6" xfId="26" xr:uid="{00000000-0005-0000-0000-00001B000000}"/>
    <cellStyle name="Normal 7" xfId="28" xr:uid="{00000000-0005-0000-0000-00001C000000}"/>
    <cellStyle name="Normal 8" xfId="29" xr:uid="{00000000-0005-0000-0000-00001D000000}"/>
    <cellStyle name="Ongeldig" xfId="51" builtinId="27"/>
    <cellStyle name="Percent 2" xfId="34" xr:uid="{F57E4D53-A540-4A00-B516-07E1180C4A88}"/>
    <cellStyle name="Procent" xfId="47" builtinId="5"/>
    <cellStyle name="Standaard" xfId="0" builtinId="0"/>
    <cellStyle name="Title 2" xfId="36" xr:uid="{935189B4-4036-4BC7-A04A-71E74F62010F}"/>
    <cellStyle name="zHiddenText" xfId="31" xr:uid="{B105E5D3-1F8C-4131-A627-6C32EDDF3257}"/>
  </cellStyles>
  <dxfs count="228">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7" formatCode="0.0E+00"/>
    </dxf>
    <dxf>
      <numFmt numFmtId="0" formatCode="General"/>
    </dxf>
    <dxf>
      <numFmt numFmtId="177"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7"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numFmt numFmtId="0" formatCode="General"/>
    </dxf>
    <dxf>
      <numFmt numFmtId="177" formatCode="0.0E+00"/>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7" formatCode="0.0E+00"/>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7" formatCode="0.0E+00"/>
    </dxf>
    <dxf>
      <numFmt numFmtId="0" formatCode="General"/>
    </dxf>
    <dxf>
      <numFmt numFmtId="177"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27"/>
      <tableStyleElement type="headerRow" dxfId="226"/>
      <tableStyleElement type="firstRowStripe" dxfId="225"/>
      <tableStyleElement type="secondRowStripe" dxfId="224"/>
    </tableStyle>
    <tableStyle name="ToDoList" pivot="0" count="9" xr9:uid="{2DF133CA-7C3F-4FCB-A221-9418C1D283ED}">
      <tableStyleElement type="wholeTable" dxfId="223"/>
      <tableStyleElement type="headerRow" dxfId="222"/>
      <tableStyleElement type="totalRow" dxfId="221"/>
      <tableStyleElement type="firstColumn" dxfId="220"/>
      <tableStyleElement type="lastColumn" dxfId="219"/>
      <tableStyleElement type="firstRowStripe" dxfId="218"/>
      <tableStyleElement type="secondRowStripe" dxfId="217"/>
      <tableStyleElement type="firstColumnStripe" dxfId="216"/>
      <tableStyleElement type="secondColumnStripe" dxfId="215"/>
    </tableStyle>
    <tableStyle name="ToDoList 2" pivot="0" count="9" xr9:uid="{9535B582-56B3-4FB6-A5DA-8DE3CB0C9DCB}">
      <tableStyleElement type="wholeTable" dxfId="214"/>
      <tableStyleElement type="headerRow" dxfId="213"/>
      <tableStyleElement type="totalRow" dxfId="212"/>
      <tableStyleElement type="firstColumn" dxfId="211"/>
      <tableStyleElement type="lastColumn" dxfId="210"/>
      <tableStyleElement type="firstRowStripe" dxfId="209"/>
      <tableStyleElement type="secondRowStripe" dxfId="208"/>
      <tableStyleElement type="firstColumnStripe" dxfId="207"/>
      <tableStyleElement type="secondColumnStripe" dxfId="206"/>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N:\Documents\GitHub\rivm-syso\DPMFA_NL_EU\MainInputFile_Textile_test_1.xlsx" TargetMode="External"/><Relationship Id="rId1" Type="http://schemas.openxmlformats.org/officeDocument/2006/relationships/externalLinkPath" Target="MainInputFile_Textile_test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Data Quality Indicators"/>
      <sheetName val="Materials"/>
      <sheetName val="Input_NL"/>
      <sheetName val="Input_EU"/>
      <sheetName val="Transfer coefficients"/>
      <sheetName val="Clothing"/>
      <sheetName val="Pellets"/>
      <sheetName val="Tyre wear"/>
      <sheetName val="Paints and Coatings"/>
      <sheetName val="Textiles"/>
      <sheetName val="Agriculture"/>
      <sheetName val="Intentionally_produced_MPs"/>
      <sheetName val="Packaging"/>
      <sheetName val="Recycling TCs"/>
      <sheetName val="Compost TCs"/>
      <sheetName val="Scaling tables"/>
      <sheetName val="Input projections"/>
      <sheetName val="Lifetimes"/>
      <sheetName val="Lifetimes_pairs"/>
      <sheetName val="Lifetimes_references"/>
      <sheetName val="Compartments"/>
      <sheetName val="Compartments_Kawecki&amp;Nowack19"/>
      <sheetName val="Compartments_Added"/>
      <sheetName val="Blad1"/>
      <sheetName val="Check_Compartments"/>
    </sheetNames>
    <sheetDataSet>
      <sheetData sheetId="0"/>
      <sheetData sheetId="1"/>
      <sheetData sheetId="2"/>
      <sheetData sheetId="3">
        <row r="812">
          <cell r="E812" t="str">
            <v>https://ec.europa.eu/eurostat/databrowser/view/DS-056120__custom_15192557/default/table?lang=en - Low estimate</v>
          </cell>
        </row>
      </sheetData>
      <sheetData sheetId="4"/>
      <sheetData sheetId="5"/>
      <sheetData sheetId="6">
        <row r="109">
          <cell r="B109">
            <v>2011</v>
          </cell>
          <cell r="C109" t="str">
            <v>Acryl</v>
          </cell>
          <cell r="K109">
            <v>128.00471822053382</v>
          </cell>
          <cell r="L109">
            <v>156.45021115843022</v>
          </cell>
          <cell r="O109">
            <v>1</v>
          </cell>
          <cell r="P109">
            <v>1</v>
          </cell>
          <cell r="Q109">
            <v>2</v>
          </cell>
          <cell r="R109">
            <v>2</v>
          </cell>
          <cell r="S109">
            <v>2</v>
          </cell>
        </row>
        <row r="110">
          <cell r="B110">
            <v>2011</v>
          </cell>
          <cell r="C110" t="str">
            <v>OTHER</v>
          </cell>
          <cell r="K110">
            <v>209.81733355425601</v>
          </cell>
          <cell r="L110">
            <v>256.44340767742403</v>
          </cell>
          <cell r="O110">
            <v>1</v>
          </cell>
          <cell r="P110">
            <v>1</v>
          </cell>
          <cell r="Q110">
            <v>2</v>
          </cell>
          <cell r="R110">
            <v>2</v>
          </cell>
          <cell r="S110">
            <v>2</v>
          </cell>
        </row>
        <row r="111">
          <cell r="B111">
            <v>2011</v>
          </cell>
          <cell r="C111" t="str">
            <v>PA</v>
          </cell>
          <cell r="K111">
            <v>280.47351795825369</v>
          </cell>
          <cell r="L111">
            <v>342.80096639342116</v>
          </cell>
          <cell r="O111">
            <v>1</v>
          </cell>
          <cell r="P111">
            <v>1</v>
          </cell>
          <cell r="Q111">
            <v>2</v>
          </cell>
          <cell r="R111">
            <v>2</v>
          </cell>
          <cell r="S111">
            <v>2</v>
          </cell>
        </row>
        <row r="112">
          <cell r="B112">
            <v>2011</v>
          </cell>
          <cell r="C112" t="str">
            <v>PET</v>
          </cell>
          <cell r="K112">
            <v>1255.6099534356335</v>
          </cell>
          <cell r="L112">
            <v>1534.6343875324412</v>
          </cell>
          <cell r="O112">
            <v>1</v>
          </cell>
          <cell r="P112">
            <v>1</v>
          </cell>
          <cell r="Q112">
            <v>2</v>
          </cell>
          <cell r="R112">
            <v>2</v>
          </cell>
          <cell r="S112">
            <v>2</v>
          </cell>
        </row>
        <row r="113">
          <cell r="B113">
            <v>2011</v>
          </cell>
          <cell r="C113" t="str">
            <v>PUR</v>
          </cell>
          <cell r="K113">
            <v>152.60514814044893</v>
          </cell>
          <cell r="L113">
            <v>186.51740328277091</v>
          </cell>
          <cell r="O113">
            <v>1</v>
          </cell>
          <cell r="P113">
            <v>1</v>
          </cell>
          <cell r="Q113">
            <v>2</v>
          </cell>
          <cell r="R113">
            <v>2</v>
          </cell>
          <cell r="S113">
            <v>2</v>
          </cell>
        </row>
        <row r="114">
          <cell r="B114">
            <v>2011</v>
          </cell>
          <cell r="C114" t="str">
            <v>PVC</v>
          </cell>
          <cell r="K114">
            <v>99.107873413830859</v>
          </cell>
          <cell r="L114">
            <v>121.13184528357107</v>
          </cell>
          <cell r="O114">
            <v>1</v>
          </cell>
          <cell r="P114">
            <v>1</v>
          </cell>
          <cell r="Q114">
            <v>2</v>
          </cell>
          <cell r="R114">
            <v>2</v>
          </cell>
          <cell r="S114">
            <v>2</v>
          </cell>
        </row>
        <row r="115">
          <cell r="B115">
            <v>2011</v>
          </cell>
          <cell r="C115" t="str">
            <v>RUBBER</v>
          </cell>
          <cell r="K115">
            <v>215.80381803166551</v>
          </cell>
          <cell r="L115">
            <v>263.7602220387023</v>
          </cell>
          <cell r="O115">
            <v>1</v>
          </cell>
          <cell r="P115">
            <v>1</v>
          </cell>
          <cell r="Q115">
            <v>2</v>
          </cell>
          <cell r="R115">
            <v>2</v>
          </cell>
          <cell r="S115">
            <v>2</v>
          </cell>
        </row>
        <row r="116">
          <cell r="B116">
            <v>2012</v>
          </cell>
          <cell r="C116" t="str">
            <v>Acryl</v>
          </cell>
          <cell r="K116">
            <v>95.679475975761164</v>
          </cell>
          <cell r="L116">
            <v>116.94158174815253</v>
          </cell>
          <cell r="O116">
            <v>1</v>
          </cell>
          <cell r="P116">
            <v>1</v>
          </cell>
          <cell r="Q116">
            <v>2</v>
          </cell>
          <cell r="R116">
            <v>2</v>
          </cell>
          <cell r="S116">
            <v>2</v>
          </cell>
        </row>
        <row r="117">
          <cell r="B117">
            <v>2012</v>
          </cell>
          <cell r="C117" t="str">
            <v>OTHER</v>
          </cell>
          <cell r="K117">
            <v>165.87520937884773</v>
          </cell>
          <cell r="L117">
            <v>202.73636701859166</v>
          </cell>
          <cell r="O117">
            <v>1</v>
          </cell>
          <cell r="P117">
            <v>1</v>
          </cell>
          <cell r="Q117">
            <v>2</v>
          </cell>
          <cell r="R117">
            <v>2</v>
          </cell>
          <cell r="S117">
            <v>2</v>
          </cell>
        </row>
        <row r="118">
          <cell r="B118">
            <v>2012</v>
          </cell>
          <cell r="C118" t="str">
            <v>PA</v>
          </cell>
          <cell r="K118">
            <v>203.80363075095224</v>
          </cell>
          <cell r="L118">
            <v>249.09332647338607</v>
          </cell>
          <cell r="O118">
            <v>1</v>
          </cell>
          <cell r="P118">
            <v>1</v>
          </cell>
          <cell r="Q118">
            <v>2</v>
          </cell>
          <cell r="R118">
            <v>2</v>
          </cell>
          <cell r="S118">
            <v>2</v>
          </cell>
        </row>
        <row r="119">
          <cell r="B119">
            <v>2012</v>
          </cell>
          <cell r="C119" t="str">
            <v>PET</v>
          </cell>
          <cell r="K119">
            <v>1074.6175373409505</v>
          </cell>
          <cell r="L119">
            <v>1313.4214345278285</v>
          </cell>
          <cell r="O119">
            <v>1</v>
          </cell>
          <cell r="P119">
            <v>1</v>
          </cell>
          <cell r="Q119">
            <v>2</v>
          </cell>
          <cell r="R119">
            <v>2</v>
          </cell>
          <cell r="S119">
            <v>2</v>
          </cell>
        </row>
        <row r="120">
          <cell r="B120">
            <v>2012</v>
          </cell>
          <cell r="C120" t="str">
            <v>PUR</v>
          </cell>
          <cell r="K120">
            <v>136.00551465713366</v>
          </cell>
          <cell r="L120">
            <v>166.22896235871892</v>
          </cell>
          <cell r="O120">
            <v>1</v>
          </cell>
          <cell r="P120">
            <v>1</v>
          </cell>
          <cell r="Q120">
            <v>2</v>
          </cell>
          <cell r="R120">
            <v>2</v>
          </cell>
          <cell r="S120">
            <v>2</v>
          </cell>
        </row>
        <row r="121">
          <cell r="B121">
            <v>2012</v>
          </cell>
          <cell r="C121" t="str">
            <v>PVC</v>
          </cell>
          <cell r="K121">
            <v>87.815772141648651</v>
          </cell>
          <cell r="L121">
            <v>107.33038817312612</v>
          </cell>
          <cell r="O121">
            <v>1</v>
          </cell>
          <cell r="P121">
            <v>1</v>
          </cell>
          <cell r="Q121">
            <v>2</v>
          </cell>
          <cell r="R121">
            <v>2</v>
          </cell>
          <cell r="S121">
            <v>2</v>
          </cell>
        </row>
        <row r="122">
          <cell r="B122">
            <v>2012</v>
          </cell>
          <cell r="C122" t="str">
            <v>RUBBER</v>
          </cell>
          <cell r="K122">
            <v>186.02629325631176</v>
          </cell>
          <cell r="L122">
            <v>227.36546953549217</v>
          </cell>
          <cell r="O122">
            <v>1</v>
          </cell>
          <cell r="P122">
            <v>1</v>
          </cell>
          <cell r="Q122">
            <v>2</v>
          </cell>
          <cell r="R122">
            <v>2</v>
          </cell>
          <cell r="S122">
            <v>2</v>
          </cell>
        </row>
        <row r="123">
          <cell r="B123">
            <v>2013</v>
          </cell>
          <cell r="C123" t="str">
            <v>Acryl</v>
          </cell>
          <cell r="K123">
            <v>101.37217451932561</v>
          </cell>
          <cell r="L123">
            <v>123.89932441250909</v>
          </cell>
          <cell r="O123">
            <v>1</v>
          </cell>
          <cell r="P123">
            <v>1</v>
          </cell>
          <cell r="Q123">
            <v>2</v>
          </cell>
          <cell r="R123">
            <v>2</v>
          </cell>
          <cell r="S123">
            <v>2</v>
          </cell>
        </row>
        <row r="124">
          <cell r="B124">
            <v>2013</v>
          </cell>
          <cell r="C124" t="str">
            <v>OTHER</v>
          </cell>
          <cell r="K124">
            <v>172.72011454363258</v>
          </cell>
          <cell r="L124">
            <v>211.1023622199954</v>
          </cell>
          <cell r="O124">
            <v>1</v>
          </cell>
          <cell r="P124">
            <v>1</v>
          </cell>
          <cell r="Q124">
            <v>2</v>
          </cell>
          <cell r="R124">
            <v>2</v>
          </cell>
          <cell r="S124">
            <v>2</v>
          </cell>
        </row>
        <row r="125">
          <cell r="B125">
            <v>2013</v>
          </cell>
          <cell r="C125" t="str">
            <v>PA</v>
          </cell>
          <cell r="K125">
            <v>213.02135330109527</v>
          </cell>
          <cell r="L125">
            <v>260.35943181244977</v>
          </cell>
          <cell r="O125">
            <v>1</v>
          </cell>
          <cell r="P125">
            <v>1</v>
          </cell>
          <cell r="Q125">
            <v>2</v>
          </cell>
          <cell r="R125">
            <v>2</v>
          </cell>
          <cell r="S125">
            <v>2</v>
          </cell>
        </row>
        <row r="126">
          <cell r="B126">
            <v>2013</v>
          </cell>
          <cell r="C126" t="str">
            <v>PET</v>
          </cell>
          <cell r="K126">
            <v>1129.5225554743433</v>
          </cell>
          <cell r="L126">
            <v>1380.5275678019752</v>
          </cell>
          <cell r="O126">
            <v>1</v>
          </cell>
          <cell r="P126">
            <v>1</v>
          </cell>
          <cell r="Q126">
            <v>2</v>
          </cell>
          <cell r="R126">
            <v>2</v>
          </cell>
          <cell r="S126">
            <v>2</v>
          </cell>
        </row>
        <row r="127">
          <cell r="B127">
            <v>2013</v>
          </cell>
          <cell r="C127" t="str">
            <v>PUR</v>
          </cell>
          <cell r="K127">
            <v>139.32868413165403</v>
          </cell>
          <cell r="L127">
            <v>170.29061393868827</v>
          </cell>
          <cell r="O127">
            <v>1</v>
          </cell>
          <cell r="P127">
            <v>1</v>
          </cell>
          <cell r="Q127">
            <v>2</v>
          </cell>
          <cell r="R127">
            <v>2</v>
          </cell>
          <cell r="S127">
            <v>2</v>
          </cell>
        </row>
        <row r="128">
          <cell r="B128">
            <v>2013</v>
          </cell>
          <cell r="C128" t="str">
            <v>PVC</v>
          </cell>
          <cell r="K128">
            <v>90.048788857326286</v>
          </cell>
          <cell r="L128">
            <v>110.05963082562103</v>
          </cell>
          <cell r="O128">
            <v>1</v>
          </cell>
          <cell r="P128">
            <v>1</v>
          </cell>
          <cell r="Q128">
            <v>2</v>
          </cell>
          <cell r="R128">
            <v>2</v>
          </cell>
          <cell r="S128">
            <v>2</v>
          </cell>
        </row>
        <row r="129">
          <cell r="B129">
            <v>2013</v>
          </cell>
          <cell r="C129" t="str">
            <v>RUBBER</v>
          </cell>
          <cell r="K129">
            <v>191.98337676717932</v>
          </cell>
          <cell r="L129">
            <v>234.64634938210807</v>
          </cell>
          <cell r="O129">
            <v>1</v>
          </cell>
          <cell r="P129">
            <v>1</v>
          </cell>
          <cell r="Q129">
            <v>2</v>
          </cell>
          <cell r="R129">
            <v>2</v>
          </cell>
          <cell r="S129">
            <v>2</v>
          </cell>
        </row>
        <row r="130">
          <cell r="B130">
            <v>2014</v>
          </cell>
          <cell r="C130" t="str">
            <v>Acryl</v>
          </cell>
          <cell r="K130">
            <v>114.60964804554116</v>
          </cell>
          <cell r="L130">
            <v>140.07845872232809</v>
          </cell>
          <cell r="O130">
            <v>1</v>
          </cell>
          <cell r="P130">
            <v>1</v>
          </cell>
          <cell r="Q130">
            <v>2</v>
          </cell>
          <cell r="R130">
            <v>2</v>
          </cell>
          <cell r="S130">
            <v>2</v>
          </cell>
        </row>
        <row r="131">
          <cell r="B131">
            <v>2014</v>
          </cell>
          <cell r="C131" t="str">
            <v>OTHER</v>
          </cell>
          <cell r="K131">
            <v>190.75321928450364</v>
          </cell>
          <cell r="L131">
            <v>233.14282356994889</v>
          </cell>
          <cell r="O131">
            <v>1</v>
          </cell>
          <cell r="P131">
            <v>1</v>
          </cell>
          <cell r="Q131">
            <v>2</v>
          </cell>
          <cell r="R131">
            <v>2</v>
          </cell>
          <cell r="S131">
            <v>2</v>
          </cell>
        </row>
        <row r="132">
          <cell r="B132">
            <v>2014</v>
          </cell>
          <cell r="C132" t="str">
            <v>PA</v>
          </cell>
          <cell r="K132">
            <v>234.78523689282349</v>
          </cell>
          <cell r="L132">
            <v>286.95973398011762</v>
          </cell>
          <cell r="O132">
            <v>1</v>
          </cell>
          <cell r="P132">
            <v>1</v>
          </cell>
          <cell r="Q132">
            <v>2</v>
          </cell>
          <cell r="R132">
            <v>2</v>
          </cell>
          <cell r="S132">
            <v>2</v>
          </cell>
        </row>
        <row r="133">
          <cell r="B133">
            <v>2014</v>
          </cell>
          <cell r="C133" t="str">
            <v>PET</v>
          </cell>
          <cell r="K133">
            <v>1237.8019722043498</v>
          </cell>
          <cell r="L133">
            <v>1512.8690771386498</v>
          </cell>
          <cell r="O133">
            <v>1</v>
          </cell>
          <cell r="P133">
            <v>1</v>
          </cell>
          <cell r="Q133">
            <v>2</v>
          </cell>
          <cell r="R133">
            <v>2</v>
          </cell>
          <cell r="S133">
            <v>2</v>
          </cell>
        </row>
        <row r="134">
          <cell r="B134">
            <v>2014</v>
          </cell>
          <cell r="C134" t="str">
            <v>PUR</v>
          </cell>
          <cell r="K134">
            <v>151.55793255507916</v>
          </cell>
          <cell r="L134">
            <v>185.23747312287455</v>
          </cell>
          <cell r="O134">
            <v>1</v>
          </cell>
          <cell r="P134">
            <v>1</v>
          </cell>
          <cell r="Q134">
            <v>2</v>
          </cell>
          <cell r="R134">
            <v>2</v>
          </cell>
          <cell r="S134">
            <v>2</v>
          </cell>
        </row>
        <row r="135">
          <cell r="B135">
            <v>2014</v>
          </cell>
          <cell r="C135" t="str">
            <v>PVC</v>
          </cell>
          <cell r="K135">
            <v>97.987899486336815</v>
          </cell>
          <cell r="L135">
            <v>119.76298826107833</v>
          </cell>
          <cell r="O135">
            <v>1</v>
          </cell>
          <cell r="P135">
            <v>1</v>
          </cell>
          <cell r="Q135">
            <v>2</v>
          </cell>
          <cell r="R135">
            <v>2</v>
          </cell>
          <cell r="S135">
            <v>2</v>
          </cell>
        </row>
        <row r="136">
          <cell r="B136">
            <v>2014</v>
          </cell>
          <cell r="C136" t="str">
            <v>RUBBER</v>
          </cell>
          <cell r="K136">
            <v>208.23906228848693</v>
          </cell>
          <cell r="L136">
            <v>254.51440946370624</v>
          </cell>
          <cell r="O136">
            <v>1</v>
          </cell>
          <cell r="P136">
            <v>1</v>
          </cell>
          <cell r="Q136">
            <v>2</v>
          </cell>
          <cell r="R136">
            <v>2</v>
          </cell>
          <cell r="S136">
            <v>2</v>
          </cell>
        </row>
        <row r="137">
          <cell r="B137">
            <v>2015</v>
          </cell>
          <cell r="C137" t="str">
            <v>Acryl</v>
          </cell>
          <cell r="K137">
            <v>107.03086293533588</v>
          </cell>
          <cell r="L137">
            <v>130.8154991431883</v>
          </cell>
          <cell r="O137">
            <v>1</v>
          </cell>
          <cell r="P137">
            <v>1</v>
          </cell>
          <cell r="Q137">
            <v>2</v>
          </cell>
          <cell r="R137">
            <v>2</v>
          </cell>
          <cell r="S137">
            <v>2</v>
          </cell>
        </row>
        <row r="138">
          <cell r="B138">
            <v>2015</v>
          </cell>
          <cell r="C138" t="str">
            <v>OTHER</v>
          </cell>
          <cell r="K138">
            <v>172.59820103270866</v>
          </cell>
          <cell r="L138">
            <v>210.95335681775504</v>
          </cell>
          <cell r="O138">
            <v>1</v>
          </cell>
          <cell r="P138">
            <v>1</v>
          </cell>
          <cell r="Q138">
            <v>2</v>
          </cell>
          <cell r="R138">
            <v>2</v>
          </cell>
          <cell r="S138">
            <v>2</v>
          </cell>
        </row>
        <row r="139">
          <cell r="B139">
            <v>2015</v>
          </cell>
          <cell r="C139" t="str">
            <v>PA</v>
          </cell>
          <cell r="K139">
            <v>221.28909889497507</v>
          </cell>
          <cell r="L139">
            <v>270.46445420496957</v>
          </cell>
          <cell r="O139">
            <v>1</v>
          </cell>
          <cell r="P139">
            <v>1</v>
          </cell>
          <cell r="Q139">
            <v>2</v>
          </cell>
          <cell r="R139">
            <v>2</v>
          </cell>
          <cell r="S139">
            <v>2</v>
          </cell>
        </row>
        <row r="140">
          <cell r="B140">
            <v>2015</v>
          </cell>
          <cell r="C140" t="str">
            <v>PET</v>
          </cell>
          <cell r="K140">
            <v>1175.1946983691003</v>
          </cell>
          <cell r="L140">
            <v>1436.3490757844561</v>
          </cell>
          <cell r="O140">
            <v>1</v>
          </cell>
          <cell r="P140">
            <v>1</v>
          </cell>
          <cell r="Q140">
            <v>2</v>
          </cell>
          <cell r="R140">
            <v>2</v>
          </cell>
          <cell r="S140">
            <v>2</v>
          </cell>
        </row>
        <row r="141">
          <cell r="B141">
            <v>2015</v>
          </cell>
          <cell r="C141" t="str">
            <v>PUR</v>
          </cell>
          <cell r="K141">
            <v>143.54856737159724</v>
          </cell>
          <cell r="L141">
            <v>175.44824900972998</v>
          </cell>
          <cell r="O141">
            <v>1</v>
          </cell>
          <cell r="P141">
            <v>1</v>
          </cell>
          <cell r="Q141">
            <v>2</v>
          </cell>
          <cell r="R141">
            <v>2</v>
          </cell>
          <cell r="S141">
            <v>2</v>
          </cell>
        </row>
        <row r="142">
          <cell r="B142">
            <v>2015</v>
          </cell>
          <cell r="C142" t="str">
            <v>PVC</v>
          </cell>
          <cell r="K142">
            <v>92.333783098464409</v>
          </cell>
          <cell r="L142">
            <v>112.85240156478984</v>
          </cell>
          <cell r="O142">
            <v>1</v>
          </cell>
          <cell r="P142">
            <v>1</v>
          </cell>
          <cell r="Q142">
            <v>2</v>
          </cell>
          <cell r="R142">
            <v>2</v>
          </cell>
          <cell r="S142">
            <v>2</v>
          </cell>
        </row>
        <row r="143">
          <cell r="B143">
            <v>2015</v>
          </cell>
          <cell r="C143" t="str">
            <v>RUBBER</v>
          </cell>
          <cell r="K143">
            <v>190.87933040780692</v>
          </cell>
          <cell r="L143">
            <v>233.29695938731959</v>
          </cell>
          <cell r="O143">
            <v>1</v>
          </cell>
          <cell r="P143">
            <v>1</v>
          </cell>
          <cell r="Q143">
            <v>2</v>
          </cell>
          <cell r="R143">
            <v>2</v>
          </cell>
          <cell r="S143">
            <v>2</v>
          </cell>
        </row>
        <row r="144">
          <cell r="B144">
            <v>2016</v>
          </cell>
          <cell r="C144" t="str">
            <v>Acryl</v>
          </cell>
          <cell r="K144">
            <v>111.6723129886563</v>
          </cell>
          <cell r="L144">
            <v>136.48838254169104</v>
          </cell>
          <cell r="O144">
            <v>1</v>
          </cell>
          <cell r="P144">
            <v>1</v>
          </cell>
          <cell r="Q144">
            <v>2</v>
          </cell>
          <cell r="R144">
            <v>2</v>
          </cell>
          <cell r="S144">
            <v>2</v>
          </cell>
        </row>
        <row r="145">
          <cell r="B145">
            <v>2016</v>
          </cell>
          <cell r="C145" t="str">
            <v>OTHER</v>
          </cell>
          <cell r="K145">
            <v>172.89598699386963</v>
          </cell>
          <cell r="L145">
            <v>211.31731743695178</v>
          </cell>
          <cell r="O145">
            <v>1</v>
          </cell>
          <cell r="P145">
            <v>1</v>
          </cell>
          <cell r="Q145">
            <v>2</v>
          </cell>
          <cell r="R145">
            <v>2</v>
          </cell>
          <cell r="S145">
            <v>2</v>
          </cell>
        </row>
        <row r="146">
          <cell r="B146">
            <v>2016</v>
          </cell>
          <cell r="C146" t="str">
            <v>PA</v>
          </cell>
          <cell r="K146">
            <v>230.42517837354072</v>
          </cell>
          <cell r="L146">
            <v>281.63077356766087</v>
          </cell>
          <cell r="O146">
            <v>1</v>
          </cell>
          <cell r="P146">
            <v>1</v>
          </cell>
          <cell r="Q146">
            <v>2</v>
          </cell>
          <cell r="R146">
            <v>2</v>
          </cell>
          <cell r="S146">
            <v>2</v>
          </cell>
        </row>
        <row r="147">
          <cell r="B147">
            <v>2016</v>
          </cell>
          <cell r="C147" t="str">
            <v>PET</v>
          </cell>
          <cell r="K147">
            <v>1215.7818340634547</v>
          </cell>
          <cell r="L147">
            <v>1485.9555749664446</v>
          </cell>
          <cell r="O147">
            <v>1</v>
          </cell>
          <cell r="P147">
            <v>1</v>
          </cell>
          <cell r="Q147">
            <v>2</v>
          </cell>
          <cell r="R147">
            <v>2</v>
          </cell>
          <cell r="S147">
            <v>2</v>
          </cell>
        </row>
        <row r="148">
          <cell r="B148">
            <v>2016</v>
          </cell>
          <cell r="C148" t="str">
            <v>PUR</v>
          </cell>
          <cell r="K148">
            <v>141.48615135444686</v>
          </cell>
          <cell r="L148">
            <v>172.92751832210172</v>
          </cell>
          <cell r="O148">
            <v>1</v>
          </cell>
          <cell r="P148">
            <v>1</v>
          </cell>
          <cell r="Q148">
            <v>2</v>
          </cell>
          <cell r="R148">
            <v>2</v>
          </cell>
          <cell r="S148">
            <v>2</v>
          </cell>
        </row>
        <row r="149">
          <cell r="B149">
            <v>2016</v>
          </cell>
          <cell r="C149" t="str">
            <v>PVC</v>
          </cell>
          <cell r="K149">
            <v>90.958735185302729</v>
          </cell>
          <cell r="L149">
            <v>111.17178744870334</v>
          </cell>
          <cell r="O149">
            <v>1</v>
          </cell>
          <cell r="P149">
            <v>1</v>
          </cell>
          <cell r="Q149">
            <v>2</v>
          </cell>
          <cell r="R149">
            <v>2</v>
          </cell>
          <cell r="S149">
            <v>2</v>
          </cell>
        </row>
        <row r="150">
          <cell r="B150">
            <v>2016</v>
          </cell>
          <cell r="C150" t="str">
            <v>RUBBER</v>
          </cell>
          <cell r="K150">
            <v>187.48697148510038</v>
          </cell>
          <cell r="L150">
            <v>229.15074292623382</v>
          </cell>
          <cell r="O150">
            <v>1</v>
          </cell>
          <cell r="P150">
            <v>1</v>
          </cell>
          <cell r="Q150">
            <v>2</v>
          </cell>
          <cell r="R150">
            <v>2</v>
          </cell>
          <cell r="S150">
            <v>2</v>
          </cell>
        </row>
        <row r="151">
          <cell r="B151">
            <v>2017</v>
          </cell>
          <cell r="C151" t="str">
            <v>Acryl</v>
          </cell>
          <cell r="K151">
            <v>117.21644909596564</v>
          </cell>
          <cell r="L151">
            <v>143.26454889506914</v>
          </cell>
          <cell r="O151">
            <v>1</v>
          </cell>
          <cell r="P151">
            <v>1</v>
          </cell>
          <cell r="Q151">
            <v>2</v>
          </cell>
          <cell r="R151">
            <v>2</v>
          </cell>
          <cell r="S151">
            <v>2</v>
          </cell>
        </row>
        <row r="152">
          <cell r="B152">
            <v>2017</v>
          </cell>
          <cell r="C152" t="str">
            <v>OTHER</v>
          </cell>
          <cell r="K152">
            <v>181.5643065133624</v>
          </cell>
          <cell r="L152">
            <v>221.91193018299847</v>
          </cell>
          <cell r="O152">
            <v>1</v>
          </cell>
          <cell r="P152">
            <v>1</v>
          </cell>
          <cell r="Q152">
            <v>2</v>
          </cell>
          <cell r="R152">
            <v>2</v>
          </cell>
          <cell r="S152">
            <v>2</v>
          </cell>
        </row>
        <row r="153">
          <cell r="B153">
            <v>2017</v>
          </cell>
          <cell r="C153" t="str">
            <v>PA</v>
          </cell>
          <cell r="K153">
            <v>241.68568640267645</v>
          </cell>
          <cell r="L153">
            <v>295.39361671438235</v>
          </cell>
          <cell r="O153">
            <v>1</v>
          </cell>
          <cell r="P153">
            <v>1</v>
          </cell>
          <cell r="Q153">
            <v>2</v>
          </cell>
          <cell r="R153">
            <v>2</v>
          </cell>
          <cell r="S153">
            <v>2</v>
          </cell>
        </row>
        <row r="154">
          <cell r="B154">
            <v>2017</v>
          </cell>
          <cell r="C154" t="str">
            <v>PET</v>
          </cell>
          <cell r="K154">
            <v>1260.3782346850405</v>
          </cell>
          <cell r="L154">
            <v>1540.4622868372717</v>
          </cell>
          <cell r="O154">
            <v>1</v>
          </cell>
          <cell r="P154">
            <v>1</v>
          </cell>
          <cell r="Q154">
            <v>2</v>
          </cell>
          <cell r="R154">
            <v>2</v>
          </cell>
          <cell r="S154">
            <v>2</v>
          </cell>
        </row>
        <row r="155">
          <cell r="B155">
            <v>2017</v>
          </cell>
          <cell r="C155" t="str">
            <v>PUR</v>
          </cell>
          <cell r="K155">
            <v>147.4829835861708</v>
          </cell>
          <cell r="L155">
            <v>180.25697993865322</v>
          </cell>
          <cell r="O155">
            <v>1</v>
          </cell>
          <cell r="P155">
            <v>1</v>
          </cell>
          <cell r="Q155">
            <v>2</v>
          </cell>
          <cell r="R155">
            <v>2</v>
          </cell>
          <cell r="S155">
            <v>2</v>
          </cell>
        </row>
        <row r="156">
          <cell r="B156">
            <v>2017</v>
          </cell>
          <cell r="C156" t="str">
            <v>PVC</v>
          </cell>
          <cell r="K156">
            <v>94.900427986266862</v>
          </cell>
          <cell r="L156">
            <v>115.98941198321505</v>
          </cell>
          <cell r="O156">
            <v>1</v>
          </cell>
          <cell r="P156">
            <v>1</v>
          </cell>
          <cell r="Q156">
            <v>2</v>
          </cell>
          <cell r="R156">
            <v>2</v>
          </cell>
          <cell r="S156">
            <v>2</v>
          </cell>
        </row>
        <row r="157">
          <cell r="B157">
            <v>2017</v>
          </cell>
          <cell r="C157" t="str">
            <v>RUBBER</v>
          </cell>
          <cell r="K157">
            <v>196.69152581052009</v>
          </cell>
          <cell r="L157">
            <v>240.40075376841347</v>
          </cell>
          <cell r="O157">
            <v>1</v>
          </cell>
          <cell r="P157">
            <v>1</v>
          </cell>
          <cell r="Q157">
            <v>2</v>
          </cell>
          <cell r="R157">
            <v>2</v>
          </cell>
          <cell r="S157">
            <v>2</v>
          </cell>
        </row>
        <row r="158">
          <cell r="B158">
            <v>2018</v>
          </cell>
          <cell r="C158" t="str">
            <v>Acryl</v>
          </cell>
          <cell r="K158">
            <v>129.1984027866045</v>
          </cell>
          <cell r="L158">
            <v>157.9091589614055</v>
          </cell>
          <cell r="O158">
            <v>1</v>
          </cell>
          <cell r="P158">
            <v>1</v>
          </cell>
          <cell r="Q158">
            <v>2</v>
          </cell>
          <cell r="R158">
            <v>2</v>
          </cell>
          <cell r="S158">
            <v>2</v>
          </cell>
        </row>
        <row r="159">
          <cell r="B159">
            <v>2018</v>
          </cell>
          <cell r="C159" t="str">
            <v>OTHER</v>
          </cell>
          <cell r="K159">
            <v>208.41061381929524</v>
          </cell>
          <cell r="L159">
            <v>254.72408355691644</v>
          </cell>
          <cell r="O159">
            <v>1</v>
          </cell>
          <cell r="P159">
            <v>1</v>
          </cell>
          <cell r="Q159">
            <v>2</v>
          </cell>
          <cell r="R159">
            <v>2</v>
          </cell>
          <cell r="S159">
            <v>2</v>
          </cell>
        </row>
        <row r="160">
          <cell r="B160">
            <v>2018</v>
          </cell>
          <cell r="C160" t="str">
            <v>PA</v>
          </cell>
          <cell r="K160">
            <v>272.41057670050481</v>
          </cell>
          <cell r="L160">
            <v>332.94626041172813</v>
          </cell>
          <cell r="O160">
            <v>1</v>
          </cell>
          <cell r="P160">
            <v>1</v>
          </cell>
          <cell r="Q160">
            <v>2</v>
          </cell>
          <cell r="R160">
            <v>2</v>
          </cell>
          <cell r="S160">
            <v>2</v>
          </cell>
        </row>
        <row r="161">
          <cell r="B161">
            <v>2018</v>
          </cell>
          <cell r="C161" t="str">
            <v>PET</v>
          </cell>
          <cell r="K161">
            <v>1396.6419779793355</v>
          </cell>
          <cell r="L161">
            <v>1707.0068619747433</v>
          </cell>
          <cell r="O161">
            <v>1</v>
          </cell>
          <cell r="P161">
            <v>1</v>
          </cell>
          <cell r="Q161">
            <v>2</v>
          </cell>
          <cell r="R161">
            <v>2</v>
          </cell>
          <cell r="S161">
            <v>2</v>
          </cell>
        </row>
        <row r="162">
          <cell r="B162">
            <v>2018</v>
          </cell>
          <cell r="C162" t="str">
            <v>PUR</v>
          </cell>
          <cell r="K162">
            <v>156.03206073115211</v>
          </cell>
          <cell r="L162">
            <v>190.7058520047415</v>
          </cell>
          <cell r="O162">
            <v>1</v>
          </cell>
          <cell r="P162">
            <v>1</v>
          </cell>
          <cell r="Q162">
            <v>2</v>
          </cell>
          <cell r="R162">
            <v>2</v>
          </cell>
          <cell r="S162">
            <v>2</v>
          </cell>
        </row>
        <row r="163">
          <cell r="B163">
            <v>2018</v>
          </cell>
          <cell r="C163" t="str">
            <v>PVC</v>
          </cell>
          <cell r="K163">
            <v>101.03765793704395</v>
          </cell>
          <cell r="L163">
            <v>123.49047081194261</v>
          </cell>
          <cell r="O163">
            <v>1</v>
          </cell>
          <cell r="P163">
            <v>1</v>
          </cell>
          <cell r="Q163">
            <v>2</v>
          </cell>
          <cell r="R163">
            <v>2</v>
          </cell>
          <cell r="S163">
            <v>2</v>
          </cell>
        </row>
        <row r="164">
          <cell r="B164">
            <v>2018</v>
          </cell>
          <cell r="C164" t="str">
            <v>RUBBER</v>
          </cell>
          <cell r="K164">
            <v>216.56189812521248</v>
          </cell>
          <cell r="L164">
            <v>264.68676437525971</v>
          </cell>
          <cell r="O164">
            <v>1</v>
          </cell>
          <cell r="P164">
            <v>1</v>
          </cell>
          <cell r="Q164">
            <v>2</v>
          </cell>
          <cell r="R164">
            <v>2</v>
          </cell>
          <cell r="S164">
            <v>2</v>
          </cell>
        </row>
        <row r="165">
          <cell r="B165">
            <v>2019</v>
          </cell>
          <cell r="C165" t="str">
            <v>Acryl</v>
          </cell>
          <cell r="K165">
            <v>124.75484124151612</v>
          </cell>
          <cell r="L165">
            <v>152.47813929518637</v>
          </cell>
          <cell r="O165">
            <v>1</v>
          </cell>
          <cell r="P165">
            <v>1</v>
          </cell>
          <cell r="Q165">
            <v>2</v>
          </cell>
          <cell r="R165">
            <v>2</v>
          </cell>
          <cell r="S165">
            <v>2</v>
          </cell>
        </row>
        <row r="166">
          <cell r="B166">
            <v>2019</v>
          </cell>
          <cell r="C166" t="str">
            <v>OTHER</v>
          </cell>
          <cell r="K166">
            <v>204.69046301822823</v>
          </cell>
          <cell r="L166">
            <v>250.17723257783453</v>
          </cell>
          <cell r="O166">
            <v>1</v>
          </cell>
          <cell r="P166">
            <v>1</v>
          </cell>
          <cell r="Q166">
            <v>2</v>
          </cell>
          <cell r="R166">
            <v>2</v>
          </cell>
          <cell r="S166">
            <v>2</v>
          </cell>
        </row>
        <row r="167">
          <cell r="B167">
            <v>2019</v>
          </cell>
          <cell r="C167" t="str">
            <v>PA</v>
          </cell>
          <cell r="K167">
            <v>264.6248485397233</v>
          </cell>
          <cell r="L167">
            <v>323.43037043743959</v>
          </cell>
          <cell r="O167">
            <v>1</v>
          </cell>
          <cell r="P167">
            <v>1</v>
          </cell>
          <cell r="Q167">
            <v>2</v>
          </cell>
          <cell r="R167">
            <v>2</v>
          </cell>
          <cell r="S167">
            <v>2</v>
          </cell>
        </row>
        <row r="168">
          <cell r="B168">
            <v>2019</v>
          </cell>
          <cell r="C168" t="str">
            <v>PET</v>
          </cell>
          <cell r="K168">
            <v>1358.6245419214561</v>
          </cell>
          <cell r="L168">
            <v>1660.5411067928908</v>
          </cell>
          <cell r="O168">
            <v>1</v>
          </cell>
          <cell r="P168">
            <v>1</v>
          </cell>
          <cell r="Q168">
            <v>2</v>
          </cell>
          <cell r="R168">
            <v>2</v>
          </cell>
          <cell r="S168">
            <v>2</v>
          </cell>
        </row>
        <row r="169">
          <cell r="B169">
            <v>2019</v>
          </cell>
          <cell r="C169" t="str">
            <v>PUR</v>
          </cell>
          <cell r="K169">
            <v>154.02339582210601</v>
          </cell>
          <cell r="L169">
            <v>188.25081711590735</v>
          </cell>
          <cell r="O169">
            <v>1</v>
          </cell>
          <cell r="P169">
            <v>1</v>
          </cell>
          <cell r="Q169">
            <v>2</v>
          </cell>
          <cell r="R169">
            <v>2</v>
          </cell>
          <cell r="S169">
            <v>2</v>
          </cell>
        </row>
        <row r="170">
          <cell r="B170">
            <v>2019</v>
          </cell>
          <cell r="C170" t="str">
            <v>PVC</v>
          </cell>
          <cell r="K170">
            <v>99.579580821781335</v>
          </cell>
          <cell r="L170">
            <v>121.70837655995497</v>
          </cell>
          <cell r="O170">
            <v>1</v>
          </cell>
          <cell r="P170">
            <v>1</v>
          </cell>
          <cell r="Q170">
            <v>2</v>
          </cell>
          <cell r="R170">
            <v>2</v>
          </cell>
          <cell r="S170">
            <v>2</v>
          </cell>
        </row>
        <row r="171">
          <cell r="B171">
            <v>2019</v>
          </cell>
          <cell r="C171" t="str">
            <v>RUBBER</v>
          </cell>
          <cell r="K171">
            <v>210.78190944042822</v>
          </cell>
          <cell r="L171">
            <v>257.62233376052342</v>
          </cell>
          <cell r="O171">
            <v>1</v>
          </cell>
          <cell r="P171">
            <v>1</v>
          </cell>
          <cell r="Q171">
            <v>2</v>
          </cell>
          <cell r="R171">
            <v>2</v>
          </cell>
          <cell r="S171">
            <v>2</v>
          </cell>
        </row>
        <row r="172">
          <cell r="B172">
            <v>2020</v>
          </cell>
          <cell r="C172" t="str">
            <v>Acryl</v>
          </cell>
          <cell r="K172">
            <v>102.37632480198386</v>
          </cell>
          <cell r="L172">
            <v>125.12661920242472</v>
          </cell>
          <cell r="O172">
            <v>1</v>
          </cell>
          <cell r="P172">
            <v>1</v>
          </cell>
          <cell r="Q172">
            <v>2</v>
          </cell>
          <cell r="R172">
            <v>2</v>
          </cell>
          <cell r="S172">
            <v>2</v>
          </cell>
        </row>
        <row r="173">
          <cell r="B173">
            <v>2020</v>
          </cell>
          <cell r="C173" t="str">
            <v>OTHER</v>
          </cell>
          <cell r="K173">
            <v>161.33301867575491</v>
          </cell>
          <cell r="L173">
            <v>197.18480060370047</v>
          </cell>
          <cell r="O173">
            <v>1</v>
          </cell>
          <cell r="P173">
            <v>1</v>
          </cell>
          <cell r="Q173">
            <v>2</v>
          </cell>
          <cell r="R173">
            <v>2</v>
          </cell>
          <cell r="S173">
            <v>2</v>
          </cell>
        </row>
        <row r="174">
          <cell r="B174">
            <v>2020</v>
          </cell>
          <cell r="C174" t="str">
            <v>PA</v>
          </cell>
          <cell r="K174">
            <v>213.63852657389151</v>
          </cell>
          <cell r="L174">
            <v>261.11375470142298</v>
          </cell>
          <cell r="O174">
            <v>1</v>
          </cell>
          <cell r="P174">
            <v>1</v>
          </cell>
          <cell r="Q174">
            <v>2</v>
          </cell>
          <cell r="R174">
            <v>2</v>
          </cell>
          <cell r="S174">
            <v>2</v>
          </cell>
        </row>
        <row r="175">
          <cell r="B175">
            <v>2020</v>
          </cell>
          <cell r="C175" t="str">
            <v>PET</v>
          </cell>
          <cell r="K175">
            <v>1075.5216512168049</v>
          </cell>
          <cell r="L175">
            <v>1314.526462598317</v>
          </cell>
          <cell r="O175">
            <v>1</v>
          </cell>
          <cell r="P175">
            <v>1</v>
          </cell>
          <cell r="Q175">
            <v>2</v>
          </cell>
          <cell r="R175">
            <v>2</v>
          </cell>
          <cell r="S175">
            <v>2</v>
          </cell>
        </row>
        <row r="176">
          <cell r="B176">
            <v>2020</v>
          </cell>
          <cell r="C176" t="str">
            <v>PUR</v>
          </cell>
          <cell r="K176">
            <v>123.30334174942438</v>
          </cell>
          <cell r="L176">
            <v>150.70408436040759</v>
          </cell>
          <cell r="O176">
            <v>1</v>
          </cell>
          <cell r="P176">
            <v>1</v>
          </cell>
          <cell r="Q176">
            <v>2</v>
          </cell>
          <cell r="R176">
            <v>2</v>
          </cell>
          <cell r="S176">
            <v>2</v>
          </cell>
        </row>
        <row r="177">
          <cell r="B177">
            <v>2020</v>
          </cell>
          <cell r="C177" t="str">
            <v>PVC</v>
          </cell>
          <cell r="K177">
            <v>79.407485617291172</v>
          </cell>
          <cell r="L177">
            <v>97.053593532244761</v>
          </cell>
          <cell r="O177">
            <v>1</v>
          </cell>
          <cell r="P177">
            <v>1</v>
          </cell>
          <cell r="Q177">
            <v>2</v>
          </cell>
          <cell r="R177">
            <v>2</v>
          </cell>
          <cell r="S177">
            <v>2</v>
          </cell>
        </row>
        <row r="178">
          <cell r="B178">
            <v>2020</v>
          </cell>
          <cell r="C178" t="str">
            <v>RUBBER</v>
          </cell>
          <cell r="K178">
            <v>163.97255709559889</v>
          </cell>
          <cell r="L178">
            <v>200.41090311684309</v>
          </cell>
          <cell r="O178">
            <v>1</v>
          </cell>
          <cell r="P178">
            <v>1</v>
          </cell>
          <cell r="Q178">
            <v>2</v>
          </cell>
          <cell r="R178">
            <v>2</v>
          </cell>
          <cell r="S178">
            <v>2</v>
          </cell>
        </row>
        <row r="179">
          <cell r="B179">
            <v>2021</v>
          </cell>
          <cell r="C179" t="str">
            <v>Acryl</v>
          </cell>
          <cell r="K179">
            <v>113.3251195172403</v>
          </cell>
          <cell r="L179">
            <v>138.50847940996036</v>
          </cell>
          <cell r="O179">
            <v>1</v>
          </cell>
          <cell r="P179">
            <v>1</v>
          </cell>
          <cell r="Q179">
            <v>2</v>
          </cell>
          <cell r="R179">
            <v>2</v>
          </cell>
          <cell r="S179">
            <v>2</v>
          </cell>
        </row>
        <row r="180">
          <cell r="B180">
            <v>2021</v>
          </cell>
          <cell r="C180" t="str">
            <v>OTHER</v>
          </cell>
          <cell r="K180">
            <v>169.80710057016137</v>
          </cell>
          <cell r="L180">
            <v>207.542011807975</v>
          </cell>
          <cell r="O180">
            <v>1</v>
          </cell>
          <cell r="P180">
            <v>1</v>
          </cell>
          <cell r="Q180">
            <v>2</v>
          </cell>
          <cell r="R180">
            <v>2</v>
          </cell>
          <cell r="S180">
            <v>2</v>
          </cell>
        </row>
        <row r="181">
          <cell r="B181">
            <v>2021</v>
          </cell>
          <cell r="C181" t="str">
            <v>PA</v>
          </cell>
          <cell r="K181">
            <v>235.40868887089127</v>
          </cell>
          <cell r="L181">
            <v>287.72173084220043</v>
          </cell>
          <cell r="O181">
            <v>1</v>
          </cell>
          <cell r="P181">
            <v>1</v>
          </cell>
          <cell r="Q181">
            <v>2</v>
          </cell>
          <cell r="R181">
            <v>2</v>
          </cell>
          <cell r="S181">
            <v>2</v>
          </cell>
        </row>
        <row r="182">
          <cell r="B182">
            <v>2021</v>
          </cell>
          <cell r="C182" t="str">
            <v>PET</v>
          </cell>
          <cell r="K182">
            <v>1165.0967021865949</v>
          </cell>
          <cell r="L182">
            <v>1424.0070804502827</v>
          </cell>
          <cell r="O182">
            <v>1</v>
          </cell>
          <cell r="P182">
            <v>1</v>
          </cell>
          <cell r="Q182">
            <v>2</v>
          </cell>
          <cell r="R182">
            <v>2</v>
          </cell>
          <cell r="S182">
            <v>2</v>
          </cell>
        </row>
        <row r="183">
          <cell r="B183">
            <v>2021</v>
          </cell>
          <cell r="C183" t="str">
            <v>PUR</v>
          </cell>
          <cell r="K183">
            <v>121.49018578342412</v>
          </cell>
          <cell r="L183">
            <v>148.48800484640728</v>
          </cell>
          <cell r="O183">
            <v>1</v>
          </cell>
          <cell r="P183">
            <v>1</v>
          </cell>
          <cell r="Q183">
            <v>2</v>
          </cell>
          <cell r="R183">
            <v>2</v>
          </cell>
          <cell r="S183">
            <v>2</v>
          </cell>
        </row>
        <row r="184">
          <cell r="B184">
            <v>2021</v>
          </cell>
          <cell r="C184" t="str">
            <v>PVC</v>
          </cell>
          <cell r="K184">
            <v>78.395132887155654</v>
          </cell>
          <cell r="L184">
            <v>95.81627352874581</v>
          </cell>
          <cell r="O184">
            <v>1</v>
          </cell>
          <cell r="P184">
            <v>1</v>
          </cell>
          <cell r="Q184">
            <v>2</v>
          </cell>
          <cell r="R184">
            <v>2</v>
          </cell>
          <cell r="S184">
            <v>2</v>
          </cell>
        </row>
        <row r="185">
          <cell r="B185">
            <v>2021</v>
          </cell>
          <cell r="C185" t="str">
            <v>RUBBER</v>
          </cell>
          <cell r="K185">
            <v>163.59652100912916</v>
          </cell>
          <cell r="L185">
            <v>199.95130345560233</v>
          </cell>
          <cell r="O185">
            <v>1</v>
          </cell>
          <cell r="P185">
            <v>1</v>
          </cell>
          <cell r="Q185">
            <v>2</v>
          </cell>
          <cell r="R185">
            <v>2</v>
          </cell>
          <cell r="S185">
            <v>2</v>
          </cell>
        </row>
        <row r="186">
          <cell r="B186">
            <v>2022</v>
          </cell>
          <cell r="C186" t="str">
            <v>Acryl</v>
          </cell>
          <cell r="K186">
            <v>141.02659951072633</v>
          </cell>
          <cell r="L186">
            <v>172.36584384644331</v>
          </cell>
          <cell r="O186">
            <v>1</v>
          </cell>
          <cell r="P186">
            <v>1</v>
          </cell>
          <cell r="Q186">
            <v>2</v>
          </cell>
          <cell r="R186">
            <v>2</v>
          </cell>
          <cell r="S186">
            <v>2</v>
          </cell>
        </row>
        <row r="187">
          <cell r="B187">
            <v>2022</v>
          </cell>
          <cell r="C187" t="str">
            <v>OTHER</v>
          </cell>
          <cell r="K187">
            <v>216.28637948109096</v>
          </cell>
          <cell r="L187">
            <v>264.35001936577788</v>
          </cell>
          <cell r="O187">
            <v>1</v>
          </cell>
          <cell r="P187">
            <v>1</v>
          </cell>
          <cell r="Q187">
            <v>2</v>
          </cell>
          <cell r="R187">
            <v>2</v>
          </cell>
          <cell r="S187">
            <v>2</v>
          </cell>
        </row>
        <row r="188">
          <cell r="B188">
            <v>2022</v>
          </cell>
          <cell r="C188" t="str">
            <v>PA</v>
          </cell>
          <cell r="K188">
            <v>292.25351751807887</v>
          </cell>
          <cell r="L188">
            <v>357.19874363320753</v>
          </cell>
          <cell r="O188">
            <v>1</v>
          </cell>
          <cell r="P188">
            <v>1</v>
          </cell>
          <cell r="Q188">
            <v>2</v>
          </cell>
          <cell r="R188">
            <v>2</v>
          </cell>
          <cell r="S188">
            <v>2</v>
          </cell>
        </row>
        <row r="189">
          <cell r="B189">
            <v>2022</v>
          </cell>
          <cell r="C189" t="str">
            <v>PET</v>
          </cell>
          <cell r="K189">
            <v>1453.0307605512528</v>
          </cell>
          <cell r="L189">
            <v>1775.9264851181979</v>
          </cell>
          <cell r="O189">
            <v>1</v>
          </cell>
          <cell r="P189">
            <v>1</v>
          </cell>
          <cell r="Q189">
            <v>2</v>
          </cell>
          <cell r="R189">
            <v>2</v>
          </cell>
          <cell r="S189">
            <v>2</v>
          </cell>
        </row>
        <row r="190">
          <cell r="B190">
            <v>2022</v>
          </cell>
          <cell r="C190" t="str">
            <v>PUR</v>
          </cell>
          <cell r="K190">
            <v>158.98860370720823</v>
          </cell>
          <cell r="L190">
            <v>194.31940453103229</v>
          </cell>
          <cell r="O190">
            <v>1</v>
          </cell>
          <cell r="P190">
            <v>1</v>
          </cell>
          <cell r="Q190">
            <v>2</v>
          </cell>
          <cell r="R190">
            <v>2</v>
          </cell>
          <cell r="S190">
            <v>2</v>
          </cell>
        </row>
        <row r="191">
          <cell r="B191">
            <v>2022</v>
          </cell>
          <cell r="C191" t="str">
            <v>PVC</v>
          </cell>
          <cell r="K191">
            <v>102.70798337367832</v>
          </cell>
          <cell r="L191">
            <v>125.53197967894016</v>
          </cell>
          <cell r="O191">
            <v>1</v>
          </cell>
          <cell r="P191">
            <v>1</v>
          </cell>
          <cell r="Q191">
            <v>2</v>
          </cell>
          <cell r="R191">
            <v>2</v>
          </cell>
          <cell r="S191">
            <v>2</v>
          </cell>
        </row>
        <row r="192">
          <cell r="B192">
            <v>2022</v>
          </cell>
          <cell r="C192" t="str">
            <v>RUBBER</v>
          </cell>
          <cell r="K192">
            <v>215.88536511890467</v>
          </cell>
          <cell r="L192">
            <v>263.85989070088351</v>
          </cell>
          <cell r="O192">
            <v>1</v>
          </cell>
          <cell r="P192">
            <v>1</v>
          </cell>
          <cell r="Q192">
            <v>2</v>
          </cell>
          <cell r="R192">
            <v>2</v>
          </cell>
          <cell r="S192">
            <v>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810"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433" tableId="0">
      <columnFilter colId="0">
        <filter colId="0">
          <x:filters>
            <x:filter val="Paint"/>
          </x:filters>
        </filter>
      </columnFilter>
    </nsvFilter>
  </namedSheetView>
  <namedSheetView name="Paint2" id="{498A777A-09E9-4967-9C2C-42FFFC8DBD09}">
    <nsvFilter filterId="{D17F49C5-045C-4C41-8133-90E2E1555C53}" ref="A1:P1433"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433"/>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ec.europa.eu/eurostat/databrowser/view/DS-056120__custom_15192557/default/table?lang=en"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8.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9.bin"/><Relationship Id="rId4" Type="http://schemas.openxmlformats.org/officeDocument/2006/relationships/hyperlink" Target="https://doi.org/10.1016/j.resconrec.2023.107389"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topLeftCell="A8"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99" t="s">
        <v>0</v>
      </c>
      <c r="B1" s="1100"/>
      <c r="C1" s="1100"/>
      <c r="D1" s="1100"/>
      <c r="E1" s="1100"/>
      <c r="F1" s="1100"/>
      <c r="G1" s="1100"/>
      <c r="H1" s="1100"/>
      <c r="I1" s="1100"/>
      <c r="J1" s="1100"/>
      <c r="K1" s="1100"/>
      <c r="L1" s="1100"/>
      <c r="M1" s="1100"/>
      <c r="N1" s="1100"/>
      <c r="O1" s="1100"/>
      <c r="P1" s="1101"/>
    </row>
    <row r="2" spans="1:16" s="18" customFormat="1" ht="30" customHeight="1" thickBot="1">
      <c r="A2" s="102" t="s">
        <v>1</v>
      </c>
      <c r="B2" s="1102" t="s">
        <v>2</v>
      </c>
      <c r="C2" s="1103"/>
      <c r="D2" s="1102" t="s">
        <v>3</v>
      </c>
      <c r="E2" s="1103"/>
      <c r="F2" s="1103"/>
      <c r="G2" s="1103"/>
      <c r="H2" s="1103"/>
      <c r="I2" s="1103"/>
      <c r="J2" s="1103"/>
      <c r="K2" s="1103"/>
      <c r="L2" s="1103"/>
      <c r="M2" s="1103"/>
      <c r="N2" s="1103"/>
      <c r="O2" s="1103"/>
      <c r="P2" s="1104"/>
    </row>
    <row r="3" spans="1:16" s="18" customFormat="1" ht="49.9" customHeight="1">
      <c r="A3" s="103" t="s">
        <v>4</v>
      </c>
      <c r="B3" s="1098" t="s">
        <v>5</v>
      </c>
      <c r="C3" s="1091"/>
      <c r="D3" s="1098" t="s">
        <v>6</v>
      </c>
      <c r="E3" s="1090"/>
      <c r="F3" s="1090"/>
      <c r="G3" s="1090"/>
      <c r="H3" s="1090"/>
      <c r="I3" s="1090"/>
      <c r="J3" s="1090"/>
      <c r="K3" s="1090"/>
      <c r="L3" s="1090"/>
      <c r="M3" s="1090"/>
      <c r="N3" s="1090"/>
      <c r="O3" s="1090"/>
      <c r="P3" s="1091"/>
    </row>
    <row r="4" spans="1:16" s="18" customFormat="1" ht="250.15" customHeight="1">
      <c r="A4" s="104" t="s">
        <v>7</v>
      </c>
      <c r="B4" s="1085" t="s">
        <v>8</v>
      </c>
      <c r="C4" s="1087"/>
      <c r="D4" s="1085"/>
      <c r="E4" s="1086"/>
      <c r="F4" s="1086"/>
      <c r="G4" s="1086"/>
      <c r="H4" s="1086"/>
      <c r="I4" s="1086"/>
      <c r="J4" s="1086"/>
      <c r="K4" s="1086"/>
      <c r="L4" s="1086"/>
      <c r="M4" s="1086"/>
      <c r="N4" s="1086"/>
      <c r="O4" s="1086"/>
      <c r="P4" s="1087"/>
    </row>
    <row r="5" spans="1:16" s="18" customFormat="1" ht="49.9" customHeight="1">
      <c r="A5" s="104" t="s">
        <v>9</v>
      </c>
      <c r="B5" s="1085" t="s">
        <v>10</v>
      </c>
      <c r="C5" s="1087"/>
      <c r="D5" s="1085" t="s">
        <v>11</v>
      </c>
      <c r="E5" s="1086"/>
      <c r="F5" s="1086"/>
      <c r="G5" s="1086"/>
      <c r="H5" s="1086"/>
      <c r="I5" s="1086"/>
      <c r="J5" s="1086"/>
      <c r="K5" s="1086"/>
      <c r="L5" s="1086"/>
      <c r="M5" s="1086"/>
      <c r="N5" s="1086"/>
      <c r="O5" s="1086"/>
      <c r="P5" s="1087"/>
    </row>
    <row r="6" spans="1:16" s="18" customFormat="1" ht="49.9" customHeight="1">
      <c r="A6" s="104" t="s">
        <v>12</v>
      </c>
      <c r="B6" s="1085" t="s">
        <v>13</v>
      </c>
      <c r="C6" s="1087"/>
      <c r="D6" s="1085" t="s">
        <v>14</v>
      </c>
      <c r="E6" s="1086"/>
      <c r="F6" s="1086"/>
      <c r="G6" s="1086"/>
      <c r="H6" s="1086"/>
      <c r="I6" s="1086"/>
      <c r="J6" s="1086"/>
      <c r="K6" s="1086"/>
      <c r="L6" s="1086"/>
      <c r="M6" s="1086"/>
      <c r="N6" s="1086"/>
      <c r="O6" s="1086"/>
      <c r="P6" s="1087"/>
    </row>
    <row r="7" spans="1:16" s="18" customFormat="1" ht="49.9" customHeight="1">
      <c r="A7" s="104" t="s">
        <v>15</v>
      </c>
      <c r="B7" s="1085" t="s">
        <v>16</v>
      </c>
      <c r="C7" s="1087"/>
      <c r="D7" s="1085" t="s">
        <v>17</v>
      </c>
      <c r="E7" s="1086"/>
      <c r="F7" s="1086"/>
      <c r="G7" s="1086"/>
      <c r="H7" s="1086"/>
      <c r="I7" s="1086"/>
      <c r="J7" s="1086"/>
      <c r="K7" s="1086"/>
      <c r="L7" s="1086"/>
      <c r="M7" s="1086"/>
      <c r="N7" s="1086"/>
      <c r="O7" s="1086"/>
      <c r="P7" s="1087"/>
    </row>
    <row r="8" spans="1:16" s="18" customFormat="1" ht="49.9" customHeight="1">
      <c r="A8" s="104" t="s">
        <v>18</v>
      </c>
      <c r="B8" s="1085" t="s">
        <v>19</v>
      </c>
      <c r="C8" s="1087"/>
      <c r="D8" s="1085" t="s">
        <v>20</v>
      </c>
      <c r="E8" s="1086"/>
      <c r="F8" s="1086"/>
      <c r="G8" s="1086"/>
      <c r="H8" s="1086"/>
      <c r="I8" s="1086"/>
      <c r="J8" s="1086"/>
      <c r="K8" s="1086"/>
      <c r="L8" s="1086"/>
      <c r="M8" s="1086"/>
      <c r="N8" s="1086"/>
      <c r="O8" s="1086"/>
      <c r="P8" s="1087"/>
    </row>
    <row r="9" spans="1:16" s="18" customFormat="1" ht="49.9" customHeight="1">
      <c r="A9" s="104" t="s">
        <v>21</v>
      </c>
      <c r="B9" s="1085" t="s">
        <v>22</v>
      </c>
      <c r="C9" s="1087"/>
      <c r="D9" s="1085" t="s">
        <v>23</v>
      </c>
      <c r="E9" s="1086"/>
      <c r="F9" s="1086"/>
      <c r="G9" s="1086"/>
      <c r="H9" s="1086"/>
      <c r="I9" s="1086"/>
      <c r="J9" s="1086"/>
      <c r="K9" s="1086"/>
      <c r="L9" s="1086"/>
      <c r="M9" s="1086"/>
      <c r="N9" s="1086"/>
      <c r="O9" s="1086"/>
      <c r="P9" s="1087"/>
    </row>
    <row r="10" spans="1:16" s="18" customFormat="1" ht="49.9" customHeight="1">
      <c r="A10" s="104" t="s">
        <v>24</v>
      </c>
      <c r="B10" s="1085" t="s">
        <v>25</v>
      </c>
      <c r="C10" s="1087"/>
      <c r="D10" s="1085" t="s">
        <v>26</v>
      </c>
      <c r="E10" s="1086"/>
      <c r="F10" s="1086"/>
      <c r="G10" s="1086"/>
      <c r="H10" s="1086"/>
      <c r="I10" s="1086"/>
      <c r="J10" s="1086"/>
      <c r="K10" s="1086"/>
      <c r="L10" s="1086"/>
      <c r="M10" s="1086"/>
      <c r="N10" s="1086"/>
      <c r="O10" s="1086"/>
      <c r="P10" s="1087"/>
    </row>
    <row r="11" spans="1:16" s="18" customFormat="1" ht="49.9" customHeight="1">
      <c r="A11" s="104" t="s">
        <v>27</v>
      </c>
      <c r="B11" s="1085" t="s">
        <v>28</v>
      </c>
      <c r="C11" s="1087"/>
      <c r="D11" s="1085" t="s">
        <v>26</v>
      </c>
      <c r="E11" s="1086"/>
      <c r="F11" s="1086"/>
      <c r="G11" s="1086"/>
      <c r="H11" s="1086"/>
      <c r="I11" s="1086"/>
      <c r="J11" s="1086"/>
      <c r="K11" s="1086"/>
      <c r="L11" s="1086"/>
      <c r="M11" s="1086"/>
      <c r="N11" s="1086"/>
      <c r="O11" s="1086"/>
      <c r="P11" s="1087"/>
    </row>
    <row r="12" spans="1:16" s="18" customFormat="1" ht="49.9" customHeight="1">
      <c r="A12" s="104" t="s">
        <v>29</v>
      </c>
      <c r="B12" s="1085" t="s">
        <v>30</v>
      </c>
      <c r="C12" s="1087"/>
      <c r="D12" s="1085" t="s">
        <v>26</v>
      </c>
      <c r="E12" s="1086"/>
      <c r="F12" s="1086"/>
      <c r="G12" s="1086"/>
      <c r="H12" s="1086"/>
      <c r="I12" s="1086"/>
      <c r="J12" s="1086"/>
      <c r="K12" s="1086"/>
      <c r="L12" s="1086"/>
      <c r="M12" s="1086"/>
      <c r="N12" s="1086"/>
      <c r="O12" s="1086"/>
      <c r="P12" s="1087"/>
    </row>
    <row r="13" spans="1:16" s="18" customFormat="1" ht="49.9" customHeight="1">
      <c r="A13" s="104" t="s">
        <v>31</v>
      </c>
      <c r="B13" s="1085" t="s">
        <v>32</v>
      </c>
      <c r="C13" s="1087"/>
      <c r="D13" s="1085" t="s">
        <v>33</v>
      </c>
      <c r="E13" s="1086"/>
      <c r="F13" s="1086"/>
      <c r="G13" s="1086"/>
      <c r="H13" s="1086"/>
      <c r="I13" s="1086"/>
      <c r="J13" s="1086"/>
      <c r="K13" s="1086"/>
      <c r="L13" s="1086"/>
      <c r="M13" s="1086"/>
      <c r="N13" s="1086"/>
      <c r="O13" s="1086"/>
      <c r="P13" s="1087"/>
    </row>
    <row r="14" spans="1:16" s="18" customFormat="1" ht="49.9" customHeight="1">
      <c r="A14" s="104" t="s">
        <v>34</v>
      </c>
      <c r="B14" s="1085" t="s">
        <v>35</v>
      </c>
      <c r="C14" s="1087"/>
      <c r="D14" s="1085" t="s">
        <v>36</v>
      </c>
      <c r="E14" s="1086"/>
      <c r="F14" s="1086"/>
      <c r="G14" s="1086"/>
      <c r="H14" s="1086"/>
      <c r="I14" s="1086"/>
      <c r="J14" s="1086"/>
      <c r="K14" s="1086"/>
      <c r="L14" s="1086"/>
      <c r="M14" s="1086"/>
      <c r="N14" s="1086"/>
      <c r="O14" s="1086"/>
      <c r="P14" s="1087"/>
    </row>
    <row r="15" spans="1:16" s="18" customFormat="1" ht="49.9" customHeight="1">
      <c r="A15" s="104" t="s">
        <v>37</v>
      </c>
      <c r="B15" s="1085" t="s">
        <v>38</v>
      </c>
      <c r="C15" s="1087"/>
      <c r="D15" s="1085" t="s">
        <v>36</v>
      </c>
      <c r="E15" s="1086"/>
      <c r="F15" s="1086"/>
      <c r="G15" s="1086"/>
      <c r="H15" s="1086"/>
      <c r="I15" s="1086"/>
      <c r="J15" s="1086"/>
      <c r="K15" s="1086"/>
      <c r="L15" s="1086"/>
      <c r="M15" s="1086"/>
      <c r="N15" s="1086"/>
      <c r="O15" s="1086"/>
      <c r="P15" s="1087"/>
    </row>
    <row r="16" spans="1:16" s="18" customFormat="1" ht="49.9" customHeight="1" thickBot="1">
      <c r="A16" s="105" t="s">
        <v>39</v>
      </c>
      <c r="B16" s="1095" t="s">
        <v>40</v>
      </c>
      <c r="C16" s="1096"/>
      <c r="D16" s="1095" t="s">
        <v>36</v>
      </c>
      <c r="E16" s="1097"/>
      <c r="F16" s="1097"/>
      <c r="G16" s="1097"/>
      <c r="H16" s="1097"/>
      <c r="I16" s="1097"/>
      <c r="J16" s="1097"/>
      <c r="K16" s="1097"/>
      <c r="L16" s="1097"/>
      <c r="M16" s="1097"/>
      <c r="N16" s="1097"/>
      <c r="O16" s="1097"/>
      <c r="P16" s="1096"/>
    </row>
    <row r="17" spans="1:16">
      <c r="A17" s="78"/>
      <c r="B17" s="20"/>
      <c r="C17" s="21"/>
    </row>
    <row r="18" spans="1:16" ht="15.75" thickBot="1"/>
    <row r="19" spans="1:16" ht="30" customHeight="1" thickBot="1">
      <c r="A19" s="102" t="s">
        <v>41</v>
      </c>
      <c r="B19" s="1092" t="s">
        <v>42</v>
      </c>
      <c r="C19" s="1093"/>
      <c r="D19" s="1093"/>
      <c r="E19" s="1093"/>
      <c r="F19" s="1093"/>
      <c r="G19" s="1093"/>
      <c r="H19" s="1093"/>
      <c r="I19" s="1093"/>
      <c r="J19" s="1093"/>
      <c r="K19" s="1093"/>
      <c r="L19" s="1093"/>
      <c r="M19" s="1093"/>
      <c r="N19" s="1093"/>
      <c r="O19" s="1093"/>
      <c r="P19" s="1094"/>
    </row>
    <row r="20" spans="1:16" ht="30" customHeight="1">
      <c r="A20" s="103" t="s">
        <v>43</v>
      </c>
      <c r="B20" s="1089" t="s">
        <v>44</v>
      </c>
      <c r="C20" s="1090"/>
      <c r="D20" s="1090"/>
      <c r="E20" s="1090"/>
      <c r="F20" s="1090"/>
      <c r="G20" s="1090"/>
      <c r="H20" s="1090"/>
      <c r="I20" s="1090"/>
      <c r="J20" s="1090"/>
      <c r="K20" s="1090"/>
      <c r="L20" s="1090"/>
      <c r="M20" s="1090"/>
      <c r="N20" s="1090"/>
      <c r="O20" s="1090"/>
      <c r="P20" s="1091"/>
    </row>
    <row r="21" spans="1:16" ht="30" customHeight="1">
      <c r="A21" s="104" t="s">
        <v>45</v>
      </c>
      <c r="B21" s="1088" t="s">
        <v>46</v>
      </c>
      <c r="C21" s="1086"/>
      <c r="D21" s="1086"/>
      <c r="E21" s="1086"/>
      <c r="F21" s="1086"/>
      <c r="G21" s="1086"/>
      <c r="H21" s="1086"/>
      <c r="I21" s="1086"/>
      <c r="J21" s="1086"/>
      <c r="K21" s="1086"/>
      <c r="L21" s="1086"/>
      <c r="M21" s="1086"/>
      <c r="N21" s="1086"/>
      <c r="O21" s="1086"/>
      <c r="P21" s="1087"/>
    </row>
    <row r="23" spans="1:16" ht="14.45" customHeight="1"/>
  </sheetData>
  <mergeCells count="34">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 ref="B3:C3"/>
    <mergeCell ref="B6:C6"/>
    <mergeCell ref="B7:C7"/>
    <mergeCell ref="D11:P11"/>
    <mergeCell ref="B12:C12"/>
    <mergeCell ref="D12:P12"/>
    <mergeCell ref="B11:C11"/>
    <mergeCell ref="D13:P13"/>
    <mergeCell ref="B21:P21"/>
    <mergeCell ref="B20:P20"/>
    <mergeCell ref="B13:C13"/>
    <mergeCell ref="B14:C14"/>
    <mergeCell ref="B19:P19"/>
    <mergeCell ref="D14:P14"/>
    <mergeCell ref="B15:C15"/>
    <mergeCell ref="B16:C16"/>
    <mergeCell ref="D15:P15"/>
    <mergeCell ref="D16:P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C3" sqref="C3"/>
    </sheetView>
  </sheetViews>
  <sheetFormatPr defaultRowHeight="15"/>
  <cols>
    <col min="1" max="1" width="40.7109375" customWidth="1"/>
    <col min="2" max="2" width="15.7109375" customWidth="1"/>
    <col min="3" max="6" width="50.7109375" customWidth="1"/>
  </cols>
  <sheetData>
    <row r="1" spans="1:6" ht="30" customHeight="1">
      <c r="A1" s="264" t="s">
        <v>47</v>
      </c>
      <c r="B1" s="1105" t="s">
        <v>48</v>
      </c>
      <c r="C1" s="271" t="s">
        <v>49</v>
      </c>
      <c r="D1" s="269" t="s">
        <v>50</v>
      </c>
      <c r="E1" s="271" t="s">
        <v>51</v>
      </c>
      <c r="F1" s="279" t="s">
        <v>52</v>
      </c>
    </row>
    <row r="2" spans="1:6" ht="30" customHeight="1" thickBot="1">
      <c r="A2" s="265" t="s">
        <v>53</v>
      </c>
      <c r="B2" s="1106"/>
      <c r="C2" s="272" t="s">
        <v>54</v>
      </c>
      <c r="D2" s="270" t="s">
        <v>55</v>
      </c>
      <c r="E2" s="272" t="s">
        <v>56</v>
      </c>
      <c r="F2" s="280" t="s">
        <v>57</v>
      </c>
    </row>
    <row r="3" spans="1:6" ht="39.950000000000003" customHeight="1">
      <c r="A3" s="22" t="s">
        <v>58</v>
      </c>
      <c r="B3" s="266" t="s">
        <v>59</v>
      </c>
      <c r="C3" s="273" t="s">
        <v>60</v>
      </c>
      <c r="D3" s="276" t="s">
        <v>61</v>
      </c>
      <c r="E3" s="284" t="s">
        <v>62</v>
      </c>
      <c r="F3" s="281" t="s">
        <v>63</v>
      </c>
    </row>
    <row r="4" spans="1:6" ht="39.950000000000003" customHeight="1">
      <c r="A4" s="23" t="s">
        <v>64</v>
      </c>
      <c r="B4" s="267" t="s">
        <v>65</v>
      </c>
      <c r="C4" s="274" t="s">
        <v>2001</v>
      </c>
      <c r="D4" s="277" t="s">
        <v>2002</v>
      </c>
      <c r="E4" s="285" t="s">
        <v>2003</v>
      </c>
      <c r="F4" s="282" t="s">
        <v>2004</v>
      </c>
    </row>
    <row r="5" spans="1:6" ht="39.950000000000003" customHeight="1">
      <c r="A5" s="23" t="s">
        <v>66</v>
      </c>
      <c r="B5" s="267" t="s">
        <v>67</v>
      </c>
      <c r="C5" s="274" t="s">
        <v>68</v>
      </c>
      <c r="D5" s="277" t="s">
        <v>69</v>
      </c>
      <c r="E5" s="285" t="s">
        <v>70</v>
      </c>
      <c r="F5" s="282" t="s">
        <v>71</v>
      </c>
    </row>
    <row r="6" spans="1:6" ht="39.950000000000003" customHeight="1">
      <c r="A6" s="23" t="s">
        <v>72</v>
      </c>
      <c r="B6" s="267" t="s">
        <v>73</v>
      </c>
      <c r="C6" s="274" t="s">
        <v>74</v>
      </c>
      <c r="D6" s="277" t="s">
        <v>75</v>
      </c>
      <c r="E6" s="285" t="s">
        <v>76</v>
      </c>
      <c r="F6" s="282" t="s">
        <v>77</v>
      </c>
    </row>
    <row r="7" spans="1:6" ht="39.950000000000003" customHeight="1" thickBot="1">
      <c r="A7" s="24" t="s">
        <v>78</v>
      </c>
      <c r="B7" s="268" t="s">
        <v>79</v>
      </c>
      <c r="C7" s="275" t="s">
        <v>80</v>
      </c>
      <c r="D7" s="278" t="s">
        <v>81</v>
      </c>
      <c r="E7" s="286" t="s">
        <v>82</v>
      </c>
      <c r="F7" s="283"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5" sqref="A5"/>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filterMode="1">
    <tabColor rgb="FFFFC000"/>
  </sheetPr>
  <dimension ref="A1:L1156"/>
  <sheetViews>
    <sheetView zoomScale="90" zoomScaleNormal="90" workbookViewId="0">
      <pane ySplit="1" topLeftCell="A14" activePane="bottomLeft" state="frozen"/>
      <selection pane="bottomLeft" activeCell="E233" sqref="E233"/>
    </sheetView>
  </sheetViews>
  <sheetFormatPr defaultColWidth="9.28515625" defaultRowHeight="15"/>
  <cols>
    <col min="1" max="1" width="26" style="25" customWidth="1"/>
    <col min="2" max="2" width="15.7109375" style="25" customWidth="1"/>
    <col min="3" max="3" width="15.7109375" style="26" customWidth="1"/>
    <col min="4" max="4" width="15.7109375" style="7" customWidth="1"/>
    <col min="5" max="5" width="108.710937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c r="A1" s="65" t="s">
        <v>100</v>
      </c>
      <c r="B1" s="107" t="s">
        <v>101</v>
      </c>
      <c r="C1" s="108" t="s">
        <v>102</v>
      </c>
      <c r="D1" s="109" t="s">
        <v>103</v>
      </c>
      <c r="E1" s="108" t="s">
        <v>104</v>
      </c>
      <c r="F1" s="419" t="s">
        <v>105</v>
      </c>
      <c r="G1" s="420" t="s">
        <v>65</v>
      </c>
      <c r="H1" s="420" t="s">
        <v>67</v>
      </c>
      <c r="I1" s="420" t="s">
        <v>73</v>
      </c>
      <c r="J1" s="421" t="s">
        <v>79</v>
      </c>
      <c r="K1" s="797" t="s">
        <v>106</v>
      </c>
      <c r="L1" s="423" t="s">
        <v>107</v>
      </c>
    </row>
    <row r="2" spans="1:12" hidden="1">
      <c r="A2" s="33" t="str">
        <f>Agriculture!A47</f>
        <v>Agriculture</v>
      </c>
      <c r="B2" s="39">
        <f>Agriculture!C47</f>
        <v>2019</v>
      </c>
      <c r="C2" s="33" t="str">
        <f>Agriculture!D47</f>
        <v>LDPE</v>
      </c>
      <c r="D2" s="792">
        <f>Agriculture!E47</f>
        <v>40.881766363330044</v>
      </c>
      <c r="E2" s="150"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1">
        <f t="shared" ref="K2:K60" si="0">IF( OR( ISBLANK(F2),ISBLANK(G2), ISBLANK(H2), ISBLANK(I2), ISBLANK(J2) ), "", 1.5*SQRT(   EXP(2.21*(F2-1)) + EXP(2.21*(G2-1)) + EXP(2.21*(H2-1)) + EXP(2.21*(I2-1)) + EXP(2.21*J2)   )/100*2.45 )</f>
        <v>0.37356464144298934</v>
      </c>
      <c r="L2" s="433" t="str">
        <f>Agriculture!M47</f>
        <v>Estimation using 6.7% conversion to NL (https://ec.europa.eu/eurostat/databrowser/bookmark/ad869a47-4196-4282-b054-0a75caf9373f?lang=en)</v>
      </c>
    </row>
    <row r="3" spans="1:12" hidden="1">
      <c r="A3" s="34" t="str">
        <f>Agriculture!A37</f>
        <v>Agriculture</v>
      </c>
      <c r="B3" s="40">
        <f>Agriculture!C37</f>
        <v>2018</v>
      </c>
      <c r="C3" s="34" t="str">
        <f>Agriculture!D37</f>
        <v>LDPE</v>
      </c>
      <c r="D3" s="793">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2">
        <f t="shared" si="0"/>
        <v>0.37356464144298934</v>
      </c>
      <c r="L3" s="364" t="str">
        <f>Agriculture!M37</f>
        <v>Estimation using 6.7% conversion to NL (https://ec.europa.eu/eurostat/databrowser/bookmark/ad869a47-4196-4282-b054-0a75caf9373f?lang=en)</v>
      </c>
    </row>
    <row r="4" spans="1:12" hidden="1">
      <c r="A4" s="34" t="str">
        <f>Agriculture!A42</f>
        <v>Agriculture</v>
      </c>
      <c r="B4" s="40">
        <f>Agriculture!C42</f>
        <v>2019</v>
      </c>
      <c r="C4" s="34" t="str">
        <f>Agriculture!D42</f>
        <v>LDPE</v>
      </c>
      <c r="D4" s="793">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2">
        <f t="shared" si="0"/>
        <v>0.37356464144298934</v>
      </c>
      <c r="L4" s="364" t="str">
        <f>Agriculture!M42</f>
        <v>Estimation using 3.36% conversion to NL (Plastics Europe, 2014)</v>
      </c>
    </row>
    <row r="5" spans="1:12" hidden="1">
      <c r="A5" s="34" t="str">
        <f>Agriculture!A32</f>
        <v>Agriculture</v>
      </c>
      <c r="B5" s="40">
        <f>Agriculture!C32</f>
        <v>2018</v>
      </c>
      <c r="C5" s="34" t="str">
        <f>Agriculture!D32</f>
        <v>LDPE</v>
      </c>
      <c r="D5" s="793">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2">
        <f t="shared" si="0"/>
        <v>0.37356464144298934</v>
      </c>
      <c r="L5" s="364" t="str">
        <f>Agriculture!M32</f>
        <v>Estimation using 3.36% conversion to NL (Plastics Europe, 2014)</v>
      </c>
    </row>
    <row r="6" spans="1:12" hidden="1">
      <c r="A6" s="34" t="str">
        <f>Agriculture!A44</f>
        <v>Agriculture</v>
      </c>
      <c r="B6" s="40">
        <f>Agriculture!C44</f>
        <v>2019</v>
      </c>
      <c r="C6" s="34" t="str">
        <f>Agriculture!D44</f>
        <v>PVC</v>
      </c>
      <c r="D6" s="793">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2">
        <f t="shared" si="0"/>
        <v>0.37356464144298934</v>
      </c>
      <c r="L6" s="364" t="str">
        <f>Agriculture!M44</f>
        <v>Estimation using 6.7% conversion to NL (https://ec.europa.eu/eurostat/databrowser/bookmark/ad869a47-4196-4282-b054-0a75caf9373f?lang=en)</v>
      </c>
    </row>
    <row r="7" spans="1:12" hidden="1">
      <c r="A7" s="34" t="str">
        <f>Agriculture!A34</f>
        <v>Agriculture</v>
      </c>
      <c r="B7" s="40">
        <f>Agriculture!C34</f>
        <v>2018</v>
      </c>
      <c r="C7" s="34" t="str">
        <f>Agriculture!D34</f>
        <v>PVC</v>
      </c>
      <c r="D7" s="793">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2">
        <f t="shared" si="0"/>
        <v>0.37356464144298934</v>
      </c>
      <c r="L7" s="364" t="str">
        <f>Agriculture!M34</f>
        <v>Estimation using 6.7% conversion to NL (https://ec.europa.eu/eurostat/databrowser/bookmark/ad869a47-4196-4282-b054-0a75caf9373f?lang=en)</v>
      </c>
    </row>
    <row r="8" spans="1:12" hidden="1">
      <c r="A8" s="34" t="str">
        <f>Agriculture!A39</f>
        <v>Agriculture</v>
      </c>
      <c r="B8" s="40">
        <f>Agriculture!C39</f>
        <v>2019</v>
      </c>
      <c r="C8" s="34" t="str">
        <f>Agriculture!D39</f>
        <v>PVC</v>
      </c>
      <c r="D8" s="793">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2">
        <f t="shared" si="0"/>
        <v>0.37356464144298934</v>
      </c>
      <c r="L8" s="364" t="str">
        <f>Agriculture!M39</f>
        <v>Estimation using 3.36% conversion to NL (Plastics Europe, 2014)</v>
      </c>
    </row>
    <row r="9" spans="1:12" hidden="1">
      <c r="A9" s="34" t="str">
        <f>Agriculture!A29</f>
        <v>Agriculture</v>
      </c>
      <c r="B9" s="40">
        <f>Agriculture!C29</f>
        <v>2018</v>
      </c>
      <c r="C9" s="34" t="str">
        <f>Agriculture!D29</f>
        <v>PVC</v>
      </c>
      <c r="D9" s="793">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2">
        <f t="shared" si="0"/>
        <v>0.37356464144298934</v>
      </c>
      <c r="L9" s="364" t="str">
        <f>Agriculture!M29</f>
        <v>Estimation using 3.36% conversion to NL (Plastics Europe, 2014)</v>
      </c>
    </row>
    <row r="10" spans="1:12" hidden="1">
      <c r="A10" s="34" t="str">
        <f>Agriculture!A48</f>
        <v>Agriculture</v>
      </c>
      <c r="B10" s="40">
        <f>Agriculture!C48</f>
        <v>2019</v>
      </c>
      <c r="C10" s="34" t="str">
        <f>Agriculture!D48</f>
        <v>HDPE</v>
      </c>
      <c r="D10" s="793">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2">
        <f t="shared" si="0"/>
        <v>0.37356464144298934</v>
      </c>
      <c r="L10" s="364" t="str">
        <f>Agriculture!M48</f>
        <v>Estimation using 6.7% conversion to NL (https://ec.europa.eu/eurostat/databrowser/bookmark/ad869a47-4196-4282-b054-0a75caf9373f?lang=en)</v>
      </c>
    </row>
    <row r="11" spans="1:12" hidden="1">
      <c r="A11" s="34" t="str">
        <f>Agriculture!A38</f>
        <v>Agriculture</v>
      </c>
      <c r="B11" s="40">
        <f>Agriculture!C38</f>
        <v>2018</v>
      </c>
      <c r="C11" s="34" t="str">
        <f>Agriculture!D38</f>
        <v>HDPE</v>
      </c>
      <c r="D11" s="793">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2">
        <f t="shared" si="0"/>
        <v>0.37356464144298934</v>
      </c>
      <c r="L11" s="364" t="str">
        <f>Agriculture!M38</f>
        <v>Estimation using 6.7% conversion to NL (https://ec.europa.eu/eurostat/databrowser/bookmark/ad869a47-4196-4282-b054-0a75caf9373f?lang=en)</v>
      </c>
    </row>
    <row r="12" spans="1:12" hidden="1">
      <c r="A12" s="34" t="str">
        <f>Agriculture!A43</f>
        <v>Agriculture</v>
      </c>
      <c r="B12" s="40">
        <f>Agriculture!C43</f>
        <v>2019</v>
      </c>
      <c r="C12" s="34" t="str">
        <f>Agriculture!D43</f>
        <v>HDPE</v>
      </c>
      <c r="D12" s="793">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2">
        <f t="shared" si="0"/>
        <v>0.37356464144298934</v>
      </c>
      <c r="L12" s="364" t="str">
        <f>Agriculture!M43</f>
        <v>Estimation using 3.36% conversion to NL (Plastics Europe, 2014)</v>
      </c>
    </row>
    <row r="13" spans="1:12" hidden="1">
      <c r="A13" s="34" t="str">
        <f>Agriculture!A33</f>
        <v>Agriculture</v>
      </c>
      <c r="B13" s="40">
        <f>Agriculture!C33</f>
        <v>2018</v>
      </c>
      <c r="C13" s="34" t="str">
        <f>Agriculture!D33</f>
        <v>HDPE</v>
      </c>
      <c r="D13" s="793">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2">
        <f t="shared" si="0"/>
        <v>0.37356464144298934</v>
      </c>
      <c r="L13" s="364" t="str">
        <f>Agriculture!M33</f>
        <v>Estimation using 3.36% conversion to NL (Plastics Europe, 2014)</v>
      </c>
    </row>
    <row r="14" spans="1:12">
      <c r="A14" s="34" t="str">
        <f>Agriculture!A45</f>
        <v>Agriculture</v>
      </c>
      <c r="B14" s="40">
        <f>Agriculture!C45</f>
        <v>2019</v>
      </c>
      <c r="C14" s="34" t="str">
        <f>Agriculture!D45</f>
        <v>PS</v>
      </c>
      <c r="D14" s="793">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2">
        <f t="shared" si="0"/>
        <v>0.37356464144298934</v>
      </c>
      <c r="L14" s="364" t="str">
        <f>Agriculture!M45</f>
        <v>Estimation using 6.7% conversion to NL (https://ec.europa.eu/eurostat/databrowser/bookmark/ad869a47-4196-4282-b054-0a75caf9373f?lang=en)</v>
      </c>
    </row>
    <row r="15" spans="1:12" hidden="1">
      <c r="A15" s="34" t="str">
        <f>Agriculture!A46</f>
        <v>Agriculture</v>
      </c>
      <c r="B15" s="40">
        <f>Agriculture!C46</f>
        <v>2019</v>
      </c>
      <c r="C15" s="34" t="str">
        <f>Agriculture!D46</f>
        <v>PP</v>
      </c>
      <c r="D15" s="793">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2">
        <f t="shared" si="0"/>
        <v>0.37356464144298934</v>
      </c>
      <c r="L15" s="364" t="str">
        <f>Agriculture!M46</f>
        <v>Estimation using 6.7% conversion to NL (https://ec.europa.eu/eurostat/databrowser/bookmark/ad869a47-4196-4282-b054-0a75caf9373f?lang=en)</v>
      </c>
    </row>
    <row r="16" spans="1:12">
      <c r="A16" s="34" t="str">
        <f>Agriculture!A35</f>
        <v>Agriculture</v>
      </c>
      <c r="B16" s="40">
        <f>Agriculture!C35</f>
        <v>2018</v>
      </c>
      <c r="C16" s="34" t="str">
        <f>Agriculture!D35</f>
        <v>PS</v>
      </c>
      <c r="D16" s="793">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2">
        <f t="shared" si="0"/>
        <v>0.37356464144298934</v>
      </c>
      <c r="L16" s="364" t="str">
        <f>Agriculture!M35</f>
        <v>Estimation using 6.7% conversion to NL (https://ec.europa.eu/eurostat/databrowser/bookmark/ad869a47-4196-4282-b054-0a75caf9373f?lang=en)</v>
      </c>
    </row>
    <row r="17" spans="1:12" hidden="1">
      <c r="A17" s="34" t="str">
        <f>Agriculture!A36</f>
        <v>Agriculture</v>
      </c>
      <c r="B17" s="40">
        <f>Agriculture!C36</f>
        <v>2018</v>
      </c>
      <c r="C17" s="34" t="str">
        <f>Agriculture!D36</f>
        <v>PP</v>
      </c>
      <c r="D17" s="793">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2">
        <f t="shared" si="0"/>
        <v>0.37356464144298934</v>
      </c>
      <c r="L17" s="364" t="str">
        <f>Agriculture!M36</f>
        <v>Estimation using 6.7% conversion to NL (https://ec.europa.eu/eurostat/databrowser/bookmark/ad869a47-4196-4282-b054-0a75caf9373f?lang=en)</v>
      </c>
    </row>
    <row r="18" spans="1:12">
      <c r="A18" s="34" t="str">
        <f>Agriculture!A40</f>
        <v>Agriculture</v>
      </c>
      <c r="B18" s="40">
        <f>Agriculture!C40</f>
        <v>2019</v>
      </c>
      <c r="C18" s="34" t="str">
        <f>Agriculture!D40</f>
        <v>PS</v>
      </c>
      <c r="D18" s="793">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2">
        <f t="shared" si="0"/>
        <v>0.37356464144298934</v>
      </c>
      <c r="L18" s="364" t="str">
        <f>Agriculture!M40</f>
        <v>Estimation using 3.36% conversion to NL (Plastics Europe, 2014)</v>
      </c>
    </row>
    <row r="19" spans="1:12" hidden="1">
      <c r="A19" s="34" t="str">
        <f>Agriculture!A41</f>
        <v>Agriculture</v>
      </c>
      <c r="B19" s="40">
        <f>Agriculture!C41</f>
        <v>2019</v>
      </c>
      <c r="C19" s="34" t="str">
        <f>Agriculture!D41</f>
        <v>PP</v>
      </c>
      <c r="D19" s="793">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2">
        <f t="shared" si="0"/>
        <v>0.37356464144298934</v>
      </c>
      <c r="L19" s="364" t="str">
        <f>Agriculture!M41</f>
        <v>Estimation using 3.36% conversion to NL (Plastics Europe, 2014)</v>
      </c>
    </row>
    <row r="20" spans="1:12">
      <c r="A20" s="34" t="str">
        <f>Agriculture!A30</f>
        <v>Agriculture</v>
      </c>
      <c r="B20" s="40">
        <f>Agriculture!C30</f>
        <v>2018</v>
      </c>
      <c r="C20" s="34" t="str">
        <f>Agriculture!D30</f>
        <v>PS</v>
      </c>
      <c r="D20" s="793">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2">
        <f t="shared" si="0"/>
        <v>0.37356464144298934</v>
      </c>
      <c r="L20" s="364" t="str">
        <f>Agriculture!M30</f>
        <v>Estimation using 3.36% conversion to NL (Plastics Europe, 2014)</v>
      </c>
    </row>
    <row r="21" spans="1:12" ht="15.75" hidden="1" thickBot="1">
      <c r="A21" s="35" t="str">
        <f>Agriculture!A31</f>
        <v>Agriculture</v>
      </c>
      <c r="B21" s="41">
        <f>Agriculture!C31</f>
        <v>2018</v>
      </c>
      <c r="C21" s="35" t="str">
        <f>Agriculture!D31</f>
        <v>PP</v>
      </c>
      <c r="D21" s="796">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3">
        <f t="shared" si="0"/>
        <v>0.37356464144298934</v>
      </c>
      <c r="L21" s="434" t="str">
        <f>Agriculture!M31</f>
        <v>Estimation using 3.36% conversion to NL (Plastics Europe, 2014)</v>
      </c>
    </row>
    <row r="22" spans="1:12" hidden="1">
      <c r="A22" s="60" t="s">
        <v>109</v>
      </c>
      <c r="B22" s="804">
        <v>1995</v>
      </c>
      <c r="C22" s="805" t="s">
        <v>85</v>
      </c>
      <c r="D22" s="805">
        <v>1435</v>
      </c>
      <c r="E22" s="435" t="s">
        <v>110</v>
      </c>
      <c r="F22" s="614">
        <v>1</v>
      </c>
      <c r="G22" s="118">
        <v>1</v>
      </c>
      <c r="H22" s="118">
        <v>1</v>
      </c>
      <c r="I22" s="118">
        <v>2</v>
      </c>
      <c r="J22" s="660">
        <v>2</v>
      </c>
      <c r="K22" s="573">
        <f t="shared" si="0"/>
        <v>0.35859414261160716</v>
      </c>
      <c r="L22" s="652" t="s">
        <v>111</v>
      </c>
    </row>
    <row r="23" spans="1:12" hidden="1">
      <c r="A23" s="34" t="s">
        <v>109</v>
      </c>
      <c r="B23" s="339">
        <v>1995</v>
      </c>
      <c r="C23" s="59" t="s">
        <v>86</v>
      </c>
      <c r="D23" s="59">
        <v>290</v>
      </c>
      <c r="E23" s="364" t="s">
        <v>110</v>
      </c>
      <c r="F23" s="122">
        <v>1</v>
      </c>
      <c r="G23" s="9">
        <v>1</v>
      </c>
      <c r="H23" s="9">
        <v>1</v>
      </c>
      <c r="I23" s="9">
        <v>2</v>
      </c>
      <c r="J23" s="43">
        <v>2</v>
      </c>
      <c r="K23" s="262">
        <f t="shared" si="0"/>
        <v>0.35859414261160716</v>
      </c>
      <c r="L23" s="163" t="s">
        <v>111</v>
      </c>
    </row>
    <row r="24" spans="1:12" hidden="1">
      <c r="A24" s="34" t="s">
        <v>109</v>
      </c>
      <c r="B24" s="339">
        <v>1995</v>
      </c>
      <c r="C24" s="59" t="s">
        <v>87</v>
      </c>
      <c r="D24" s="59">
        <v>852</v>
      </c>
      <c r="E24" s="364" t="s">
        <v>110</v>
      </c>
      <c r="F24" s="122">
        <v>1</v>
      </c>
      <c r="G24" s="9">
        <v>1</v>
      </c>
      <c r="H24" s="9">
        <v>1</v>
      </c>
      <c r="I24" s="9">
        <v>2</v>
      </c>
      <c r="J24" s="43">
        <v>2</v>
      </c>
      <c r="K24" s="262">
        <f t="shared" si="0"/>
        <v>0.35859414261160716</v>
      </c>
      <c r="L24" s="163" t="s">
        <v>111</v>
      </c>
    </row>
    <row r="25" spans="1:12">
      <c r="A25" s="34" t="s">
        <v>109</v>
      </c>
      <c r="B25" s="339">
        <v>1995</v>
      </c>
      <c r="C25" s="59" t="s">
        <v>88</v>
      </c>
      <c r="D25" s="59">
        <v>4</v>
      </c>
      <c r="E25" s="364" t="s">
        <v>110</v>
      </c>
      <c r="F25" s="122">
        <v>1</v>
      </c>
      <c r="G25" s="9">
        <v>1</v>
      </c>
      <c r="H25" s="9">
        <v>1</v>
      </c>
      <c r="I25" s="9">
        <v>2</v>
      </c>
      <c r="J25" s="43">
        <v>2</v>
      </c>
      <c r="K25" s="262">
        <f t="shared" si="0"/>
        <v>0.35859414261160716</v>
      </c>
      <c r="L25" s="163" t="s">
        <v>111</v>
      </c>
    </row>
    <row r="26" spans="1:12" hidden="1">
      <c r="A26" s="34" t="s">
        <v>109</v>
      </c>
      <c r="B26" s="339">
        <v>1995</v>
      </c>
      <c r="C26" s="59" t="s">
        <v>89</v>
      </c>
      <c r="D26" s="59">
        <v>191</v>
      </c>
      <c r="E26" s="364" t="s">
        <v>110</v>
      </c>
      <c r="F26" s="122">
        <v>1</v>
      </c>
      <c r="G26" s="9">
        <v>1</v>
      </c>
      <c r="H26" s="9">
        <v>1</v>
      </c>
      <c r="I26" s="9">
        <v>2</v>
      </c>
      <c r="J26" s="43">
        <v>2</v>
      </c>
      <c r="K26" s="262">
        <f t="shared" si="0"/>
        <v>0.35859414261160716</v>
      </c>
      <c r="L26" s="163" t="s">
        <v>111</v>
      </c>
    </row>
    <row r="27" spans="1:12" hidden="1">
      <c r="A27" s="34" t="s">
        <v>109</v>
      </c>
      <c r="B27" s="339">
        <v>1995</v>
      </c>
      <c r="C27" s="59" t="s">
        <v>90</v>
      </c>
      <c r="D27" s="59">
        <v>610</v>
      </c>
      <c r="E27" s="364" t="s">
        <v>110</v>
      </c>
      <c r="F27" s="122">
        <v>1</v>
      </c>
      <c r="G27" s="9">
        <v>1</v>
      </c>
      <c r="H27" s="9">
        <v>1</v>
      </c>
      <c r="I27" s="9">
        <v>2</v>
      </c>
      <c r="J27" s="43">
        <v>2</v>
      </c>
      <c r="K27" s="262">
        <f t="shared" si="0"/>
        <v>0.35859414261160716</v>
      </c>
      <c r="L27" s="163" t="s">
        <v>111</v>
      </c>
    </row>
    <row r="28" spans="1:12" hidden="1">
      <c r="A28" s="34" t="s">
        <v>109</v>
      </c>
      <c r="B28" s="339">
        <v>1995</v>
      </c>
      <c r="C28" s="59" t="s">
        <v>91</v>
      </c>
      <c r="D28" s="59">
        <v>0</v>
      </c>
      <c r="E28" s="364" t="s">
        <v>110</v>
      </c>
      <c r="F28" s="122">
        <v>1</v>
      </c>
      <c r="G28" s="9">
        <v>1</v>
      </c>
      <c r="H28" s="9">
        <v>1</v>
      </c>
      <c r="I28" s="9">
        <v>2</v>
      </c>
      <c r="J28" s="43">
        <v>2</v>
      </c>
      <c r="K28" s="262">
        <f t="shared" si="0"/>
        <v>0.35859414261160716</v>
      </c>
      <c r="L28" s="163" t="s">
        <v>111</v>
      </c>
    </row>
    <row r="29" spans="1:12" hidden="1">
      <c r="A29" s="34" t="s">
        <v>109</v>
      </c>
      <c r="B29" s="339">
        <v>1995</v>
      </c>
      <c r="C29" s="59" t="s">
        <v>94</v>
      </c>
      <c r="D29" s="59">
        <v>144</v>
      </c>
      <c r="E29" s="364" t="s">
        <v>110</v>
      </c>
      <c r="F29" s="122">
        <v>1</v>
      </c>
      <c r="G29" s="9">
        <v>1</v>
      </c>
      <c r="H29" s="9">
        <v>1</v>
      </c>
      <c r="I29" s="9">
        <v>2</v>
      </c>
      <c r="J29" s="43">
        <v>2</v>
      </c>
      <c r="K29" s="262">
        <f t="shared" si="0"/>
        <v>0.35859414261160716</v>
      </c>
      <c r="L29" s="163" t="s">
        <v>111</v>
      </c>
    </row>
    <row r="30" spans="1:12" hidden="1">
      <c r="A30" s="34" t="s">
        <v>109</v>
      </c>
      <c r="B30" s="339">
        <v>1995</v>
      </c>
      <c r="C30" s="59" t="s">
        <v>96</v>
      </c>
      <c r="D30" s="59">
        <v>337</v>
      </c>
      <c r="E30" s="364" t="s">
        <v>110</v>
      </c>
      <c r="F30" s="122">
        <v>1</v>
      </c>
      <c r="G30" s="9">
        <v>1</v>
      </c>
      <c r="H30" s="9">
        <v>1</v>
      </c>
      <c r="I30" s="9">
        <v>2</v>
      </c>
      <c r="J30" s="43">
        <v>2</v>
      </c>
      <c r="K30" s="262">
        <f t="shared" si="0"/>
        <v>0.35859414261160716</v>
      </c>
      <c r="L30" s="163" t="s">
        <v>111</v>
      </c>
    </row>
    <row r="31" spans="1:12">
      <c r="A31" s="34" t="s">
        <v>109</v>
      </c>
      <c r="B31" s="339">
        <v>1995</v>
      </c>
      <c r="C31" s="59" t="s">
        <v>97</v>
      </c>
      <c r="D31" s="59">
        <v>233</v>
      </c>
      <c r="E31" s="364" t="s">
        <v>110</v>
      </c>
      <c r="F31" s="122">
        <v>1</v>
      </c>
      <c r="G31" s="9">
        <v>1</v>
      </c>
      <c r="H31" s="9">
        <v>1</v>
      </c>
      <c r="I31" s="9">
        <v>2</v>
      </c>
      <c r="J31" s="43">
        <v>2</v>
      </c>
      <c r="K31" s="262">
        <f t="shared" si="0"/>
        <v>0.35859414261160716</v>
      </c>
      <c r="L31" s="163" t="s">
        <v>111</v>
      </c>
    </row>
    <row r="32" spans="1:12" hidden="1">
      <c r="A32" s="34" t="s">
        <v>109</v>
      </c>
      <c r="B32" s="339">
        <v>1995</v>
      </c>
      <c r="C32" s="59" t="s">
        <v>95</v>
      </c>
      <c r="D32" s="59">
        <v>200</v>
      </c>
      <c r="E32" s="364" t="s">
        <v>110</v>
      </c>
      <c r="F32" s="122">
        <v>1</v>
      </c>
      <c r="G32" s="9">
        <v>1</v>
      </c>
      <c r="H32" s="9">
        <v>1</v>
      </c>
      <c r="I32" s="9">
        <v>2</v>
      </c>
      <c r="J32" s="43">
        <v>2</v>
      </c>
      <c r="K32" s="262">
        <f t="shared" si="0"/>
        <v>0.35859414261160716</v>
      </c>
      <c r="L32" s="163" t="s">
        <v>111</v>
      </c>
    </row>
    <row r="33" spans="1:12" hidden="1">
      <c r="A33" s="34" t="s">
        <v>109</v>
      </c>
      <c r="B33" s="339">
        <v>1995</v>
      </c>
      <c r="C33" s="59" t="s">
        <v>93</v>
      </c>
      <c r="D33" s="59">
        <v>98</v>
      </c>
      <c r="E33" s="364" t="s">
        <v>110</v>
      </c>
      <c r="F33" s="122">
        <v>1</v>
      </c>
      <c r="G33" s="9">
        <v>1</v>
      </c>
      <c r="H33" s="9">
        <v>1</v>
      </c>
      <c r="I33" s="9">
        <v>2</v>
      </c>
      <c r="J33" s="43">
        <v>2</v>
      </c>
      <c r="K33" s="262">
        <f t="shared" si="0"/>
        <v>0.35859414261160716</v>
      </c>
      <c r="L33" s="163" t="s">
        <v>111</v>
      </c>
    </row>
    <row r="34" spans="1:12" hidden="1">
      <c r="A34" s="34" t="s">
        <v>109</v>
      </c>
      <c r="B34" s="339">
        <v>1995</v>
      </c>
      <c r="C34" s="59" t="s">
        <v>98</v>
      </c>
      <c r="D34" s="59">
        <v>1106</v>
      </c>
      <c r="E34" s="364" t="s">
        <v>110</v>
      </c>
      <c r="F34" s="122">
        <v>1</v>
      </c>
      <c r="G34" s="9">
        <v>1</v>
      </c>
      <c r="H34" s="9">
        <v>1</v>
      </c>
      <c r="I34" s="9">
        <v>2</v>
      </c>
      <c r="J34" s="43">
        <v>2</v>
      </c>
      <c r="K34" s="262">
        <f t="shared" si="0"/>
        <v>0.35859414261160716</v>
      </c>
      <c r="L34" s="163" t="s">
        <v>111</v>
      </c>
    </row>
    <row r="35" spans="1:12" hidden="1">
      <c r="A35" s="34" t="s">
        <v>109</v>
      </c>
      <c r="B35" s="339">
        <v>1996</v>
      </c>
      <c r="C35" s="59" t="s">
        <v>85</v>
      </c>
      <c r="D35" s="59">
        <v>1435</v>
      </c>
      <c r="E35" s="364" t="s">
        <v>110</v>
      </c>
      <c r="F35" s="122">
        <v>1</v>
      </c>
      <c r="G35" s="9">
        <v>1</v>
      </c>
      <c r="H35" s="9">
        <v>1</v>
      </c>
      <c r="I35" s="9">
        <v>2</v>
      </c>
      <c r="J35" s="43">
        <v>2</v>
      </c>
      <c r="K35" s="262">
        <f t="shared" si="0"/>
        <v>0.35859414261160716</v>
      </c>
      <c r="L35" s="163" t="s">
        <v>111</v>
      </c>
    </row>
    <row r="36" spans="1:12" hidden="1">
      <c r="A36" s="34" t="s">
        <v>109</v>
      </c>
      <c r="B36" s="339">
        <v>1996</v>
      </c>
      <c r="C36" s="59" t="s">
        <v>86</v>
      </c>
      <c r="D36" s="59">
        <v>290</v>
      </c>
      <c r="E36" s="364" t="s">
        <v>110</v>
      </c>
      <c r="F36" s="122">
        <v>1</v>
      </c>
      <c r="G36" s="9">
        <v>1</v>
      </c>
      <c r="H36" s="9">
        <v>1</v>
      </c>
      <c r="I36" s="9">
        <v>2</v>
      </c>
      <c r="J36" s="43">
        <v>2</v>
      </c>
      <c r="K36" s="262">
        <f t="shared" si="0"/>
        <v>0.35859414261160716</v>
      </c>
      <c r="L36" s="163" t="s">
        <v>111</v>
      </c>
    </row>
    <row r="37" spans="1:12" hidden="1">
      <c r="A37" s="34" t="s">
        <v>109</v>
      </c>
      <c r="B37" s="339">
        <v>1996</v>
      </c>
      <c r="C37" s="59" t="s">
        <v>87</v>
      </c>
      <c r="D37" s="59">
        <v>852</v>
      </c>
      <c r="E37" s="364" t="s">
        <v>110</v>
      </c>
      <c r="F37" s="122">
        <v>1</v>
      </c>
      <c r="G37" s="9">
        <v>1</v>
      </c>
      <c r="H37" s="9">
        <v>1</v>
      </c>
      <c r="I37" s="9">
        <v>2</v>
      </c>
      <c r="J37" s="43">
        <v>2</v>
      </c>
      <c r="K37" s="262">
        <f t="shared" si="0"/>
        <v>0.35859414261160716</v>
      </c>
      <c r="L37" s="163" t="s">
        <v>111</v>
      </c>
    </row>
    <row r="38" spans="1:12">
      <c r="A38" s="34" t="s">
        <v>109</v>
      </c>
      <c r="B38" s="339">
        <v>1996</v>
      </c>
      <c r="C38" s="59" t="s">
        <v>88</v>
      </c>
      <c r="D38" s="59">
        <v>4</v>
      </c>
      <c r="E38" s="364" t="s">
        <v>110</v>
      </c>
      <c r="F38" s="122">
        <v>1</v>
      </c>
      <c r="G38" s="9">
        <v>1</v>
      </c>
      <c r="H38" s="9">
        <v>1</v>
      </c>
      <c r="I38" s="9">
        <v>2</v>
      </c>
      <c r="J38" s="43">
        <v>2</v>
      </c>
      <c r="K38" s="262">
        <f t="shared" si="0"/>
        <v>0.35859414261160716</v>
      </c>
      <c r="L38" s="163" t="s">
        <v>111</v>
      </c>
    </row>
    <row r="39" spans="1:12" hidden="1">
      <c r="A39" s="34" t="s">
        <v>109</v>
      </c>
      <c r="B39" s="339">
        <v>1996</v>
      </c>
      <c r="C39" s="59" t="s">
        <v>89</v>
      </c>
      <c r="D39" s="59">
        <v>191</v>
      </c>
      <c r="E39" s="364" t="s">
        <v>110</v>
      </c>
      <c r="F39" s="122">
        <v>1</v>
      </c>
      <c r="G39" s="9">
        <v>1</v>
      </c>
      <c r="H39" s="9">
        <v>1</v>
      </c>
      <c r="I39" s="9">
        <v>2</v>
      </c>
      <c r="J39" s="43">
        <v>2</v>
      </c>
      <c r="K39" s="262">
        <f t="shared" si="0"/>
        <v>0.35859414261160716</v>
      </c>
      <c r="L39" s="163" t="s">
        <v>111</v>
      </c>
    </row>
    <row r="40" spans="1:12" hidden="1">
      <c r="A40" s="34" t="s">
        <v>109</v>
      </c>
      <c r="B40" s="339">
        <v>1996</v>
      </c>
      <c r="C40" s="59" t="s">
        <v>90</v>
      </c>
      <c r="D40" s="59">
        <v>610</v>
      </c>
      <c r="E40" s="364" t="s">
        <v>110</v>
      </c>
      <c r="F40" s="122">
        <v>1</v>
      </c>
      <c r="G40" s="9">
        <v>1</v>
      </c>
      <c r="H40" s="9">
        <v>1</v>
      </c>
      <c r="I40" s="9">
        <v>2</v>
      </c>
      <c r="J40" s="43">
        <v>2</v>
      </c>
      <c r="K40" s="262">
        <f t="shared" si="0"/>
        <v>0.35859414261160716</v>
      </c>
      <c r="L40" s="163" t="s">
        <v>111</v>
      </c>
    </row>
    <row r="41" spans="1:12" hidden="1">
      <c r="A41" s="34" t="s">
        <v>109</v>
      </c>
      <c r="B41" s="339">
        <v>1996</v>
      </c>
      <c r="C41" s="59" t="s">
        <v>91</v>
      </c>
      <c r="D41" s="59">
        <v>0</v>
      </c>
      <c r="E41" s="364" t="s">
        <v>110</v>
      </c>
      <c r="F41" s="122">
        <v>1</v>
      </c>
      <c r="G41" s="9">
        <v>1</v>
      </c>
      <c r="H41" s="9">
        <v>1</v>
      </c>
      <c r="I41" s="9">
        <v>2</v>
      </c>
      <c r="J41" s="43">
        <v>2</v>
      </c>
      <c r="K41" s="262">
        <f t="shared" si="0"/>
        <v>0.35859414261160716</v>
      </c>
      <c r="L41" s="163" t="s">
        <v>111</v>
      </c>
    </row>
    <row r="42" spans="1:12" hidden="1">
      <c r="A42" s="34" t="s">
        <v>109</v>
      </c>
      <c r="B42" s="339">
        <v>1996</v>
      </c>
      <c r="C42" s="59" t="s">
        <v>94</v>
      </c>
      <c r="D42" s="59">
        <v>149</v>
      </c>
      <c r="E42" s="364" t="s">
        <v>110</v>
      </c>
      <c r="F42" s="122">
        <v>1</v>
      </c>
      <c r="G42" s="9">
        <v>1</v>
      </c>
      <c r="H42" s="9">
        <v>1</v>
      </c>
      <c r="I42" s="9">
        <v>2</v>
      </c>
      <c r="J42" s="43">
        <v>2</v>
      </c>
      <c r="K42" s="262">
        <f t="shared" si="0"/>
        <v>0.35859414261160716</v>
      </c>
      <c r="L42" s="163" t="s">
        <v>111</v>
      </c>
    </row>
    <row r="43" spans="1:12" hidden="1">
      <c r="A43" s="34" t="s">
        <v>109</v>
      </c>
      <c r="B43" s="339">
        <v>1996</v>
      </c>
      <c r="C43" s="59" t="s">
        <v>96</v>
      </c>
      <c r="D43" s="59">
        <v>337</v>
      </c>
      <c r="E43" s="364" t="s">
        <v>110</v>
      </c>
      <c r="F43" s="122">
        <v>1</v>
      </c>
      <c r="G43" s="9">
        <v>1</v>
      </c>
      <c r="H43" s="9">
        <v>1</v>
      </c>
      <c r="I43" s="9">
        <v>2</v>
      </c>
      <c r="J43" s="43">
        <v>2</v>
      </c>
      <c r="K43" s="262">
        <f t="shared" si="0"/>
        <v>0.35859414261160716</v>
      </c>
      <c r="L43" s="163" t="s">
        <v>111</v>
      </c>
    </row>
    <row r="44" spans="1:12">
      <c r="A44" s="34" t="s">
        <v>109</v>
      </c>
      <c r="B44" s="339">
        <v>1996</v>
      </c>
      <c r="C44" s="59" t="s">
        <v>97</v>
      </c>
      <c r="D44" s="59">
        <v>233</v>
      </c>
      <c r="E44" s="364" t="s">
        <v>110</v>
      </c>
      <c r="F44" s="122">
        <v>1</v>
      </c>
      <c r="G44" s="9">
        <v>1</v>
      </c>
      <c r="H44" s="9">
        <v>1</v>
      </c>
      <c r="I44" s="9">
        <v>2</v>
      </c>
      <c r="J44" s="43">
        <v>2</v>
      </c>
      <c r="K44" s="262">
        <f t="shared" si="0"/>
        <v>0.35859414261160716</v>
      </c>
      <c r="L44" s="163" t="s">
        <v>111</v>
      </c>
    </row>
    <row r="45" spans="1:12" hidden="1">
      <c r="A45" s="34" t="s">
        <v>109</v>
      </c>
      <c r="B45" s="339">
        <v>1996</v>
      </c>
      <c r="C45" s="59" t="s">
        <v>95</v>
      </c>
      <c r="D45" s="59">
        <v>200</v>
      </c>
      <c r="E45" s="364" t="s">
        <v>110</v>
      </c>
      <c r="F45" s="122">
        <v>1</v>
      </c>
      <c r="G45" s="9">
        <v>1</v>
      </c>
      <c r="H45" s="9">
        <v>1</v>
      </c>
      <c r="I45" s="9">
        <v>2</v>
      </c>
      <c r="J45" s="43">
        <v>2</v>
      </c>
      <c r="K45" s="262">
        <f t="shared" si="0"/>
        <v>0.35859414261160716</v>
      </c>
      <c r="L45" s="163" t="s">
        <v>111</v>
      </c>
    </row>
    <row r="46" spans="1:12" hidden="1">
      <c r="A46" s="34" t="s">
        <v>109</v>
      </c>
      <c r="B46" s="339">
        <v>1996</v>
      </c>
      <c r="C46" s="59" t="s">
        <v>93</v>
      </c>
      <c r="D46" s="59">
        <v>98</v>
      </c>
      <c r="E46" s="364" t="s">
        <v>110</v>
      </c>
      <c r="F46" s="122">
        <v>1</v>
      </c>
      <c r="G46" s="9">
        <v>1</v>
      </c>
      <c r="H46" s="9">
        <v>1</v>
      </c>
      <c r="I46" s="9">
        <v>2</v>
      </c>
      <c r="J46" s="43">
        <v>2</v>
      </c>
      <c r="K46" s="262">
        <f t="shared" si="0"/>
        <v>0.35859414261160716</v>
      </c>
      <c r="L46" s="163" t="s">
        <v>111</v>
      </c>
    </row>
    <row r="47" spans="1:12" hidden="1">
      <c r="A47" s="34" t="s">
        <v>109</v>
      </c>
      <c r="B47" s="339">
        <v>1996</v>
      </c>
      <c r="C47" s="59" t="s">
        <v>98</v>
      </c>
      <c r="D47" s="59">
        <v>1106</v>
      </c>
      <c r="E47" s="364" t="s">
        <v>110</v>
      </c>
      <c r="F47" s="122">
        <v>1</v>
      </c>
      <c r="G47" s="9">
        <v>1</v>
      </c>
      <c r="H47" s="9">
        <v>1</v>
      </c>
      <c r="I47" s="9">
        <v>2</v>
      </c>
      <c r="J47" s="43">
        <v>2</v>
      </c>
      <c r="K47" s="262">
        <f t="shared" si="0"/>
        <v>0.35859414261160716</v>
      </c>
      <c r="L47" s="163" t="s">
        <v>111</v>
      </c>
    </row>
    <row r="48" spans="1:12" hidden="1">
      <c r="A48" s="34" t="s">
        <v>109</v>
      </c>
      <c r="B48" s="339">
        <v>1997</v>
      </c>
      <c r="C48" s="59" t="s">
        <v>85</v>
      </c>
      <c r="D48" s="59">
        <v>1435</v>
      </c>
      <c r="E48" s="364" t="s">
        <v>110</v>
      </c>
      <c r="F48" s="122">
        <v>1</v>
      </c>
      <c r="G48" s="9">
        <v>1</v>
      </c>
      <c r="H48" s="9">
        <v>1</v>
      </c>
      <c r="I48" s="9">
        <v>2</v>
      </c>
      <c r="J48" s="43">
        <v>2</v>
      </c>
      <c r="K48" s="262">
        <f t="shared" si="0"/>
        <v>0.35859414261160716</v>
      </c>
      <c r="L48" s="163" t="s">
        <v>111</v>
      </c>
    </row>
    <row r="49" spans="1:12" hidden="1">
      <c r="A49" s="34" t="s">
        <v>109</v>
      </c>
      <c r="B49" s="339">
        <v>1997</v>
      </c>
      <c r="C49" s="59" t="s">
        <v>86</v>
      </c>
      <c r="D49" s="59">
        <v>290</v>
      </c>
      <c r="E49" s="364" t="s">
        <v>110</v>
      </c>
      <c r="F49" s="122">
        <v>1</v>
      </c>
      <c r="G49" s="9">
        <v>1</v>
      </c>
      <c r="H49" s="9">
        <v>1</v>
      </c>
      <c r="I49" s="9">
        <v>2</v>
      </c>
      <c r="J49" s="43">
        <v>2</v>
      </c>
      <c r="K49" s="262">
        <f t="shared" si="0"/>
        <v>0.35859414261160716</v>
      </c>
      <c r="L49" s="163" t="s">
        <v>111</v>
      </c>
    </row>
    <row r="50" spans="1:12" hidden="1">
      <c r="A50" s="34" t="s">
        <v>109</v>
      </c>
      <c r="B50" s="339">
        <v>1997</v>
      </c>
      <c r="C50" s="59" t="s">
        <v>87</v>
      </c>
      <c r="D50" s="59">
        <v>852</v>
      </c>
      <c r="E50" s="364" t="s">
        <v>110</v>
      </c>
      <c r="F50" s="122">
        <v>1</v>
      </c>
      <c r="G50" s="9">
        <v>1</v>
      </c>
      <c r="H50" s="9">
        <v>1</v>
      </c>
      <c r="I50" s="9">
        <v>2</v>
      </c>
      <c r="J50" s="43">
        <v>2</v>
      </c>
      <c r="K50" s="262">
        <f t="shared" si="0"/>
        <v>0.35859414261160716</v>
      </c>
      <c r="L50" s="163" t="s">
        <v>111</v>
      </c>
    </row>
    <row r="51" spans="1:12">
      <c r="A51" s="34" t="s">
        <v>109</v>
      </c>
      <c r="B51" s="339">
        <v>1997</v>
      </c>
      <c r="C51" s="59" t="s">
        <v>88</v>
      </c>
      <c r="D51" s="59">
        <v>38</v>
      </c>
      <c r="E51" s="364" t="s">
        <v>110</v>
      </c>
      <c r="F51" s="122">
        <v>1</v>
      </c>
      <c r="G51" s="9">
        <v>1</v>
      </c>
      <c r="H51" s="9">
        <v>1</v>
      </c>
      <c r="I51" s="9">
        <v>2</v>
      </c>
      <c r="J51" s="43">
        <v>2</v>
      </c>
      <c r="K51" s="262">
        <f t="shared" si="0"/>
        <v>0.35859414261160716</v>
      </c>
      <c r="L51" s="163" t="s">
        <v>111</v>
      </c>
    </row>
    <row r="52" spans="1:12" hidden="1">
      <c r="A52" s="34" t="s">
        <v>109</v>
      </c>
      <c r="B52" s="339">
        <v>1997</v>
      </c>
      <c r="C52" s="59" t="s">
        <v>89</v>
      </c>
      <c r="D52" s="59">
        <v>191</v>
      </c>
      <c r="E52" s="364" t="s">
        <v>110</v>
      </c>
      <c r="F52" s="122">
        <v>1</v>
      </c>
      <c r="G52" s="9">
        <v>1</v>
      </c>
      <c r="H52" s="9">
        <v>1</v>
      </c>
      <c r="I52" s="9">
        <v>2</v>
      </c>
      <c r="J52" s="43">
        <v>2</v>
      </c>
      <c r="K52" s="262">
        <f t="shared" si="0"/>
        <v>0.35859414261160716</v>
      </c>
      <c r="L52" s="163" t="s">
        <v>111</v>
      </c>
    </row>
    <row r="53" spans="1:12" hidden="1">
      <c r="A53" s="34" t="s">
        <v>109</v>
      </c>
      <c r="B53" s="339">
        <v>1997</v>
      </c>
      <c r="C53" s="59" t="s">
        <v>90</v>
      </c>
      <c r="D53" s="59">
        <v>610</v>
      </c>
      <c r="E53" s="364" t="s">
        <v>110</v>
      </c>
      <c r="F53" s="122">
        <v>1</v>
      </c>
      <c r="G53" s="9">
        <v>1</v>
      </c>
      <c r="H53" s="9">
        <v>1</v>
      </c>
      <c r="I53" s="9">
        <v>2</v>
      </c>
      <c r="J53" s="43">
        <v>2</v>
      </c>
      <c r="K53" s="262">
        <f t="shared" si="0"/>
        <v>0.35859414261160716</v>
      </c>
      <c r="L53" s="163" t="s">
        <v>111</v>
      </c>
    </row>
    <row r="54" spans="1:12" hidden="1">
      <c r="A54" s="34" t="s">
        <v>109</v>
      </c>
      <c r="B54" s="339">
        <v>1997</v>
      </c>
      <c r="C54" s="59" t="s">
        <v>91</v>
      </c>
      <c r="D54" s="59">
        <v>0</v>
      </c>
      <c r="E54" s="364" t="s">
        <v>110</v>
      </c>
      <c r="F54" s="122">
        <v>1</v>
      </c>
      <c r="G54" s="9">
        <v>1</v>
      </c>
      <c r="H54" s="9">
        <v>1</v>
      </c>
      <c r="I54" s="9">
        <v>2</v>
      </c>
      <c r="J54" s="43">
        <v>2</v>
      </c>
      <c r="K54" s="262">
        <f t="shared" si="0"/>
        <v>0.35859414261160716</v>
      </c>
      <c r="L54" s="163" t="s">
        <v>111</v>
      </c>
    </row>
    <row r="55" spans="1:12" hidden="1">
      <c r="A55" s="34" t="s">
        <v>109</v>
      </c>
      <c r="B55" s="339">
        <v>1997</v>
      </c>
      <c r="C55" s="59" t="s">
        <v>94</v>
      </c>
      <c r="D55" s="59">
        <v>155</v>
      </c>
      <c r="E55" s="364" t="s">
        <v>110</v>
      </c>
      <c r="F55" s="122">
        <v>1</v>
      </c>
      <c r="G55" s="9">
        <v>1</v>
      </c>
      <c r="H55" s="9">
        <v>1</v>
      </c>
      <c r="I55" s="9">
        <v>2</v>
      </c>
      <c r="J55" s="43">
        <v>2</v>
      </c>
      <c r="K55" s="262">
        <f t="shared" si="0"/>
        <v>0.35859414261160716</v>
      </c>
      <c r="L55" s="163" t="s">
        <v>111</v>
      </c>
    </row>
    <row r="56" spans="1:12" hidden="1">
      <c r="A56" s="34" t="s">
        <v>109</v>
      </c>
      <c r="B56" s="339">
        <v>1997</v>
      </c>
      <c r="C56" s="59" t="s">
        <v>96</v>
      </c>
      <c r="D56" s="59">
        <v>337</v>
      </c>
      <c r="E56" s="364" t="s">
        <v>110</v>
      </c>
      <c r="F56" s="122">
        <v>1</v>
      </c>
      <c r="G56" s="9">
        <v>1</v>
      </c>
      <c r="H56" s="9">
        <v>1</v>
      </c>
      <c r="I56" s="9">
        <v>2</v>
      </c>
      <c r="J56" s="43">
        <v>2</v>
      </c>
      <c r="K56" s="262">
        <f t="shared" si="0"/>
        <v>0.35859414261160716</v>
      </c>
      <c r="L56" s="163" t="s">
        <v>111</v>
      </c>
    </row>
    <row r="57" spans="1:12">
      <c r="A57" s="34" t="s">
        <v>109</v>
      </c>
      <c r="B57" s="339">
        <v>1997</v>
      </c>
      <c r="C57" s="59" t="s">
        <v>97</v>
      </c>
      <c r="D57" s="59">
        <v>233</v>
      </c>
      <c r="E57" s="364" t="s">
        <v>110</v>
      </c>
      <c r="F57" s="122">
        <v>1</v>
      </c>
      <c r="G57" s="9">
        <v>1</v>
      </c>
      <c r="H57" s="9">
        <v>1</v>
      </c>
      <c r="I57" s="9">
        <v>2</v>
      </c>
      <c r="J57" s="43">
        <v>2</v>
      </c>
      <c r="K57" s="262">
        <f t="shared" si="0"/>
        <v>0.35859414261160716</v>
      </c>
      <c r="L57" s="163" t="s">
        <v>111</v>
      </c>
    </row>
    <row r="58" spans="1:12" hidden="1">
      <c r="A58" s="34" t="s">
        <v>109</v>
      </c>
      <c r="B58" s="339">
        <v>1997</v>
      </c>
      <c r="C58" s="59" t="s">
        <v>95</v>
      </c>
      <c r="D58" s="59">
        <v>200</v>
      </c>
      <c r="E58" s="364" t="s">
        <v>110</v>
      </c>
      <c r="F58" s="122">
        <v>1</v>
      </c>
      <c r="G58" s="9">
        <v>1</v>
      </c>
      <c r="H58" s="9">
        <v>1</v>
      </c>
      <c r="I58" s="9">
        <v>2</v>
      </c>
      <c r="J58" s="43">
        <v>2</v>
      </c>
      <c r="K58" s="262">
        <f t="shared" si="0"/>
        <v>0.35859414261160716</v>
      </c>
      <c r="L58" s="163" t="s">
        <v>111</v>
      </c>
    </row>
    <row r="59" spans="1:12" hidden="1">
      <c r="A59" s="34" t="s">
        <v>109</v>
      </c>
      <c r="B59" s="339">
        <v>1997</v>
      </c>
      <c r="C59" s="59" t="s">
        <v>93</v>
      </c>
      <c r="D59" s="59">
        <v>98</v>
      </c>
      <c r="E59" s="364" t="s">
        <v>110</v>
      </c>
      <c r="F59" s="122">
        <v>1</v>
      </c>
      <c r="G59" s="9">
        <v>1</v>
      </c>
      <c r="H59" s="9">
        <v>1</v>
      </c>
      <c r="I59" s="9">
        <v>2</v>
      </c>
      <c r="J59" s="43">
        <v>2</v>
      </c>
      <c r="K59" s="262">
        <f t="shared" si="0"/>
        <v>0.35859414261160716</v>
      </c>
      <c r="L59" s="163" t="s">
        <v>111</v>
      </c>
    </row>
    <row r="60" spans="1:12" hidden="1">
      <c r="A60" s="34" t="s">
        <v>109</v>
      </c>
      <c r="B60" s="339">
        <v>1997</v>
      </c>
      <c r="C60" s="59" t="s">
        <v>98</v>
      </c>
      <c r="D60" s="59">
        <v>1233</v>
      </c>
      <c r="E60" s="364" t="s">
        <v>110</v>
      </c>
      <c r="F60" s="122">
        <v>1</v>
      </c>
      <c r="G60" s="9">
        <v>1</v>
      </c>
      <c r="H60" s="9">
        <v>1</v>
      </c>
      <c r="I60" s="9">
        <v>2</v>
      </c>
      <c r="J60" s="43">
        <v>2</v>
      </c>
      <c r="K60" s="262">
        <f t="shared" si="0"/>
        <v>0.35859414261160716</v>
      </c>
      <c r="L60" s="163" t="s">
        <v>111</v>
      </c>
    </row>
    <row r="61" spans="1:12" hidden="1">
      <c r="A61" s="34" t="s">
        <v>109</v>
      </c>
      <c r="B61" s="339">
        <v>1998</v>
      </c>
      <c r="C61" s="59" t="s">
        <v>85</v>
      </c>
      <c r="D61" s="59">
        <v>1435</v>
      </c>
      <c r="E61" s="364" t="s">
        <v>110</v>
      </c>
      <c r="F61" s="122">
        <v>1</v>
      </c>
      <c r="G61" s="9">
        <v>1</v>
      </c>
      <c r="H61" s="9">
        <v>1</v>
      </c>
      <c r="I61" s="9">
        <v>2</v>
      </c>
      <c r="J61" s="43">
        <v>2</v>
      </c>
      <c r="K61" s="262">
        <f t="shared" ref="K61:K124" si="1">IF( OR( ISBLANK(F61),ISBLANK(G61), ISBLANK(H61), ISBLANK(I61), ISBLANK(J61) ), "", 1.5*SQRT(   EXP(2.21*(F61-1)) + EXP(2.21*(G61-1)) + EXP(2.21*(H61-1)) + EXP(2.21*(I61-1)) + EXP(2.21*J61)   )/100*2.45 )</f>
        <v>0.35859414261160716</v>
      </c>
      <c r="L61" s="163" t="s">
        <v>111</v>
      </c>
    </row>
    <row r="62" spans="1:12" hidden="1">
      <c r="A62" s="34" t="s">
        <v>109</v>
      </c>
      <c r="B62" s="339">
        <v>1998</v>
      </c>
      <c r="C62" s="59" t="s">
        <v>86</v>
      </c>
      <c r="D62" s="59">
        <v>290</v>
      </c>
      <c r="E62" s="364" t="s">
        <v>110</v>
      </c>
      <c r="F62" s="122">
        <v>1</v>
      </c>
      <c r="G62" s="9">
        <v>1</v>
      </c>
      <c r="H62" s="9">
        <v>1</v>
      </c>
      <c r="I62" s="9">
        <v>2</v>
      </c>
      <c r="J62" s="43">
        <v>2</v>
      </c>
      <c r="K62" s="262">
        <f t="shared" si="1"/>
        <v>0.35859414261160716</v>
      </c>
      <c r="L62" s="163" t="s">
        <v>111</v>
      </c>
    </row>
    <row r="63" spans="1:12" hidden="1">
      <c r="A63" s="34" t="s">
        <v>109</v>
      </c>
      <c r="B63" s="339">
        <v>1998</v>
      </c>
      <c r="C63" s="59" t="s">
        <v>87</v>
      </c>
      <c r="D63" s="59">
        <v>852</v>
      </c>
      <c r="E63" s="364" t="s">
        <v>110</v>
      </c>
      <c r="F63" s="122">
        <v>1</v>
      </c>
      <c r="G63" s="9">
        <v>1</v>
      </c>
      <c r="H63" s="9">
        <v>1</v>
      </c>
      <c r="I63" s="9">
        <v>2</v>
      </c>
      <c r="J63" s="43">
        <v>2</v>
      </c>
      <c r="K63" s="262">
        <f t="shared" si="1"/>
        <v>0.35859414261160716</v>
      </c>
      <c r="L63" s="163" t="s">
        <v>111</v>
      </c>
    </row>
    <row r="64" spans="1:12">
      <c r="A64" s="34" t="s">
        <v>109</v>
      </c>
      <c r="B64" s="339">
        <v>1998</v>
      </c>
      <c r="C64" s="59" t="s">
        <v>88</v>
      </c>
      <c r="D64" s="59">
        <v>33</v>
      </c>
      <c r="E64" s="364" t="s">
        <v>110</v>
      </c>
      <c r="F64" s="122">
        <v>1</v>
      </c>
      <c r="G64" s="9">
        <v>1</v>
      </c>
      <c r="H64" s="9">
        <v>1</v>
      </c>
      <c r="I64" s="9">
        <v>2</v>
      </c>
      <c r="J64" s="43">
        <v>2</v>
      </c>
      <c r="K64" s="262">
        <f t="shared" si="1"/>
        <v>0.35859414261160716</v>
      </c>
      <c r="L64" s="163" t="s">
        <v>111</v>
      </c>
    </row>
    <row r="65" spans="1:12" hidden="1">
      <c r="A65" s="34" t="s">
        <v>109</v>
      </c>
      <c r="B65" s="339">
        <v>1998</v>
      </c>
      <c r="C65" s="59" t="s">
        <v>89</v>
      </c>
      <c r="D65" s="59">
        <v>191</v>
      </c>
      <c r="E65" s="364" t="s">
        <v>110</v>
      </c>
      <c r="F65" s="122">
        <v>1</v>
      </c>
      <c r="G65" s="9">
        <v>1</v>
      </c>
      <c r="H65" s="9">
        <v>1</v>
      </c>
      <c r="I65" s="9">
        <v>2</v>
      </c>
      <c r="J65" s="43">
        <v>2</v>
      </c>
      <c r="K65" s="262">
        <f t="shared" si="1"/>
        <v>0.35859414261160716</v>
      </c>
      <c r="L65" s="163" t="s">
        <v>111</v>
      </c>
    </row>
    <row r="66" spans="1:12" hidden="1">
      <c r="A66" s="34" t="s">
        <v>109</v>
      </c>
      <c r="B66" s="339">
        <v>1998</v>
      </c>
      <c r="C66" s="59" t="s">
        <v>90</v>
      </c>
      <c r="D66" s="59">
        <v>610</v>
      </c>
      <c r="E66" s="364" t="s">
        <v>110</v>
      </c>
      <c r="F66" s="122">
        <v>1</v>
      </c>
      <c r="G66" s="9">
        <v>1</v>
      </c>
      <c r="H66" s="9">
        <v>1</v>
      </c>
      <c r="I66" s="9">
        <v>2</v>
      </c>
      <c r="J66" s="43">
        <v>2</v>
      </c>
      <c r="K66" s="262">
        <f t="shared" si="1"/>
        <v>0.35859414261160716</v>
      </c>
      <c r="L66" s="163" t="s">
        <v>111</v>
      </c>
    </row>
    <row r="67" spans="1:12" hidden="1">
      <c r="A67" s="34" t="s">
        <v>109</v>
      </c>
      <c r="B67" s="339">
        <v>1998</v>
      </c>
      <c r="C67" s="59" t="s">
        <v>91</v>
      </c>
      <c r="D67" s="59">
        <v>0</v>
      </c>
      <c r="E67" s="364" t="s">
        <v>110</v>
      </c>
      <c r="F67" s="122">
        <v>1</v>
      </c>
      <c r="G67" s="9">
        <v>1</v>
      </c>
      <c r="H67" s="9">
        <v>1</v>
      </c>
      <c r="I67" s="9">
        <v>2</v>
      </c>
      <c r="J67" s="43">
        <v>2</v>
      </c>
      <c r="K67" s="262">
        <f t="shared" si="1"/>
        <v>0.35859414261160716</v>
      </c>
      <c r="L67" s="163" t="s">
        <v>111</v>
      </c>
    </row>
    <row r="68" spans="1:12" hidden="1">
      <c r="A68" s="34" t="s">
        <v>109</v>
      </c>
      <c r="B68" s="339">
        <v>1998</v>
      </c>
      <c r="C68" s="59" t="s">
        <v>94</v>
      </c>
      <c r="D68" s="59">
        <v>144</v>
      </c>
      <c r="E68" s="364" t="s">
        <v>110</v>
      </c>
      <c r="F68" s="122">
        <v>1</v>
      </c>
      <c r="G68" s="9">
        <v>1</v>
      </c>
      <c r="H68" s="9">
        <v>1</v>
      </c>
      <c r="I68" s="9">
        <v>2</v>
      </c>
      <c r="J68" s="43">
        <v>2</v>
      </c>
      <c r="K68" s="262">
        <f t="shared" si="1"/>
        <v>0.35859414261160716</v>
      </c>
      <c r="L68" s="163" t="s">
        <v>111</v>
      </c>
    </row>
    <row r="69" spans="1:12" hidden="1">
      <c r="A69" s="34" t="s">
        <v>109</v>
      </c>
      <c r="B69" s="339">
        <v>1998</v>
      </c>
      <c r="C69" s="59" t="s">
        <v>96</v>
      </c>
      <c r="D69" s="59">
        <v>337</v>
      </c>
      <c r="E69" s="364" t="s">
        <v>110</v>
      </c>
      <c r="F69" s="122">
        <v>1</v>
      </c>
      <c r="G69" s="9">
        <v>1</v>
      </c>
      <c r="H69" s="9">
        <v>1</v>
      </c>
      <c r="I69" s="9">
        <v>2</v>
      </c>
      <c r="J69" s="43">
        <v>2</v>
      </c>
      <c r="K69" s="262">
        <f t="shared" si="1"/>
        <v>0.35859414261160716</v>
      </c>
      <c r="L69" s="163" t="s">
        <v>111</v>
      </c>
    </row>
    <row r="70" spans="1:12">
      <c r="A70" s="34" t="s">
        <v>109</v>
      </c>
      <c r="B70" s="339">
        <v>1998</v>
      </c>
      <c r="C70" s="59" t="s">
        <v>97</v>
      </c>
      <c r="D70" s="59">
        <v>233</v>
      </c>
      <c r="E70" s="364" t="s">
        <v>110</v>
      </c>
      <c r="F70" s="122">
        <v>1</v>
      </c>
      <c r="G70" s="9">
        <v>1</v>
      </c>
      <c r="H70" s="9">
        <v>1</v>
      </c>
      <c r="I70" s="9">
        <v>2</v>
      </c>
      <c r="J70" s="43">
        <v>2</v>
      </c>
      <c r="K70" s="262">
        <f t="shared" si="1"/>
        <v>0.35859414261160716</v>
      </c>
      <c r="L70" s="163" t="s">
        <v>111</v>
      </c>
    </row>
    <row r="71" spans="1:12" hidden="1">
      <c r="A71" s="34" t="s">
        <v>109</v>
      </c>
      <c r="B71" s="339">
        <v>1998</v>
      </c>
      <c r="C71" s="59" t="s">
        <v>95</v>
      </c>
      <c r="D71" s="59">
        <v>200</v>
      </c>
      <c r="E71" s="364" t="s">
        <v>110</v>
      </c>
      <c r="F71" s="122">
        <v>1</v>
      </c>
      <c r="G71" s="9">
        <v>1</v>
      </c>
      <c r="H71" s="9">
        <v>1</v>
      </c>
      <c r="I71" s="9">
        <v>2</v>
      </c>
      <c r="J71" s="43">
        <v>2</v>
      </c>
      <c r="K71" s="262">
        <f t="shared" si="1"/>
        <v>0.35859414261160716</v>
      </c>
      <c r="L71" s="163" t="s">
        <v>111</v>
      </c>
    </row>
    <row r="72" spans="1:12" hidden="1">
      <c r="A72" s="34" t="s">
        <v>109</v>
      </c>
      <c r="B72" s="339">
        <v>1998</v>
      </c>
      <c r="C72" s="59" t="s">
        <v>93</v>
      </c>
      <c r="D72" s="59">
        <v>98</v>
      </c>
      <c r="E72" s="636" t="s">
        <v>110</v>
      </c>
      <c r="F72" s="9">
        <v>1</v>
      </c>
      <c r="G72" s="9">
        <v>1</v>
      </c>
      <c r="H72" s="9">
        <v>1</v>
      </c>
      <c r="I72" s="9">
        <v>2</v>
      </c>
      <c r="J72" s="43">
        <v>2</v>
      </c>
      <c r="K72" s="262">
        <f t="shared" si="1"/>
        <v>0.35859414261160716</v>
      </c>
      <c r="L72" s="163" t="s">
        <v>111</v>
      </c>
    </row>
    <row r="73" spans="1:12" hidden="1">
      <c r="A73" s="34" t="s">
        <v>109</v>
      </c>
      <c r="B73" s="339">
        <v>1998</v>
      </c>
      <c r="C73" s="59" t="s">
        <v>98</v>
      </c>
      <c r="D73" s="59">
        <v>1521</v>
      </c>
      <c r="E73" s="636" t="s">
        <v>110</v>
      </c>
      <c r="F73" s="9">
        <v>1</v>
      </c>
      <c r="G73" s="9">
        <v>1</v>
      </c>
      <c r="H73" s="9">
        <v>1</v>
      </c>
      <c r="I73" s="9">
        <v>2</v>
      </c>
      <c r="J73" s="43">
        <v>2</v>
      </c>
      <c r="K73" s="262">
        <f t="shared" si="1"/>
        <v>0.35859414261160716</v>
      </c>
      <c r="L73" s="163" t="s">
        <v>111</v>
      </c>
    </row>
    <row r="74" spans="1:12" hidden="1">
      <c r="A74" s="34" t="s">
        <v>109</v>
      </c>
      <c r="B74" s="339">
        <v>1999</v>
      </c>
      <c r="C74" s="59" t="s">
        <v>85</v>
      </c>
      <c r="D74" s="59">
        <v>1435</v>
      </c>
      <c r="E74" s="636" t="s">
        <v>110</v>
      </c>
      <c r="F74" s="9">
        <v>1</v>
      </c>
      <c r="G74" s="9">
        <v>1</v>
      </c>
      <c r="H74" s="9">
        <v>1</v>
      </c>
      <c r="I74" s="9">
        <v>2</v>
      </c>
      <c r="J74" s="43">
        <v>2</v>
      </c>
      <c r="K74" s="262">
        <f t="shared" si="1"/>
        <v>0.35859414261160716</v>
      </c>
      <c r="L74" s="163" t="s">
        <v>111</v>
      </c>
    </row>
    <row r="75" spans="1:12" hidden="1">
      <c r="A75" s="34" t="s">
        <v>109</v>
      </c>
      <c r="B75" s="339">
        <v>1999</v>
      </c>
      <c r="C75" s="59" t="s">
        <v>86</v>
      </c>
      <c r="D75" s="59">
        <v>290</v>
      </c>
      <c r="E75" s="636" t="s">
        <v>110</v>
      </c>
      <c r="F75" s="9">
        <v>1</v>
      </c>
      <c r="G75" s="9">
        <v>1</v>
      </c>
      <c r="H75" s="9">
        <v>1</v>
      </c>
      <c r="I75" s="9">
        <v>2</v>
      </c>
      <c r="J75" s="43">
        <v>2</v>
      </c>
      <c r="K75" s="262">
        <f t="shared" si="1"/>
        <v>0.35859414261160716</v>
      </c>
      <c r="L75" s="163" t="s">
        <v>111</v>
      </c>
    </row>
    <row r="76" spans="1:12" hidden="1">
      <c r="A76" s="34" t="s">
        <v>109</v>
      </c>
      <c r="B76" s="339">
        <v>1999</v>
      </c>
      <c r="C76" s="59" t="s">
        <v>87</v>
      </c>
      <c r="D76" s="59">
        <v>852</v>
      </c>
      <c r="E76" s="636" t="s">
        <v>110</v>
      </c>
      <c r="F76" s="9">
        <v>1</v>
      </c>
      <c r="G76" s="9">
        <v>1</v>
      </c>
      <c r="H76" s="9">
        <v>1</v>
      </c>
      <c r="I76" s="9">
        <v>2</v>
      </c>
      <c r="J76" s="43">
        <v>2</v>
      </c>
      <c r="K76" s="262">
        <f t="shared" si="1"/>
        <v>0.35859414261160716</v>
      </c>
      <c r="L76" s="163" t="s">
        <v>111</v>
      </c>
    </row>
    <row r="77" spans="1:12">
      <c r="A77" s="34" t="s">
        <v>109</v>
      </c>
      <c r="B77" s="339">
        <v>1999</v>
      </c>
      <c r="C77" s="59" t="s">
        <v>88</v>
      </c>
      <c r="D77" s="59">
        <v>38</v>
      </c>
      <c r="E77" s="636" t="s">
        <v>110</v>
      </c>
      <c r="F77" s="9">
        <v>1</v>
      </c>
      <c r="G77" s="9">
        <v>1</v>
      </c>
      <c r="H77" s="9">
        <v>1</v>
      </c>
      <c r="I77" s="9">
        <v>2</v>
      </c>
      <c r="J77" s="43">
        <v>2</v>
      </c>
      <c r="K77" s="262">
        <f t="shared" si="1"/>
        <v>0.35859414261160716</v>
      </c>
      <c r="L77" s="163" t="s">
        <v>111</v>
      </c>
    </row>
    <row r="78" spans="1:12" hidden="1">
      <c r="A78" s="34" t="s">
        <v>109</v>
      </c>
      <c r="B78" s="339">
        <v>1999</v>
      </c>
      <c r="C78" s="59" t="s">
        <v>89</v>
      </c>
      <c r="D78" s="59">
        <v>191</v>
      </c>
      <c r="E78" s="636" t="s">
        <v>110</v>
      </c>
      <c r="F78" s="9">
        <v>1</v>
      </c>
      <c r="G78" s="9">
        <v>1</v>
      </c>
      <c r="H78" s="9">
        <v>1</v>
      </c>
      <c r="I78" s="9">
        <v>2</v>
      </c>
      <c r="J78" s="43">
        <v>2</v>
      </c>
      <c r="K78" s="262">
        <f t="shared" si="1"/>
        <v>0.35859414261160716</v>
      </c>
      <c r="L78" s="163" t="s">
        <v>111</v>
      </c>
    </row>
    <row r="79" spans="1:12" hidden="1">
      <c r="A79" s="34" t="s">
        <v>109</v>
      </c>
      <c r="B79" s="339">
        <v>1999</v>
      </c>
      <c r="C79" s="59" t="s">
        <v>90</v>
      </c>
      <c r="D79" s="59">
        <v>610</v>
      </c>
      <c r="E79" s="636" t="s">
        <v>110</v>
      </c>
      <c r="F79" s="9">
        <v>1</v>
      </c>
      <c r="G79" s="9">
        <v>1</v>
      </c>
      <c r="H79" s="9">
        <v>1</v>
      </c>
      <c r="I79" s="9">
        <v>2</v>
      </c>
      <c r="J79" s="43">
        <v>2</v>
      </c>
      <c r="K79" s="262">
        <f t="shared" si="1"/>
        <v>0.35859414261160716</v>
      </c>
      <c r="L79" s="163" t="s">
        <v>111</v>
      </c>
    </row>
    <row r="80" spans="1:12" hidden="1">
      <c r="A80" s="34" t="s">
        <v>109</v>
      </c>
      <c r="B80" s="339">
        <v>1999</v>
      </c>
      <c r="C80" s="59" t="s">
        <v>91</v>
      </c>
      <c r="D80" s="59">
        <v>0</v>
      </c>
      <c r="E80" s="636" t="s">
        <v>110</v>
      </c>
      <c r="F80" s="9">
        <v>1</v>
      </c>
      <c r="G80" s="9">
        <v>1</v>
      </c>
      <c r="H80" s="9">
        <v>1</v>
      </c>
      <c r="I80" s="9">
        <v>2</v>
      </c>
      <c r="J80" s="43">
        <v>2</v>
      </c>
      <c r="K80" s="262">
        <f t="shared" si="1"/>
        <v>0.35859414261160716</v>
      </c>
      <c r="L80" s="163" t="s">
        <v>111</v>
      </c>
    </row>
    <row r="81" spans="1:12" hidden="1">
      <c r="A81" s="34" t="s">
        <v>109</v>
      </c>
      <c r="B81" s="339">
        <v>1999</v>
      </c>
      <c r="C81" s="59" t="s">
        <v>94</v>
      </c>
      <c r="D81" s="59">
        <v>108</v>
      </c>
      <c r="E81" s="636" t="s">
        <v>110</v>
      </c>
      <c r="F81" s="9">
        <v>1</v>
      </c>
      <c r="G81" s="9">
        <v>1</v>
      </c>
      <c r="H81" s="9">
        <v>1</v>
      </c>
      <c r="I81" s="9">
        <v>2</v>
      </c>
      <c r="J81" s="43">
        <v>2</v>
      </c>
      <c r="K81" s="262">
        <f t="shared" si="1"/>
        <v>0.35859414261160716</v>
      </c>
      <c r="L81" s="163" t="s">
        <v>111</v>
      </c>
    </row>
    <row r="82" spans="1:12" hidden="1">
      <c r="A82" s="34" t="s">
        <v>109</v>
      </c>
      <c r="B82" s="339">
        <v>1999</v>
      </c>
      <c r="C82" s="59" t="s">
        <v>96</v>
      </c>
      <c r="D82" s="59">
        <v>337</v>
      </c>
      <c r="E82" s="636" t="s">
        <v>110</v>
      </c>
      <c r="F82" s="9">
        <v>1</v>
      </c>
      <c r="G82" s="9">
        <v>1</v>
      </c>
      <c r="H82" s="9">
        <v>1</v>
      </c>
      <c r="I82" s="9">
        <v>2</v>
      </c>
      <c r="J82" s="43">
        <v>2</v>
      </c>
      <c r="K82" s="262">
        <f t="shared" si="1"/>
        <v>0.35859414261160716</v>
      </c>
      <c r="L82" s="163" t="s">
        <v>111</v>
      </c>
    </row>
    <row r="83" spans="1:12">
      <c r="A83" s="34" t="s">
        <v>109</v>
      </c>
      <c r="B83" s="339">
        <v>1999</v>
      </c>
      <c r="C83" s="59" t="s">
        <v>97</v>
      </c>
      <c r="D83" s="59">
        <v>233</v>
      </c>
      <c r="E83" s="636" t="s">
        <v>110</v>
      </c>
      <c r="F83" s="9">
        <v>1</v>
      </c>
      <c r="G83" s="9">
        <v>1</v>
      </c>
      <c r="H83" s="9">
        <v>1</v>
      </c>
      <c r="I83" s="9">
        <v>2</v>
      </c>
      <c r="J83" s="43">
        <v>2</v>
      </c>
      <c r="K83" s="262">
        <f t="shared" si="1"/>
        <v>0.35859414261160716</v>
      </c>
      <c r="L83" s="163" t="s">
        <v>111</v>
      </c>
    </row>
    <row r="84" spans="1:12" hidden="1">
      <c r="A84" s="34" t="s">
        <v>109</v>
      </c>
      <c r="B84" s="339">
        <v>1999</v>
      </c>
      <c r="C84" s="59" t="s">
        <v>95</v>
      </c>
      <c r="D84" s="59">
        <v>200</v>
      </c>
      <c r="E84" s="496" t="s">
        <v>110</v>
      </c>
      <c r="F84" s="122">
        <v>1</v>
      </c>
      <c r="G84" s="118">
        <v>1</v>
      </c>
      <c r="H84" s="118">
        <v>1</v>
      </c>
      <c r="I84" s="9">
        <v>2</v>
      </c>
      <c r="J84" s="43">
        <v>2</v>
      </c>
      <c r="K84" s="262">
        <f t="shared" si="1"/>
        <v>0.35859414261160716</v>
      </c>
      <c r="L84" s="163" t="s">
        <v>111</v>
      </c>
    </row>
    <row r="85" spans="1:12" hidden="1">
      <c r="A85" s="34" t="s">
        <v>109</v>
      </c>
      <c r="B85" s="339">
        <v>1999</v>
      </c>
      <c r="C85" s="59" t="s">
        <v>93</v>
      </c>
      <c r="D85" s="59">
        <v>98</v>
      </c>
      <c r="E85" s="496" t="s">
        <v>110</v>
      </c>
      <c r="F85" s="122">
        <v>1</v>
      </c>
      <c r="G85" s="118">
        <v>1</v>
      </c>
      <c r="H85" s="118">
        <v>1</v>
      </c>
      <c r="I85" s="9">
        <v>2</v>
      </c>
      <c r="J85" s="43">
        <v>2</v>
      </c>
      <c r="K85" s="262">
        <f t="shared" si="1"/>
        <v>0.35859414261160716</v>
      </c>
      <c r="L85" s="163" t="s">
        <v>111</v>
      </c>
    </row>
    <row r="86" spans="1:12" hidden="1">
      <c r="A86" s="34" t="s">
        <v>109</v>
      </c>
      <c r="B86" s="339">
        <v>1999</v>
      </c>
      <c r="C86" s="59" t="s">
        <v>98</v>
      </c>
      <c r="D86" s="59">
        <v>1633</v>
      </c>
      <c r="E86" s="496" t="s">
        <v>110</v>
      </c>
      <c r="F86" s="122">
        <v>1</v>
      </c>
      <c r="G86" s="118">
        <v>1</v>
      </c>
      <c r="H86" s="118">
        <v>1</v>
      </c>
      <c r="I86" s="9">
        <v>2</v>
      </c>
      <c r="J86" s="43">
        <v>2</v>
      </c>
      <c r="K86" s="262">
        <f t="shared" si="1"/>
        <v>0.35859414261160716</v>
      </c>
      <c r="L86" s="163" t="s">
        <v>111</v>
      </c>
    </row>
    <row r="87" spans="1:12" hidden="1">
      <c r="A87" s="34" t="s">
        <v>109</v>
      </c>
      <c r="B87" s="339">
        <v>2000</v>
      </c>
      <c r="C87" s="59" t="s">
        <v>85</v>
      </c>
      <c r="D87" s="59">
        <v>1435</v>
      </c>
      <c r="E87" s="496" t="s">
        <v>110</v>
      </c>
      <c r="F87" s="614">
        <v>1</v>
      </c>
      <c r="G87" s="118">
        <v>1</v>
      </c>
      <c r="H87" s="118">
        <v>1</v>
      </c>
      <c r="I87" s="118">
        <v>2</v>
      </c>
      <c r="J87" s="660">
        <v>2</v>
      </c>
      <c r="K87" s="262">
        <f t="shared" si="1"/>
        <v>0.35859414261160716</v>
      </c>
      <c r="L87" s="163" t="s">
        <v>111</v>
      </c>
    </row>
    <row r="88" spans="1:12" hidden="1">
      <c r="A88" s="34" t="s">
        <v>109</v>
      </c>
      <c r="B88" s="339">
        <v>2000</v>
      </c>
      <c r="C88" s="59" t="s">
        <v>86</v>
      </c>
      <c r="D88" s="59">
        <v>290</v>
      </c>
      <c r="E88" s="496" t="s">
        <v>110</v>
      </c>
      <c r="F88" s="122">
        <v>1</v>
      </c>
      <c r="G88" s="118">
        <v>1</v>
      </c>
      <c r="H88" s="118">
        <v>1</v>
      </c>
      <c r="I88" s="9">
        <v>2</v>
      </c>
      <c r="J88" s="43">
        <v>2</v>
      </c>
      <c r="K88" s="262">
        <f t="shared" si="1"/>
        <v>0.35859414261160716</v>
      </c>
      <c r="L88" s="163" t="s">
        <v>111</v>
      </c>
    </row>
    <row r="89" spans="1:12" hidden="1">
      <c r="A89" s="34" t="s">
        <v>109</v>
      </c>
      <c r="B89" s="339">
        <v>2000</v>
      </c>
      <c r="C89" s="59" t="s">
        <v>87</v>
      </c>
      <c r="D89" s="59">
        <v>852</v>
      </c>
      <c r="E89" s="496" t="s">
        <v>110</v>
      </c>
      <c r="F89" s="122">
        <v>1</v>
      </c>
      <c r="G89" s="118">
        <v>1</v>
      </c>
      <c r="H89" s="118">
        <v>1</v>
      </c>
      <c r="I89" s="9">
        <v>2</v>
      </c>
      <c r="J89" s="43">
        <v>2</v>
      </c>
      <c r="K89" s="262">
        <f t="shared" si="1"/>
        <v>0.35859414261160716</v>
      </c>
      <c r="L89" s="163" t="s">
        <v>111</v>
      </c>
    </row>
    <row r="90" spans="1:12">
      <c r="A90" s="34" t="s">
        <v>109</v>
      </c>
      <c r="B90" s="339">
        <v>2000</v>
      </c>
      <c r="C90" s="59" t="s">
        <v>88</v>
      </c>
      <c r="D90" s="59">
        <v>18</v>
      </c>
      <c r="E90" s="496" t="s">
        <v>110</v>
      </c>
      <c r="F90" s="122">
        <v>1</v>
      </c>
      <c r="G90" s="118">
        <v>1</v>
      </c>
      <c r="H90" s="118">
        <v>1</v>
      </c>
      <c r="I90" s="9">
        <v>2</v>
      </c>
      <c r="J90" s="43">
        <v>2</v>
      </c>
      <c r="K90" s="262">
        <f t="shared" si="1"/>
        <v>0.35859414261160716</v>
      </c>
      <c r="L90" s="163" t="s">
        <v>111</v>
      </c>
    </row>
    <row r="91" spans="1:12" hidden="1">
      <c r="A91" s="34" t="s">
        <v>109</v>
      </c>
      <c r="B91" s="339">
        <v>2000</v>
      </c>
      <c r="C91" s="59" t="s">
        <v>89</v>
      </c>
      <c r="D91" s="59">
        <v>191</v>
      </c>
      <c r="E91" s="496" t="s">
        <v>110</v>
      </c>
      <c r="F91" s="122">
        <v>1</v>
      </c>
      <c r="G91" s="118">
        <v>1</v>
      </c>
      <c r="H91" s="118">
        <v>1</v>
      </c>
      <c r="I91" s="9">
        <v>2</v>
      </c>
      <c r="J91" s="43">
        <v>2</v>
      </c>
      <c r="K91" s="262">
        <f t="shared" si="1"/>
        <v>0.35859414261160716</v>
      </c>
      <c r="L91" s="163" t="s">
        <v>111</v>
      </c>
    </row>
    <row r="92" spans="1:12" hidden="1">
      <c r="A92" s="34" t="s">
        <v>109</v>
      </c>
      <c r="B92" s="339">
        <v>2000</v>
      </c>
      <c r="C92" s="59" t="s">
        <v>90</v>
      </c>
      <c r="D92" s="59">
        <v>610</v>
      </c>
      <c r="E92" s="496" t="s">
        <v>110</v>
      </c>
      <c r="F92" s="614">
        <v>1</v>
      </c>
      <c r="G92" s="118">
        <v>1</v>
      </c>
      <c r="H92" s="118">
        <v>1</v>
      </c>
      <c r="I92" s="118">
        <v>2</v>
      </c>
      <c r="J92" s="660">
        <v>2</v>
      </c>
      <c r="K92" s="262">
        <f t="shared" si="1"/>
        <v>0.35859414261160716</v>
      </c>
      <c r="L92" s="163" t="s">
        <v>111</v>
      </c>
    </row>
    <row r="93" spans="1:12" hidden="1">
      <c r="A93" s="34" t="s">
        <v>109</v>
      </c>
      <c r="B93" s="339">
        <v>2000</v>
      </c>
      <c r="C93" s="59" t="s">
        <v>91</v>
      </c>
      <c r="D93" s="59">
        <v>149</v>
      </c>
      <c r="E93" s="496" t="s">
        <v>110</v>
      </c>
      <c r="F93" s="122">
        <v>1</v>
      </c>
      <c r="G93" s="118">
        <v>1</v>
      </c>
      <c r="H93" s="118">
        <v>1</v>
      </c>
      <c r="I93" s="9">
        <v>2</v>
      </c>
      <c r="J93" s="43">
        <v>2</v>
      </c>
      <c r="K93" s="262">
        <f t="shared" si="1"/>
        <v>0.35859414261160716</v>
      </c>
      <c r="L93" s="163" t="s">
        <v>111</v>
      </c>
    </row>
    <row r="94" spans="1:12" hidden="1">
      <c r="A94" s="34" t="s">
        <v>109</v>
      </c>
      <c r="B94" s="339">
        <v>2000</v>
      </c>
      <c r="C94" s="59" t="s">
        <v>94</v>
      </c>
      <c r="D94" s="59">
        <v>109</v>
      </c>
      <c r="E94" s="496" t="s">
        <v>110</v>
      </c>
      <c r="F94" s="122">
        <v>1</v>
      </c>
      <c r="G94" s="118">
        <v>1</v>
      </c>
      <c r="H94" s="118">
        <v>1</v>
      </c>
      <c r="I94" s="9">
        <v>2</v>
      </c>
      <c r="J94" s="43">
        <v>2</v>
      </c>
      <c r="K94" s="262">
        <f t="shared" si="1"/>
        <v>0.35859414261160716</v>
      </c>
      <c r="L94" s="163" t="s">
        <v>111</v>
      </c>
    </row>
    <row r="95" spans="1:12" hidden="1">
      <c r="A95" s="34" t="s">
        <v>109</v>
      </c>
      <c r="B95" s="339">
        <v>2000</v>
      </c>
      <c r="C95" s="59" t="s">
        <v>96</v>
      </c>
      <c r="D95" s="59">
        <v>337</v>
      </c>
      <c r="E95" s="496" t="s">
        <v>110</v>
      </c>
      <c r="F95" s="122">
        <v>1</v>
      </c>
      <c r="G95" s="118">
        <v>1</v>
      </c>
      <c r="H95" s="118">
        <v>1</v>
      </c>
      <c r="I95" s="9">
        <v>2</v>
      </c>
      <c r="J95" s="43">
        <v>2</v>
      </c>
      <c r="K95" s="262">
        <f t="shared" si="1"/>
        <v>0.35859414261160716</v>
      </c>
      <c r="L95" s="163" t="s">
        <v>111</v>
      </c>
    </row>
    <row r="96" spans="1:12">
      <c r="A96" s="34" t="s">
        <v>109</v>
      </c>
      <c r="B96" s="339">
        <v>2000</v>
      </c>
      <c r="C96" s="59" t="s">
        <v>97</v>
      </c>
      <c r="D96" s="59">
        <v>233</v>
      </c>
      <c r="E96" s="496" t="s">
        <v>110</v>
      </c>
      <c r="F96" s="122">
        <v>1</v>
      </c>
      <c r="G96" s="118">
        <v>1</v>
      </c>
      <c r="H96" s="118">
        <v>1</v>
      </c>
      <c r="I96" s="9">
        <v>2</v>
      </c>
      <c r="J96" s="43">
        <v>2</v>
      </c>
      <c r="K96" s="262">
        <f t="shared" si="1"/>
        <v>0.35859414261160716</v>
      </c>
      <c r="L96" s="163" t="s">
        <v>111</v>
      </c>
    </row>
    <row r="97" spans="1:12" hidden="1">
      <c r="A97" s="34" t="s">
        <v>109</v>
      </c>
      <c r="B97" s="339">
        <v>2000</v>
      </c>
      <c r="C97" s="59" t="s">
        <v>95</v>
      </c>
      <c r="D97" s="59">
        <v>200</v>
      </c>
      <c r="E97" s="496" t="s">
        <v>110</v>
      </c>
      <c r="F97" s="614">
        <v>1</v>
      </c>
      <c r="G97" s="118">
        <v>1</v>
      </c>
      <c r="H97" s="118">
        <v>1</v>
      </c>
      <c r="I97" s="118">
        <v>2</v>
      </c>
      <c r="J97" s="660">
        <v>2</v>
      </c>
      <c r="K97" s="262">
        <f t="shared" si="1"/>
        <v>0.35859414261160716</v>
      </c>
      <c r="L97" s="163" t="s">
        <v>111</v>
      </c>
    </row>
    <row r="98" spans="1:12" hidden="1">
      <c r="A98" s="34" t="s">
        <v>109</v>
      </c>
      <c r="B98" s="339">
        <v>2000</v>
      </c>
      <c r="C98" s="59" t="s">
        <v>93</v>
      </c>
      <c r="D98" s="59">
        <v>98</v>
      </c>
      <c r="E98" s="496" t="s">
        <v>110</v>
      </c>
      <c r="F98" s="122">
        <v>1</v>
      </c>
      <c r="G98" s="118">
        <v>1</v>
      </c>
      <c r="H98" s="118">
        <v>1</v>
      </c>
      <c r="I98" s="9">
        <v>2</v>
      </c>
      <c r="J98" s="43">
        <v>2</v>
      </c>
      <c r="K98" s="262">
        <f t="shared" si="1"/>
        <v>0.35859414261160716</v>
      </c>
      <c r="L98" s="163" t="s">
        <v>111</v>
      </c>
    </row>
    <row r="99" spans="1:12" hidden="1">
      <c r="A99" s="34" t="s">
        <v>109</v>
      </c>
      <c r="B99" s="339">
        <v>2000</v>
      </c>
      <c r="C99" s="59" t="s">
        <v>98</v>
      </c>
      <c r="D99" s="59">
        <v>1381</v>
      </c>
      <c r="E99" s="496" t="s">
        <v>110</v>
      </c>
      <c r="F99" s="122">
        <v>1</v>
      </c>
      <c r="G99" s="118">
        <v>1</v>
      </c>
      <c r="H99" s="118">
        <v>1</v>
      </c>
      <c r="I99" s="9">
        <v>2</v>
      </c>
      <c r="J99" s="43">
        <v>2</v>
      </c>
      <c r="K99" s="262">
        <f t="shared" si="1"/>
        <v>0.35859414261160716</v>
      </c>
      <c r="L99" s="163" t="s">
        <v>111</v>
      </c>
    </row>
    <row r="100" spans="1:12" hidden="1">
      <c r="A100" s="34" t="s">
        <v>109</v>
      </c>
      <c r="B100" s="339">
        <v>2001</v>
      </c>
      <c r="C100" s="59" t="s">
        <v>85</v>
      </c>
      <c r="D100" s="59">
        <v>1435</v>
      </c>
      <c r="E100" s="496" t="s">
        <v>110</v>
      </c>
      <c r="F100" s="122">
        <v>1</v>
      </c>
      <c r="G100" s="118">
        <v>1</v>
      </c>
      <c r="H100" s="118">
        <v>1</v>
      </c>
      <c r="I100" s="9">
        <v>2</v>
      </c>
      <c r="J100" s="43">
        <v>2</v>
      </c>
      <c r="K100" s="262">
        <f t="shared" si="1"/>
        <v>0.35859414261160716</v>
      </c>
      <c r="L100" s="163" t="s">
        <v>111</v>
      </c>
    </row>
    <row r="101" spans="1:12" hidden="1">
      <c r="A101" s="34" t="s">
        <v>109</v>
      </c>
      <c r="B101" s="339">
        <v>2001</v>
      </c>
      <c r="C101" s="59" t="s">
        <v>86</v>
      </c>
      <c r="D101" s="59">
        <v>290</v>
      </c>
      <c r="E101" s="636" t="s">
        <v>110</v>
      </c>
      <c r="F101" s="9">
        <v>1</v>
      </c>
      <c r="G101" s="9">
        <v>1</v>
      </c>
      <c r="H101" s="9">
        <v>1</v>
      </c>
      <c r="I101" s="9">
        <v>2</v>
      </c>
      <c r="J101" s="43">
        <v>2</v>
      </c>
      <c r="K101" s="262">
        <f t="shared" si="1"/>
        <v>0.35859414261160716</v>
      </c>
      <c r="L101" s="163" t="s">
        <v>111</v>
      </c>
    </row>
    <row r="102" spans="1:12" hidden="1">
      <c r="A102" s="34" t="s">
        <v>109</v>
      </c>
      <c r="B102" s="339">
        <v>2001</v>
      </c>
      <c r="C102" s="59" t="s">
        <v>87</v>
      </c>
      <c r="D102" s="59">
        <v>852</v>
      </c>
      <c r="E102" s="636" t="s">
        <v>110</v>
      </c>
      <c r="F102" s="9">
        <v>1</v>
      </c>
      <c r="G102" s="9">
        <v>1</v>
      </c>
      <c r="H102" s="9">
        <v>1</v>
      </c>
      <c r="I102" s="9">
        <v>2</v>
      </c>
      <c r="J102" s="43">
        <v>2</v>
      </c>
      <c r="K102" s="262">
        <f t="shared" si="1"/>
        <v>0.35859414261160716</v>
      </c>
      <c r="L102" s="163" t="s">
        <v>111</v>
      </c>
    </row>
    <row r="103" spans="1:12">
      <c r="A103" s="34" t="s">
        <v>109</v>
      </c>
      <c r="B103" s="339">
        <v>2001</v>
      </c>
      <c r="C103" s="59" t="s">
        <v>88</v>
      </c>
      <c r="D103" s="59">
        <v>4</v>
      </c>
      <c r="E103" s="636" t="s">
        <v>110</v>
      </c>
      <c r="F103" s="9">
        <v>1</v>
      </c>
      <c r="G103" s="9">
        <v>1</v>
      </c>
      <c r="H103" s="9">
        <v>1</v>
      </c>
      <c r="I103" s="9">
        <v>2</v>
      </c>
      <c r="J103" s="43">
        <v>2</v>
      </c>
      <c r="K103" s="262">
        <f t="shared" si="1"/>
        <v>0.35859414261160716</v>
      </c>
      <c r="L103" s="163" t="s">
        <v>111</v>
      </c>
    </row>
    <row r="104" spans="1:12" hidden="1">
      <c r="A104" s="34" t="s">
        <v>109</v>
      </c>
      <c r="B104" s="339">
        <v>2001</v>
      </c>
      <c r="C104" s="59" t="s">
        <v>89</v>
      </c>
      <c r="D104" s="59">
        <v>191</v>
      </c>
      <c r="E104" s="636" t="s">
        <v>110</v>
      </c>
      <c r="F104" s="9">
        <v>1</v>
      </c>
      <c r="G104" s="9">
        <v>1</v>
      </c>
      <c r="H104" s="9">
        <v>1</v>
      </c>
      <c r="I104" s="9">
        <v>2</v>
      </c>
      <c r="J104" s="43">
        <v>2</v>
      </c>
      <c r="K104" s="262">
        <f t="shared" si="1"/>
        <v>0.35859414261160716</v>
      </c>
      <c r="L104" s="163" t="s">
        <v>111</v>
      </c>
    </row>
    <row r="105" spans="1:12" hidden="1">
      <c r="A105" s="34" t="s">
        <v>109</v>
      </c>
      <c r="B105" s="339">
        <v>2001</v>
      </c>
      <c r="C105" s="59" t="s">
        <v>90</v>
      </c>
      <c r="D105" s="59">
        <v>610</v>
      </c>
      <c r="E105" s="636" t="s">
        <v>110</v>
      </c>
      <c r="F105" s="9">
        <v>1</v>
      </c>
      <c r="G105" s="9">
        <v>1</v>
      </c>
      <c r="H105" s="9">
        <v>1</v>
      </c>
      <c r="I105" s="9">
        <v>2</v>
      </c>
      <c r="J105" s="43">
        <v>2</v>
      </c>
      <c r="K105" s="262">
        <f t="shared" si="1"/>
        <v>0.35859414261160716</v>
      </c>
      <c r="L105" s="163" t="s">
        <v>111</v>
      </c>
    </row>
    <row r="106" spans="1:12" hidden="1">
      <c r="A106" s="34" t="s">
        <v>109</v>
      </c>
      <c r="B106" s="339">
        <v>2001</v>
      </c>
      <c r="C106" s="59" t="s">
        <v>91</v>
      </c>
      <c r="D106" s="59">
        <v>129</v>
      </c>
      <c r="E106" s="636" t="s">
        <v>110</v>
      </c>
      <c r="F106" s="9">
        <v>1</v>
      </c>
      <c r="G106" s="9">
        <v>1</v>
      </c>
      <c r="H106" s="9">
        <v>1</v>
      </c>
      <c r="I106" s="9">
        <v>2</v>
      </c>
      <c r="J106" s="43">
        <v>2</v>
      </c>
      <c r="K106" s="262">
        <f t="shared" si="1"/>
        <v>0.35859414261160716</v>
      </c>
      <c r="L106" s="163" t="s">
        <v>111</v>
      </c>
    </row>
    <row r="107" spans="1:12" hidden="1">
      <c r="A107" s="34" t="s">
        <v>109</v>
      </c>
      <c r="B107" s="339">
        <v>2001</v>
      </c>
      <c r="C107" s="59" t="s">
        <v>94</v>
      </c>
      <c r="D107" s="59">
        <v>88</v>
      </c>
      <c r="E107" s="636" t="s">
        <v>110</v>
      </c>
      <c r="F107" s="9">
        <v>1</v>
      </c>
      <c r="G107" s="9">
        <v>1</v>
      </c>
      <c r="H107" s="9">
        <v>1</v>
      </c>
      <c r="I107" s="9">
        <v>2</v>
      </c>
      <c r="J107" s="43">
        <v>2</v>
      </c>
      <c r="K107" s="262">
        <f t="shared" si="1"/>
        <v>0.35859414261160716</v>
      </c>
      <c r="L107" s="163" t="s">
        <v>111</v>
      </c>
    </row>
    <row r="108" spans="1:12" hidden="1">
      <c r="A108" s="34" t="s">
        <v>109</v>
      </c>
      <c r="B108" s="339">
        <v>2001</v>
      </c>
      <c r="C108" s="59" t="s">
        <v>96</v>
      </c>
      <c r="D108" s="59">
        <v>337</v>
      </c>
      <c r="E108" s="636" t="s">
        <v>110</v>
      </c>
      <c r="F108" s="9">
        <v>1</v>
      </c>
      <c r="G108" s="9">
        <v>1</v>
      </c>
      <c r="H108" s="9">
        <v>1</v>
      </c>
      <c r="I108" s="9">
        <v>2</v>
      </c>
      <c r="J108" s="43">
        <v>2</v>
      </c>
      <c r="K108" s="262">
        <f t="shared" si="1"/>
        <v>0.35859414261160716</v>
      </c>
      <c r="L108" s="163" t="s">
        <v>111</v>
      </c>
    </row>
    <row r="109" spans="1:12">
      <c r="A109" s="34" t="s">
        <v>109</v>
      </c>
      <c r="B109" s="339">
        <v>2001</v>
      </c>
      <c r="C109" s="59" t="s">
        <v>97</v>
      </c>
      <c r="D109" s="59">
        <v>233</v>
      </c>
      <c r="E109" s="636" t="s">
        <v>110</v>
      </c>
      <c r="F109" s="9">
        <v>1</v>
      </c>
      <c r="G109" s="9">
        <v>1</v>
      </c>
      <c r="H109" s="9">
        <v>1</v>
      </c>
      <c r="I109" s="9">
        <v>2</v>
      </c>
      <c r="J109" s="43">
        <v>2</v>
      </c>
      <c r="K109" s="262">
        <f t="shared" si="1"/>
        <v>0.35859414261160716</v>
      </c>
      <c r="L109" s="163" t="s">
        <v>111</v>
      </c>
    </row>
    <row r="110" spans="1:12" hidden="1">
      <c r="A110" s="34" t="s">
        <v>109</v>
      </c>
      <c r="B110" s="339">
        <v>2001</v>
      </c>
      <c r="C110" s="59" t="s">
        <v>95</v>
      </c>
      <c r="D110" s="59">
        <v>200</v>
      </c>
      <c r="E110" s="636" t="s">
        <v>110</v>
      </c>
      <c r="F110" s="9">
        <v>1</v>
      </c>
      <c r="G110" s="9">
        <v>1</v>
      </c>
      <c r="H110" s="9">
        <v>1</v>
      </c>
      <c r="I110" s="9">
        <v>2</v>
      </c>
      <c r="J110" s="43">
        <v>2</v>
      </c>
      <c r="K110" s="262">
        <f t="shared" si="1"/>
        <v>0.35859414261160716</v>
      </c>
      <c r="L110" s="163" t="s">
        <v>111</v>
      </c>
    </row>
    <row r="111" spans="1:12" hidden="1">
      <c r="A111" s="34" t="s">
        <v>109</v>
      </c>
      <c r="B111" s="339">
        <v>2001</v>
      </c>
      <c r="C111" s="59" t="s">
        <v>93</v>
      </c>
      <c r="D111" s="59">
        <v>98</v>
      </c>
      <c r="E111" s="636" t="s">
        <v>110</v>
      </c>
      <c r="F111" s="9">
        <v>1</v>
      </c>
      <c r="G111" s="9">
        <v>1</v>
      </c>
      <c r="H111" s="9">
        <v>1</v>
      </c>
      <c r="I111" s="9">
        <v>2</v>
      </c>
      <c r="J111" s="43">
        <v>2</v>
      </c>
      <c r="K111" s="262">
        <f t="shared" si="1"/>
        <v>0.35859414261160716</v>
      </c>
      <c r="L111" s="163" t="s">
        <v>111</v>
      </c>
    </row>
    <row r="112" spans="1:12" hidden="1">
      <c r="A112" s="34" t="s">
        <v>109</v>
      </c>
      <c r="B112" s="339">
        <v>2001</v>
      </c>
      <c r="C112" s="59" t="s">
        <v>98</v>
      </c>
      <c r="D112" s="59">
        <v>1473</v>
      </c>
      <c r="E112" s="496" t="s">
        <v>110</v>
      </c>
      <c r="F112" s="29">
        <v>1</v>
      </c>
      <c r="G112" s="9">
        <v>1</v>
      </c>
      <c r="H112" s="9">
        <v>1</v>
      </c>
      <c r="I112" s="9">
        <v>2</v>
      </c>
      <c r="J112" s="43">
        <v>2</v>
      </c>
      <c r="K112" s="262">
        <f t="shared" si="1"/>
        <v>0.35859414261160716</v>
      </c>
      <c r="L112" s="163" t="s">
        <v>111</v>
      </c>
    </row>
    <row r="113" spans="1:12" hidden="1">
      <c r="A113" s="34" t="s">
        <v>109</v>
      </c>
      <c r="B113" s="339">
        <v>2002</v>
      </c>
      <c r="C113" s="59" t="s">
        <v>85</v>
      </c>
      <c r="D113" s="59">
        <v>1435</v>
      </c>
      <c r="E113" s="496" t="s">
        <v>110</v>
      </c>
      <c r="F113" s="29">
        <v>1</v>
      </c>
      <c r="G113" s="9">
        <v>1</v>
      </c>
      <c r="H113" s="9">
        <v>1</v>
      </c>
      <c r="I113" s="9">
        <v>2</v>
      </c>
      <c r="J113" s="43">
        <v>2</v>
      </c>
      <c r="K113" s="262">
        <f t="shared" si="1"/>
        <v>0.35859414261160716</v>
      </c>
      <c r="L113" s="163" t="s">
        <v>111</v>
      </c>
    </row>
    <row r="114" spans="1:12" hidden="1">
      <c r="A114" s="34" t="s">
        <v>109</v>
      </c>
      <c r="B114" s="339">
        <v>2002</v>
      </c>
      <c r="C114" s="59" t="s">
        <v>86</v>
      </c>
      <c r="D114" s="59">
        <v>290</v>
      </c>
      <c r="E114" s="496" t="s">
        <v>110</v>
      </c>
      <c r="F114" s="29">
        <v>1</v>
      </c>
      <c r="G114" s="9">
        <v>1</v>
      </c>
      <c r="H114" s="9">
        <v>1</v>
      </c>
      <c r="I114" s="9">
        <v>2</v>
      </c>
      <c r="J114" s="43">
        <v>2</v>
      </c>
      <c r="K114" s="262">
        <f t="shared" si="1"/>
        <v>0.35859414261160716</v>
      </c>
      <c r="L114" s="163" t="s">
        <v>111</v>
      </c>
    </row>
    <row r="115" spans="1:12" hidden="1">
      <c r="A115" s="34" t="s">
        <v>109</v>
      </c>
      <c r="B115" s="339">
        <v>2002</v>
      </c>
      <c r="C115" s="59" t="s">
        <v>87</v>
      </c>
      <c r="D115" s="59">
        <v>852</v>
      </c>
      <c r="E115" s="496" t="s">
        <v>110</v>
      </c>
      <c r="F115" s="29">
        <v>1</v>
      </c>
      <c r="G115" s="9">
        <v>1</v>
      </c>
      <c r="H115" s="9">
        <v>1</v>
      </c>
      <c r="I115" s="9">
        <v>2</v>
      </c>
      <c r="J115" s="43">
        <v>2</v>
      </c>
      <c r="K115" s="262">
        <f t="shared" si="1"/>
        <v>0.35859414261160716</v>
      </c>
      <c r="L115" s="163" t="s">
        <v>111</v>
      </c>
    </row>
    <row r="116" spans="1:12">
      <c r="A116" s="34" t="s">
        <v>109</v>
      </c>
      <c r="B116" s="339">
        <v>2002</v>
      </c>
      <c r="C116" s="59" t="s">
        <v>88</v>
      </c>
      <c r="D116" s="59">
        <v>19</v>
      </c>
      <c r="E116" s="496" t="s">
        <v>110</v>
      </c>
      <c r="F116" s="29">
        <v>1</v>
      </c>
      <c r="G116" s="9">
        <v>1</v>
      </c>
      <c r="H116" s="9">
        <v>1</v>
      </c>
      <c r="I116" s="9">
        <v>2</v>
      </c>
      <c r="J116" s="43">
        <v>2</v>
      </c>
      <c r="K116" s="262">
        <f t="shared" si="1"/>
        <v>0.35859414261160716</v>
      </c>
      <c r="L116" s="163" t="s">
        <v>111</v>
      </c>
    </row>
    <row r="117" spans="1:12" hidden="1">
      <c r="A117" s="34" t="s">
        <v>109</v>
      </c>
      <c r="B117" s="339">
        <v>2002</v>
      </c>
      <c r="C117" s="59" t="s">
        <v>89</v>
      </c>
      <c r="D117" s="59">
        <v>191</v>
      </c>
      <c r="E117" s="496" t="s">
        <v>110</v>
      </c>
      <c r="F117" s="29">
        <v>1</v>
      </c>
      <c r="G117" s="9">
        <v>1</v>
      </c>
      <c r="H117" s="9">
        <v>1</v>
      </c>
      <c r="I117" s="9">
        <v>2</v>
      </c>
      <c r="J117" s="43">
        <v>2</v>
      </c>
      <c r="K117" s="262">
        <f t="shared" si="1"/>
        <v>0.35859414261160716</v>
      </c>
      <c r="L117" s="163" t="s">
        <v>111</v>
      </c>
    </row>
    <row r="118" spans="1:12" hidden="1">
      <c r="A118" s="34" t="s">
        <v>109</v>
      </c>
      <c r="B118" s="339">
        <v>2002</v>
      </c>
      <c r="C118" s="59" t="s">
        <v>90</v>
      </c>
      <c r="D118" s="59">
        <v>610</v>
      </c>
      <c r="E118" s="496" t="s">
        <v>110</v>
      </c>
      <c r="F118" s="29">
        <v>1</v>
      </c>
      <c r="G118" s="9">
        <v>1</v>
      </c>
      <c r="H118" s="9">
        <v>1</v>
      </c>
      <c r="I118" s="9">
        <v>2</v>
      </c>
      <c r="J118" s="43">
        <v>2</v>
      </c>
      <c r="K118" s="262">
        <f t="shared" si="1"/>
        <v>0.35859414261160716</v>
      </c>
      <c r="L118" s="163" t="s">
        <v>111</v>
      </c>
    </row>
    <row r="119" spans="1:12" hidden="1">
      <c r="A119" s="34" t="s">
        <v>109</v>
      </c>
      <c r="B119" s="339">
        <v>2002</v>
      </c>
      <c r="C119" s="59" t="s">
        <v>91</v>
      </c>
      <c r="D119" s="59">
        <v>144</v>
      </c>
      <c r="E119" s="496" t="s">
        <v>110</v>
      </c>
      <c r="F119" s="29">
        <v>1</v>
      </c>
      <c r="G119" s="9">
        <v>1</v>
      </c>
      <c r="H119" s="9">
        <v>1</v>
      </c>
      <c r="I119" s="9">
        <v>2</v>
      </c>
      <c r="J119" s="43">
        <v>2</v>
      </c>
      <c r="K119" s="262">
        <f t="shared" si="1"/>
        <v>0.35859414261160716</v>
      </c>
      <c r="L119" s="163" t="s">
        <v>111</v>
      </c>
    </row>
    <row r="120" spans="1:12" hidden="1">
      <c r="A120" s="34" t="s">
        <v>109</v>
      </c>
      <c r="B120" s="339">
        <v>2002</v>
      </c>
      <c r="C120" s="59" t="s">
        <v>94</v>
      </c>
      <c r="D120" s="59">
        <v>68</v>
      </c>
      <c r="E120" s="496" t="s">
        <v>110</v>
      </c>
      <c r="F120" s="29">
        <v>1</v>
      </c>
      <c r="G120" s="9">
        <v>1</v>
      </c>
      <c r="H120" s="9">
        <v>1</v>
      </c>
      <c r="I120" s="9">
        <v>2</v>
      </c>
      <c r="J120" s="43">
        <v>2</v>
      </c>
      <c r="K120" s="262">
        <f t="shared" si="1"/>
        <v>0.35859414261160716</v>
      </c>
      <c r="L120" s="163" t="s">
        <v>111</v>
      </c>
    </row>
    <row r="121" spans="1:12" hidden="1">
      <c r="A121" s="34" t="s">
        <v>109</v>
      </c>
      <c r="B121" s="339">
        <v>2002</v>
      </c>
      <c r="C121" s="59" t="s">
        <v>96</v>
      </c>
      <c r="D121" s="59">
        <v>337</v>
      </c>
      <c r="E121" s="496" t="s">
        <v>110</v>
      </c>
      <c r="F121" s="29">
        <v>1</v>
      </c>
      <c r="G121" s="9">
        <v>1</v>
      </c>
      <c r="H121" s="9">
        <v>1</v>
      </c>
      <c r="I121" s="9">
        <v>2</v>
      </c>
      <c r="J121" s="43">
        <v>2</v>
      </c>
      <c r="K121" s="262">
        <f t="shared" si="1"/>
        <v>0.35859414261160716</v>
      </c>
      <c r="L121" s="163" t="s">
        <v>111</v>
      </c>
    </row>
    <row r="122" spans="1:12">
      <c r="A122" s="34" t="s">
        <v>109</v>
      </c>
      <c r="B122" s="339">
        <v>2002</v>
      </c>
      <c r="C122" s="59" t="s">
        <v>97</v>
      </c>
      <c r="D122" s="59">
        <v>233</v>
      </c>
      <c r="E122" s="496" t="s">
        <v>110</v>
      </c>
      <c r="F122" s="29">
        <v>1</v>
      </c>
      <c r="G122" s="9">
        <v>1</v>
      </c>
      <c r="H122" s="9">
        <v>1</v>
      </c>
      <c r="I122" s="9">
        <v>2</v>
      </c>
      <c r="J122" s="43">
        <v>2</v>
      </c>
      <c r="K122" s="262">
        <f t="shared" si="1"/>
        <v>0.35859414261160716</v>
      </c>
      <c r="L122" s="163" t="s">
        <v>111</v>
      </c>
    </row>
    <row r="123" spans="1:12" hidden="1">
      <c r="A123" s="34" t="s">
        <v>109</v>
      </c>
      <c r="B123" s="339">
        <v>2002</v>
      </c>
      <c r="C123" s="59" t="s">
        <v>95</v>
      </c>
      <c r="D123" s="59">
        <v>200</v>
      </c>
      <c r="E123" s="496" t="s">
        <v>110</v>
      </c>
      <c r="F123" s="29">
        <v>1</v>
      </c>
      <c r="G123" s="9">
        <v>1</v>
      </c>
      <c r="H123" s="9">
        <v>1</v>
      </c>
      <c r="I123" s="9">
        <v>2</v>
      </c>
      <c r="J123" s="43">
        <v>2</v>
      </c>
      <c r="K123" s="262">
        <f t="shared" si="1"/>
        <v>0.35859414261160716</v>
      </c>
      <c r="L123" s="163" t="s">
        <v>111</v>
      </c>
    </row>
    <row r="124" spans="1:12" hidden="1">
      <c r="A124" s="34" t="s">
        <v>109</v>
      </c>
      <c r="B124" s="339">
        <v>2002</v>
      </c>
      <c r="C124" s="59" t="s">
        <v>93</v>
      </c>
      <c r="D124" s="59">
        <v>98</v>
      </c>
      <c r="E124" s="496" t="s">
        <v>110</v>
      </c>
      <c r="F124" s="29">
        <v>1</v>
      </c>
      <c r="G124" s="9">
        <v>1</v>
      </c>
      <c r="H124" s="9">
        <v>1</v>
      </c>
      <c r="I124" s="9">
        <v>2</v>
      </c>
      <c r="J124" s="43">
        <v>2</v>
      </c>
      <c r="K124" s="262">
        <f t="shared" si="1"/>
        <v>0.35859414261160716</v>
      </c>
      <c r="L124" s="163" t="s">
        <v>111</v>
      </c>
    </row>
    <row r="125" spans="1:12" hidden="1">
      <c r="A125" s="34" t="s">
        <v>109</v>
      </c>
      <c r="B125" s="339">
        <v>2002</v>
      </c>
      <c r="C125" s="59" t="s">
        <v>98</v>
      </c>
      <c r="D125" s="59">
        <v>1400</v>
      </c>
      <c r="E125" s="496" t="s">
        <v>110</v>
      </c>
      <c r="F125" s="29">
        <v>1</v>
      </c>
      <c r="G125" s="9">
        <v>1</v>
      </c>
      <c r="H125" s="9">
        <v>1</v>
      </c>
      <c r="I125" s="9">
        <v>2</v>
      </c>
      <c r="J125" s="43">
        <v>2</v>
      </c>
      <c r="K125" s="262">
        <f t="shared" ref="K125:K188" si="2">IF( OR( ISBLANK(F125),ISBLANK(G125), ISBLANK(H125), ISBLANK(I125), ISBLANK(J125) ), "", 1.5*SQRT(   EXP(2.21*(F125-1)) + EXP(2.21*(G125-1)) + EXP(2.21*(H125-1)) + EXP(2.21*(I125-1)) + EXP(2.21*J125)   )/100*2.45 )</f>
        <v>0.35859414261160716</v>
      </c>
      <c r="L125" s="163" t="s">
        <v>111</v>
      </c>
    </row>
    <row r="126" spans="1:12" hidden="1">
      <c r="A126" s="34" t="s">
        <v>109</v>
      </c>
      <c r="B126" s="339">
        <v>2003</v>
      </c>
      <c r="C126" s="59" t="s">
        <v>85</v>
      </c>
      <c r="D126" s="59">
        <v>1435</v>
      </c>
      <c r="E126" s="496" t="s">
        <v>110</v>
      </c>
      <c r="F126" s="29">
        <v>1</v>
      </c>
      <c r="G126" s="9">
        <v>1</v>
      </c>
      <c r="H126" s="9">
        <v>1</v>
      </c>
      <c r="I126" s="9">
        <v>2</v>
      </c>
      <c r="J126" s="43">
        <v>2</v>
      </c>
      <c r="K126" s="262">
        <f t="shared" si="2"/>
        <v>0.35859414261160716</v>
      </c>
      <c r="L126" s="163" t="s">
        <v>111</v>
      </c>
    </row>
    <row r="127" spans="1:12" hidden="1">
      <c r="A127" s="34" t="s">
        <v>109</v>
      </c>
      <c r="B127" s="339">
        <v>2003</v>
      </c>
      <c r="C127" s="59" t="s">
        <v>86</v>
      </c>
      <c r="D127" s="59">
        <v>290</v>
      </c>
      <c r="E127" s="496" t="s">
        <v>110</v>
      </c>
      <c r="F127" s="29">
        <v>1</v>
      </c>
      <c r="G127" s="9">
        <v>1</v>
      </c>
      <c r="H127" s="9">
        <v>1</v>
      </c>
      <c r="I127" s="9">
        <v>2</v>
      </c>
      <c r="J127" s="43">
        <v>2</v>
      </c>
      <c r="K127" s="262">
        <f t="shared" si="2"/>
        <v>0.35859414261160716</v>
      </c>
      <c r="L127" s="163" t="s">
        <v>111</v>
      </c>
    </row>
    <row r="128" spans="1:12" hidden="1">
      <c r="A128" s="34" t="s">
        <v>109</v>
      </c>
      <c r="B128" s="339">
        <v>2003</v>
      </c>
      <c r="C128" s="59" t="s">
        <v>87</v>
      </c>
      <c r="D128" s="59">
        <v>852</v>
      </c>
      <c r="E128" s="496" t="s">
        <v>110</v>
      </c>
      <c r="F128" s="29">
        <v>1</v>
      </c>
      <c r="G128" s="9">
        <v>1</v>
      </c>
      <c r="H128" s="9">
        <v>1</v>
      </c>
      <c r="I128" s="9">
        <v>2</v>
      </c>
      <c r="J128" s="43">
        <v>2</v>
      </c>
      <c r="K128" s="262">
        <f t="shared" si="2"/>
        <v>0.35859414261160716</v>
      </c>
      <c r="L128" s="163" t="s">
        <v>111</v>
      </c>
    </row>
    <row r="129" spans="1:12">
      <c r="A129" s="34" t="s">
        <v>109</v>
      </c>
      <c r="B129" s="339">
        <v>2003</v>
      </c>
      <c r="C129" s="59" t="s">
        <v>88</v>
      </c>
      <c r="D129" s="59">
        <v>4</v>
      </c>
      <c r="E129" s="496" t="s">
        <v>110</v>
      </c>
      <c r="F129" s="29">
        <v>1</v>
      </c>
      <c r="G129" s="9">
        <v>1</v>
      </c>
      <c r="H129" s="9">
        <v>1</v>
      </c>
      <c r="I129" s="9">
        <v>2</v>
      </c>
      <c r="J129" s="43">
        <v>2</v>
      </c>
      <c r="K129" s="262">
        <f t="shared" si="2"/>
        <v>0.35859414261160716</v>
      </c>
      <c r="L129" s="163" t="s">
        <v>111</v>
      </c>
    </row>
    <row r="130" spans="1:12" hidden="1">
      <c r="A130" s="34" t="s">
        <v>109</v>
      </c>
      <c r="B130" s="339">
        <v>2003</v>
      </c>
      <c r="C130" s="59" t="s">
        <v>89</v>
      </c>
      <c r="D130" s="59">
        <v>191</v>
      </c>
      <c r="E130" s="496" t="s">
        <v>110</v>
      </c>
      <c r="F130" s="29">
        <v>1</v>
      </c>
      <c r="G130" s="9">
        <v>1</v>
      </c>
      <c r="H130" s="9">
        <v>1</v>
      </c>
      <c r="I130" s="9">
        <v>2</v>
      </c>
      <c r="J130" s="43">
        <v>2</v>
      </c>
      <c r="K130" s="262">
        <f t="shared" si="2"/>
        <v>0.35859414261160716</v>
      </c>
      <c r="L130" s="163" t="s">
        <v>111</v>
      </c>
    </row>
    <row r="131" spans="1:12" hidden="1">
      <c r="A131" s="34" t="s">
        <v>109</v>
      </c>
      <c r="B131" s="339">
        <v>2003</v>
      </c>
      <c r="C131" s="59" t="s">
        <v>90</v>
      </c>
      <c r="D131" s="59">
        <v>610</v>
      </c>
      <c r="E131" s="496" t="s">
        <v>110</v>
      </c>
      <c r="F131" s="29">
        <v>1</v>
      </c>
      <c r="G131" s="9">
        <v>1</v>
      </c>
      <c r="H131" s="9">
        <v>1</v>
      </c>
      <c r="I131" s="9">
        <v>2</v>
      </c>
      <c r="J131" s="43">
        <v>2</v>
      </c>
      <c r="K131" s="262">
        <f t="shared" si="2"/>
        <v>0.35859414261160716</v>
      </c>
      <c r="L131" s="163" t="s">
        <v>111</v>
      </c>
    </row>
    <row r="132" spans="1:12" hidden="1">
      <c r="A132" s="34" t="s">
        <v>109</v>
      </c>
      <c r="B132" s="339">
        <v>2003</v>
      </c>
      <c r="C132" s="59" t="s">
        <v>91</v>
      </c>
      <c r="D132" s="59">
        <v>167</v>
      </c>
      <c r="E132" s="496" t="s">
        <v>110</v>
      </c>
      <c r="F132" s="29">
        <v>1</v>
      </c>
      <c r="G132" s="9">
        <v>1</v>
      </c>
      <c r="H132" s="9">
        <v>1</v>
      </c>
      <c r="I132" s="9">
        <v>2</v>
      </c>
      <c r="J132" s="43">
        <v>2</v>
      </c>
      <c r="K132" s="262">
        <f t="shared" si="2"/>
        <v>0.35859414261160716</v>
      </c>
      <c r="L132" s="163" t="s">
        <v>111</v>
      </c>
    </row>
    <row r="133" spans="1:12" hidden="1">
      <c r="A133" s="34" t="s">
        <v>109</v>
      </c>
      <c r="B133" s="339">
        <v>2003</v>
      </c>
      <c r="C133" s="59" t="s">
        <v>94</v>
      </c>
      <c r="D133" s="59">
        <v>83</v>
      </c>
      <c r="E133" s="496" t="s">
        <v>110</v>
      </c>
      <c r="F133" s="29">
        <v>1</v>
      </c>
      <c r="G133" s="9">
        <v>1</v>
      </c>
      <c r="H133" s="9">
        <v>1</v>
      </c>
      <c r="I133" s="9">
        <v>2</v>
      </c>
      <c r="J133" s="43">
        <v>2</v>
      </c>
      <c r="K133" s="262">
        <f t="shared" si="2"/>
        <v>0.35859414261160716</v>
      </c>
      <c r="L133" s="163" t="s">
        <v>111</v>
      </c>
    </row>
    <row r="134" spans="1:12" hidden="1">
      <c r="A134" s="34" t="s">
        <v>109</v>
      </c>
      <c r="B134" s="339">
        <v>2003</v>
      </c>
      <c r="C134" s="59" t="s">
        <v>96</v>
      </c>
      <c r="D134" s="59">
        <v>337</v>
      </c>
      <c r="E134" s="496" t="s">
        <v>110</v>
      </c>
      <c r="F134" s="29">
        <v>1</v>
      </c>
      <c r="G134" s="9">
        <v>1</v>
      </c>
      <c r="H134" s="9">
        <v>1</v>
      </c>
      <c r="I134" s="9">
        <v>2</v>
      </c>
      <c r="J134" s="43">
        <v>2</v>
      </c>
      <c r="K134" s="262">
        <f t="shared" si="2"/>
        <v>0.35859414261160716</v>
      </c>
      <c r="L134" s="163" t="s">
        <v>111</v>
      </c>
    </row>
    <row r="135" spans="1:12">
      <c r="A135" s="34" t="s">
        <v>109</v>
      </c>
      <c r="B135" s="339">
        <v>2003</v>
      </c>
      <c r="C135" s="59" t="s">
        <v>97</v>
      </c>
      <c r="D135" s="59">
        <v>233</v>
      </c>
      <c r="E135" s="496" t="s">
        <v>110</v>
      </c>
      <c r="F135" s="29">
        <v>1</v>
      </c>
      <c r="G135" s="9">
        <v>1</v>
      </c>
      <c r="H135" s="9">
        <v>1</v>
      </c>
      <c r="I135" s="9">
        <v>2</v>
      </c>
      <c r="J135" s="43">
        <v>2</v>
      </c>
      <c r="K135" s="262">
        <f t="shared" si="2"/>
        <v>0.35859414261160716</v>
      </c>
      <c r="L135" s="163" t="s">
        <v>111</v>
      </c>
    </row>
    <row r="136" spans="1:12" hidden="1">
      <c r="A136" s="34" t="s">
        <v>109</v>
      </c>
      <c r="B136" s="339">
        <v>2003</v>
      </c>
      <c r="C136" s="59" t="s">
        <v>95</v>
      </c>
      <c r="D136" s="59">
        <v>200</v>
      </c>
      <c r="E136" s="496" t="s">
        <v>110</v>
      </c>
      <c r="F136" s="29">
        <v>1</v>
      </c>
      <c r="G136" s="9">
        <v>1</v>
      </c>
      <c r="H136" s="9">
        <v>1</v>
      </c>
      <c r="I136" s="9">
        <v>2</v>
      </c>
      <c r="J136" s="43">
        <v>2</v>
      </c>
      <c r="K136" s="262">
        <f t="shared" si="2"/>
        <v>0.35859414261160716</v>
      </c>
      <c r="L136" s="163" t="s">
        <v>111</v>
      </c>
    </row>
    <row r="137" spans="1:12" hidden="1">
      <c r="A137" s="34" t="s">
        <v>109</v>
      </c>
      <c r="B137" s="339">
        <v>2003</v>
      </c>
      <c r="C137" s="59" t="s">
        <v>93</v>
      </c>
      <c r="D137" s="59">
        <v>98</v>
      </c>
      <c r="E137" s="496" t="s">
        <v>110</v>
      </c>
      <c r="F137" s="29">
        <v>1</v>
      </c>
      <c r="G137" s="9">
        <v>1</v>
      </c>
      <c r="H137" s="9">
        <v>1</v>
      </c>
      <c r="I137" s="9">
        <v>2</v>
      </c>
      <c r="J137" s="43">
        <v>2</v>
      </c>
      <c r="K137" s="262">
        <f t="shared" si="2"/>
        <v>0.35859414261160716</v>
      </c>
      <c r="L137" s="163" t="s">
        <v>111</v>
      </c>
    </row>
    <row r="138" spans="1:12" hidden="1">
      <c r="A138" s="34" t="s">
        <v>109</v>
      </c>
      <c r="B138" s="339">
        <v>2003</v>
      </c>
      <c r="C138" s="59" t="s">
        <v>98</v>
      </c>
      <c r="D138" s="59">
        <v>1732</v>
      </c>
      <c r="E138" s="496" t="s">
        <v>110</v>
      </c>
      <c r="F138" s="29">
        <v>1</v>
      </c>
      <c r="G138" s="9">
        <v>1</v>
      </c>
      <c r="H138" s="9">
        <v>1</v>
      </c>
      <c r="I138" s="9">
        <v>2</v>
      </c>
      <c r="J138" s="43">
        <v>2</v>
      </c>
      <c r="K138" s="262">
        <f t="shared" si="2"/>
        <v>0.35859414261160716</v>
      </c>
      <c r="L138" s="163" t="s">
        <v>111</v>
      </c>
    </row>
    <row r="139" spans="1:12" hidden="1">
      <c r="A139" s="34" t="s">
        <v>109</v>
      </c>
      <c r="B139" s="339">
        <v>2004</v>
      </c>
      <c r="C139" s="59" t="s">
        <v>85</v>
      </c>
      <c r="D139" s="59">
        <v>1435</v>
      </c>
      <c r="E139" s="496" t="s">
        <v>110</v>
      </c>
      <c r="F139" s="29">
        <v>1</v>
      </c>
      <c r="G139" s="9">
        <v>1</v>
      </c>
      <c r="H139" s="9">
        <v>1</v>
      </c>
      <c r="I139" s="9">
        <v>2</v>
      </c>
      <c r="J139" s="43">
        <v>2</v>
      </c>
      <c r="K139" s="262">
        <f t="shared" si="2"/>
        <v>0.35859414261160716</v>
      </c>
      <c r="L139" s="163" t="s">
        <v>111</v>
      </c>
    </row>
    <row r="140" spans="1:12" hidden="1">
      <c r="A140" s="34" t="s">
        <v>109</v>
      </c>
      <c r="B140" s="339">
        <v>2004</v>
      </c>
      <c r="C140" s="59" t="s">
        <v>86</v>
      </c>
      <c r="D140" s="59">
        <v>290</v>
      </c>
      <c r="E140" s="496" t="s">
        <v>110</v>
      </c>
      <c r="F140" s="29">
        <v>1</v>
      </c>
      <c r="G140" s="9">
        <v>1</v>
      </c>
      <c r="H140" s="9">
        <v>1</v>
      </c>
      <c r="I140" s="9">
        <v>2</v>
      </c>
      <c r="J140" s="43">
        <v>2</v>
      </c>
      <c r="K140" s="262">
        <f t="shared" si="2"/>
        <v>0.35859414261160716</v>
      </c>
      <c r="L140" s="163" t="s">
        <v>111</v>
      </c>
    </row>
    <row r="141" spans="1:12" hidden="1">
      <c r="A141" s="34" t="s">
        <v>109</v>
      </c>
      <c r="B141" s="339">
        <v>2004</v>
      </c>
      <c r="C141" s="59" t="s">
        <v>87</v>
      </c>
      <c r="D141" s="59">
        <v>852</v>
      </c>
      <c r="E141" s="496" t="s">
        <v>110</v>
      </c>
      <c r="F141" s="29">
        <v>1</v>
      </c>
      <c r="G141" s="9">
        <v>1</v>
      </c>
      <c r="H141" s="9">
        <v>1</v>
      </c>
      <c r="I141" s="9">
        <v>2</v>
      </c>
      <c r="J141" s="43">
        <v>2</v>
      </c>
      <c r="K141" s="262">
        <f t="shared" si="2"/>
        <v>0.35859414261160716</v>
      </c>
      <c r="L141" s="163" t="s">
        <v>111</v>
      </c>
    </row>
    <row r="142" spans="1:12">
      <c r="A142" s="34" t="s">
        <v>109</v>
      </c>
      <c r="B142" s="339">
        <v>2004</v>
      </c>
      <c r="C142" s="59" t="s">
        <v>88</v>
      </c>
      <c r="D142" s="59">
        <v>11</v>
      </c>
      <c r="E142" s="496" t="s">
        <v>110</v>
      </c>
      <c r="F142" s="29">
        <v>1</v>
      </c>
      <c r="G142" s="9">
        <v>1</v>
      </c>
      <c r="H142" s="9">
        <v>1</v>
      </c>
      <c r="I142" s="9">
        <v>2</v>
      </c>
      <c r="J142" s="43">
        <v>2</v>
      </c>
      <c r="K142" s="262">
        <f t="shared" si="2"/>
        <v>0.35859414261160716</v>
      </c>
      <c r="L142" s="163" t="s">
        <v>111</v>
      </c>
    </row>
    <row r="143" spans="1:12" hidden="1">
      <c r="A143" s="34" t="s">
        <v>109</v>
      </c>
      <c r="B143" s="339">
        <v>2004</v>
      </c>
      <c r="C143" s="59" t="s">
        <v>89</v>
      </c>
      <c r="D143" s="59">
        <v>191</v>
      </c>
      <c r="E143" s="496" t="s">
        <v>110</v>
      </c>
      <c r="F143" s="29">
        <v>1</v>
      </c>
      <c r="G143" s="9">
        <v>1</v>
      </c>
      <c r="H143" s="9">
        <v>1</v>
      </c>
      <c r="I143" s="9">
        <v>2</v>
      </c>
      <c r="J143" s="43">
        <v>2</v>
      </c>
      <c r="K143" s="262">
        <f t="shared" si="2"/>
        <v>0.35859414261160716</v>
      </c>
      <c r="L143" s="163" t="s">
        <v>111</v>
      </c>
    </row>
    <row r="144" spans="1:12" hidden="1">
      <c r="A144" s="34" t="s">
        <v>109</v>
      </c>
      <c r="B144" s="339">
        <v>2004</v>
      </c>
      <c r="C144" s="59" t="s">
        <v>90</v>
      </c>
      <c r="D144" s="59">
        <v>610</v>
      </c>
      <c r="E144" s="496" t="s">
        <v>110</v>
      </c>
      <c r="F144" s="29">
        <v>1</v>
      </c>
      <c r="G144" s="9">
        <v>1</v>
      </c>
      <c r="H144" s="9">
        <v>1</v>
      </c>
      <c r="I144" s="9">
        <v>2</v>
      </c>
      <c r="J144" s="43">
        <v>2</v>
      </c>
      <c r="K144" s="262">
        <f t="shared" si="2"/>
        <v>0.35859414261160716</v>
      </c>
      <c r="L144" s="163" t="s">
        <v>111</v>
      </c>
    </row>
    <row r="145" spans="1:12" hidden="1">
      <c r="A145" s="34" t="s">
        <v>109</v>
      </c>
      <c r="B145" s="339">
        <v>2004</v>
      </c>
      <c r="C145" s="59" t="s">
        <v>91</v>
      </c>
      <c r="D145" s="59">
        <v>0</v>
      </c>
      <c r="E145" s="496" t="s">
        <v>110</v>
      </c>
      <c r="F145" s="29">
        <v>1</v>
      </c>
      <c r="G145" s="9">
        <v>1</v>
      </c>
      <c r="H145" s="9">
        <v>1</v>
      </c>
      <c r="I145" s="9">
        <v>2</v>
      </c>
      <c r="J145" s="43">
        <v>2</v>
      </c>
      <c r="K145" s="262">
        <f t="shared" si="2"/>
        <v>0.35859414261160716</v>
      </c>
      <c r="L145" s="163" t="s">
        <v>111</v>
      </c>
    </row>
    <row r="146" spans="1:12" hidden="1">
      <c r="A146" s="34" t="s">
        <v>109</v>
      </c>
      <c r="B146" s="339">
        <v>2004</v>
      </c>
      <c r="C146" s="59" t="s">
        <v>94</v>
      </c>
      <c r="D146" s="59">
        <v>67</v>
      </c>
      <c r="E146" s="496" t="s">
        <v>110</v>
      </c>
      <c r="F146" s="29">
        <v>1</v>
      </c>
      <c r="G146" s="9">
        <v>1</v>
      </c>
      <c r="H146" s="9">
        <v>1</v>
      </c>
      <c r="I146" s="9">
        <v>2</v>
      </c>
      <c r="J146" s="43">
        <v>2</v>
      </c>
      <c r="K146" s="262">
        <f t="shared" si="2"/>
        <v>0.35859414261160716</v>
      </c>
      <c r="L146" s="163" t="s">
        <v>111</v>
      </c>
    </row>
    <row r="147" spans="1:12" hidden="1">
      <c r="A147" s="34" t="s">
        <v>109</v>
      </c>
      <c r="B147" s="339">
        <v>2004</v>
      </c>
      <c r="C147" s="59" t="s">
        <v>96</v>
      </c>
      <c r="D147" s="59">
        <v>337</v>
      </c>
      <c r="E147" s="496" t="s">
        <v>110</v>
      </c>
      <c r="F147" s="29">
        <v>1</v>
      </c>
      <c r="G147" s="9">
        <v>1</v>
      </c>
      <c r="H147" s="9">
        <v>1</v>
      </c>
      <c r="I147" s="9">
        <v>2</v>
      </c>
      <c r="J147" s="43">
        <v>2</v>
      </c>
      <c r="K147" s="262">
        <f t="shared" si="2"/>
        <v>0.35859414261160716</v>
      </c>
      <c r="L147" s="163" t="s">
        <v>111</v>
      </c>
    </row>
    <row r="148" spans="1:12">
      <c r="A148" s="34" t="s">
        <v>109</v>
      </c>
      <c r="B148" s="339">
        <v>2004</v>
      </c>
      <c r="C148" s="59" t="s">
        <v>97</v>
      </c>
      <c r="D148" s="59">
        <v>233</v>
      </c>
      <c r="E148" s="496" t="s">
        <v>110</v>
      </c>
      <c r="F148" s="29">
        <v>1</v>
      </c>
      <c r="G148" s="9">
        <v>1</v>
      </c>
      <c r="H148" s="9">
        <v>1</v>
      </c>
      <c r="I148" s="9">
        <v>2</v>
      </c>
      <c r="J148" s="43">
        <v>2</v>
      </c>
      <c r="K148" s="262">
        <f t="shared" si="2"/>
        <v>0.35859414261160716</v>
      </c>
      <c r="L148" s="163" t="s">
        <v>111</v>
      </c>
    </row>
    <row r="149" spans="1:12" hidden="1">
      <c r="A149" s="34" t="s">
        <v>109</v>
      </c>
      <c r="B149" s="339">
        <v>2004</v>
      </c>
      <c r="C149" s="59" t="s">
        <v>95</v>
      </c>
      <c r="D149" s="59">
        <v>200</v>
      </c>
      <c r="E149" s="496" t="s">
        <v>110</v>
      </c>
      <c r="F149" s="29">
        <v>1</v>
      </c>
      <c r="G149" s="9">
        <v>1</v>
      </c>
      <c r="H149" s="9">
        <v>1</v>
      </c>
      <c r="I149" s="9">
        <v>2</v>
      </c>
      <c r="J149" s="43">
        <v>2</v>
      </c>
      <c r="K149" s="262">
        <f t="shared" si="2"/>
        <v>0.35859414261160716</v>
      </c>
      <c r="L149" s="163" t="s">
        <v>111</v>
      </c>
    </row>
    <row r="150" spans="1:12" hidden="1">
      <c r="A150" s="34" t="s">
        <v>109</v>
      </c>
      <c r="B150" s="339">
        <v>2004</v>
      </c>
      <c r="C150" s="59" t="s">
        <v>93</v>
      </c>
      <c r="D150" s="59">
        <v>98</v>
      </c>
      <c r="E150" s="496" t="s">
        <v>110</v>
      </c>
      <c r="F150" s="29">
        <v>1</v>
      </c>
      <c r="G150" s="9">
        <v>1</v>
      </c>
      <c r="H150" s="9">
        <v>1</v>
      </c>
      <c r="I150" s="9">
        <v>2</v>
      </c>
      <c r="J150" s="43">
        <v>2</v>
      </c>
      <c r="K150" s="262">
        <f t="shared" si="2"/>
        <v>0.35859414261160716</v>
      </c>
      <c r="L150" s="163" t="s">
        <v>111</v>
      </c>
    </row>
    <row r="151" spans="1:12" hidden="1">
      <c r="A151" s="34" t="s">
        <v>109</v>
      </c>
      <c r="B151" s="339">
        <v>2004</v>
      </c>
      <c r="C151" s="59" t="s">
        <v>98</v>
      </c>
      <c r="D151" s="59">
        <v>2287</v>
      </c>
      <c r="E151" s="496" t="s">
        <v>110</v>
      </c>
      <c r="F151" s="29">
        <v>1</v>
      </c>
      <c r="G151" s="9">
        <v>1</v>
      </c>
      <c r="H151" s="9">
        <v>1</v>
      </c>
      <c r="I151" s="9">
        <v>2</v>
      </c>
      <c r="J151" s="43">
        <v>2</v>
      </c>
      <c r="K151" s="262">
        <f t="shared" si="2"/>
        <v>0.35859414261160716</v>
      </c>
      <c r="L151" s="163" t="s">
        <v>111</v>
      </c>
    </row>
    <row r="152" spans="1:12" hidden="1">
      <c r="A152" s="34" t="s">
        <v>109</v>
      </c>
      <c r="B152" s="339">
        <v>2005</v>
      </c>
      <c r="C152" s="59" t="s">
        <v>85</v>
      </c>
      <c r="D152" s="59">
        <v>1435</v>
      </c>
      <c r="E152" s="496" t="s">
        <v>110</v>
      </c>
      <c r="F152" s="29">
        <v>1</v>
      </c>
      <c r="G152" s="9">
        <v>1</v>
      </c>
      <c r="H152" s="9">
        <v>1</v>
      </c>
      <c r="I152" s="9">
        <v>2</v>
      </c>
      <c r="J152" s="43">
        <v>2</v>
      </c>
      <c r="K152" s="262">
        <f t="shared" si="2"/>
        <v>0.35859414261160716</v>
      </c>
      <c r="L152" s="163" t="s">
        <v>111</v>
      </c>
    </row>
    <row r="153" spans="1:12" hidden="1">
      <c r="A153" s="34" t="s">
        <v>109</v>
      </c>
      <c r="B153" s="339">
        <v>2005</v>
      </c>
      <c r="C153" s="59" t="s">
        <v>86</v>
      </c>
      <c r="D153" s="59">
        <v>290</v>
      </c>
      <c r="E153" s="496" t="s">
        <v>110</v>
      </c>
      <c r="F153" s="29">
        <v>1</v>
      </c>
      <c r="G153" s="9">
        <v>1</v>
      </c>
      <c r="H153" s="9">
        <v>1</v>
      </c>
      <c r="I153" s="9">
        <v>2</v>
      </c>
      <c r="J153" s="43">
        <v>2</v>
      </c>
      <c r="K153" s="262">
        <f t="shared" si="2"/>
        <v>0.35859414261160716</v>
      </c>
      <c r="L153" s="163" t="s">
        <v>111</v>
      </c>
    </row>
    <row r="154" spans="1:12" hidden="1">
      <c r="A154" s="34" t="s">
        <v>109</v>
      </c>
      <c r="B154" s="339">
        <v>2005</v>
      </c>
      <c r="C154" s="59" t="s">
        <v>87</v>
      </c>
      <c r="D154" s="59">
        <v>852</v>
      </c>
      <c r="E154" s="496" t="s">
        <v>110</v>
      </c>
      <c r="F154" s="29">
        <v>1</v>
      </c>
      <c r="G154" s="9">
        <v>1</v>
      </c>
      <c r="H154" s="9">
        <v>1</v>
      </c>
      <c r="I154" s="9">
        <v>2</v>
      </c>
      <c r="J154" s="43">
        <v>2</v>
      </c>
      <c r="K154" s="262">
        <f t="shared" si="2"/>
        <v>0.35859414261160716</v>
      </c>
      <c r="L154" s="163" t="s">
        <v>111</v>
      </c>
    </row>
    <row r="155" spans="1:12">
      <c r="A155" s="34" t="s">
        <v>109</v>
      </c>
      <c r="B155" s="339">
        <v>2005</v>
      </c>
      <c r="C155" s="59" t="s">
        <v>88</v>
      </c>
      <c r="D155" s="59">
        <v>4</v>
      </c>
      <c r="E155" s="496" t="s">
        <v>110</v>
      </c>
      <c r="F155" s="29">
        <v>1</v>
      </c>
      <c r="G155" s="9">
        <v>1</v>
      </c>
      <c r="H155" s="9">
        <v>1</v>
      </c>
      <c r="I155" s="9">
        <v>2</v>
      </c>
      <c r="J155" s="43">
        <v>2</v>
      </c>
      <c r="K155" s="262">
        <f t="shared" si="2"/>
        <v>0.35859414261160716</v>
      </c>
      <c r="L155" s="163" t="s">
        <v>111</v>
      </c>
    </row>
    <row r="156" spans="1:12" hidden="1">
      <c r="A156" s="34" t="s">
        <v>109</v>
      </c>
      <c r="B156" s="339">
        <v>2005</v>
      </c>
      <c r="C156" s="59" t="s">
        <v>89</v>
      </c>
      <c r="D156" s="59">
        <v>191</v>
      </c>
      <c r="E156" s="496" t="s">
        <v>110</v>
      </c>
      <c r="F156" s="29">
        <v>1</v>
      </c>
      <c r="G156" s="9">
        <v>1</v>
      </c>
      <c r="H156" s="9">
        <v>1</v>
      </c>
      <c r="I156" s="9">
        <v>2</v>
      </c>
      <c r="J156" s="43">
        <v>2</v>
      </c>
      <c r="K156" s="262">
        <f t="shared" si="2"/>
        <v>0.35859414261160716</v>
      </c>
      <c r="L156" s="163" t="s">
        <v>111</v>
      </c>
    </row>
    <row r="157" spans="1:12" hidden="1">
      <c r="A157" s="34" t="s">
        <v>109</v>
      </c>
      <c r="B157" s="339">
        <v>2005</v>
      </c>
      <c r="C157" s="59" t="s">
        <v>90</v>
      </c>
      <c r="D157" s="59">
        <v>610</v>
      </c>
      <c r="E157" s="496" t="s">
        <v>110</v>
      </c>
      <c r="F157" s="29">
        <v>1</v>
      </c>
      <c r="G157" s="9">
        <v>1</v>
      </c>
      <c r="H157" s="9">
        <v>1</v>
      </c>
      <c r="I157" s="9">
        <v>2</v>
      </c>
      <c r="J157" s="43">
        <v>2</v>
      </c>
      <c r="K157" s="262">
        <f t="shared" si="2"/>
        <v>0.35859414261160716</v>
      </c>
      <c r="L157" s="163" t="s">
        <v>111</v>
      </c>
    </row>
    <row r="158" spans="1:12" hidden="1">
      <c r="A158" s="34" t="s">
        <v>109</v>
      </c>
      <c r="B158" s="339">
        <v>2005</v>
      </c>
      <c r="C158" s="59" t="s">
        <v>91</v>
      </c>
      <c r="D158" s="59">
        <v>156</v>
      </c>
      <c r="E158" s="496" t="s">
        <v>110</v>
      </c>
      <c r="F158" s="29">
        <v>1</v>
      </c>
      <c r="G158" s="9">
        <v>1</v>
      </c>
      <c r="H158" s="9">
        <v>1</v>
      </c>
      <c r="I158" s="9">
        <v>2</v>
      </c>
      <c r="J158" s="43">
        <v>2</v>
      </c>
      <c r="K158" s="262">
        <f t="shared" si="2"/>
        <v>0.35859414261160716</v>
      </c>
      <c r="L158" s="163" t="s">
        <v>111</v>
      </c>
    </row>
    <row r="159" spans="1:12" hidden="1">
      <c r="A159" s="34" t="s">
        <v>109</v>
      </c>
      <c r="B159" s="339">
        <v>2005</v>
      </c>
      <c r="C159" s="59" t="s">
        <v>94</v>
      </c>
      <c r="D159" s="59">
        <v>78</v>
      </c>
      <c r="E159" s="496" t="s">
        <v>110</v>
      </c>
      <c r="F159" s="29">
        <v>1</v>
      </c>
      <c r="G159" s="9">
        <v>1</v>
      </c>
      <c r="H159" s="9">
        <v>1</v>
      </c>
      <c r="I159" s="9">
        <v>2</v>
      </c>
      <c r="J159" s="43">
        <v>2</v>
      </c>
      <c r="K159" s="262">
        <f t="shared" si="2"/>
        <v>0.35859414261160716</v>
      </c>
      <c r="L159" s="163" t="s">
        <v>111</v>
      </c>
    </row>
    <row r="160" spans="1:12" hidden="1">
      <c r="A160" s="34" t="s">
        <v>109</v>
      </c>
      <c r="B160" s="339">
        <v>2005</v>
      </c>
      <c r="C160" s="59" t="s">
        <v>96</v>
      </c>
      <c r="D160" s="59">
        <v>337</v>
      </c>
      <c r="E160" s="496" t="s">
        <v>110</v>
      </c>
      <c r="F160" s="29">
        <v>1</v>
      </c>
      <c r="G160" s="9">
        <v>1</v>
      </c>
      <c r="H160" s="9">
        <v>1</v>
      </c>
      <c r="I160" s="9">
        <v>2</v>
      </c>
      <c r="J160" s="43">
        <v>2</v>
      </c>
      <c r="K160" s="262">
        <f t="shared" si="2"/>
        <v>0.35859414261160716</v>
      </c>
      <c r="L160" s="163" t="s">
        <v>111</v>
      </c>
    </row>
    <row r="161" spans="1:12">
      <c r="A161" s="34" t="s">
        <v>109</v>
      </c>
      <c r="B161" s="339">
        <v>2005</v>
      </c>
      <c r="C161" s="59" t="s">
        <v>97</v>
      </c>
      <c r="D161" s="59">
        <v>233</v>
      </c>
      <c r="E161" s="496" t="s">
        <v>110</v>
      </c>
      <c r="F161" s="29">
        <v>1</v>
      </c>
      <c r="G161" s="9">
        <v>1</v>
      </c>
      <c r="H161" s="9">
        <v>1</v>
      </c>
      <c r="I161" s="9">
        <v>2</v>
      </c>
      <c r="J161" s="43">
        <v>2</v>
      </c>
      <c r="K161" s="262">
        <f t="shared" si="2"/>
        <v>0.35859414261160716</v>
      </c>
      <c r="L161" s="163" t="s">
        <v>111</v>
      </c>
    </row>
    <row r="162" spans="1:12" hidden="1">
      <c r="A162" s="34" t="s">
        <v>109</v>
      </c>
      <c r="B162" s="339">
        <v>2005</v>
      </c>
      <c r="C162" s="59" t="s">
        <v>95</v>
      </c>
      <c r="D162" s="59">
        <v>200</v>
      </c>
      <c r="E162" s="496" t="s">
        <v>110</v>
      </c>
      <c r="F162" s="29">
        <v>1</v>
      </c>
      <c r="G162" s="9">
        <v>1</v>
      </c>
      <c r="H162" s="9">
        <v>1</v>
      </c>
      <c r="I162" s="9">
        <v>2</v>
      </c>
      <c r="J162" s="43">
        <v>2</v>
      </c>
      <c r="K162" s="262">
        <f t="shared" si="2"/>
        <v>0.35859414261160716</v>
      </c>
      <c r="L162" s="163" t="s">
        <v>111</v>
      </c>
    </row>
    <row r="163" spans="1:12" hidden="1">
      <c r="A163" s="34" t="s">
        <v>109</v>
      </c>
      <c r="B163" s="339">
        <v>2005</v>
      </c>
      <c r="C163" s="59" t="s">
        <v>93</v>
      </c>
      <c r="D163" s="59">
        <v>98</v>
      </c>
      <c r="E163" s="496" t="s">
        <v>110</v>
      </c>
      <c r="F163" s="29">
        <v>1</v>
      </c>
      <c r="G163" s="9">
        <v>1</v>
      </c>
      <c r="H163" s="9">
        <v>1</v>
      </c>
      <c r="I163" s="9">
        <v>2</v>
      </c>
      <c r="J163" s="43">
        <v>2</v>
      </c>
      <c r="K163" s="262">
        <f t="shared" si="2"/>
        <v>0.35859414261160716</v>
      </c>
      <c r="L163" s="163" t="s">
        <v>111</v>
      </c>
    </row>
    <row r="164" spans="1:12" hidden="1">
      <c r="A164" s="34" t="s">
        <v>109</v>
      </c>
      <c r="B164" s="339">
        <v>2005</v>
      </c>
      <c r="C164" s="59" t="s">
        <v>98</v>
      </c>
      <c r="D164" s="59">
        <v>2309</v>
      </c>
      <c r="E164" s="496" t="s">
        <v>110</v>
      </c>
      <c r="F164" s="29">
        <v>1</v>
      </c>
      <c r="G164" s="9">
        <v>1</v>
      </c>
      <c r="H164" s="9">
        <v>1</v>
      </c>
      <c r="I164" s="9">
        <v>2</v>
      </c>
      <c r="J164" s="43">
        <v>2</v>
      </c>
      <c r="K164" s="262">
        <f t="shared" si="2"/>
        <v>0.35859414261160716</v>
      </c>
      <c r="L164" s="163" t="s">
        <v>111</v>
      </c>
    </row>
    <row r="165" spans="1:12" hidden="1">
      <c r="A165" s="34" t="s">
        <v>109</v>
      </c>
      <c r="B165" s="339">
        <v>2006</v>
      </c>
      <c r="C165" s="59" t="s">
        <v>85</v>
      </c>
      <c r="D165" s="59">
        <v>1448</v>
      </c>
      <c r="E165" s="496" t="s">
        <v>110</v>
      </c>
      <c r="F165" s="29">
        <v>1</v>
      </c>
      <c r="G165" s="9">
        <v>1</v>
      </c>
      <c r="H165" s="9">
        <v>1</v>
      </c>
      <c r="I165" s="9">
        <v>2</v>
      </c>
      <c r="J165" s="43">
        <v>2</v>
      </c>
      <c r="K165" s="262">
        <f t="shared" si="2"/>
        <v>0.35859414261160716</v>
      </c>
      <c r="L165" s="163" t="s">
        <v>111</v>
      </c>
    </row>
    <row r="166" spans="1:12" hidden="1">
      <c r="A166" s="34" t="s">
        <v>109</v>
      </c>
      <c r="B166" s="339">
        <v>2006</v>
      </c>
      <c r="C166" s="59" t="s">
        <v>86</v>
      </c>
      <c r="D166" s="59">
        <v>290</v>
      </c>
      <c r="E166" s="496" t="s">
        <v>110</v>
      </c>
      <c r="F166" s="29">
        <v>1</v>
      </c>
      <c r="G166" s="9">
        <v>1</v>
      </c>
      <c r="H166" s="9">
        <v>1</v>
      </c>
      <c r="I166" s="9">
        <v>2</v>
      </c>
      <c r="J166" s="43">
        <v>2</v>
      </c>
      <c r="K166" s="262">
        <f t="shared" si="2"/>
        <v>0.35859414261160716</v>
      </c>
      <c r="L166" s="163" t="s">
        <v>111</v>
      </c>
    </row>
    <row r="167" spans="1:12" hidden="1">
      <c r="A167" s="34" t="s">
        <v>109</v>
      </c>
      <c r="B167" s="339">
        <v>2006</v>
      </c>
      <c r="C167" s="59" t="s">
        <v>87</v>
      </c>
      <c r="D167" s="59">
        <v>955</v>
      </c>
      <c r="E167" s="496" t="s">
        <v>110</v>
      </c>
      <c r="F167" s="29">
        <v>1</v>
      </c>
      <c r="G167" s="9">
        <v>1</v>
      </c>
      <c r="H167" s="9">
        <v>1</v>
      </c>
      <c r="I167" s="9">
        <v>2</v>
      </c>
      <c r="J167" s="43">
        <v>2</v>
      </c>
      <c r="K167" s="262">
        <f t="shared" si="2"/>
        <v>0.35859414261160716</v>
      </c>
      <c r="L167" s="163" t="s">
        <v>111</v>
      </c>
    </row>
    <row r="168" spans="1:12">
      <c r="A168" s="34" t="s">
        <v>109</v>
      </c>
      <c r="B168" s="339">
        <v>2006</v>
      </c>
      <c r="C168" s="59" t="s">
        <v>88</v>
      </c>
      <c r="D168" s="59">
        <v>13</v>
      </c>
      <c r="E168" s="496" t="s">
        <v>110</v>
      </c>
      <c r="F168" s="29">
        <v>1</v>
      </c>
      <c r="G168" s="9">
        <v>1</v>
      </c>
      <c r="H168" s="9">
        <v>1</v>
      </c>
      <c r="I168" s="9">
        <v>2</v>
      </c>
      <c r="J168" s="43">
        <v>2</v>
      </c>
      <c r="K168" s="262">
        <f t="shared" si="2"/>
        <v>0.35859414261160716</v>
      </c>
      <c r="L168" s="163" t="s">
        <v>111</v>
      </c>
    </row>
    <row r="169" spans="1:12" hidden="1">
      <c r="A169" s="34" t="s">
        <v>109</v>
      </c>
      <c r="B169" s="339">
        <v>2006</v>
      </c>
      <c r="C169" s="59" t="s">
        <v>89</v>
      </c>
      <c r="D169" s="59">
        <v>191</v>
      </c>
      <c r="E169" s="496" t="s">
        <v>110</v>
      </c>
      <c r="F169" s="29">
        <v>1</v>
      </c>
      <c r="G169" s="9">
        <v>1</v>
      </c>
      <c r="H169" s="9">
        <v>1</v>
      </c>
      <c r="I169" s="9">
        <v>2</v>
      </c>
      <c r="J169" s="43">
        <v>2</v>
      </c>
      <c r="K169" s="262">
        <f t="shared" si="2"/>
        <v>0.35859414261160716</v>
      </c>
      <c r="L169" s="163" t="s">
        <v>111</v>
      </c>
    </row>
    <row r="170" spans="1:12" hidden="1">
      <c r="A170" s="34" t="s">
        <v>109</v>
      </c>
      <c r="B170" s="339">
        <v>2006</v>
      </c>
      <c r="C170" s="59" t="s">
        <v>90</v>
      </c>
      <c r="D170" s="59">
        <v>610</v>
      </c>
      <c r="E170" s="496" t="s">
        <v>110</v>
      </c>
      <c r="F170" s="29">
        <v>1</v>
      </c>
      <c r="G170" s="9">
        <v>1</v>
      </c>
      <c r="H170" s="9">
        <v>1</v>
      </c>
      <c r="I170" s="9">
        <v>2</v>
      </c>
      <c r="J170" s="43">
        <v>2</v>
      </c>
      <c r="K170" s="262">
        <f t="shared" si="2"/>
        <v>0.35859414261160716</v>
      </c>
      <c r="L170" s="163" t="s">
        <v>111</v>
      </c>
    </row>
    <row r="171" spans="1:12" hidden="1">
      <c r="A171" s="34" t="s">
        <v>109</v>
      </c>
      <c r="B171" s="339">
        <v>2006</v>
      </c>
      <c r="C171" s="59" t="s">
        <v>91</v>
      </c>
      <c r="D171" s="59">
        <v>177</v>
      </c>
      <c r="E171" s="496" t="s">
        <v>110</v>
      </c>
      <c r="F171" s="29">
        <v>1</v>
      </c>
      <c r="G171" s="9">
        <v>1</v>
      </c>
      <c r="H171" s="9">
        <v>1</v>
      </c>
      <c r="I171" s="9">
        <v>2</v>
      </c>
      <c r="J171" s="43">
        <v>2</v>
      </c>
      <c r="K171" s="262">
        <f t="shared" si="2"/>
        <v>0.35859414261160716</v>
      </c>
      <c r="L171" s="163" t="s">
        <v>111</v>
      </c>
    </row>
    <row r="172" spans="1:12" hidden="1">
      <c r="A172" s="34" t="s">
        <v>109</v>
      </c>
      <c r="B172" s="339">
        <v>2006</v>
      </c>
      <c r="C172" s="59" t="s">
        <v>94</v>
      </c>
      <c r="D172" s="59">
        <v>122</v>
      </c>
      <c r="E172" s="496" t="s">
        <v>110</v>
      </c>
      <c r="F172" s="29">
        <v>1</v>
      </c>
      <c r="G172" s="9">
        <v>1</v>
      </c>
      <c r="H172" s="9">
        <v>1</v>
      </c>
      <c r="I172" s="9">
        <v>2</v>
      </c>
      <c r="J172" s="43">
        <v>2</v>
      </c>
      <c r="K172" s="262">
        <f t="shared" si="2"/>
        <v>0.35859414261160716</v>
      </c>
      <c r="L172" s="163" t="s">
        <v>111</v>
      </c>
    </row>
    <row r="173" spans="1:12" hidden="1">
      <c r="A173" s="34" t="s">
        <v>109</v>
      </c>
      <c r="B173" s="339">
        <v>2006</v>
      </c>
      <c r="C173" s="59" t="s">
        <v>96</v>
      </c>
      <c r="D173" s="59">
        <v>204</v>
      </c>
      <c r="E173" s="496" t="s">
        <v>110</v>
      </c>
      <c r="F173" s="29">
        <v>1</v>
      </c>
      <c r="G173" s="9">
        <v>1</v>
      </c>
      <c r="H173" s="9">
        <v>1</v>
      </c>
      <c r="I173" s="9">
        <v>2</v>
      </c>
      <c r="J173" s="43">
        <v>2</v>
      </c>
      <c r="K173" s="262">
        <f t="shared" si="2"/>
        <v>0.35859414261160716</v>
      </c>
      <c r="L173" s="163" t="s">
        <v>111</v>
      </c>
    </row>
    <row r="174" spans="1:12">
      <c r="A174" s="34" t="s">
        <v>109</v>
      </c>
      <c r="B174" s="339">
        <v>2006</v>
      </c>
      <c r="C174" s="59" t="s">
        <v>97</v>
      </c>
      <c r="D174" s="59">
        <v>126</v>
      </c>
      <c r="E174" s="496" t="s">
        <v>110</v>
      </c>
      <c r="F174" s="29">
        <v>1</v>
      </c>
      <c r="G174" s="9">
        <v>1</v>
      </c>
      <c r="H174" s="9">
        <v>1</v>
      </c>
      <c r="I174" s="9">
        <v>2</v>
      </c>
      <c r="J174" s="43">
        <v>2</v>
      </c>
      <c r="K174" s="262">
        <f t="shared" si="2"/>
        <v>0.35859414261160716</v>
      </c>
      <c r="L174" s="163" t="s">
        <v>111</v>
      </c>
    </row>
    <row r="175" spans="1:12" hidden="1">
      <c r="A175" s="34" t="s">
        <v>109</v>
      </c>
      <c r="B175" s="339">
        <v>2006</v>
      </c>
      <c r="C175" s="59" t="s">
        <v>95</v>
      </c>
      <c r="D175" s="59">
        <v>241</v>
      </c>
      <c r="E175" s="496" t="s">
        <v>110</v>
      </c>
      <c r="F175" s="29">
        <v>1</v>
      </c>
      <c r="G175" s="9">
        <v>1</v>
      </c>
      <c r="H175" s="9">
        <v>1</v>
      </c>
      <c r="I175" s="9">
        <v>2</v>
      </c>
      <c r="J175" s="43">
        <v>2</v>
      </c>
      <c r="K175" s="262">
        <f t="shared" si="2"/>
        <v>0.35859414261160716</v>
      </c>
      <c r="L175" s="163" t="s">
        <v>111</v>
      </c>
    </row>
    <row r="176" spans="1:12" hidden="1">
      <c r="A176" s="34" t="s">
        <v>109</v>
      </c>
      <c r="B176" s="339">
        <v>2006</v>
      </c>
      <c r="C176" s="59" t="s">
        <v>93</v>
      </c>
      <c r="D176" s="59">
        <v>98</v>
      </c>
      <c r="E176" s="496" t="s">
        <v>110</v>
      </c>
      <c r="F176" s="29">
        <v>1</v>
      </c>
      <c r="G176" s="9">
        <v>1</v>
      </c>
      <c r="H176" s="9">
        <v>1</v>
      </c>
      <c r="I176" s="9">
        <v>2</v>
      </c>
      <c r="J176" s="43">
        <v>2</v>
      </c>
      <c r="K176" s="262">
        <f t="shared" si="2"/>
        <v>0.35859414261160716</v>
      </c>
      <c r="L176" s="163" t="s">
        <v>111</v>
      </c>
    </row>
    <row r="177" spans="1:12" hidden="1">
      <c r="A177" s="34" t="s">
        <v>109</v>
      </c>
      <c r="B177" s="339">
        <v>2006</v>
      </c>
      <c r="C177" s="59" t="s">
        <v>98</v>
      </c>
      <c r="D177" s="59">
        <v>2399</v>
      </c>
      <c r="E177" s="496" t="s">
        <v>110</v>
      </c>
      <c r="F177" s="29">
        <v>1</v>
      </c>
      <c r="G177" s="9">
        <v>1</v>
      </c>
      <c r="H177" s="9">
        <v>1</v>
      </c>
      <c r="I177" s="9">
        <v>2</v>
      </c>
      <c r="J177" s="43">
        <v>2</v>
      </c>
      <c r="K177" s="262">
        <f t="shared" si="2"/>
        <v>0.35859414261160716</v>
      </c>
      <c r="L177" s="163" t="s">
        <v>111</v>
      </c>
    </row>
    <row r="178" spans="1:12" hidden="1">
      <c r="A178" s="34" t="s">
        <v>109</v>
      </c>
      <c r="B178" s="339">
        <v>2007</v>
      </c>
      <c r="C178" s="59" t="s">
        <v>85</v>
      </c>
      <c r="D178" s="59">
        <v>1685</v>
      </c>
      <c r="E178" s="496" t="s">
        <v>110</v>
      </c>
      <c r="F178" s="29">
        <v>1</v>
      </c>
      <c r="G178" s="9">
        <v>1</v>
      </c>
      <c r="H178" s="9">
        <v>1</v>
      </c>
      <c r="I178" s="9">
        <v>2</v>
      </c>
      <c r="J178" s="43">
        <v>2</v>
      </c>
      <c r="K178" s="262">
        <f t="shared" si="2"/>
        <v>0.35859414261160716</v>
      </c>
      <c r="L178" s="163" t="s">
        <v>111</v>
      </c>
    </row>
    <row r="179" spans="1:12" hidden="1">
      <c r="A179" s="34" t="s">
        <v>109</v>
      </c>
      <c r="B179" s="339">
        <v>2007</v>
      </c>
      <c r="C179" s="59" t="s">
        <v>86</v>
      </c>
      <c r="D179" s="59">
        <v>290</v>
      </c>
      <c r="E179" s="496" t="s">
        <v>110</v>
      </c>
      <c r="F179" s="29">
        <v>1</v>
      </c>
      <c r="G179" s="9">
        <v>1</v>
      </c>
      <c r="H179" s="9">
        <v>1</v>
      </c>
      <c r="I179" s="9">
        <v>2</v>
      </c>
      <c r="J179" s="43">
        <v>2</v>
      </c>
      <c r="K179" s="262">
        <f t="shared" si="2"/>
        <v>0.35859414261160716</v>
      </c>
      <c r="L179" s="163" t="s">
        <v>111</v>
      </c>
    </row>
    <row r="180" spans="1:12" hidden="1">
      <c r="A180" s="34" t="s">
        <v>109</v>
      </c>
      <c r="B180" s="339">
        <v>2007</v>
      </c>
      <c r="C180" s="59" t="s">
        <v>87</v>
      </c>
      <c r="D180" s="59">
        <v>1021</v>
      </c>
      <c r="E180" s="496" t="s">
        <v>110</v>
      </c>
      <c r="F180" s="29">
        <v>1</v>
      </c>
      <c r="G180" s="9">
        <v>1</v>
      </c>
      <c r="H180" s="9">
        <v>1</v>
      </c>
      <c r="I180" s="9">
        <v>2</v>
      </c>
      <c r="J180" s="43">
        <v>2</v>
      </c>
      <c r="K180" s="262">
        <f t="shared" si="2"/>
        <v>0.35859414261160716</v>
      </c>
      <c r="L180" s="163" t="s">
        <v>111</v>
      </c>
    </row>
    <row r="181" spans="1:12">
      <c r="A181" s="34" t="s">
        <v>109</v>
      </c>
      <c r="B181" s="339">
        <v>2007</v>
      </c>
      <c r="C181" s="59" t="s">
        <v>88</v>
      </c>
      <c r="D181" s="59">
        <v>8</v>
      </c>
      <c r="E181" s="496" t="s">
        <v>110</v>
      </c>
      <c r="F181" s="29">
        <v>1</v>
      </c>
      <c r="G181" s="9">
        <v>1</v>
      </c>
      <c r="H181" s="9">
        <v>1</v>
      </c>
      <c r="I181" s="9">
        <v>2</v>
      </c>
      <c r="J181" s="43">
        <v>2</v>
      </c>
      <c r="K181" s="262">
        <f t="shared" si="2"/>
        <v>0.35859414261160716</v>
      </c>
      <c r="L181" s="163" t="s">
        <v>111</v>
      </c>
    </row>
    <row r="182" spans="1:12" hidden="1">
      <c r="A182" s="34" t="s">
        <v>109</v>
      </c>
      <c r="B182" s="339">
        <v>2007</v>
      </c>
      <c r="C182" s="59" t="s">
        <v>89</v>
      </c>
      <c r="D182" s="59">
        <v>191</v>
      </c>
      <c r="E182" s="496" t="s">
        <v>110</v>
      </c>
      <c r="F182" s="29">
        <v>1</v>
      </c>
      <c r="G182" s="9">
        <v>1</v>
      </c>
      <c r="H182" s="9">
        <v>1</v>
      </c>
      <c r="I182" s="9">
        <v>2</v>
      </c>
      <c r="J182" s="43">
        <v>2</v>
      </c>
      <c r="K182" s="262">
        <f t="shared" si="2"/>
        <v>0.35859414261160716</v>
      </c>
      <c r="L182" s="163" t="s">
        <v>111</v>
      </c>
    </row>
    <row r="183" spans="1:12" hidden="1">
      <c r="A183" s="34" t="s">
        <v>109</v>
      </c>
      <c r="B183" s="339">
        <v>2007</v>
      </c>
      <c r="C183" s="59" t="s">
        <v>90</v>
      </c>
      <c r="D183" s="59">
        <v>610</v>
      </c>
      <c r="E183" s="496" t="s">
        <v>110</v>
      </c>
      <c r="F183" s="29">
        <v>1</v>
      </c>
      <c r="G183" s="9">
        <v>1</v>
      </c>
      <c r="H183" s="9">
        <v>1</v>
      </c>
      <c r="I183" s="9">
        <v>2</v>
      </c>
      <c r="J183" s="43">
        <v>2</v>
      </c>
      <c r="K183" s="262">
        <f t="shared" si="2"/>
        <v>0.35859414261160716</v>
      </c>
      <c r="L183" s="163" t="s">
        <v>111</v>
      </c>
    </row>
    <row r="184" spans="1:12" hidden="1">
      <c r="A184" s="34" t="s">
        <v>109</v>
      </c>
      <c r="B184" s="339">
        <v>2007</v>
      </c>
      <c r="C184" s="59" t="s">
        <v>91</v>
      </c>
      <c r="D184" s="59">
        <v>209</v>
      </c>
      <c r="E184" s="496" t="s">
        <v>110</v>
      </c>
      <c r="F184" s="29">
        <v>1</v>
      </c>
      <c r="G184" s="9">
        <v>1</v>
      </c>
      <c r="H184" s="9">
        <v>1</v>
      </c>
      <c r="I184" s="9">
        <v>2</v>
      </c>
      <c r="J184" s="43">
        <v>2</v>
      </c>
      <c r="K184" s="262">
        <f t="shared" si="2"/>
        <v>0.35859414261160716</v>
      </c>
      <c r="L184" s="163" t="s">
        <v>111</v>
      </c>
    </row>
    <row r="185" spans="1:12" hidden="1">
      <c r="A185" s="34" t="s">
        <v>109</v>
      </c>
      <c r="B185" s="339">
        <v>2007</v>
      </c>
      <c r="C185" s="59" t="s">
        <v>94</v>
      </c>
      <c r="D185" s="59">
        <v>140</v>
      </c>
      <c r="E185" s="496" t="s">
        <v>110</v>
      </c>
      <c r="F185" s="29">
        <v>1</v>
      </c>
      <c r="G185" s="9">
        <v>1</v>
      </c>
      <c r="H185" s="9">
        <v>1</v>
      </c>
      <c r="I185" s="9">
        <v>2</v>
      </c>
      <c r="J185" s="43">
        <v>2</v>
      </c>
      <c r="K185" s="262">
        <f t="shared" si="2"/>
        <v>0.35859414261160716</v>
      </c>
      <c r="L185" s="163" t="s">
        <v>111</v>
      </c>
    </row>
    <row r="186" spans="1:12" hidden="1">
      <c r="A186" s="34" t="s">
        <v>109</v>
      </c>
      <c r="B186" s="339">
        <v>2007</v>
      </c>
      <c r="C186" s="59" t="s">
        <v>96</v>
      </c>
      <c r="D186" s="59">
        <v>337</v>
      </c>
      <c r="E186" s="496" t="s">
        <v>110</v>
      </c>
      <c r="F186" s="29">
        <v>1</v>
      </c>
      <c r="G186" s="9">
        <v>1</v>
      </c>
      <c r="H186" s="9">
        <v>1</v>
      </c>
      <c r="I186" s="9">
        <v>2</v>
      </c>
      <c r="J186" s="43">
        <v>2</v>
      </c>
      <c r="K186" s="262">
        <f t="shared" si="2"/>
        <v>0.35859414261160716</v>
      </c>
      <c r="L186" s="163" t="s">
        <v>111</v>
      </c>
    </row>
    <row r="187" spans="1:12">
      <c r="A187" s="34" t="s">
        <v>109</v>
      </c>
      <c r="B187" s="339">
        <v>2007</v>
      </c>
      <c r="C187" s="59" t="s">
        <v>97</v>
      </c>
      <c r="D187" s="59">
        <v>139</v>
      </c>
      <c r="E187" s="496" t="s">
        <v>110</v>
      </c>
      <c r="F187" s="29">
        <v>1</v>
      </c>
      <c r="G187" s="9">
        <v>1</v>
      </c>
      <c r="H187" s="9">
        <v>1</v>
      </c>
      <c r="I187" s="9">
        <v>2</v>
      </c>
      <c r="J187" s="43">
        <v>2</v>
      </c>
      <c r="K187" s="262">
        <f t="shared" si="2"/>
        <v>0.35859414261160716</v>
      </c>
      <c r="L187" s="163" t="s">
        <v>111</v>
      </c>
    </row>
    <row r="188" spans="1:12" hidden="1">
      <c r="A188" s="34" t="s">
        <v>109</v>
      </c>
      <c r="B188" s="339">
        <v>2007</v>
      </c>
      <c r="C188" s="59" t="s">
        <v>95</v>
      </c>
      <c r="D188" s="59">
        <v>219</v>
      </c>
      <c r="E188" s="496" t="s">
        <v>110</v>
      </c>
      <c r="F188" s="29">
        <v>1</v>
      </c>
      <c r="G188" s="9">
        <v>1</v>
      </c>
      <c r="H188" s="9">
        <v>1</v>
      </c>
      <c r="I188" s="9">
        <v>2</v>
      </c>
      <c r="J188" s="43">
        <v>2</v>
      </c>
      <c r="K188" s="262">
        <f t="shared" si="2"/>
        <v>0.35859414261160716</v>
      </c>
      <c r="L188" s="163" t="s">
        <v>111</v>
      </c>
    </row>
    <row r="189" spans="1:12" hidden="1">
      <c r="A189" s="34" t="s">
        <v>109</v>
      </c>
      <c r="B189" s="339">
        <v>2007</v>
      </c>
      <c r="C189" s="59" t="s">
        <v>93</v>
      </c>
      <c r="D189" s="59">
        <v>98</v>
      </c>
      <c r="E189" s="496" t="s">
        <v>110</v>
      </c>
      <c r="F189" s="29">
        <v>1</v>
      </c>
      <c r="G189" s="9">
        <v>1</v>
      </c>
      <c r="H189" s="9">
        <v>1</v>
      </c>
      <c r="I189" s="9">
        <v>2</v>
      </c>
      <c r="J189" s="43">
        <v>2</v>
      </c>
      <c r="K189" s="262">
        <f t="shared" ref="K189:K252" si="3">IF( OR( ISBLANK(F189),ISBLANK(G189), ISBLANK(H189), ISBLANK(I189), ISBLANK(J189) ), "", 1.5*SQRT(   EXP(2.21*(F189-1)) + EXP(2.21*(G189-1)) + EXP(2.21*(H189-1)) + EXP(2.21*(I189-1)) + EXP(2.21*J189)   )/100*2.45 )</f>
        <v>0.35859414261160716</v>
      </c>
      <c r="L189" s="163" t="s">
        <v>111</v>
      </c>
    </row>
    <row r="190" spans="1:12" hidden="1">
      <c r="A190" s="34" t="s">
        <v>109</v>
      </c>
      <c r="B190" s="339">
        <v>2007</v>
      </c>
      <c r="C190" s="59" t="s">
        <v>98</v>
      </c>
      <c r="D190" s="59">
        <v>2337</v>
      </c>
      <c r="E190" s="496" t="s">
        <v>110</v>
      </c>
      <c r="F190" s="29">
        <v>1</v>
      </c>
      <c r="G190" s="9">
        <v>1</v>
      </c>
      <c r="H190" s="9">
        <v>1</v>
      </c>
      <c r="I190" s="9">
        <v>2</v>
      </c>
      <c r="J190" s="43">
        <v>2</v>
      </c>
      <c r="K190" s="262">
        <f t="shared" si="3"/>
        <v>0.35859414261160716</v>
      </c>
      <c r="L190" s="163" t="s">
        <v>111</v>
      </c>
    </row>
    <row r="191" spans="1:12" hidden="1">
      <c r="A191" s="34" t="s">
        <v>109</v>
      </c>
      <c r="B191" s="339">
        <v>2008</v>
      </c>
      <c r="C191" s="59" t="s">
        <v>85</v>
      </c>
      <c r="D191" s="59">
        <v>1680</v>
      </c>
      <c r="E191" s="496" t="s">
        <v>110</v>
      </c>
      <c r="F191" s="29">
        <v>1</v>
      </c>
      <c r="G191" s="9">
        <v>1</v>
      </c>
      <c r="H191" s="9">
        <v>1</v>
      </c>
      <c r="I191" s="9">
        <v>2</v>
      </c>
      <c r="J191" s="43">
        <v>2</v>
      </c>
      <c r="K191" s="262">
        <f t="shared" si="3"/>
        <v>0.35859414261160716</v>
      </c>
      <c r="L191" s="163" t="s">
        <v>111</v>
      </c>
    </row>
    <row r="192" spans="1:12" hidden="1">
      <c r="A192" s="34" t="s">
        <v>109</v>
      </c>
      <c r="B192" s="339">
        <v>2008</v>
      </c>
      <c r="C192" s="59" t="s">
        <v>86</v>
      </c>
      <c r="D192" s="59">
        <v>290</v>
      </c>
      <c r="E192" s="496" t="s">
        <v>110</v>
      </c>
      <c r="F192" s="29">
        <v>1</v>
      </c>
      <c r="G192" s="9">
        <v>1</v>
      </c>
      <c r="H192" s="9">
        <v>1</v>
      </c>
      <c r="I192" s="9">
        <v>2</v>
      </c>
      <c r="J192" s="43">
        <v>2</v>
      </c>
      <c r="K192" s="262">
        <f t="shared" si="3"/>
        <v>0.35859414261160716</v>
      </c>
      <c r="L192" s="163" t="s">
        <v>111</v>
      </c>
    </row>
    <row r="193" spans="1:12" hidden="1">
      <c r="A193" s="34" t="s">
        <v>109</v>
      </c>
      <c r="B193" s="339">
        <v>2008</v>
      </c>
      <c r="C193" s="59" t="s">
        <v>87</v>
      </c>
      <c r="D193" s="59">
        <v>852</v>
      </c>
      <c r="E193" s="496" t="s">
        <v>110</v>
      </c>
      <c r="F193" s="29">
        <v>1</v>
      </c>
      <c r="G193" s="9">
        <v>1</v>
      </c>
      <c r="H193" s="9">
        <v>1</v>
      </c>
      <c r="I193" s="9">
        <v>2</v>
      </c>
      <c r="J193" s="43">
        <v>2</v>
      </c>
      <c r="K193" s="262">
        <f t="shared" si="3"/>
        <v>0.35859414261160716</v>
      </c>
      <c r="L193" s="163" t="s">
        <v>111</v>
      </c>
    </row>
    <row r="194" spans="1:12">
      <c r="A194" s="34" t="s">
        <v>109</v>
      </c>
      <c r="B194" s="339">
        <v>2008</v>
      </c>
      <c r="C194" s="59" t="s">
        <v>88</v>
      </c>
      <c r="D194" s="59">
        <v>25</v>
      </c>
      <c r="E194" s="496" t="s">
        <v>110</v>
      </c>
      <c r="F194" s="29">
        <v>1</v>
      </c>
      <c r="G194" s="9">
        <v>1</v>
      </c>
      <c r="H194" s="9">
        <v>1</v>
      </c>
      <c r="I194" s="9">
        <v>2</v>
      </c>
      <c r="J194" s="43">
        <v>2</v>
      </c>
      <c r="K194" s="262">
        <f t="shared" si="3"/>
        <v>0.35859414261160716</v>
      </c>
      <c r="L194" s="163" t="s">
        <v>111</v>
      </c>
    </row>
    <row r="195" spans="1:12" hidden="1">
      <c r="A195" s="34" t="s">
        <v>109</v>
      </c>
      <c r="B195" s="339">
        <v>2008</v>
      </c>
      <c r="C195" s="59" t="s">
        <v>89</v>
      </c>
      <c r="D195" s="59">
        <v>191</v>
      </c>
      <c r="E195" s="496" t="s">
        <v>110</v>
      </c>
      <c r="F195" s="29">
        <v>1</v>
      </c>
      <c r="G195" s="9">
        <v>1</v>
      </c>
      <c r="H195" s="9">
        <v>1</v>
      </c>
      <c r="I195" s="9">
        <v>2</v>
      </c>
      <c r="J195" s="43">
        <v>2</v>
      </c>
      <c r="K195" s="262">
        <f t="shared" si="3"/>
        <v>0.35859414261160716</v>
      </c>
      <c r="L195" s="163" t="s">
        <v>111</v>
      </c>
    </row>
    <row r="196" spans="1:12" hidden="1">
      <c r="A196" s="34" t="s">
        <v>109</v>
      </c>
      <c r="B196" s="339">
        <v>2008</v>
      </c>
      <c r="C196" s="59" t="s">
        <v>90</v>
      </c>
      <c r="D196" s="59">
        <v>610</v>
      </c>
      <c r="E196" s="496" t="s">
        <v>110</v>
      </c>
      <c r="F196" s="29">
        <v>1</v>
      </c>
      <c r="G196" s="9">
        <v>1</v>
      </c>
      <c r="H196" s="9">
        <v>1</v>
      </c>
      <c r="I196" s="9">
        <v>2</v>
      </c>
      <c r="J196" s="43">
        <v>2</v>
      </c>
      <c r="K196" s="262">
        <f t="shared" si="3"/>
        <v>0.35859414261160716</v>
      </c>
      <c r="L196" s="163" t="s">
        <v>111</v>
      </c>
    </row>
    <row r="197" spans="1:12" hidden="1">
      <c r="A197" s="34" t="s">
        <v>109</v>
      </c>
      <c r="B197" s="339">
        <v>2008</v>
      </c>
      <c r="C197" s="59" t="s">
        <v>91</v>
      </c>
      <c r="D197" s="59">
        <v>176</v>
      </c>
      <c r="E197" s="496" t="s">
        <v>110</v>
      </c>
      <c r="F197" s="29">
        <v>1</v>
      </c>
      <c r="G197" s="9">
        <v>1</v>
      </c>
      <c r="H197" s="9">
        <v>1</v>
      </c>
      <c r="I197" s="9">
        <v>2</v>
      </c>
      <c r="J197" s="43">
        <v>2</v>
      </c>
      <c r="K197" s="262">
        <f t="shared" si="3"/>
        <v>0.35859414261160716</v>
      </c>
      <c r="L197" s="163" t="s">
        <v>111</v>
      </c>
    </row>
    <row r="198" spans="1:12" hidden="1">
      <c r="A198" s="34" t="s">
        <v>109</v>
      </c>
      <c r="B198" s="339">
        <v>2008</v>
      </c>
      <c r="C198" s="59" t="s">
        <v>94</v>
      </c>
      <c r="D198" s="59">
        <v>128</v>
      </c>
      <c r="E198" s="496" t="s">
        <v>110</v>
      </c>
      <c r="F198" s="29">
        <v>1</v>
      </c>
      <c r="G198" s="9">
        <v>1</v>
      </c>
      <c r="H198" s="9">
        <v>1</v>
      </c>
      <c r="I198" s="9">
        <v>2</v>
      </c>
      <c r="J198" s="43">
        <v>2</v>
      </c>
      <c r="K198" s="262">
        <f t="shared" si="3"/>
        <v>0.35859414261160716</v>
      </c>
      <c r="L198" s="163" t="s">
        <v>111</v>
      </c>
    </row>
    <row r="199" spans="1:12" hidden="1">
      <c r="A199" s="34" t="s">
        <v>109</v>
      </c>
      <c r="B199" s="339">
        <v>2008</v>
      </c>
      <c r="C199" s="59" t="s">
        <v>96</v>
      </c>
      <c r="D199" s="59">
        <v>337</v>
      </c>
      <c r="E199" s="496" t="s">
        <v>110</v>
      </c>
      <c r="F199" s="29">
        <v>1</v>
      </c>
      <c r="G199" s="9">
        <v>1</v>
      </c>
      <c r="H199" s="9">
        <v>1</v>
      </c>
      <c r="I199" s="9">
        <v>2</v>
      </c>
      <c r="J199" s="43">
        <v>2</v>
      </c>
      <c r="K199" s="262">
        <f t="shared" si="3"/>
        <v>0.35859414261160716</v>
      </c>
      <c r="L199" s="163" t="s">
        <v>111</v>
      </c>
    </row>
    <row r="200" spans="1:12">
      <c r="A200" s="34" t="s">
        <v>109</v>
      </c>
      <c r="B200" s="339">
        <v>2008</v>
      </c>
      <c r="C200" s="59" t="s">
        <v>97</v>
      </c>
      <c r="D200" s="59">
        <v>125</v>
      </c>
      <c r="E200" s="496" t="s">
        <v>110</v>
      </c>
      <c r="F200" s="29">
        <v>1</v>
      </c>
      <c r="G200" s="9">
        <v>1</v>
      </c>
      <c r="H200" s="9">
        <v>1</v>
      </c>
      <c r="I200" s="9">
        <v>2</v>
      </c>
      <c r="J200" s="43">
        <v>2</v>
      </c>
      <c r="K200" s="262">
        <f t="shared" si="3"/>
        <v>0.35859414261160716</v>
      </c>
      <c r="L200" s="163" t="s">
        <v>111</v>
      </c>
    </row>
    <row r="201" spans="1:12" hidden="1">
      <c r="A201" s="34" t="s">
        <v>109</v>
      </c>
      <c r="B201" s="339">
        <v>2008</v>
      </c>
      <c r="C201" s="59" t="s">
        <v>95</v>
      </c>
      <c r="D201" s="59">
        <v>199</v>
      </c>
      <c r="E201" s="496" t="s">
        <v>110</v>
      </c>
      <c r="F201" s="29">
        <v>1</v>
      </c>
      <c r="G201" s="9">
        <v>1</v>
      </c>
      <c r="H201" s="9">
        <v>1</v>
      </c>
      <c r="I201" s="9">
        <v>2</v>
      </c>
      <c r="J201" s="43">
        <v>2</v>
      </c>
      <c r="K201" s="262">
        <f t="shared" si="3"/>
        <v>0.35859414261160716</v>
      </c>
      <c r="L201" s="163" t="s">
        <v>111</v>
      </c>
    </row>
    <row r="202" spans="1:12" hidden="1">
      <c r="A202" s="34" t="s">
        <v>109</v>
      </c>
      <c r="B202" s="339">
        <v>2008</v>
      </c>
      <c r="C202" s="59" t="s">
        <v>93</v>
      </c>
      <c r="D202" s="59">
        <v>98</v>
      </c>
      <c r="E202" s="496" t="s">
        <v>110</v>
      </c>
      <c r="F202" s="29">
        <v>1</v>
      </c>
      <c r="G202" s="9">
        <v>1</v>
      </c>
      <c r="H202" s="9">
        <v>1</v>
      </c>
      <c r="I202" s="9">
        <v>2</v>
      </c>
      <c r="J202" s="43">
        <v>2</v>
      </c>
      <c r="K202" s="262">
        <f t="shared" si="3"/>
        <v>0.35859414261160716</v>
      </c>
      <c r="L202" s="163" t="s">
        <v>111</v>
      </c>
    </row>
    <row r="203" spans="1:12" hidden="1">
      <c r="A203" s="34" t="s">
        <v>109</v>
      </c>
      <c r="B203" s="339">
        <v>2008</v>
      </c>
      <c r="C203" s="59" t="s">
        <v>98</v>
      </c>
      <c r="D203" s="59">
        <v>2137</v>
      </c>
      <c r="E203" s="496" t="s">
        <v>110</v>
      </c>
      <c r="F203" s="29">
        <v>1</v>
      </c>
      <c r="G203" s="9">
        <v>1</v>
      </c>
      <c r="H203" s="9">
        <v>1</v>
      </c>
      <c r="I203" s="9">
        <v>2</v>
      </c>
      <c r="J203" s="43">
        <v>2</v>
      </c>
      <c r="K203" s="262">
        <f t="shared" si="3"/>
        <v>0.35859414261160716</v>
      </c>
      <c r="L203" s="163" t="s">
        <v>111</v>
      </c>
    </row>
    <row r="204" spans="1:12" hidden="1">
      <c r="A204" s="34" t="s">
        <v>109</v>
      </c>
      <c r="B204" s="339">
        <v>2009</v>
      </c>
      <c r="C204" s="59" t="s">
        <v>85</v>
      </c>
      <c r="D204" s="59">
        <v>1560</v>
      </c>
      <c r="E204" s="496" t="s">
        <v>110</v>
      </c>
      <c r="F204" s="29">
        <v>1</v>
      </c>
      <c r="G204" s="9">
        <v>1</v>
      </c>
      <c r="H204" s="9">
        <v>1</v>
      </c>
      <c r="I204" s="9">
        <v>2</v>
      </c>
      <c r="J204" s="43">
        <v>2</v>
      </c>
      <c r="K204" s="262">
        <f t="shared" si="3"/>
        <v>0.35859414261160716</v>
      </c>
      <c r="L204" s="163" t="s">
        <v>111</v>
      </c>
    </row>
    <row r="205" spans="1:12" hidden="1">
      <c r="A205" s="34" t="s">
        <v>109</v>
      </c>
      <c r="B205" s="339">
        <v>2009</v>
      </c>
      <c r="C205" s="59" t="s">
        <v>86</v>
      </c>
      <c r="D205" s="59">
        <v>290</v>
      </c>
      <c r="E205" s="496" t="s">
        <v>110</v>
      </c>
      <c r="F205" s="29">
        <v>1</v>
      </c>
      <c r="G205" s="9">
        <v>1</v>
      </c>
      <c r="H205" s="9">
        <v>1</v>
      </c>
      <c r="I205" s="9">
        <v>2</v>
      </c>
      <c r="J205" s="43">
        <v>2</v>
      </c>
      <c r="K205" s="262">
        <f t="shared" si="3"/>
        <v>0.35859414261160716</v>
      </c>
      <c r="L205" s="163" t="s">
        <v>111</v>
      </c>
    </row>
    <row r="206" spans="1:12" hidden="1">
      <c r="A206" s="34" t="s">
        <v>109</v>
      </c>
      <c r="B206" s="339">
        <v>2009</v>
      </c>
      <c r="C206" s="59" t="s">
        <v>87</v>
      </c>
      <c r="D206" s="59">
        <v>852</v>
      </c>
      <c r="E206" s="496" t="s">
        <v>110</v>
      </c>
      <c r="F206" s="29">
        <v>1</v>
      </c>
      <c r="G206" s="9">
        <v>1</v>
      </c>
      <c r="H206" s="9">
        <v>1</v>
      </c>
      <c r="I206" s="9">
        <v>2</v>
      </c>
      <c r="J206" s="43">
        <v>2</v>
      </c>
      <c r="K206" s="262">
        <f t="shared" si="3"/>
        <v>0.35859414261160716</v>
      </c>
      <c r="L206" s="163" t="s">
        <v>111</v>
      </c>
    </row>
    <row r="207" spans="1:12">
      <c r="A207" s="34" t="s">
        <v>109</v>
      </c>
      <c r="B207" s="339">
        <v>2009</v>
      </c>
      <c r="C207" s="59" t="s">
        <v>88</v>
      </c>
      <c r="D207" s="59">
        <v>9</v>
      </c>
      <c r="E207" s="496" t="s">
        <v>110</v>
      </c>
      <c r="F207" s="29">
        <v>1</v>
      </c>
      <c r="G207" s="9">
        <v>1</v>
      </c>
      <c r="H207" s="9">
        <v>1</v>
      </c>
      <c r="I207" s="9">
        <v>2</v>
      </c>
      <c r="J207" s="43">
        <v>2</v>
      </c>
      <c r="K207" s="262">
        <f t="shared" si="3"/>
        <v>0.35859414261160716</v>
      </c>
      <c r="L207" s="163" t="s">
        <v>111</v>
      </c>
    </row>
    <row r="208" spans="1:12" hidden="1">
      <c r="A208" s="34" t="s">
        <v>109</v>
      </c>
      <c r="B208" s="339">
        <v>2009</v>
      </c>
      <c r="C208" s="59" t="s">
        <v>89</v>
      </c>
      <c r="D208" s="59">
        <v>191</v>
      </c>
      <c r="E208" s="496" t="s">
        <v>110</v>
      </c>
      <c r="F208" s="29">
        <v>1</v>
      </c>
      <c r="G208" s="9">
        <v>1</v>
      </c>
      <c r="H208" s="9">
        <v>1</v>
      </c>
      <c r="I208" s="9">
        <v>2</v>
      </c>
      <c r="J208" s="43">
        <v>2</v>
      </c>
      <c r="K208" s="262">
        <f t="shared" si="3"/>
        <v>0.35859414261160716</v>
      </c>
      <c r="L208" s="163" t="s">
        <v>111</v>
      </c>
    </row>
    <row r="209" spans="1:12" hidden="1">
      <c r="A209" s="34" t="s">
        <v>109</v>
      </c>
      <c r="B209" s="339">
        <v>2009</v>
      </c>
      <c r="C209" s="59" t="s">
        <v>90</v>
      </c>
      <c r="D209" s="59">
        <v>610</v>
      </c>
      <c r="E209" s="496" t="s">
        <v>110</v>
      </c>
      <c r="F209" s="29">
        <v>1</v>
      </c>
      <c r="G209" s="9">
        <v>1</v>
      </c>
      <c r="H209" s="9">
        <v>1</v>
      </c>
      <c r="I209" s="9">
        <v>2</v>
      </c>
      <c r="J209" s="43">
        <v>2</v>
      </c>
      <c r="K209" s="262">
        <f t="shared" si="3"/>
        <v>0.35859414261160716</v>
      </c>
      <c r="L209" s="163" t="s">
        <v>111</v>
      </c>
    </row>
    <row r="210" spans="1:12" hidden="1">
      <c r="A210" s="34" t="s">
        <v>109</v>
      </c>
      <c r="B210" s="339">
        <v>2009</v>
      </c>
      <c r="C210" s="59" t="s">
        <v>91</v>
      </c>
      <c r="D210" s="59">
        <v>184</v>
      </c>
      <c r="E210" s="496" t="s">
        <v>110</v>
      </c>
      <c r="F210" s="29">
        <v>1</v>
      </c>
      <c r="G210" s="9">
        <v>1</v>
      </c>
      <c r="H210" s="9">
        <v>1</v>
      </c>
      <c r="I210" s="9">
        <v>2</v>
      </c>
      <c r="J210" s="43">
        <v>2</v>
      </c>
      <c r="K210" s="262">
        <f t="shared" si="3"/>
        <v>0.35859414261160716</v>
      </c>
      <c r="L210" s="163" t="s">
        <v>111</v>
      </c>
    </row>
    <row r="211" spans="1:12" hidden="1">
      <c r="A211" s="34" t="s">
        <v>109</v>
      </c>
      <c r="B211" s="339">
        <v>2009</v>
      </c>
      <c r="C211" s="59" t="s">
        <v>94</v>
      </c>
      <c r="D211" s="59">
        <v>109</v>
      </c>
      <c r="E211" s="496" t="s">
        <v>110</v>
      </c>
      <c r="F211" s="29">
        <v>1</v>
      </c>
      <c r="G211" s="9">
        <v>1</v>
      </c>
      <c r="H211" s="9">
        <v>1</v>
      </c>
      <c r="I211" s="9">
        <v>2</v>
      </c>
      <c r="J211" s="43">
        <v>2</v>
      </c>
      <c r="K211" s="262">
        <f t="shared" si="3"/>
        <v>0.35859414261160716</v>
      </c>
      <c r="L211" s="163" t="s">
        <v>111</v>
      </c>
    </row>
    <row r="212" spans="1:12" hidden="1">
      <c r="A212" s="34" t="s">
        <v>109</v>
      </c>
      <c r="B212" s="339">
        <v>2009</v>
      </c>
      <c r="C212" s="59" t="s">
        <v>96</v>
      </c>
      <c r="D212" s="59">
        <v>337</v>
      </c>
      <c r="E212" s="496" t="s">
        <v>110</v>
      </c>
      <c r="F212" s="29">
        <v>1</v>
      </c>
      <c r="G212" s="9">
        <v>1</v>
      </c>
      <c r="H212" s="9">
        <v>1</v>
      </c>
      <c r="I212" s="9">
        <v>2</v>
      </c>
      <c r="J212" s="43">
        <v>2</v>
      </c>
      <c r="K212" s="262">
        <f t="shared" si="3"/>
        <v>0.35859414261160716</v>
      </c>
      <c r="L212" s="163" t="s">
        <v>111</v>
      </c>
    </row>
    <row r="213" spans="1:12">
      <c r="A213" s="34" t="s">
        <v>109</v>
      </c>
      <c r="B213" s="339">
        <v>2009</v>
      </c>
      <c r="C213" s="59" t="s">
        <v>97</v>
      </c>
      <c r="D213" s="59">
        <v>126</v>
      </c>
      <c r="E213" s="496" t="s">
        <v>110</v>
      </c>
      <c r="F213" s="29">
        <v>1</v>
      </c>
      <c r="G213" s="9">
        <v>1</v>
      </c>
      <c r="H213" s="9">
        <v>1</v>
      </c>
      <c r="I213" s="9">
        <v>2</v>
      </c>
      <c r="J213" s="43">
        <v>2</v>
      </c>
      <c r="K213" s="262">
        <f t="shared" si="3"/>
        <v>0.35859414261160716</v>
      </c>
      <c r="L213" s="163" t="s">
        <v>111</v>
      </c>
    </row>
    <row r="214" spans="1:12" hidden="1">
      <c r="A214" s="34" t="s">
        <v>109</v>
      </c>
      <c r="B214" s="339">
        <v>2009</v>
      </c>
      <c r="C214" s="59" t="s">
        <v>95</v>
      </c>
      <c r="D214" s="59">
        <v>205</v>
      </c>
      <c r="E214" s="496" t="s">
        <v>110</v>
      </c>
      <c r="F214" s="29">
        <v>1</v>
      </c>
      <c r="G214" s="9">
        <v>1</v>
      </c>
      <c r="H214" s="9">
        <v>1</v>
      </c>
      <c r="I214" s="9">
        <v>2</v>
      </c>
      <c r="J214" s="43">
        <v>2</v>
      </c>
      <c r="K214" s="262">
        <f t="shared" si="3"/>
        <v>0.35859414261160716</v>
      </c>
      <c r="L214" s="163" t="s">
        <v>111</v>
      </c>
    </row>
    <row r="215" spans="1:12" hidden="1">
      <c r="A215" s="34" t="s">
        <v>109</v>
      </c>
      <c r="B215" s="339">
        <v>2009</v>
      </c>
      <c r="C215" s="59" t="s">
        <v>93</v>
      </c>
      <c r="D215" s="59">
        <v>69</v>
      </c>
      <c r="E215" s="496" t="s">
        <v>110</v>
      </c>
      <c r="F215" s="29">
        <v>1</v>
      </c>
      <c r="G215" s="9">
        <v>1</v>
      </c>
      <c r="H215" s="9">
        <v>1</v>
      </c>
      <c r="I215" s="9">
        <v>2</v>
      </c>
      <c r="J215" s="43">
        <v>2</v>
      </c>
      <c r="K215" s="262">
        <f t="shared" si="3"/>
        <v>0.35859414261160716</v>
      </c>
      <c r="L215" s="163" t="s">
        <v>111</v>
      </c>
    </row>
    <row r="216" spans="1:12" hidden="1">
      <c r="A216" s="34" t="s">
        <v>109</v>
      </c>
      <c r="B216" s="339">
        <v>2009</v>
      </c>
      <c r="C216" s="59" t="s">
        <v>98</v>
      </c>
      <c r="D216" s="59">
        <v>2139</v>
      </c>
      <c r="E216" s="496" t="s">
        <v>110</v>
      </c>
      <c r="F216" s="29">
        <v>1</v>
      </c>
      <c r="G216" s="9">
        <v>1</v>
      </c>
      <c r="H216" s="9">
        <v>1</v>
      </c>
      <c r="I216" s="9">
        <v>2</v>
      </c>
      <c r="J216" s="43">
        <v>2</v>
      </c>
      <c r="K216" s="262">
        <f t="shared" si="3"/>
        <v>0.35859414261160716</v>
      </c>
      <c r="L216" s="163" t="s">
        <v>111</v>
      </c>
    </row>
    <row r="217" spans="1:12" hidden="1">
      <c r="A217" s="34" t="s">
        <v>109</v>
      </c>
      <c r="B217" s="339">
        <v>2010</v>
      </c>
      <c r="C217" s="59" t="s">
        <v>85</v>
      </c>
      <c r="D217" s="59">
        <v>1474</v>
      </c>
      <c r="E217" s="496" t="s">
        <v>110</v>
      </c>
      <c r="F217" s="29">
        <v>1</v>
      </c>
      <c r="G217" s="9">
        <v>1</v>
      </c>
      <c r="H217" s="9">
        <v>1</v>
      </c>
      <c r="I217" s="9">
        <v>2</v>
      </c>
      <c r="J217" s="43">
        <v>2</v>
      </c>
      <c r="K217" s="262">
        <f t="shared" si="3"/>
        <v>0.35859414261160716</v>
      </c>
      <c r="L217" s="163" t="s">
        <v>111</v>
      </c>
    </row>
    <row r="218" spans="1:12" hidden="1">
      <c r="A218" s="34" t="s">
        <v>109</v>
      </c>
      <c r="B218" s="339">
        <v>2010</v>
      </c>
      <c r="C218" s="59" t="s">
        <v>86</v>
      </c>
      <c r="D218" s="59">
        <v>290</v>
      </c>
      <c r="E218" s="496" t="s">
        <v>110</v>
      </c>
      <c r="F218" s="29">
        <v>1</v>
      </c>
      <c r="G218" s="9">
        <v>1</v>
      </c>
      <c r="H218" s="9">
        <v>1</v>
      </c>
      <c r="I218" s="9">
        <v>2</v>
      </c>
      <c r="J218" s="43">
        <v>2</v>
      </c>
      <c r="K218" s="262">
        <f t="shared" si="3"/>
        <v>0.35859414261160716</v>
      </c>
      <c r="L218" s="163" t="s">
        <v>111</v>
      </c>
    </row>
    <row r="219" spans="1:12" hidden="1">
      <c r="A219" s="34" t="s">
        <v>109</v>
      </c>
      <c r="B219" s="339">
        <v>2010</v>
      </c>
      <c r="C219" s="59" t="s">
        <v>87</v>
      </c>
      <c r="D219" s="59">
        <v>852</v>
      </c>
      <c r="E219" s="496" t="s">
        <v>110</v>
      </c>
      <c r="F219" s="29">
        <v>1</v>
      </c>
      <c r="G219" s="9">
        <v>1</v>
      </c>
      <c r="H219" s="9">
        <v>1</v>
      </c>
      <c r="I219" s="9">
        <v>2</v>
      </c>
      <c r="J219" s="43">
        <v>2</v>
      </c>
      <c r="K219" s="262">
        <f t="shared" si="3"/>
        <v>0.35859414261160716</v>
      </c>
      <c r="L219" s="163" t="s">
        <v>111</v>
      </c>
    </row>
    <row r="220" spans="1:12">
      <c r="A220" s="34" t="s">
        <v>109</v>
      </c>
      <c r="B220" s="339">
        <v>2010</v>
      </c>
      <c r="C220" s="59" t="s">
        <v>88</v>
      </c>
      <c r="D220" s="59">
        <v>4</v>
      </c>
      <c r="E220" s="496" t="s">
        <v>110</v>
      </c>
      <c r="F220" s="29">
        <v>1</v>
      </c>
      <c r="G220" s="9">
        <v>1</v>
      </c>
      <c r="H220" s="9">
        <v>1</v>
      </c>
      <c r="I220" s="9">
        <v>2</v>
      </c>
      <c r="J220" s="43">
        <v>2</v>
      </c>
      <c r="K220" s="262">
        <f t="shared" si="3"/>
        <v>0.35859414261160716</v>
      </c>
      <c r="L220" s="163" t="s">
        <v>111</v>
      </c>
    </row>
    <row r="221" spans="1:12" hidden="1">
      <c r="A221" s="34" t="s">
        <v>109</v>
      </c>
      <c r="B221" s="339">
        <v>2010</v>
      </c>
      <c r="C221" s="59" t="s">
        <v>89</v>
      </c>
      <c r="D221" s="59">
        <v>191</v>
      </c>
      <c r="E221" s="496" t="s">
        <v>110</v>
      </c>
      <c r="F221" s="29">
        <v>1</v>
      </c>
      <c r="G221" s="9">
        <v>1</v>
      </c>
      <c r="H221" s="9">
        <v>1</v>
      </c>
      <c r="I221" s="9">
        <v>2</v>
      </c>
      <c r="J221" s="43">
        <v>2</v>
      </c>
      <c r="K221" s="262">
        <f t="shared" si="3"/>
        <v>0.35859414261160716</v>
      </c>
      <c r="L221" s="163" t="s">
        <v>111</v>
      </c>
    </row>
    <row r="222" spans="1:12" hidden="1">
      <c r="A222" s="34" t="s">
        <v>109</v>
      </c>
      <c r="B222" s="339">
        <v>2010</v>
      </c>
      <c r="C222" s="59" t="s">
        <v>90</v>
      </c>
      <c r="D222" s="59">
        <v>610</v>
      </c>
      <c r="E222" s="496" t="s">
        <v>110</v>
      </c>
      <c r="F222" s="29">
        <v>1</v>
      </c>
      <c r="G222" s="9">
        <v>1</v>
      </c>
      <c r="H222" s="9">
        <v>1</v>
      </c>
      <c r="I222" s="9">
        <v>2</v>
      </c>
      <c r="J222" s="43">
        <v>2</v>
      </c>
      <c r="K222" s="262">
        <f t="shared" si="3"/>
        <v>0.35859414261160716</v>
      </c>
      <c r="L222" s="163" t="s">
        <v>111</v>
      </c>
    </row>
    <row r="223" spans="1:12" hidden="1">
      <c r="A223" s="34" t="s">
        <v>109</v>
      </c>
      <c r="B223" s="339">
        <v>2010</v>
      </c>
      <c r="C223" s="59" t="s">
        <v>91</v>
      </c>
      <c r="D223" s="59">
        <v>356</v>
      </c>
      <c r="E223" s="496" t="s">
        <v>110</v>
      </c>
      <c r="F223" s="29">
        <v>1</v>
      </c>
      <c r="G223" s="9">
        <v>1</v>
      </c>
      <c r="H223" s="9">
        <v>1</v>
      </c>
      <c r="I223" s="9">
        <v>2</v>
      </c>
      <c r="J223" s="43">
        <v>2</v>
      </c>
      <c r="K223" s="262">
        <f t="shared" si="3"/>
        <v>0.35859414261160716</v>
      </c>
      <c r="L223" s="163" t="s">
        <v>111</v>
      </c>
    </row>
    <row r="224" spans="1:12" hidden="1">
      <c r="A224" s="34" t="s">
        <v>109</v>
      </c>
      <c r="B224" s="339">
        <v>2010</v>
      </c>
      <c r="C224" s="59" t="s">
        <v>94</v>
      </c>
      <c r="D224" s="59">
        <v>55</v>
      </c>
      <c r="E224" s="496" t="s">
        <v>110</v>
      </c>
      <c r="F224" s="29">
        <v>1</v>
      </c>
      <c r="G224" s="9">
        <v>1</v>
      </c>
      <c r="H224" s="9">
        <v>1</v>
      </c>
      <c r="I224" s="9">
        <v>2</v>
      </c>
      <c r="J224" s="43">
        <v>2</v>
      </c>
      <c r="K224" s="262">
        <f t="shared" si="3"/>
        <v>0.35859414261160716</v>
      </c>
      <c r="L224" s="163" t="s">
        <v>111</v>
      </c>
    </row>
    <row r="225" spans="1:12" hidden="1">
      <c r="A225" s="34" t="s">
        <v>109</v>
      </c>
      <c r="B225" s="339">
        <v>2010</v>
      </c>
      <c r="C225" s="59" t="s">
        <v>96</v>
      </c>
      <c r="D225" s="59">
        <v>250</v>
      </c>
      <c r="E225" s="496" t="s">
        <v>110</v>
      </c>
      <c r="F225" s="29">
        <v>1</v>
      </c>
      <c r="G225" s="9">
        <v>1</v>
      </c>
      <c r="H225" s="9">
        <v>1</v>
      </c>
      <c r="I225" s="9">
        <v>2</v>
      </c>
      <c r="J225" s="43">
        <v>2</v>
      </c>
      <c r="K225" s="262">
        <f t="shared" si="3"/>
        <v>0.35859414261160716</v>
      </c>
      <c r="L225" s="163" t="s">
        <v>111</v>
      </c>
    </row>
    <row r="226" spans="1:12">
      <c r="A226" s="34" t="s">
        <v>109</v>
      </c>
      <c r="B226" s="339">
        <v>2010</v>
      </c>
      <c r="C226" s="59" t="s">
        <v>97</v>
      </c>
      <c r="D226" s="59">
        <v>188</v>
      </c>
      <c r="E226" s="496" t="s">
        <v>110</v>
      </c>
      <c r="F226" s="29">
        <v>1</v>
      </c>
      <c r="G226" s="9">
        <v>1</v>
      </c>
      <c r="H226" s="9">
        <v>1</v>
      </c>
      <c r="I226" s="9">
        <v>2</v>
      </c>
      <c r="J226" s="43">
        <v>2</v>
      </c>
      <c r="K226" s="262">
        <f t="shared" si="3"/>
        <v>0.35859414261160716</v>
      </c>
      <c r="L226" s="163" t="s">
        <v>111</v>
      </c>
    </row>
    <row r="227" spans="1:12" hidden="1">
      <c r="A227" s="34" t="s">
        <v>109</v>
      </c>
      <c r="B227" s="339">
        <v>2010</v>
      </c>
      <c r="C227" s="59" t="s">
        <v>95</v>
      </c>
      <c r="D227" s="59">
        <v>247</v>
      </c>
      <c r="E227" s="496" t="s">
        <v>110</v>
      </c>
      <c r="F227" s="29">
        <v>1</v>
      </c>
      <c r="G227" s="9">
        <v>1</v>
      </c>
      <c r="H227" s="9">
        <v>1</v>
      </c>
      <c r="I227" s="9">
        <v>2</v>
      </c>
      <c r="J227" s="43">
        <v>2</v>
      </c>
      <c r="K227" s="262">
        <f t="shared" si="3"/>
        <v>0.35859414261160716</v>
      </c>
      <c r="L227" s="163" t="s">
        <v>111</v>
      </c>
    </row>
    <row r="228" spans="1:12" hidden="1">
      <c r="A228" s="34" t="s">
        <v>109</v>
      </c>
      <c r="B228" s="339">
        <v>2010</v>
      </c>
      <c r="C228" s="59" t="s">
        <v>93</v>
      </c>
      <c r="D228" s="59">
        <v>78</v>
      </c>
      <c r="E228" s="496" t="s">
        <v>110</v>
      </c>
      <c r="F228" s="29">
        <v>1</v>
      </c>
      <c r="G228" s="9">
        <v>1</v>
      </c>
      <c r="H228" s="9">
        <v>1</v>
      </c>
      <c r="I228" s="9">
        <v>2</v>
      </c>
      <c r="J228" s="43">
        <v>2</v>
      </c>
      <c r="K228" s="262">
        <f t="shared" si="3"/>
        <v>0.35859414261160716</v>
      </c>
      <c r="L228" s="163" t="s">
        <v>111</v>
      </c>
    </row>
    <row r="229" spans="1:12" hidden="1">
      <c r="A229" s="34" t="s">
        <v>109</v>
      </c>
      <c r="B229" s="339">
        <v>2010</v>
      </c>
      <c r="C229" s="59" t="s">
        <v>98</v>
      </c>
      <c r="D229" s="59">
        <v>2132</v>
      </c>
      <c r="E229" s="496" t="s">
        <v>110</v>
      </c>
      <c r="F229" s="29">
        <v>1</v>
      </c>
      <c r="G229" s="9">
        <v>1</v>
      </c>
      <c r="H229" s="9">
        <v>1</v>
      </c>
      <c r="I229" s="9">
        <v>2</v>
      </c>
      <c r="J229" s="43">
        <v>2</v>
      </c>
      <c r="K229" s="262">
        <f t="shared" si="3"/>
        <v>0.35859414261160716</v>
      </c>
      <c r="L229" s="163" t="s">
        <v>111</v>
      </c>
    </row>
    <row r="230" spans="1:12" hidden="1">
      <c r="A230" s="34" t="s">
        <v>109</v>
      </c>
      <c r="B230" s="339">
        <v>2011</v>
      </c>
      <c r="C230" s="59" t="s">
        <v>85</v>
      </c>
      <c r="D230" s="59">
        <v>1435</v>
      </c>
      <c r="E230" s="496" t="s">
        <v>110</v>
      </c>
      <c r="F230" s="29">
        <v>1</v>
      </c>
      <c r="G230" s="9">
        <v>1</v>
      </c>
      <c r="H230" s="9">
        <v>1</v>
      </c>
      <c r="I230" s="9">
        <v>2</v>
      </c>
      <c r="J230" s="43">
        <v>2</v>
      </c>
      <c r="K230" s="262">
        <f t="shared" si="3"/>
        <v>0.35859414261160716</v>
      </c>
      <c r="L230" s="163" t="s">
        <v>111</v>
      </c>
    </row>
    <row r="231" spans="1:12" hidden="1">
      <c r="A231" s="34" t="s">
        <v>109</v>
      </c>
      <c r="B231" s="339">
        <v>2011</v>
      </c>
      <c r="C231" s="59" t="s">
        <v>86</v>
      </c>
      <c r="D231" s="59">
        <v>290</v>
      </c>
      <c r="E231" s="496" t="s">
        <v>110</v>
      </c>
      <c r="F231" s="29">
        <v>1</v>
      </c>
      <c r="G231" s="9">
        <v>1</v>
      </c>
      <c r="H231" s="9">
        <v>1</v>
      </c>
      <c r="I231" s="9">
        <v>2</v>
      </c>
      <c r="J231" s="43">
        <v>2</v>
      </c>
      <c r="K231" s="262">
        <f t="shared" si="3"/>
        <v>0.35859414261160716</v>
      </c>
      <c r="L231" s="163" t="s">
        <v>111</v>
      </c>
    </row>
    <row r="232" spans="1:12" hidden="1">
      <c r="A232" s="34" t="s">
        <v>109</v>
      </c>
      <c r="B232" s="339">
        <v>2011</v>
      </c>
      <c r="C232" s="59" t="s">
        <v>87</v>
      </c>
      <c r="D232" s="59">
        <v>852</v>
      </c>
      <c r="E232" s="496" t="s">
        <v>110</v>
      </c>
      <c r="F232" s="29">
        <v>1</v>
      </c>
      <c r="G232" s="9">
        <v>1</v>
      </c>
      <c r="H232" s="9">
        <v>1</v>
      </c>
      <c r="I232" s="9">
        <v>2</v>
      </c>
      <c r="J232" s="43">
        <v>2</v>
      </c>
      <c r="K232" s="262">
        <f t="shared" si="3"/>
        <v>0.35859414261160716</v>
      </c>
      <c r="L232" s="163" t="s">
        <v>111</v>
      </c>
    </row>
    <row r="233" spans="1:12">
      <c r="A233" s="34" t="s">
        <v>109</v>
      </c>
      <c r="B233" s="339">
        <v>2011</v>
      </c>
      <c r="C233" s="59" t="s">
        <v>88</v>
      </c>
      <c r="D233" s="59">
        <v>4</v>
      </c>
      <c r="E233" s="496" t="s">
        <v>110</v>
      </c>
      <c r="F233" s="29">
        <v>1</v>
      </c>
      <c r="G233" s="9">
        <v>1</v>
      </c>
      <c r="H233" s="9">
        <v>1</v>
      </c>
      <c r="I233" s="9">
        <v>2</v>
      </c>
      <c r="J233" s="43">
        <v>2</v>
      </c>
      <c r="K233" s="262">
        <f t="shared" si="3"/>
        <v>0.35859414261160716</v>
      </c>
      <c r="L233" s="163" t="s">
        <v>111</v>
      </c>
    </row>
    <row r="234" spans="1:12" hidden="1">
      <c r="A234" s="34" t="s">
        <v>109</v>
      </c>
      <c r="B234" s="339">
        <v>2011</v>
      </c>
      <c r="C234" s="59" t="s">
        <v>89</v>
      </c>
      <c r="D234" s="59">
        <v>191</v>
      </c>
      <c r="E234" s="496" t="s">
        <v>110</v>
      </c>
      <c r="F234" s="29">
        <v>1</v>
      </c>
      <c r="G234" s="9">
        <v>1</v>
      </c>
      <c r="H234" s="9">
        <v>1</v>
      </c>
      <c r="I234" s="9">
        <v>2</v>
      </c>
      <c r="J234" s="43">
        <v>2</v>
      </c>
      <c r="K234" s="262">
        <f t="shared" si="3"/>
        <v>0.35859414261160716</v>
      </c>
      <c r="L234" s="163" t="s">
        <v>111</v>
      </c>
    </row>
    <row r="235" spans="1:12" hidden="1">
      <c r="A235" s="34" t="s">
        <v>109</v>
      </c>
      <c r="B235" s="339">
        <v>2011</v>
      </c>
      <c r="C235" s="59" t="s">
        <v>90</v>
      </c>
      <c r="D235" s="59">
        <v>610</v>
      </c>
      <c r="E235" s="496" t="s">
        <v>110</v>
      </c>
      <c r="F235" s="29">
        <v>1</v>
      </c>
      <c r="G235" s="9">
        <v>1</v>
      </c>
      <c r="H235" s="9">
        <v>1</v>
      </c>
      <c r="I235" s="9">
        <v>2</v>
      </c>
      <c r="J235" s="43">
        <v>2</v>
      </c>
      <c r="K235" s="262">
        <f t="shared" si="3"/>
        <v>0.35859414261160716</v>
      </c>
      <c r="L235" s="163" t="s">
        <v>111</v>
      </c>
    </row>
    <row r="236" spans="1:12" hidden="1">
      <c r="A236" s="34" t="s">
        <v>109</v>
      </c>
      <c r="B236" s="339">
        <v>2011</v>
      </c>
      <c r="C236" s="59" t="s">
        <v>91</v>
      </c>
      <c r="D236" s="59">
        <v>389</v>
      </c>
      <c r="E236" s="496" t="s">
        <v>110</v>
      </c>
      <c r="F236" s="29">
        <v>1</v>
      </c>
      <c r="G236" s="9">
        <v>1</v>
      </c>
      <c r="H236" s="9">
        <v>1</v>
      </c>
      <c r="I236" s="9">
        <v>2</v>
      </c>
      <c r="J236" s="43">
        <v>2</v>
      </c>
      <c r="K236" s="262">
        <f t="shared" si="3"/>
        <v>0.35859414261160716</v>
      </c>
      <c r="L236" s="163" t="s">
        <v>111</v>
      </c>
    </row>
    <row r="237" spans="1:12" hidden="1">
      <c r="A237" s="34" t="s">
        <v>109</v>
      </c>
      <c r="B237" s="339">
        <v>2011</v>
      </c>
      <c r="C237" s="59" t="s">
        <v>94</v>
      </c>
      <c r="D237" s="59">
        <v>141</v>
      </c>
      <c r="E237" s="496" t="s">
        <v>110</v>
      </c>
      <c r="F237" s="29">
        <v>1</v>
      </c>
      <c r="G237" s="9">
        <v>1</v>
      </c>
      <c r="H237" s="9">
        <v>1</v>
      </c>
      <c r="I237" s="9">
        <v>2</v>
      </c>
      <c r="J237" s="43">
        <v>2</v>
      </c>
      <c r="K237" s="262">
        <f t="shared" si="3"/>
        <v>0.35859414261160716</v>
      </c>
      <c r="L237" s="163" t="s">
        <v>111</v>
      </c>
    </row>
    <row r="238" spans="1:12" hidden="1">
      <c r="A238" s="34" t="s">
        <v>109</v>
      </c>
      <c r="B238" s="339">
        <v>2011</v>
      </c>
      <c r="C238" s="59" t="s">
        <v>96</v>
      </c>
      <c r="D238" s="59">
        <v>337</v>
      </c>
      <c r="E238" s="496" t="s">
        <v>110</v>
      </c>
      <c r="F238" s="29">
        <v>1</v>
      </c>
      <c r="G238" s="9">
        <v>1</v>
      </c>
      <c r="H238" s="9">
        <v>1</v>
      </c>
      <c r="I238" s="9">
        <v>2</v>
      </c>
      <c r="J238" s="43">
        <v>2</v>
      </c>
      <c r="K238" s="262">
        <f t="shared" si="3"/>
        <v>0.35859414261160716</v>
      </c>
      <c r="L238" s="163" t="s">
        <v>111</v>
      </c>
    </row>
    <row r="239" spans="1:12">
      <c r="A239" s="34" t="s">
        <v>109</v>
      </c>
      <c r="B239" s="339">
        <v>2011</v>
      </c>
      <c r="C239" s="59" t="s">
        <v>97</v>
      </c>
      <c r="D239" s="59">
        <v>252</v>
      </c>
      <c r="E239" s="496" t="s">
        <v>110</v>
      </c>
      <c r="F239" s="29">
        <v>1</v>
      </c>
      <c r="G239" s="9">
        <v>1</v>
      </c>
      <c r="H239" s="9">
        <v>1</v>
      </c>
      <c r="I239" s="9">
        <v>2</v>
      </c>
      <c r="J239" s="43">
        <v>2</v>
      </c>
      <c r="K239" s="262">
        <f t="shared" si="3"/>
        <v>0.35859414261160716</v>
      </c>
      <c r="L239" s="163" t="s">
        <v>111</v>
      </c>
    </row>
    <row r="240" spans="1:12" hidden="1">
      <c r="A240" s="34" t="s">
        <v>109</v>
      </c>
      <c r="B240" s="339">
        <v>2011</v>
      </c>
      <c r="C240" s="59" t="s">
        <v>95</v>
      </c>
      <c r="D240" s="59">
        <v>240</v>
      </c>
      <c r="E240" s="496" t="s">
        <v>110</v>
      </c>
      <c r="F240" s="29">
        <v>1</v>
      </c>
      <c r="G240" s="9">
        <v>1</v>
      </c>
      <c r="H240" s="9">
        <v>1</v>
      </c>
      <c r="I240" s="9">
        <v>2</v>
      </c>
      <c r="J240" s="43">
        <v>2</v>
      </c>
      <c r="K240" s="262">
        <f t="shared" si="3"/>
        <v>0.35859414261160716</v>
      </c>
      <c r="L240" s="163" t="s">
        <v>111</v>
      </c>
    </row>
    <row r="241" spans="1:12" hidden="1">
      <c r="A241" s="34" t="s">
        <v>109</v>
      </c>
      <c r="B241" s="339">
        <v>2011</v>
      </c>
      <c r="C241" s="59" t="s">
        <v>93</v>
      </c>
      <c r="D241" s="59">
        <v>101</v>
      </c>
      <c r="E241" s="496" t="s">
        <v>110</v>
      </c>
      <c r="F241" s="29">
        <v>1</v>
      </c>
      <c r="G241" s="9">
        <v>1</v>
      </c>
      <c r="H241" s="9">
        <v>1</v>
      </c>
      <c r="I241" s="9">
        <v>2</v>
      </c>
      <c r="J241" s="43">
        <v>2</v>
      </c>
      <c r="K241" s="262">
        <f t="shared" si="3"/>
        <v>0.35859414261160716</v>
      </c>
      <c r="L241" s="163" t="s">
        <v>111</v>
      </c>
    </row>
    <row r="242" spans="1:12" hidden="1">
      <c r="A242" s="34" t="s">
        <v>109</v>
      </c>
      <c r="B242" s="339">
        <v>2011</v>
      </c>
      <c r="C242" s="59" t="s">
        <v>98</v>
      </c>
      <c r="D242" s="59">
        <v>2115</v>
      </c>
      <c r="E242" s="496" t="s">
        <v>110</v>
      </c>
      <c r="F242" s="29">
        <v>1</v>
      </c>
      <c r="G242" s="9">
        <v>1</v>
      </c>
      <c r="H242" s="9">
        <v>1</v>
      </c>
      <c r="I242" s="9">
        <v>2</v>
      </c>
      <c r="J242" s="43">
        <v>2</v>
      </c>
      <c r="K242" s="262">
        <f t="shared" si="3"/>
        <v>0.35859414261160716</v>
      </c>
      <c r="L242" s="163" t="s">
        <v>111</v>
      </c>
    </row>
    <row r="243" spans="1:12" hidden="1">
      <c r="A243" s="34" t="s">
        <v>109</v>
      </c>
      <c r="B243" s="339">
        <v>2012</v>
      </c>
      <c r="C243" s="59" t="s">
        <v>85</v>
      </c>
      <c r="D243" s="59">
        <v>1807</v>
      </c>
      <c r="E243" s="496" t="s">
        <v>110</v>
      </c>
      <c r="F243" s="29">
        <v>1</v>
      </c>
      <c r="G243" s="9">
        <v>1</v>
      </c>
      <c r="H243" s="9">
        <v>1</v>
      </c>
      <c r="I243" s="9">
        <v>2</v>
      </c>
      <c r="J243" s="43">
        <v>2</v>
      </c>
      <c r="K243" s="262">
        <f t="shared" si="3"/>
        <v>0.35859414261160716</v>
      </c>
      <c r="L243" s="163" t="s">
        <v>111</v>
      </c>
    </row>
    <row r="244" spans="1:12" hidden="1">
      <c r="A244" s="34" t="s">
        <v>109</v>
      </c>
      <c r="B244" s="339">
        <v>2012</v>
      </c>
      <c r="C244" s="59" t="s">
        <v>86</v>
      </c>
      <c r="D244" s="59">
        <v>290</v>
      </c>
      <c r="E244" s="496" t="s">
        <v>110</v>
      </c>
      <c r="F244" s="29">
        <v>1</v>
      </c>
      <c r="G244" s="9">
        <v>1</v>
      </c>
      <c r="H244" s="9">
        <v>1</v>
      </c>
      <c r="I244" s="9">
        <v>2</v>
      </c>
      <c r="J244" s="43">
        <v>2</v>
      </c>
      <c r="K244" s="262">
        <f t="shared" si="3"/>
        <v>0.35859414261160716</v>
      </c>
      <c r="L244" s="163" t="s">
        <v>111</v>
      </c>
    </row>
    <row r="245" spans="1:12" hidden="1">
      <c r="A245" s="34" t="s">
        <v>109</v>
      </c>
      <c r="B245" s="339">
        <v>2012</v>
      </c>
      <c r="C245" s="59" t="s">
        <v>87</v>
      </c>
      <c r="D245" s="59">
        <v>631</v>
      </c>
      <c r="E245" s="496" t="s">
        <v>110</v>
      </c>
      <c r="F245" s="29">
        <v>1</v>
      </c>
      <c r="G245" s="9">
        <v>1</v>
      </c>
      <c r="H245" s="9">
        <v>1</v>
      </c>
      <c r="I245" s="9">
        <v>2</v>
      </c>
      <c r="J245" s="43">
        <v>2</v>
      </c>
      <c r="K245" s="262">
        <f t="shared" si="3"/>
        <v>0.35859414261160716</v>
      </c>
      <c r="L245" s="163" t="s">
        <v>111</v>
      </c>
    </row>
    <row r="246" spans="1:12">
      <c r="A246" s="34" t="s">
        <v>109</v>
      </c>
      <c r="B246" s="339">
        <v>2012</v>
      </c>
      <c r="C246" s="59" t="s">
        <v>88</v>
      </c>
      <c r="D246" s="59">
        <v>1</v>
      </c>
      <c r="E246" s="496" t="s">
        <v>110</v>
      </c>
      <c r="F246" s="29">
        <v>1</v>
      </c>
      <c r="G246" s="9">
        <v>1</v>
      </c>
      <c r="H246" s="9">
        <v>1</v>
      </c>
      <c r="I246" s="9">
        <v>2</v>
      </c>
      <c r="J246" s="43">
        <v>2</v>
      </c>
      <c r="K246" s="262">
        <f t="shared" si="3"/>
        <v>0.35859414261160716</v>
      </c>
      <c r="L246" s="163" t="s">
        <v>111</v>
      </c>
    </row>
    <row r="247" spans="1:12" hidden="1">
      <c r="A247" s="34" t="s">
        <v>109</v>
      </c>
      <c r="B247" s="339">
        <v>2012</v>
      </c>
      <c r="C247" s="59" t="s">
        <v>89</v>
      </c>
      <c r="D247" s="59">
        <v>191</v>
      </c>
      <c r="E247" s="496" t="s">
        <v>110</v>
      </c>
      <c r="F247" s="29">
        <v>1</v>
      </c>
      <c r="G247" s="9">
        <v>1</v>
      </c>
      <c r="H247" s="9">
        <v>1</v>
      </c>
      <c r="I247" s="9">
        <v>2</v>
      </c>
      <c r="J247" s="43">
        <v>2</v>
      </c>
      <c r="K247" s="262">
        <f t="shared" si="3"/>
        <v>0.35859414261160716</v>
      </c>
      <c r="L247" s="163" t="s">
        <v>111</v>
      </c>
    </row>
    <row r="248" spans="1:12" hidden="1">
      <c r="A248" s="34" t="s">
        <v>109</v>
      </c>
      <c r="B248" s="339">
        <v>2012</v>
      </c>
      <c r="C248" s="59" t="s">
        <v>90</v>
      </c>
      <c r="D248" s="59">
        <v>610</v>
      </c>
      <c r="E248" s="496" t="s">
        <v>110</v>
      </c>
      <c r="F248" s="29">
        <v>1</v>
      </c>
      <c r="G248" s="9">
        <v>1</v>
      </c>
      <c r="H248" s="9">
        <v>1</v>
      </c>
      <c r="I248" s="9">
        <v>2</v>
      </c>
      <c r="J248" s="43">
        <v>2</v>
      </c>
      <c r="K248" s="262">
        <f t="shared" si="3"/>
        <v>0.35859414261160716</v>
      </c>
      <c r="L248" s="163" t="s">
        <v>111</v>
      </c>
    </row>
    <row r="249" spans="1:12" hidden="1">
      <c r="A249" s="34" t="s">
        <v>109</v>
      </c>
      <c r="B249" s="339">
        <v>2012</v>
      </c>
      <c r="C249" s="59" t="s">
        <v>91</v>
      </c>
      <c r="D249" s="59">
        <v>208</v>
      </c>
      <c r="E249" s="496" t="s">
        <v>110</v>
      </c>
      <c r="F249" s="29">
        <v>1</v>
      </c>
      <c r="G249" s="9">
        <v>1</v>
      </c>
      <c r="H249" s="9">
        <v>1</v>
      </c>
      <c r="I249" s="9">
        <v>2</v>
      </c>
      <c r="J249" s="43">
        <v>2</v>
      </c>
      <c r="K249" s="262">
        <f t="shared" si="3"/>
        <v>0.35859414261160716</v>
      </c>
      <c r="L249" s="163" t="s">
        <v>111</v>
      </c>
    </row>
    <row r="250" spans="1:12" hidden="1">
      <c r="A250" s="34" t="s">
        <v>109</v>
      </c>
      <c r="B250" s="339">
        <v>2012</v>
      </c>
      <c r="C250" s="59" t="s">
        <v>94</v>
      </c>
      <c r="D250" s="59">
        <v>143</v>
      </c>
      <c r="E250" s="496" t="s">
        <v>110</v>
      </c>
      <c r="F250" s="29">
        <v>1</v>
      </c>
      <c r="G250" s="9">
        <v>1</v>
      </c>
      <c r="H250" s="9">
        <v>1</v>
      </c>
      <c r="I250" s="9">
        <v>2</v>
      </c>
      <c r="J250" s="43">
        <v>2</v>
      </c>
      <c r="K250" s="262">
        <f t="shared" si="3"/>
        <v>0.35859414261160716</v>
      </c>
      <c r="L250" s="163" t="s">
        <v>111</v>
      </c>
    </row>
    <row r="251" spans="1:12" hidden="1">
      <c r="A251" s="34" t="s">
        <v>109</v>
      </c>
      <c r="B251" s="339">
        <v>2012</v>
      </c>
      <c r="C251" s="59" t="s">
        <v>96</v>
      </c>
      <c r="D251" s="59">
        <v>306</v>
      </c>
      <c r="E251" s="496" t="s">
        <v>110</v>
      </c>
      <c r="F251" s="29">
        <v>1</v>
      </c>
      <c r="G251" s="9">
        <v>1</v>
      </c>
      <c r="H251" s="9">
        <v>1</v>
      </c>
      <c r="I251" s="9">
        <v>2</v>
      </c>
      <c r="J251" s="43">
        <v>2</v>
      </c>
      <c r="K251" s="262">
        <f t="shared" si="3"/>
        <v>0.35859414261160716</v>
      </c>
      <c r="L251" s="163" t="s">
        <v>111</v>
      </c>
    </row>
    <row r="252" spans="1:12">
      <c r="A252" s="34" t="s">
        <v>109</v>
      </c>
      <c r="B252" s="339">
        <v>2012</v>
      </c>
      <c r="C252" s="59" t="s">
        <v>97</v>
      </c>
      <c r="D252" s="59">
        <v>232</v>
      </c>
      <c r="E252" s="496" t="s">
        <v>110</v>
      </c>
      <c r="F252" s="29">
        <v>1</v>
      </c>
      <c r="G252" s="9">
        <v>1</v>
      </c>
      <c r="H252" s="9">
        <v>1</v>
      </c>
      <c r="I252" s="9">
        <v>2</v>
      </c>
      <c r="J252" s="43">
        <v>2</v>
      </c>
      <c r="K252" s="262">
        <f t="shared" si="3"/>
        <v>0.35859414261160716</v>
      </c>
      <c r="L252" s="163" t="s">
        <v>111</v>
      </c>
    </row>
    <row r="253" spans="1:12" hidden="1">
      <c r="A253" s="34" t="s">
        <v>109</v>
      </c>
      <c r="B253" s="339">
        <v>2012</v>
      </c>
      <c r="C253" s="59" t="s">
        <v>95</v>
      </c>
      <c r="D253" s="59">
        <v>221</v>
      </c>
      <c r="E253" s="496" t="s">
        <v>110</v>
      </c>
      <c r="F253" s="29">
        <v>1</v>
      </c>
      <c r="G253" s="9">
        <v>1</v>
      </c>
      <c r="H253" s="9">
        <v>1</v>
      </c>
      <c r="I253" s="9">
        <v>2</v>
      </c>
      <c r="J253" s="43">
        <v>2</v>
      </c>
      <c r="K253" s="262">
        <f t="shared" ref="K253:K316" si="4">IF( OR( ISBLANK(F253),ISBLANK(G253), ISBLANK(H253), ISBLANK(I253), ISBLANK(J253) ), "", 1.5*SQRT(   EXP(2.21*(F253-1)) + EXP(2.21*(G253-1)) + EXP(2.21*(H253-1)) + EXP(2.21*(I253-1)) + EXP(2.21*J253)   )/100*2.45 )</f>
        <v>0.35859414261160716</v>
      </c>
      <c r="L253" s="163" t="s">
        <v>111</v>
      </c>
    </row>
    <row r="254" spans="1:12" hidden="1">
      <c r="A254" s="34" t="s">
        <v>109</v>
      </c>
      <c r="B254" s="339">
        <v>2012</v>
      </c>
      <c r="C254" s="59" t="s">
        <v>93</v>
      </c>
      <c r="D254" s="59">
        <v>86</v>
      </c>
      <c r="E254" s="496" t="s">
        <v>110</v>
      </c>
      <c r="F254" s="29">
        <v>1</v>
      </c>
      <c r="G254" s="9">
        <v>1</v>
      </c>
      <c r="H254" s="9">
        <v>1</v>
      </c>
      <c r="I254" s="9">
        <v>2</v>
      </c>
      <c r="J254" s="43">
        <v>2</v>
      </c>
      <c r="K254" s="262">
        <f t="shared" si="4"/>
        <v>0.35859414261160716</v>
      </c>
      <c r="L254" s="163" t="s">
        <v>111</v>
      </c>
    </row>
    <row r="255" spans="1:12" hidden="1">
      <c r="A255" s="34" t="s">
        <v>109</v>
      </c>
      <c r="B255" s="339">
        <v>2012</v>
      </c>
      <c r="C255" s="59" t="s">
        <v>98</v>
      </c>
      <c r="D255" s="59">
        <v>2322</v>
      </c>
      <c r="E255" s="496" t="s">
        <v>110</v>
      </c>
      <c r="F255" s="29">
        <v>1</v>
      </c>
      <c r="G255" s="9">
        <v>1</v>
      </c>
      <c r="H255" s="9">
        <v>1</v>
      </c>
      <c r="I255" s="9">
        <v>2</v>
      </c>
      <c r="J255" s="43">
        <v>2</v>
      </c>
      <c r="K255" s="262">
        <f t="shared" si="4"/>
        <v>0.35859414261160716</v>
      </c>
      <c r="L255" s="163" t="s">
        <v>111</v>
      </c>
    </row>
    <row r="256" spans="1:12" hidden="1">
      <c r="A256" s="34" t="s">
        <v>109</v>
      </c>
      <c r="B256" s="339">
        <v>2013</v>
      </c>
      <c r="C256" s="59" t="s">
        <v>85</v>
      </c>
      <c r="D256" s="59">
        <v>1347</v>
      </c>
      <c r="E256" s="496" t="s">
        <v>110</v>
      </c>
      <c r="F256" s="29">
        <v>1</v>
      </c>
      <c r="G256" s="9">
        <v>1</v>
      </c>
      <c r="H256" s="9">
        <v>1</v>
      </c>
      <c r="I256" s="9">
        <v>2</v>
      </c>
      <c r="J256" s="43">
        <v>2</v>
      </c>
      <c r="K256" s="262">
        <f t="shared" si="4"/>
        <v>0.35859414261160716</v>
      </c>
      <c r="L256" s="163" t="s">
        <v>111</v>
      </c>
    </row>
    <row r="257" spans="1:12" hidden="1">
      <c r="A257" s="34" t="s">
        <v>109</v>
      </c>
      <c r="B257" s="339">
        <v>2013</v>
      </c>
      <c r="C257" s="59" t="s">
        <v>86</v>
      </c>
      <c r="D257" s="59">
        <v>290</v>
      </c>
      <c r="E257" s="496" t="s">
        <v>110</v>
      </c>
      <c r="F257" s="29">
        <v>1</v>
      </c>
      <c r="G257" s="9">
        <v>1</v>
      </c>
      <c r="H257" s="9">
        <v>1</v>
      </c>
      <c r="I257" s="9">
        <v>2</v>
      </c>
      <c r="J257" s="43">
        <v>2</v>
      </c>
      <c r="K257" s="262">
        <f t="shared" si="4"/>
        <v>0.35859414261160716</v>
      </c>
      <c r="L257" s="163" t="s">
        <v>111</v>
      </c>
    </row>
    <row r="258" spans="1:12" hidden="1">
      <c r="A258" s="34" t="s">
        <v>109</v>
      </c>
      <c r="B258" s="339">
        <v>2013</v>
      </c>
      <c r="C258" s="59" t="s">
        <v>87</v>
      </c>
      <c r="D258" s="59">
        <v>613</v>
      </c>
      <c r="E258" s="496" t="s">
        <v>110</v>
      </c>
      <c r="F258" s="29">
        <v>1</v>
      </c>
      <c r="G258" s="9">
        <v>1</v>
      </c>
      <c r="H258" s="9">
        <v>1</v>
      </c>
      <c r="I258" s="9">
        <v>2</v>
      </c>
      <c r="J258" s="43">
        <v>2</v>
      </c>
      <c r="K258" s="262">
        <f t="shared" si="4"/>
        <v>0.35859414261160716</v>
      </c>
      <c r="L258" s="163" t="s">
        <v>111</v>
      </c>
    </row>
    <row r="259" spans="1:12">
      <c r="A259" s="34" t="s">
        <v>109</v>
      </c>
      <c r="B259" s="339">
        <v>2013</v>
      </c>
      <c r="C259" s="59" t="s">
        <v>88</v>
      </c>
      <c r="D259" s="59">
        <v>1</v>
      </c>
      <c r="E259" s="496" t="s">
        <v>110</v>
      </c>
      <c r="F259" s="29">
        <v>1</v>
      </c>
      <c r="G259" s="9">
        <v>1</v>
      </c>
      <c r="H259" s="9">
        <v>1</v>
      </c>
      <c r="I259" s="9">
        <v>2</v>
      </c>
      <c r="J259" s="43">
        <v>2</v>
      </c>
      <c r="K259" s="262">
        <f t="shared" si="4"/>
        <v>0.35859414261160716</v>
      </c>
      <c r="L259" s="163" t="s">
        <v>111</v>
      </c>
    </row>
    <row r="260" spans="1:12" hidden="1">
      <c r="A260" s="34" t="s">
        <v>109</v>
      </c>
      <c r="B260" s="339">
        <v>2013</v>
      </c>
      <c r="C260" s="59" t="s">
        <v>89</v>
      </c>
      <c r="D260" s="59">
        <v>191</v>
      </c>
      <c r="E260" s="496" t="s">
        <v>110</v>
      </c>
      <c r="F260" s="29">
        <v>1</v>
      </c>
      <c r="G260" s="9">
        <v>1</v>
      </c>
      <c r="H260" s="9">
        <v>1</v>
      </c>
      <c r="I260" s="9">
        <v>2</v>
      </c>
      <c r="J260" s="43">
        <v>2</v>
      </c>
      <c r="K260" s="262">
        <f t="shared" si="4"/>
        <v>0.35859414261160716</v>
      </c>
      <c r="L260" s="163" t="s">
        <v>111</v>
      </c>
    </row>
    <row r="261" spans="1:12" hidden="1">
      <c r="A261" s="34" t="s">
        <v>109</v>
      </c>
      <c r="B261" s="339">
        <v>2013</v>
      </c>
      <c r="C261" s="59" t="s">
        <v>90</v>
      </c>
      <c r="D261" s="59">
        <v>610</v>
      </c>
      <c r="E261" s="496" t="s">
        <v>110</v>
      </c>
      <c r="F261" s="29">
        <v>1</v>
      </c>
      <c r="G261" s="9">
        <v>1</v>
      </c>
      <c r="H261" s="9">
        <v>1</v>
      </c>
      <c r="I261" s="9">
        <v>2</v>
      </c>
      <c r="J261" s="43">
        <v>2</v>
      </c>
      <c r="K261" s="262">
        <f t="shared" si="4"/>
        <v>0.35859414261160716</v>
      </c>
      <c r="L261" s="163" t="s">
        <v>111</v>
      </c>
    </row>
    <row r="262" spans="1:12" hidden="1">
      <c r="A262" s="34" t="s">
        <v>109</v>
      </c>
      <c r="B262" s="339">
        <v>2013</v>
      </c>
      <c r="C262" s="59" t="s">
        <v>91</v>
      </c>
      <c r="D262" s="59">
        <v>343</v>
      </c>
      <c r="E262" s="496" t="s">
        <v>110</v>
      </c>
      <c r="F262" s="29">
        <v>1</v>
      </c>
      <c r="G262" s="9">
        <v>1</v>
      </c>
      <c r="H262" s="9">
        <v>1</v>
      </c>
      <c r="I262" s="9">
        <v>2</v>
      </c>
      <c r="J262" s="43">
        <v>2</v>
      </c>
      <c r="K262" s="262">
        <f t="shared" si="4"/>
        <v>0.35859414261160716</v>
      </c>
      <c r="L262" s="163" t="s">
        <v>111</v>
      </c>
    </row>
    <row r="263" spans="1:12" hidden="1">
      <c r="A263" s="34" t="s">
        <v>109</v>
      </c>
      <c r="B263" s="339">
        <v>2013</v>
      </c>
      <c r="C263" s="59" t="s">
        <v>94</v>
      </c>
      <c r="D263" s="59">
        <v>156</v>
      </c>
      <c r="E263" s="496" t="s">
        <v>110</v>
      </c>
      <c r="F263" s="29">
        <v>1</v>
      </c>
      <c r="G263" s="9">
        <v>1</v>
      </c>
      <c r="H263" s="9">
        <v>1</v>
      </c>
      <c r="I263" s="9">
        <v>2</v>
      </c>
      <c r="J263" s="43">
        <v>2</v>
      </c>
      <c r="K263" s="262">
        <f t="shared" si="4"/>
        <v>0.35859414261160716</v>
      </c>
      <c r="L263" s="163" t="s">
        <v>111</v>
      </c>
    </row>
    <row r="264" spans="1:12" hidden="1">
      <c r="A264" s="34" t="s">
        <v>109</v>
      </c>
      <c r="B264" s="339">
        <v>2013</v>
      </c>
      <c r="C264" s="59" t="s">
        <v>96</v>
      </c>
      <c r="D264" s="59">
        <v>337</v>
      </c>
      <c r="E264" s="496" t="s">
        <v>110</v>
      </c>
      <c r="F264" s="29">
        <v>1</v>
      </c>
      <c r="G264" s="9">
        <v>1</v>
      </c>
      <c r="H264" s="9">
        <v>1</v>
      </c>
      <c r="I264" s="9">
        <v>2</v>
      </c>
      <c r="J264" s="43">
        <v>2</v>
      </c>
      <c r="K264" s="262">
        <f t="shared" si="4"/>
        <v>0.35859414261160716</v>
      </c>
      <c r="L264" s="163" t="s">
        <v>111</v>
      </c>
    </row>
    <row r="265" spans="1:12">
      <c r="A265" s="34" t="s">
        <v>109</v>
      </c>
      <c r="B265" s="339">
        <v>2013</v>
      </c>
      <c r="C265" s="59" t="s">
        <v>97</v>
      </c>
      <c r="D265" s="59">
        <v>246</v>
      </c>
      <c r="E265" s="496" t="s">
        <v>110</v>
      </c>
      <c r="F265" s="29">
        <v>1</v>
      </c>
      <c r="G265" s="9">
        <v>1</v>
      </c>
      <c r="H265" s="9">
        <v>1</v>
      </c>
      <c r="I265" s="9">
        <v>2</v>
      </c>
      <c r="J265" s="43">
        <v>2</v>
      </c>
      <c r="K265" s="262">
        <f t="shared" si="4"/>
        <v>0.35859414261160716</v>
      </c>
      <c r="L265" s="163" t="s">
        <v>111</v>
      </c>
    </row>
    <row r="266" spans="1:12" hidden="1">
      <c r="A266" s="34" t="s">
        <v>109</v>
      </c>
      <c r="B266" s="339">
        <v>2013</v>
      </c>
      <c r="C266" s="59" t="s">
        <v>95</v>
      </c>
      <c r="D266" s="59">
        <v>248</v>
      </c>
      <c r="E266" s="496" t="s">
        <v>110</v>
      </c>
      <c r="F266" s="29">
        <v>1</v>
      </c>
      <c r="G266" s="9">
        <v>1</v>
      </c>
      <c r="H266" s="9">
        <v>1</v>
      </c>
      <c r="I266" s="9">
        <v>2</v>
      </c>
      <c r="J266" s="43">
        <v>2</v>
      </c>
      <c r="K266" s="262">
        <f t="shared" si="4"/>
        <v>0.35859414261160716</v>
      </c>
      <c r="L266" s="163" t="s">
        <v>111</v>
      </c>
    </row>
    <row r="267" spans="1:12" hidden="1">
      <c r="A267" s="34" t="s">
        <v>109</v>
      </c>
      <c r="B267" s="339">
        <v>2013</v>
      </c>
      <c r="C267" s="59" t="s">
        <v>93</v>
      </c>
      <c r="D267" s="59">
        <v>120</v>
      </c>
      <c r="E267" s="496" t="s">
        <v>110</v>
      </c>
      <c r="F267" s="29">
        <v>1</v>
      </c>
      <c r="G267" s="9">
        <v>1</v>
      </c>
      <c r="H267" s="9">
        <v>1</v>
      </c>
      <c r="I267" s="9">
        <v>2</v>
      </c>
      <c r="J267" s="43">
        <v>2</v>
      </c>
      <c r="K267" s="262">
        <f t="shared" si="4"/>
        <v>0.35859414261160716</v>
      </c>
      <c r="L267" s="163" t="s">
        <v>111</v>
      </c>
    </row>
    <row r="268" spans="1:12" hidden="1">
      <c r="A268" s="34" t="s">
        <v>109</v>
      </c>
      <c r="B268" s="339">
        <v>2013</v>
      </c>
      <c r="C268" s="59" t="s">
        <v>98</v>
      </c>
      <c r="D268" s="59">
        <v>2021</v>
      </c>
      <c r="E268" s="496" t="s">
        <v>110</v>
      </c>
      <c r="F268" s="29">
        <v>1</v>
      </c>
      <c r="G268" s="9">
        <v>1</v>
      </c>
      <c r="H268" s="9">
        <v>1</v>
      </c>
      <c r="I268" s="9">
        <v>2</v>
      </c>
      <c r="J268" s="43">
        <v>2</v>
      </c>
      <c r="K268" s="262">
        <f t="shared" si="4"/>
        <v>0.35859414261160716</v>
      </c>
      <c r="L268" s="163" t="s">
        <v>111</v>
      </c>
    </row>
    <row r="269" spans="1:12" hidden="1">
      <c r="A269" s="34" t="s">
        <v>109</v>
      </c>
      <c r="B269" s="339">
        <v>2014</v>
      </c>
      <c r="C269" s="59" t="s">
        <v>85</v>
      </c>
      <c r="D269" s="59">
        <v>1317</v>
      </c>
      <c r="E269" s="496" t="s">
        <v>110</v>
      </c>
      <c r="F269" s="29">
        <v>1</v>
      </c>
      <c r="G269" s="9">
        <v>1</v>
      </c>
      <c r="H269" s="9">
        <v>1</v>
      </c>
      <c r="I269" s="9">
        <v>2</v>
      </c>
      <c r="J269" s="43">
        <v>2</v>
      </c>
      <c r="K269" s="262">
        <f t="shared" si="4"/>
        <v>0.35859414261160716</v>
      </c>
      <c r="L269" s="163" t="s">
        <v>111</v>
      </c>
    </row>
    <row r="270" spans="1:12" hidden="1">
      <c r="A270" s="34" t="s">
        <v>109</v>
      </c>
      <c r="B270" s="339">
        <v>2014</v>
      </c>
      <c r="C270" s="59" t="s">
        <v>86</v>
      </c>
      <c r="D270" s="59">
        <v>290</v>
      </c>
      <c r="E270" s="496" t="s">
        <v>110</v>
      </c>
      <c r="F270" s="29">
        <v>1</v>
      </c>
      <c r="G270" s="9">
        <v>1</v>
      </c>
      <c r="H270" s="9">
        <v>1</v>
      </c>
      <c r="I270" s="9">
        <v>2</v>
      </c>
      <c r="J270" s="43">
        <v>2</v>
      </c>
      <c r="K270" s="262">
        <f t="shared" si="4"/>
        <v>0.35859414261160716</v>
      </c>
      <c r="L270" s="163" t="s">
        <v>111</v>
      </c>
    </row>
    <row r="271" spans="1:12" hidden="1">
      <c r="A271" s="34" t="s">
        <v>109</v>
      </c>
      <c r="B271" s="339">
        <v>2014</v>
      </c>
      <c r="C271" s="59" t="s">
        <v>87</v>
      </c>
      <c r="D271" s="59">
        <v>852</v>
      </c>
      <c r="E271" s="496" t="s">
        <v>110</v>
      </c>
      <c r="F271" s="29">
        <v>1</v>
      </c>
      <c r="G271" s="9">
        <v>1</v>
      </c>
      <c r="H271" s="9">
        <v>1</v>
      </c>
      <c r="I271" s="9">
        <v>2</v>
      </c>
      <c r="J271" s="43">
        <v>2</v>
      </c>
      <c r="K271" s="262">
        <f t="shared" si="4"/>
        <v>0.35859414261160716</v>
      </c>
      <c r="L271" s="163" t="s">
        <v>111</v>
      </c>
    </row>
    <row r="272" spans="1:12">
      <c r="A272" s="34" t="s">
        <v>109</v>
      </c>
      <c r="B272" s="339">
        <v>2014</v>
      </c>
      <c r="C272" s="59" t="s">
        <v>88</v>
      </c>
      <c r="D272" s="59">
        <v>4</v>
      </c>
      <c r="E272" s="496" t="s">
        <v>110</v>
      </c>
      <c r="F272" s="29">
        <v>1</v>
      </c>
      <c r="G272" s="9">
        <v>1</v>
      </c>
      <c r="H272" s="9">
        <v>1</v>
      </c>
      <c r="I272" s="9">
        <v>2</v>
      </c>
      <c r="J272" s="43">
        <v>2</v>
      </c>
      <c r="K272" s="262">
        <f t="shared" si="4"/>
        <v>0.35859414261160716</v>
      </c>
      <c r="L272" s="163" t="s">
        <v>111</v>
      </c>
    </row>
    <row r="273" spans="1:12" hidden="1">
      <c r="A273" s="34" t="s">
        <v>109</v>
      </c>
      <c r="B273" s="339">
        <v>2014</v>
      </c>
      <c r="C273" s="59" t="s">
        <v>89</v>
      </c>
      <c r="D273" s="59">
        <v>191</v>
      </c>
      <c r="E273" s="496" t="s">
        <v>110</v>
      </c>
      <c r="F273" s="29">
        <v>1</v>
      </c>
      <c r="G273" s="9">
        <v>1</v>
      </c>
      <c r="H273" s="9">
        <v>1</v>
      </c>
      <c r="I273" s="9">
        <v>2</v>
      </c>
      <c r="J273" s="43">
        <v>2</v>
      </c>
      <c r="K273" s="262">
        <f t="shared" si="4"/>
        <v>0.35859414261160716</v>
      </c>
      <c r="L273" s="163" t="s">
        <v>111</v>
      </c>
    </row>
    <row r="274" spans="1:12" hidden="1">
      <c r="A274" s="34" t="s">
        <v>109</v>
      </c>
      <c r="B274" s="339">
        <v>2014</v>
      </c>
      <c r="C274" s="59" t="s">
        <v>90</v>
      </c>
      <c r="D274" s="59">
        <v>610</v>
      </c>
      <c r="E274" s="496" t="s">
        <v>110</v>
      </c>
      <c r="F274" s="29">
        <v>1</v>
      </c>
      <c r="G274" s="9">
        <v>1</v>
      </c>
      <c r="H274" s="9">
        <v>1</v>
      </c>
      <c r="I274" s="9">
        <v>2</v>
      </c>
      <c r="J274" s="43">
        <v>2</v>
      </c>
      <c r="K274" s="262">
        <f t="shared" si="4"/>
        <v>0.35859414261160716</v>
      </c>
      <c r="L274" s="163" t="s">
        <v>111</v>
      </c>
    </row>
    <row r="275" spans="1:12" hidden="1">
      <c r="A275" s="34" t="s">
        <v>109</v>
      </c>
      <c r="B275" s="339">
        <v>2014</v>
      </c>
      <c r="C275" s="59" t="s">
        <v>91</v>
      </c>
      <c r="D275" s="59">
        <v>359</v>
      </c>
      <c r="E275" s="496" t="s">
        <v>110</v>
      </c>
      <c r="F275" s="29">
        <v>1</v>
      </c>
      <c r="G275" s="9">
        <v>1</v>
      </c>
      <c r="H275" s="9">
        <v>1</v>
      </c>
      <c r="I275" s="9">
        <v>2</v>
      </c>
      <c r="J275" s="43">
        <v>2</v>
      </c>
      <c r="K275" s="262">
        <f t="shared" si="4"/>
        <v>0.35859414261160716</v>
      </c>
      <c r="L275" s="163" t="s">
        <v>111</v>
      </c>
    </row>
    <row r="276" spans="1:12" hidden="1">
      <c r="A276" s="34" t="s">
        <v>109</v>
      </c>
      <c r="B276" s="339">
        <v>2014</v>
      </c>
      <c r="C276" s="59" t="s">
        <v>94</v>
      </c>
      <c r="D276" s="59">
        <v>137</v>
      </c>
      <c r="E276" s="496" t="s">
        <v>110</v>
      </c>
      <c r="F276" s="29">
        <v>1</v>
      </c>
      <c r="G276" s="9">
        <v>1</v>
      </c>
      <c r="H276" s="9">
        <v>1</v>
      </c>
      <c r="I276" s="9">
        <v>2</v>
      </c>
      <c r="J276" s="43">
        <v>2</v>
      </c>
      <c r="K276" s="262">
        <f t="shared" si="4"/>
        <v>0.35859414261160716</v>
      </c>
      <c r="L276" s="163" t="s">
        <v>111</v>
      </c>
    </row>
    <row r="277" spans="1:12" hidden="1">
      <c r="A277" s="34" t="s">
        <v>109</v>
      </c>
      <c r="B277" s="339">
        <v>2014</v>
      </c>
      <c r="C277" s="59" t="s">
        <v>96</v>
      </c>
      <c r="D277" s="59">
        <v>337</v>
      </c>
      <c r="E277" s="496" t="s">
        <v>110</v>
      </c>
      <c r="F277" s="29">
        <v>1</v>
      </c>
      <c r="G277" s="9">
        <v>1</v>
      </c>
      <c r="H277" s="9">
        <v>1</v>
      </c>
      <c r="I277" s="9">
        <v>2</v>
      </c>
      <c r="J277" s="43">
        <v>2</v>
      </c>
      <c r="K277" s="262">
        <f t="shared" si="4"/>
        <v>0.35859414261160716</v>
      </c>
      <c r="L277" s="163" t="s">
        <v>111</v>
      </c>
    </row>
    <row r="278" spans="1:12">
      <c r="A278" s="34" t="s">
        <v>109</v>
      </c>
      <c r="B278" s="339">
        <v>2014</v>
      </c>
      <c r="C278" s="59" t="s">
        <v>97</v>
      </c>
      <c r="D278" s="59">
        <v>249</v>
      </c>
      <c r="E278" s="496" t="s">
        <v>110</v>
      </c>
      <c r="F278" s="29">
        <v>1</v>
      </c>
      <c r="G278" s="9">
        <v>1</v>
      </c>
      <c r="H278" s="9">
        <v>1</v>
      </c>
      <c r="I278" s="9">
        <v>2</v>
      </c>
      <c r="J278" s="43">
        <v>2</v>
      </c>
      <c r="K278" s="262">
        <f t="shared" si="4"/>
        <v>0.35859414261160716</v>
      </c>
      <c r="L278" s="163" t="s">
        <v>111</v>
      </c>
    </row>
    <row r="279" spans="1:12" hidden="1">
      <c r="A279" s="34" t="s">
        <v>109</v>
      </c>
      <c r="B279" s="339">
        <v>2014</v>
      </c>
      <c r="C279" s="59" t="s">
        <v>95</v>
      </c>
      <c r="D279" s="59">
        <v>254</v>
      </c>
      <c r="E279" s="496" t="s">
        <v>110</v>
      </c>
      <c r="F279" s="29">
        <v>1</v>
      </c>
      <c r="G279" s="9">
        <v>1</v>
      </c>
      <c r="H279" s="9">
        <v>1</v>
      </c>
      <c r="I279" s="9">
        <v>2</v>
      </c>
      <c r="J279" s="43">
        <v>2</v>
      </c>
      <c r="K279" s="262">
        <f t="shared" si="4"/>
        <v>0.35859414261160716</v>
      </c>
      <c r="L279" s="163" t="s">
        <v>111</v>
      </c>
    </row>
    <row r="280" spans="1:12" hidden="1">
      <c r="A280" s="34" t="s">
        <v>109</v>
      </c>
      <c r="B280" s="339">
        <v>2014</v>
      </c>
      <c r="C280" s="59" t="s">
        <v>93</v>
      </c>
      <c r="D280" s="59">
        <v>102</v>
      </c>
      <c r="E280" s="496" t="s">
        <v>110</v>
      </c>
      <c r="F280" s="29">
        <v>1</v>
      </c>
      <c r="G280" s="9">
        <v>1</v>
      </c>
      <c r="H280" s="9">
        <v>1</v>
      </c>
      <c r="I280" s="9">
        <v>2</v>
      </c>
      <c r="J280" s="43">
        <v>2</v>
      </c>
      <c r="K280" s="262">
        <f t="shared" si="4"/>
        <v>0.35859414261160716</v>
      </c>
      <c r="L280" s="163" t="s">
        <v>111</v>
      </c>
    </row>
    <row r="281" spans="1:12" hidden="1">
      <c r="A281" s="34" t="s">
        <v>109</v>
      </c>
      <c r="B281" s="339">
        <v>2014</v>
      </c>
      <c r="C281" s="59" t="s">
        <v>98</v>
      </c>
      <c r="D281" s="59">
        <v>2236</v>
      </c>
      <c r="E281" s="496" t="s">
        <v>110</v>
      </c>
      <c r="F281" s="29">
        <v>1</v>
      </c>
      <c r="G281" s="9">
        <v>1</v>
      </c>
      <c r="H281" s="9">
        <v>1</v>
      </c>
      <c r="I281" s="9">
        <v>2</v>
      </c>
      <c r="J281" s="43">
        <v>2</v>
      </c>
      <c r="K281" s="262">
        <f t="shared" si="4"/>
        <v>0.35859414261160716</v>
      </c>
      <c r="L281" s="163" t="s">
        <v>111</v>
      </c>
    </row>
    <row r="282" spans="1:12" hidden="1">
      <c r="A282" s="34" t="s">
        <v>109</v>
      </c>
      <c r="B282" s="339">
        <v>2015</v>
      </c>
      <c r="C282" s="59" t="s">
        <v>85</v>
      </c>
      <c r="D282" s="59">
        <v>1455</v>
      </c>
      <c r="E282" s="496" t="s">
        <v>110</v>
      </c>
      <c r="F282" s="29">
        <v>1</v>
      </c>
      <c r="G282" s="9">
        <v>1</v>
      </c>
      <c r="H282" s="9">
        <v>1</v>
      </c>
      <c r="I282" s="9">
        <v>2</v>
      </c>
      <c r="J282" s="43">
        <v>2</v>
      </c>
      <c r="K282" s="262">
        <f t="shared" si="4"/>
        <v>0.35859414261160716</v>
      </c>
      <c r="L282" s="163" t="s">
        <v>111</v>
      </c>
    </row>
    <row r="283" spans="1:12" hidden="1">
      <c r="A283" s="34" t="s">
        <v>109</v>
      </c>
      <c r="B283" s="339">
        <v>2015</v>
      </c>
      <c r="C283" s="59" t="s">
        <v>86</v>
      </c>
      <c r="D283" s="59">
        <v>290</v>
      </c>
      <c r="E283" s="496" t="s">
        <v>110</v>
      </c>
      <c r="F283" s="29">
        <v>1</v>
      </c>
      <c r="G283" s="9">
        <v>1</v>
      </c>
      <c r="H283" s="9">
        <v>1</v>
      </c>
      <c r="I283" s="9">
        <v>2</v>
      </c>
      <c r="J283" s="43">
        <v>2</v>
      </c>
      <c r="K283" s="262">
        <f t="shared" si="4"/>
        <v>0.35859414261160716</v>
      </c>
      <c r="L283" s="163" t="s">
        <v>111</v>
      </c>
    </row>
    <row r="284" spans="1:12" hidden="1">
      <c r="A284" s="34" t="s">
        <v>109</v>
      </c>
      <c r="B284" s="339">
        <v>2015</v>
      </c>
      <c r="C284" s="59" t="s">
        <v>87</v>
      </c>
      <c r="D284" s="59">
        <v>852</v>
      </c>
      <c r="E284" s="496" t="s">
        <v>110</v>
      </c>
      <c r="F284" s="29">
        <v>1</v>
      </c>
      <c r="G284" s="9">
        <v>1</v>
      </c>
      <c r="H284" s="9">
        <v>1</v>
      </c>
      <c r="I284" s="9">
        <v>2</v>
      </c>
      <c r="J284" s="43">
        <v>2</v>
      </c>
      <c r="K284" s="262">
        <f t="shared" si="4"/>
        <v>0.35859414261160716</v>
      </c>
      <c r="L284" s="163" t="s">
        <v>111</v>
      </c>
    </row>
    <row r="285" spans="1:12">
      <c r="A285" s="34" t="s">
        <v>109</v>
      </c>
      <c r="B285" s="339">
        <v>2015</v>
      </c>
      <c r="C285" s="59" t="s">
        <v>88</v>
      </c>
      <c r="D285" s="59">
        <v>4</v>
      </c>
      <c r="E285" s="496" t="s">
        <v>110</v>
      </c>
      <c r="F285" s="29">
        <v>1</v>
      </c>
      <c r="G285" s="9">
        <v>1</v>
      </c>
      <c r="H285" s="9">
        <v>1</v>
      </c>
      <c r="I285" s="9">
        <v>2</v>
      </c>
      <c r="J285" s="43">
        <v>2</v>
      </c>
      <c r="K285" s="262">
        <f t="shared" si="4"/>
        <v>0.35859414261160716</v>
      </c>
      <c r="L285" s="163" t="s">
        <v>111</v>
      </c>
    </row>
    <row r="286" spans="1:12" hidden="1">
      <c r="A286" s="34" t="s">
        <v>109</v>
      </c>
      <c r="B286" s="339">
        <v>2015</v>
      </c>
      <c r="C286" s="59" t="s">
        <v>89</v>
      </c>
      <c r="D286" s="59">
        <v>191</v>
      </c>
      <c r="E286" s="496" t="s">
        <v>110</v>
      </c>
      <c r="F286" s="29">
        <v>1</v>
      </c>
      <c r="G286" s="9">
        <v>1</v>
      </c>
      <c r="H286" s="9">
        <v>1</v>
      </c>
      <c r="I286" s="9">
        <v>2</v>
      </c>
      <c r="J286" s="43">
        <v>2</v>
      </c>
      <c r="K286" s="262">
        <f t="shared" si="4"/>
        <v>0.35859414261160716</v>
      </c>
      <c r="L286" s="163" t="s">
        <v>111</v>
      </c>
    </row>
    <row r="287" spans="1:12" hidden="1">
      <c r="A287" s="34" t="s">
        <v>109</v>
      </c>
      <c r="B287" s="339">
        <v>2015</v>
      </c>
      <c r="C287" s="59" t="s">
        <v>90</v>
      </c>
      <c r="D287" s="59">
        <v>610</v>
      </c>
      <c r="E287" s="496" t="s">
        <v>110</v>
      </c>
      <c r="F287" s="29">
        <v>1</v>
      </c>
      <c r="G287" s="9">
        <v>1</v>
      </c>
      <c r="H287" s="9">
        <v>1</v>
      </c>
      <c r="I287" s="9">
        <v>2</v>
      </c>
      <c r="J287" s="43">
        <v>2</v>
      </c>
      <c r="K287" s="262">
        <f t="shared" si="4"/>
        <v>0.35859414261160716</v>
      </c>
      <c r="L287" s="163" t="s">
        <v>111</v>
      </c>
    </row>
    <row r="288" spans="1:12" hidden="1">
      <c r="A288" s="34" t="s">
        <v>109</v>
      </c>
      <c r="B288" s="339">
        <v>2015</v>
      </c>
      <c r="C288" s="59" t="s">
        <v>91</v>
      </c>
      <c r="D288" s="59">
        <v>421</v>
      </c>
      <c r="E288" s="496" t="s">
        <v>110</v>
      </c>
      <c r="F288" s="29">
        <v>1</v>
      </c>
      <c r="G288" s="9">
        <v>1</v>
      </c>
      <c r="H288" s="9">
        <v>1</v>
      </c>
      <c r="I288" s="9">
        <v>2</v>
      </c>
      <c r="J288" s="43">
        <v>2</v>
      </c>
      <c r="K288" s="262">
        <f t="shared" si="4"/>
        <v>0.35859414261160716</v>
      </c>
      <c r="L288" s="163" t="s">
        <v>111</v>
      </c>
    </row>
    <row r="289" spans="1:12" hidden="1">
      <c r="A289" s="34" t="s">
        <v>109</v>
      </c>
      <c r="B289" s="339">
        <v>2015</v>
      </c>
      <c r="C289" s="59" t="s">
        <v>94</v>
      </c>
      <c r="D289" s="59">
        <v>159</v>
      </c>
      <c r="E289" s="496" t="s">
        <v>110</v>
      </c>
      <c r="F289" s="29">
        <v>1</v>
      </c>
      <c r="G289" s="9">
        <v>1</v>
      </c>
      <c r="H289" s="9">
        <v>1</v>
      </c>
      <c r="I289" s="9">
        <v>2</v>
      </c>
      <c r="J289" s="43">
        <v>2</v>
      </c>
      <c r="K289" s="262">
        <f t="shared" si="4"/>
        <v>0.35859414261160716</v>
      </c>
      <c r="L289" s="163" t="s">
        <v>111</v>
      </c>
    </row>
    <row r="290" spans="1:12" hidden="1">
      <c r="A290" s="34" t="s">
        <v>109</v>
      </c>
      <c r="B290" s="339">
        <v>2015</v>
      </c>
      <c r="C290" s="59" t="s">
        <v>96</v>
      </c>
      <c r="D290" s="59">
        <v>337</v>
      </c>
      <c r="E290" s="496" t="s">
        <v>110</v>
      </c>
      <c r="F290" s="29">
        <v>1</v>
      </c>
      <c r="G290" s="9">
        <v>1</v>
      </c>
      <c r="H290" s="9">
        <v>1</v>
      </c>
      <c r="I290" s="9">
        <v>2</v>
      </c>
      <c r="J290" s="43">
        <v>2</v>
      </c>
      <c r="K290" s="262">
        <f t="shared" si="4"/>
        <v>0.35859414261160716</v>
      </c>
      <c r="L290" s="163" t="s">
        <v>111</v>
      </c>
    </row>
    <row r="291" spans="1:12">
      <c r="A291" s="34" t="s">
        <v>109</v>
      </c>
      <c r="B291" s="339">
        <v>2015</v>
      </c>
      <c r="C291" s="59" t="s">
        <v>97</v>
      </c>
      <c r="D291" s="59">
        <v>280</v>
      </c>
      <c r="E291" s="496" t="s">
        <v>110</v>
      </c>
      <c r="F291" s="29">
        <v>1</v>
      </c>
      <c r="G291" s="9">
        <v>1</v>
      </c>
      <c r="H291" s="9">
        <v>1</v>
      </c>
      <c r="I291" s="9">
        <v>2</v>
      </c>
      <c r="J291" s="43">
        <v>2</v>
      </c>
      <c r="K291" s="262">
        <f t="shared" si="4"/>
        <v>0.35859414261160716</v>
      </c>
      <c r="L291" s="163" t="s">
        <v>111</v>
      </c>
    </row>
    <row r="292" spans="1:12" hidden="1">
      <c r="A292" s="34" t="s">
        <v>109</v>
      </c>
      <c r="B292" s="339">
        <v>2015</v>
      </c>
      <c r="C292" s="59" t="s">
        <v>95</v>
      </c>
      <c r="D292" s="59">
        <v>270</v>
      </c>
      <c r="E292" s="496" t="s">
        <v>110</v>
      </c>
      <c r="F292" s="29">
        <v>1</v>
      </c>
      <c r="G292" s="9">
        <v>1</v>
      </c>
      <c r="H292" s="9">
        <v>1</v>
      </c>
      <c r="I292" s="9">
        <v>2</v>
      </c>
      <c r="J292" s="43">
        <v>2</v>
      </c>
      <c r="K292" s="262">
        <f t="shared" si="4"/>
        <v>0.35859414261160716</v>
      </c>
      <c r="L292" s="163" t="s">
        <v>111</v>
      </c>
    </row>
    <row r="293" spans="1:12" hidden="1">
      <c r="A293" s="34" t="s">
        <v>109</v>
      </c>
      <c r="B293" s="339">
        <v>2015</v>
      </c>
      <c r="C293" s="59" t="s">
        <v>93</v>
      </c>
      <c r="D293" s="59">
        <v>116</v>
      </c>
      <c r="E293" s="496" t="s">
        <v>110</v>
      </c>
      <c r="F293" s="29">
        <v>1</v>
      </c>
      <c r="G293" s="9">
        <v>1</v>
      </c>
      <c r="H293" s="9">
        <v>1</v>
      </c>
      <c r="I293" s="9">
        <v>2</v>
      </c>
      <c r="J293" s="43">
        <v>2</v>
      </c>
      <c r="K293" s="262">
        <f t="shared" si="4"/>
        <v>0.35859414261160716</v>
      </c>
      <c r="L293" s="163" t="s">
        <v>111</v>
      </c>
    </row>
    <row r="294" spans="1:12" hidden="1">
      <c r="A294" s="34" t="s">
        <v>109</v>
      </c>
      <c r="B294" s="339">
        <v>2015</v>
      </c>
      <c r="C294" s="59" t="s">
        <v>98</v>
      </c>
      <c r="D294" s="59">
        <v>2411</v>
      </c>
      <c r="E294" s="496" t="s">
        <v>110</v>
      </c>
      <c r="F294" s="29">
        <v>1</v>
      </c>
      <c r="G294" s="9">
        <v>1</v>
      </c>
      <c r="H294" s="9">
        <v>1</v>
      </c>
      <c r="I294" s="9">
        <v>2</v>
      </c>
      <c r="J294" s="43">
        <v>2</v>
      </c>
      <c r="K294" s="262">
        <f t="shared" si="4"/>
        <v>0.35859414261160716</v>
      </c>
      <c r="L294" s="163" t="s">
        <v>111</v>
      </c>
    </row>
    <row r="295" spans="1:12" hidden="1">
      <c r="A295" s="34" t="s">
        <v>109</v>
      </c>
      <c r="B295" s="339">
        <v>2016</v>
      </c>
      <c r="C295" s="59" t="s">
        <v>85</v>
      </c>
      <c r="D295" s="59">
        <v>1633</v>
      </c>
      <c r="E295" s="496" t="s">
        <v>110</v>
      </c>
      <c r="F295" s="29">
        <v>1</v>
      </c>
      <c r="G295" s="9">
        <v>1</v>
      </c>
      <c r="H295" s="9">
        <v>1</v>
      </c>
      <c r="I295" s="9">
        <v>2</v>
      </c>
      <c r="J295" s="43">
        <v>2</v>
      </c>
      <c r="K295" s="262">
        <f t="shared" si="4"/>
        <v>0.35859414261160716</v>
      </c>
      <c r="L295" s="163" t="s">
        <v>111</v>
      </c>
    </row>
    <row r="296" spans="1:12" hidden="1">
      <c r="A296" s="34" t="s">
        <v>109</v>
      </c>
      <c r="B296" s="339">
        <v>2016</v>
      </c>
      <c r="C296" s="59" t="s">
        <v>86</v>
      </c>
      <c r="D296" s="59">
        <v>290</v>
      </c>
      <c r="E296" s="496" t="s">
        <v>110</v>
      </c>
      <c r="F296" s="29">
        <v>1</v>
      </c>
      <c r="G296" s="9">
        <v>1</v>
      </c>
      <c r="H296" s="9">
        <v>1</v>
      </c>
      <c r="I296" s="9">
        <v>2</v>
      </c>
      <c r="J296" s="43">
        <v>2</v>
      </c>
      <c r="K296" s="262">
        <f t="shared" si="4"/>
        <v>0.35859414261160716</v>
      </c>
      <c r="L296" s="163" t="s">
        <v>111</v>
      </c>
    </row>
    <row r="297" spans="1:12" hidden="1">
      <c r="A297" s="34" t="s">
        <v>109</v>
      </c>
      <c r="B297" s="339">
        <v>2016</v>
      </c>
      <c r="C297" s="59" t="s">
        <v>87</v>
      </c>
      <c r="D297" s="59">
        <v>852</v>
      </c>
      <c r="E297" s="496" t="s">
        <v>110</v>
      </c>
      <c r="F297" s="29">
        <v>1</v>
      </c>
      <c r="G297" s="9">
        <v>1</v>
      </c>
      <c r="H297" s="9">
        <v>1</v>
      </c>
      <c r="I297" s="9">
        <v>2</v>
      </c>
      <c r="J297" s="43">
        <v>2</v>
      </c>
      <c r="K297" s="262">
        <f t="shared" si="4"/>
        <v>0.35859414261160716</v>
      </c>
      <c r="L297" s="163" t="s">
        <v>111</v>
      </c>
    </row>
    <row r="298" spans="1:12">
      <c r="A298" s="34" t="s">
        <v>109</v>
      </c>
      <c r="B298" s="339">
        <v>2016</v>
      </c>
      <c r="C298" s="59" t="s">
        <v>88</v>
      </c>
      <c r="D298" s="59">
        <v>4</v>
      </c>
      <c r="E298" s="496" t="s">
        <v>110</v>
      </c>
      <c r="F298" s="29">
        <v>1</v>
      </c>
      <c r="G298" s="9">
        <v>1</v>
      </c>
      <c r="H298" s="9">
        <v>1</v>
      </c>
      <c r="I298" s="9">
        <v>2</v>
      </c>
      <c r="J298" s="43">
        <v>2</v>
      </c>
      <c r="K298" s="262">
        <f t="shared" si="4"/>
        <v>0.35859414261160716</v>
      </c>
      <c r="L298" s="163" t="s">
        <v>111</v>
      </c>
    </row>
    <row r="299" spans="1:12" hidden="1">
      <c r="A299" s="34" t="s">
        <v>109</v>
      </c>
      <c r="B299" s="339">
        <v>2016</v>
      </c>
      <c r="C299" s="59" t="s">
        <v>89</v>
      </c>
      <c r="D299" s="59">
        <v>185</v>
      </c>
      <c r="E299" s="496" t="s">
        <v>110</v>
      </c>
      <c r="F299" s="29">
        <v>1</v>
      </c>
      <c r="G299" s="9">
        <v>1</v>
      </c>
      <c r="H299" s="9">
        <v>1</v>
      </c>
      <c r="I299" s="9">
        <v>2</v>
      </c>
      <c r="J299" s="43">
        <v>2</v>
      </c>
      <c r="K299" s="262">
        <f t="shared" si="4"/>
        <v>0.35859414261160716</v>
      </c>
      <c r="L299" s="163" t="s">
        <v>111</v>
      </c>
    </row>
    <row r="300" spans="1:12" hidden="1">
      <c r="A300" s="34" t="s">
        <v>109</v>
      </c>
      <c r="B300" s="339">
        <v>2016</v>
      </c>
      <c r="C300" s="59" t="s">
        <v>90</v>
      </c>
      <c r="D300" s="59">
        <v>610</v>
      </c>
      <c r="E300" s="496" t="s">
        <v>110</v>
      </c>
      <c r="F300" s="29">
        <v>1</v>
      </c>
      <c r="G300" s="9">
        <v>1</v>
      </c>
      <c r="H300" s="9">
        <v>1</v>
      </c>
      <c r="I300" s="9">
        <v>2</v>
      </c>
      <c r="J300" s="43">
        <v>2</v>
      </c>
      <c r="K300" s="262">
        <f t="shared" si="4"/>
        <v>0.35859414261160716</v>
      </c>
      <c r="L300" s="163" t="s">
        <v>111</v>
      </c>
    </row>
    <row r="301" spans="1:12" hidden="1">
      <c r="A301" s="34" t="s">
        <v>109</v>
      </c>
      <c r="B301" s="339">
        <v>2016</v>
      </c>
      <c r="C301" s="59" t="s">
        <v>91</v>
      </c>
      <c r="D301" s="59">
        <v>386</v>
      </c>
      <c r="E301" s="496" t="s">
        <v>110</v>
      </c>
      <c r="F301" s="29">
        <v>1</v>
      </c>
      <c r="G301" s="9">
        <v>1</v>
      </c>
      <c r="H301" s="9">
        <v>1</v>
      </c>
      <c r="I301" s="9">
        <v>2</v>
      </c>
      <c r="J301" s="43">
        <v>2</v>
      </c>
      <c r="K301" s="262">
        <f t="shared" si="4"/>
        <v>0.35859414261160716</v>
      </c>
      <c r="L301" s="163" t="s">
        <v>111</v>
      </c>
    </row>
    <row r="302" spans="1:12" hidden="1">
      <c r="A302" s="34" t="s">
        <v>109</v>
      </c>
      <c r="B302" s="339">
        <v>2016</v>
      </c>
      <c r="C302" s="59" t="s">
        <v>94</v>
      </c>
      <c r="D302" s="59">
        <v>155</v>
      </c>
      <c r="E302" s="496" t="s">
        <v>110</v>
      </c>
      <c r="F302" s="29">
        <v>1</v>
      </c>
      <c r="G302" s="9">
        <v>1</v>
      </c>
      <c r="H302" s="9">
        <v>1</v>
      </c>
      <c r="I302" s="9">
        <v>2</v>
      </c>
      <c r="J302" s="43">
        <v>2</v>
      </c>
      <c r="K302" s="262">
        <f t="shared" si="4"/>
        <v>0.35859414261160716</v>
      </c>
      <c r="L302" s="163" t="s">
        <v>111</v>
      </c>
    </row>
    <row r="303" spans="1:12" hidden="1">
      <c r="A303" s="34" t="s">
        <v>109</v>
      </c>
      <c r="B303" s="339">
        <v>2016</v>
      </c>
      <c r="C303" s="59" t="s">
        <v>96</v>
      </c>
      <c r="D303" s="59">
        <v>337</v>
      </c>
      <c r="E303" s="496" t="s">
        <v>110</v>
      </c>
      <c r="F303" s="29">
        <v>1</v>
      </c>
      <c r="G303" s="9">
        <v>1</v>
      </c>
      <c r="H303" s="9">
        <v>1</v>
      </c>
      <c r="I303" s="9">
        <v>2</v>
      </c>
      <c r="J303" s="43">
        <v>2</v>
      </c>
      <c r="K303" s="262">
        <f t="shared" si="4"/>
        <v>0.35859414261160716</v>
      </c>
      <c r="L303" s="163" t="s">
        <v>111</v>
      </c>
    </row>
    <row r="304" spans="1:12">
      <c r="A304" s="34" t="s">
        <v>109</v>
      </c>
      <c r="B304" s="339">
        <v>2016</v>
      </c>
      <c r="C304" s="59" t="s">
        <v>97</v>
      </c>
      <c r="D304" s="59">
        <v>373</v>
      </c>
      <c r="E304" s="496" t="s">
        <v>110</v>
      </c>
      <c r="F304" s="29">
        <v>1</v>
      </c>
      <c r="G304" s="9">
        <v>1</v>
      </c>
      <c r="H304" s="9">
        <v>1</v>
      </c>
      <c r="I304" s="9">
        <v>2</v>
      </c>
      <c r="J304" s="43">
        <v>2</v>
      </c>
      <c r="K304" s="262">
        <f t="shared" si="4"/>
        <v>0.35859414261160716</v>
      </c>
      <c r="L304" s="163" t="s">
        <v>111</v>
      </c>
    </row>
    <row r="305" spans="1:12" hidden="1">
      <c r="A305" s="34" t="s">
        <v>109</v>
      </c>
      <c r="B305" s="339">
        <v>2016</v>
      </c>
      <c r="C305" s="59" t="s">
        <v>95</v>
      </c>
      <c r="D305" s="59">
        <v>258</v>
      </c>
      <c r="E305" s="496" t="s">
        <v>110</v>
      </c>
      <c r="F305" s="29">
        <v>1</v>
      </c>
      <c r="G305" s="9">
        <v>1</v>
      </c>
      <c r="H305" s="9">
        <v>1</v>
      </c>
      <c r="I305" s="9">
        <v>2</v>
      </c>
      <c r="J305" s="43">
        <v>2</v>
      </c>
      <c r="K305" s="262">
        <f t="shared" si="4"/>
        <v>0.35859414261160716</v>
      </c>
      <c r="L305" s="163" t="s">
        <v>111</v>
      </c>
    </row>
    <row r="306" spans="1:12" hidden="1">
      <c r="A306" s="34" t="s">
        <v>109</v>
      </c>
      <c r="B306" s="339">
        <v>2016</v>
      </c>
      <c r="C306" s="59" t="s">
        <v>93</v>
      </c>
      <c r="D306" s="59">
        <v>121</v>
      </c>
      <c r="E306" s="496" t="s">
        <v>110</v>
      </c>
      <c r="F306" s="29">
        <v>1</v>
      </c>
      <c r="G306" s="9">
        <v>1</v>
      </c>
      <c r="H306" s="9">
        <v>1</v>
      </c>
      <c r="I306" s="9">
        <v>2</v>
      </c>
      <c r="J306" s="43">
        <v>2</v>
      </c>
      <c r="K306" s="262">
        <f t="shared" si="4"/>
        <v>0.35859414261160716</v>
      </c>
      <c r="L306" s="163" t="s">
        <v>111</v>
      </c>
    </row>
    <row r="307" spans="1:12" hidden="1">
      <c r="A307" s="34" t="s">
        <v>109</v>
      </c>
      <c r="B307" s="339">
        <v>2016</v>
      </c>
      <c r="C307" s="59" t="s">
        <v>98</v>
      </c>
      <c r="D307" s="59">
        <v>2513</v>
      </c>
      <c r="E307" s="496" t="s">
        <v>110</v>
      </c>
      <c r="F307" s="29">
        <v>1</v>
      </c>
      <c r="G307" s="9">
        <v>1</v>
      </c>
      <c r="H307" s="9">
        <v>1</v>
      </c>
      <c r="I307" s="9">
        <v>2</v>
      </c>
      <c r="J307" s="43">
        <v>2</v>
      </c>
      <c r="K307" s="262">
        <f t="shared" si="4"/>
        <v>0.35859414261160716</v>
      </c>
      <c r="L307" s="163" t="s">
        <v>111</v>
      </c>
    </row>
    <row r="308" spans="1:12" hidden="1">
      <c r="A308" s="34" t="s">
        <v>109</v>
      </c>
      <c r="B308" s="339">
        <v>2017</v>
      </c>
      <c r="C308" s="59" t="s">
        <v>85</v>
      </c>
      <c r="D308" s="59">
        <v>786</v>
      </c>
      <c r="E308" s="496" t="s">
        <v>110</v>
      </c>
      <c r="F308" s="29">
        <v>1</v>
      </c>
      <c r="G308" s="9">
        <v>1</v>
      </c>
      <c r="H308" s="9">
        <v>1</v>
      </c>
      <c r="I308" s="9">
        <v>2</v>
      </c>
      <c r="J308" s="43">
        <v>2</v>
      </c>
      <c r="K308" s="262">
        <f t="shared" si="4"/>
        <v>0.35859414261160716</v>
      </c>
      <c r="L308" s="163" t="s">
        <v>111</v>
      </c>
    </row>
    <row r="309" spans="1:12" hidden="1">
      <c r="A309" s="34" t="s">
        <v>109</v>
      </c>
      <c r="B309" s="339">
        <v>2017</v>
      </c>
      <c r="C309" s="59" t="s">
        <v>86</v>
      </c>
      <c r="D309" s="59">
        <v>290</v>
      </c>
      <c r="E309" s="496" t="s">
        <v>110</v>
      </c>
      <c r="F309" s="29">
        <v>1</v>
      </c>
      <c r="G309" s="9">
        <v>1</v>
      </c>
      <c r="H309" s="9">
        <v>1</v>
      </c>
      <c r="I309" s="9">
        <v>2</v>
      </c>
      <c r="J309" s="43">
        <v>2</v>
      </c>
      <c r="K309" s="262">
        <f t="shared" si="4"/>
        <v>0.35859414261160716</v>
      </c>
      <c r="L309" s="163" t="s">
        <v>111</v>
      </c>
    </row>
    <row r="310" spans="1:12" hidden="1">
      <c r="A310" s="34" t="s">
        <v>109</v>
      </c>
      <c r="B310" s="339">
        <v>2017</v>
      </c>
      <c r="C310" s="59" t="s">
        <v>87</v>
      </c>
      <c r="D310" s="59">
        <v>852</v>
      </c>
      <c r="E310" s="496" t="s">
        <v>110</v>
      </c>
      <c r="F310" s="29">
        <v>1</v>
      </c>
      <c r="G310" s="9">
        <v>1</v>
      </c>
      <c r="H310" s="9">
        <v>1</v>
      </c>
      <c r="I310" s="9">
        <v>2</v>
      </c>
      <c r="J310" s="43">
        <v>2</v>
      </c>
      <c r="K310" s="262">
        <f t="shared" si="4"/>
        <v>0.35859414261160716</v>
      </c>
      <c r="L310" s="163" t="s">
        <v>111</v>
      </c>
    </row>
    <row r="311" spans="1:12">
      <c r="A311" s="34" t="s">
        <v>109</v>
      </c>
      <c r="B311" s="339">
        <v>2017</v>
      </c>
      <c r="C311" s="59" t="s">
        <v>88</v>
      </c>
      <c r="D311" s="59">
        <v>4</v>
      </c>
      <c r="E311" s="496" t="s">
        <v>110</v>
      </c>
      <c r="F311" s="29">
        <v>1</v>
      </c>
      <c r="G311" s="9">
        <v>1</v>
      </c>
      <c r="H311" s="9">
        <v>1</v>
      </c>
      <c r="I311" s="9">
        <v>2</v>
      </c>
      <c r="J311" s="43">
        <v>2</v>
      </c>
      <c r="K311" s="262">
        <f t="shared" si="4"/>
        <v>0.35859414261160716</v>
      </c>
      <c r="L311" s="163" t="s">
        <v>111</v>
      </c>
    </row>
    <row r="312" spans="1:12" hidden="1">
      <c r="A312" s="34" t="s">
        <v>109</v>
      </c>
      <c r="B312" s="339">
        <v>2017</v>
      </c>
      <c r="C312" s="59" t="s">
        <v>89</v>
      </c>
      <c r="D312" s="59">
        <v>199</v>
      </c>
      <c r="E312" s="496" t="s">
        <v>110</v>
      </c>
      <c r="F312" s="29">
        <v>1</v>
      </c>
      <c r="G312" s="9">
        <v>1</v>
      </c>
      <c r="H312" s="9">
        <v>1</v>
      </c>
      <c r="I312" s="9">
        <v>2</v>
      </c>
      <c r="J312" s="43">
        <v>2</v>
      </c>
      <c r="K312" s="262">
        <f t="shared" si="4"/>
        <v>0.35859414261160716</v>
      </c>
      <c r="L312" s="163" t="s">
        <v>111</v>
      </c>
    </row>
    <row r="313" spans="1:12" hidden="1">
      <c r="A313" s="34" t="s">
        <v>109</v>
      </c>
      <c r="B313" s="339">
        <v>2017</v>
      </c>
      <c r="C313" s="59" t="s">
        <v>90</v>
      </c>
      <c r="D313" s="59">
        <v>610</v>
      </c>
      <c r="E313" s="496" t="s">
        <v>110</v>
      </c>
      <c r="F313" s="29">
        <v>1</v>
      </c>
      <c r="G313" s="9">
        <v>1</v>
      </c>
      <c r="H313" s="9">
        <v>1</v>
      </c>
      <c r="I313" s="9">
        <v>2</v>
      </c>
      <c r="J313" s="43">
        <v>2</v>
      </c>
      <c r="K313" s="262">
        <f t="shared" si="4"/>
        <v>0.35859414261160716</v>
      </c>
      <c r="L313" s="163" t="s">
        <v>111</v>
      </c>
    </row>
    <row r="314" spans="1:12" hidden="1">
      <c r="A314" s="34" t="s">
        <v>109</v>
      </c>
      <c r="B314" s="339">
        <v>2017</v>
      </c>
      <c r="C314" s="59" t="s">
        <v>91</v>
      </c>
      <c r="D314" s="59">
        <v>331</v>
      </c>
      <c r="E314" s="496" t="s">
        <v>110</v>
      </c>
      <c r="F314" s="29">
        <v>1</v>
      </c>
      <c r="G314" s="9">
        <v>1</v>
      </c>
      <c r="H314" s="9">
        <v>1</v>
      </c>
      <c r="I314" s="9">
        <v>2</v>
      </c>
      <c r="J314" s="43">
        <v>2</v>
      </c>
      <c r="K314" s="262">
        <f t="shared" si="4"/>
        <v>0.35859414261160716</v>
      </c>
      <c r="L314" s="163" t="s">
        <v>111</v>
      </c>
    </row>
    <row r="315" spans="1:12" hidden="1">
      <c r="A315" s="34" t="s">
        <v>109</v>
      </c>
      <c r="B315" s="339">
        <v>2017</v>
      </c>
      <c r="C315" s="59" t="s">
        <v>94</v>
      </c>
      <c r="D315" s="59">
        <v>193</v>
      </c>
      <c r="E315" s="496" t="s">
        <v>110</v>
      </c>
      <c r="F315" s="29">
        <v>1</v>
      </c>
      <c r="G315" s="9">
        <v>1</v>
      </c>
      <c r="H315" s="9">
        <v>1</v>
      </c>
      <c r="I315" s="9">
        <v>2</v>
      </c>
      <c r="J315" s="43">
        <v>2</v>
      </c>
      <c r="K315" s="262">
        <f t="shared" si="4"/>
        <v>0.35859414261160716</v>
      </c>
      <c r="L315" s="163" t="s">
        <v>111</v>
      </c>
    </row>
    <row r="316" spans="1:12" hidden="1">
      <c r="A316" s="34" t="s">
        <v>109</v>
      </c>
      <c r="B316" s="339">
        <v>2017</v>
      </c>
      <c r="C316" s="59" t="s">
        <v>96</v>
      </c>
      <c r="D316" s="59">
        <v>337</v>
      </c>
      <c r="E316" s="496" t="s">
        <v>110</v>
      </c>
      <c r="F316" s="29">
        <v>1</v>
      </c>
      <c r="G316" s="9">
        <v>1</v>
      </c>
      <c r="H316" s="9">
        <v>1</v>
      </c>
      <c r="I316" s="9">
        <v>2</v>
      </c>
      <c r="J316" s="43">
        <v>2</v>
      </c>
      <c r="K316" s="262">
        <f t="shared" si="4"/>
        <v>0.35859414261160716</v>
      </c>
      <c r="L316" s="163" t="s">
        <v>111</v>
      </c>
    </row>
    <row r="317" spans="1:12">
      <c r="A317" s="34" t="s">
        <v>109</v>
      </c>
      <c r="B317" s="339">
        <v>2017</v>
      </c>
      <c r="C317" s="59" t="s">
        <v>97</v>
      </c>
      <c r="D317" s="59">
        <v>313</v>
      </c>
      <c r="E317" s="496" t="s">
        <v>110</v>
      </c>
      <c r="F317" s="29">
        <v>1</v>
      </c>
      <c r="G317" s="9">
        <v>1</v>
      </c>
      <c r="H317" s="9">
        <v>1</v>
      </c>
      <c r="I317" s="9">
        <v>2</v>
      </c>
      <c r="J317" s="43">
        <v>2</v>
      </c>
      <c r="K317" s="262">
        <f t="shared" ref="K317:K380" si="5">IF( OR( ISBLANK(F317),ISBLANK(G317), ISBLANK(H317), ISBLANK(I317), ISBLANK(J317) ), "", 1.5*SQRT(   EXP(2.21*(F317-1)) + EXP(2.21*(G317-1)) + EXP(2.21*(H317-1)) + EXP(2.21*(I317-1)) + EXP(2.21*J317)   )/100*2.45 )</f>
        <v>0.35859414261160716</v>
      </c>
      <c r="L317" s="163" t="s">
        <v>111</v>
      </c>
    </row>
    <row r="318" spans="1:12" hidden="1">
      <c r="A318" s="34" t="s">
        <v>109</v>
      </c>
      <c r="B318" s="339">
        <v>2017</v>
      </c>
      <c r="C318" s="59" t="s">
        <v>95</v>
      </c>
      <c r="D318" s="59">
        <v>280</v>
      </c>
      <c r="E318" s="496" t="s">
        <v>110</v>
      </c>
      <c r="F318" s="29">
        <v>1</v>
      </c>
      <c r="G318" s="9">
        <v>1</v>
      </c>
      <c r="H318" s="9">
        <v>1</v>
      </c>
      <c r="I318" s="9">
        <v>2</v>
      </c>
      <c r="J318" s="43">
        <v>2</v>
      </c>
      <c r="K318" s="262">
        <f t="shared" si="5"/>
        <v>0.35859414261160716</v>
      </c>
      <c r="L318" s="163" t="s">
        <v>111</v>
      </c>
    </row>
    <row r="319" spans="1:12" hidden="1">
      <c r="A319" s="34" t="s">
        <v>109</v>
      </c>
      <c r="B319" s="339">
        <v>2017</v>
      </c>
      <c r="C319" s="59" t="s">
        <v>93</v>
      </c>
      <c r="D319" s="59">
        <v>124</v>
      </c>
      <c r="E319" s="496" t="s">
        <v>110</v>
      </c>
      <c r="F319" s="29">
        <v>1</v>
      </c>
      <c r="G319" s="9">
        <v>1</v>
      </c>
      <c r="H319" s="9">
        <v>1</v>
      </c>
      <c r="I319" s="9">
        <v>2</v>
      </c>
      <c r="J319" s="43">
        <v>2</v>
      </c>
      <c r="K319" s="262">
        <f t="shared" si="5"/>
        <v>0.35859414261160716</v>
      </c>
      <c r="L319" s="163" t="s">
        <v>111</v>
      </c>
    </row>
    <row r="320" spans="1:12" hidden="1">
      <c r="A320" s="34" t="s">
        <v>109</v>
      </c>
      <c r="B320" s="339">
        <v>2017</v>
      </c>
      <c r="C320" s="59" t="s">
        <v>98</v>
      </c>
      <c r="D320" s="59">
        <v>2566</v>
      </c>
      <c r="E320" s="496" t="s">
        <v>110</v>
      </c>
      <c r="F320" s="29">
        <v>1</v>
      </c>
      <c r="G320" s="9">
        <v>1</v>
      </c>
      <c r="H320" s="9">
        <v>1</v>
      </c>
      <c r="I320" s="9">
        <v>2</v>
      </c>
      <c r="J320" s="43">
        <v>2</v>
      </c>
      <c r="K320" s="262">
        <f t="shared" si="5"/>
        <v>0.35859414261160716</v>
      </c>
      <c r="L320" s="163" t="s">
        <v>111</v>
      </c>
    </row>
    <row r="321" spans="1:12" hidden="1">
      <c r="A321" s="34" t="s">
        <v>109</v>
      </c>
      <c r="B321" s="339">
        <v>2018</v>
      </c>
      <c r="C321" s="59" t="s">
        <v>85</v>
      </c>
      <c r="D321" s="59">
        <v>1661</v>
      </c>
      <c r="E321" s="496" t="s">
        <v>110</v>
      </c>
      <c r="F321" s="29">
        <v>1</v>
      </c>
      <c r="G321" s="9">
        <v>1</v>
      </c>
      <c r="H321" s="9">
        <v>1</v>
      </c>
      <c r="I321" s="9">
        <v>2</v>
      </c>
      <c r="J321" s="43">
        <v>2</v>
      </c>
      <c r="K321" s="262">
        <f t="shared" si="5"/>
        <v>0.35859414261160716</v>
      </c>
      <c r="L321" s="163" t="s">
        <v>111</v>
      </c>
    </row>
    <row r="322" spans="1:12" hidden="1">
      <c r="A322" s="34" t="s">
        <v>109</v>
      </c>
      <c r="B322" s="339">
        <v>2018</v>
      </c>
      <c r="C322" s="59" t="s">
        <v>86</v>
      </c>
      <c r="D322" s="59">
        <v>290</v>
      </c>
      <c r="E322" s="496" t="s">
        <v>110</v>
      </c>
      <c r="F322" s="29">
        <v>1</v>
      </c>
      <c r="G322" s="9">
        <v>1</v>
      </c>
      <c r="H322" s="9">
        <v>1</v>
      </c>
      <c r="I322" s="9">
        <v>2</v>
      </c>
      <c r="J322" s="43">
        <v>2</v>
      </c>
      <c r="K322" s="262">
        <f t="shared" si="5"/>
        <v>0.35859414261160716</v>
      </c>
      <c r="L322" s="163" t="s">
        <v>111</v>
      </c>
    </row>
    <row r="323" spans="1:12" hidden="1">
      <c r="A323" s="34" t="s">
        <v>109</v>
      </c>
      <c r="B323" s="339">
        <v>2018</v>
      </c>
      <c r="C323" s="59" t="s">
        <v>87</v>
      </c>
      <c r="D323" s="59">
        <v>1105</v>
      </c>
      <c r="E323" s="496" t="s">
        <v>110</v>
      </c>
      <c r="F323" s="29">
        <v>1</v>
      </c>
      <c r="G323" s="9">
        <v>1</v>
      </c>
      <c r="H323" s="9">
        <v>1</v>
      </c>
      <c r="I323" s="9">
        <v>2</v>
      </c>
      <c r="J323" s="43">
        <v>2</v>
      </c>
      <c r="K323" s="262">
        <f t="shared" si="5"/>
        <v>0.35859414261160716</v>
      </c>
      <c r="L323" s="163" t="s">
        <v>111</v>
      </c>
    </row>
    <row r="324" spans="1:12">
      <c r="A324" s="34" t="s">
        <v>109</v>
      </c>
      <c r="B324" s="339">
        <v>2018</v>
      </c>
      <c r="C324" s="59" t="s">
        <v>88</v>
      </c>
      <c r="D324" s="59">
        <v>4</v>
      </c>
      <c r="E324" s="496" t="s">
        <v>110</v>
      </c>
      <c r="F324" s="29">
        <v>1</v>
      </c>
      <c r="G324" s="9">
        <v>1</v>
      </c>
      <c r="H324" s="9">
        <v>1</v>
      </c>
      <c r="I324" s="9">
        <v>2</v>
      </c>
      <c r="J324" s="43">
        <v>2</v>
      </c>
      <c r="K324" s="262">
        <f t="shared" si="5"/>
        <v>0.35859414261160716</v>
      </c>
      <c r="L324" s="163" t="s">
        <v>111</v>
      </c>
    </row>
    <row r="325" spans="1:12" hidden="1">
      <c r="A325" s="34" t="s">
        <v>109</v>
      </c>
      <c r="B325" s="339">
        <v>2018</v>
      </c>
      <c r="C325" s="59" t="s">
        <v>89</v>
      </c>
      <c r="D325" s="59">
        <v>185</v>
      </c>
      <c r="E325" s="496" t="s">
        <v>110</v>
      </c>
      <c r="F325" s="29">
        <v>1</v>
      </c>
      <c r="G325" s="9">
        <v>1</v>
      </c>
      <c r="H325" s="9">
        <v>1</v>
      </c>
      <c r="I325" s="9">
        <v>2</v>
      </c>
      <c r="J325" s="43">
        <v>2</v>
      </c>
      <c r="K325" s="262">
        <f t="shared" si="5"/>
        <v>0.35859414261160716</v>
      </c>
      <c r="L325" s="163" t="s">
        <v>111</v>
      </c>
    </row>
    <row r="326" spans="1:12" hidden="1">
      <c r="A326" s="34" t="s">
        <v>109</v>
      </c>
      <c r="B326" s="339">
        <v>2018</v>
      </c>
      <c r="C326" s="59" t="s">
        <v>90</v>
      </c>
      <c r="D326" s="59">
        <v>610</v>
      </c>
      <c r="E326" s="496" t="s">
        <v>110</v>
      </c>
      <c r="F326" s="29">
        <v>1</v>
      </c>
      <c r="G326" s="9">
        <v>1</v>
      </c>
      <c r="H326" s="9">
        <v>1</v>
      </c>
      <c r="I326" s="9">
        <v>2</v>
      </c>
      <c r="J326" s="43">
        <v>2</v>
      </c>
      <c r="K326" s="262">
        <f t="shared" si="5"/>
        <v>0.35859414261160716</v>
      </c>
      <c r="L326" s="163" t="s">
        <v>111</v>
      </c>
    </row>
    <row r="327" spans="1:12" hidden="1">
      <c r="A327" s="34" t="s">
        <v>109</v>
      </c>
      <c r="B327" s="339">
        <v>2018</v>
      </c>
      <c r="C327" s="59" t="s">
        <v>91</v>
      </c>
      <c r="D327" s="59">
        <v>516</v>
      </c>
      <c r="E327" s="496" t="s">
        <v>110</v>
      </c>
      <c r="F327" s="29">
        <v>1</v>
      </c>
      <c r="G327" s="9">
        <v>1</v>
      </c>
      <c r="H327" s="9">
        <v>1</v>
      </c>
      <c r="I327" s="9">
        <v>2</v>
      </c>
      <c r="J327" s="43">
        <v>2</v>
      </c>
      <c r="K327" s="262">
        <f t="shared" si="5"/>
        <v>0.35859414261160716</v>
      </c>
      <c r="L327" s="163" t="s">
        <v>111</v>
      </c>
    </row>
    <row r="328" spans="1:12" hidden="1">
      <c r="A328" s="34" t="s">
        <v>109</v>
      </c>
      <c r="B328" s="339">
        <v>2018</v>
      </c>
      <c r="C328" s="59" t="s">
        <v>94</v>
      </c>
      <c r="D328" s="59">
        <v>192</v>
      </c>
      <c r="E328" s="496" t="s">
        <v>110</v>
      </c>
      <c r="F328" s="29">
        <v>1</v>
      </c>
      <c r="G328" s="9">
        <v>1</v>
      </c>
      <c r="H328" s="9">
        <v>1</v>
      </c>
      <c r="I328" s="9">
        <v>2</v>
      </c>
      <c r="J328" s="43">
        <v>2</v>
      </c>
      <c r="K328" s="262">
        <f t="shared" si="5"/>
        <v>0.35859414261160716</v>
      </c>
      <c r="L328" s="163" t="s">
        <v>111</v>
      </c>
    </row>
    <row r="329" spans="1:12" hidden="1">
      <c r="A329" s="34" t="s">
        <v>109</v>
      </c>
      <c r="B329" s="339">
        <v>2018</v>
      </c>
      <c r="C329" s="59" t="s">
        <v>96</v>
      </c>
      <c r="D329" s="59">
        <v>337</v>
      </c>
      <c r="E329" s="496" t="s">
        <v>110</v>
      </c>
      <c r="F329" s="29">
        <v>1</v>
      </c>
      <c r="G329" s="9">
        <v>1</v>
      </c>
      <c r="H329" s="9">
        <v>1</v>
      </c>
      <c r="I329" s="9">
        <v>2</v>
      </c>
      <c r="J329" s="43">
        <v>2</v>
      </c>
      <c r="K329" s="262">
        <f t="shared" si="5"/>
        <v>0.35859414261160716</v>
      </c>
      <c r="L329" s="163" t="s">
        <v>111</v>
      </c>
    </row>
    <row r="330" spans="1:12">
      <c r="A330" s="34" t="s">
        <v>109</v>
      </c>
      <c r="B330" s="339">
        <v>2018</v>
      </c>
      <c r="C330" s="59" t="s">
        <v>97</v>
      </c>
      <c r="D330" s="59">
        <v>355</v>
      </c>
      <c r="E330" s="496" t="s">
        <v>110</v>
      </c>
      <c r="F330" s="29">
        <v>1</v>
      </c>
      <c r="G330" s="9">
        <v>1</v>
      </c>
      <c r="H330" s="9">
        <v>1</v>
      </c>
      <c r="I330" s="9">
        <v>2</v>
      </c>
      <c r="J330" s="43">
        <v>2</v>
      </c>
      <c r="K330" s="262">
        <f t="shared" si="5"/>
        <v>0.35859414261160716</v>
      </c>
      <c r="L330" s="163" t="s">
        <v>111</v>
      </c>
    </row>
    <row r="331" spans="1:12" hidden="1">
      <c r="A331" s="34" t="s">
        <v>109</v>
      </c>
      <c r="B331" s="339">
        <v>2018</v>
      </c>
      <c r="C331" s="59" t="s">
        <v>95</v>
      </c>
      <c r="D331" s="59">
        <v>257</v>
      </c>
      <c r="E331" s="496" t="s">
        <v>110</v>
      </c>
      <c r="F331" s="29">
        <v>1</v>
      </c>
      <c r="G331" s="9">
        <v>1</v>
      </c>
      <c r="H331" s="9">
        <v>1</v>
      </c>
      <c r="I331" s="9">
        <v>2</v>
      </c>
      <c r="J331" s="43">
        <v>2</v>
      </c>
      <c r="K331" s="262">
        <f t="shared" si="5"/>
        <v>0.35859414261160716</v>
      </c>
      <c r="L331" s="163" t="s">
        <v>111</v>
      </c>
    </row>
    <row r="332" spans="1:12" hidden="1">
      <c r="A332" s="34" t="s">
        <v>109</v>
      </c>
      <c r="B332" s="339">
        <v>2018</v>
      </c>
      <c r="C332" s="59" t="s">
        <v>93</v>
      </c>
      <c r="D332" s="59">
        <v>104</v>
      </c>
      <c r="E332" s="496" t="s">
        <v>110</v>
      </c>
      <c r="F332" s="29">
        <v>1</v>
      </c>
      <c r="G332" s="9">
        <v>1</v>
      </c>
      <c r="H332" s="9">
        <v>1</v>
      </c>
      <c r="I332" s="9">
        <v>2</v>
      </c>
      <c r="J332" s="43">
        <v>2</v>
      </c>
      <c r="K332" s="262">
        <f t="shared" si="5"/>
        <v>0.35859414261160716</v>
      </c>
      <c r="L332" s="163" t="s">
        <v>111</v>
      </c>
    </row>
    <row r="333" spans="1:12" hidden="1">
      <c r="A333" s="34" t="s">
        <v>109</v>
      </c>
      <c r="B333" s="339">
        <v>2018</v>
      </c>
      <c r="C333" s="59" t="s">
        <v>98</v>
      </c>
      <c r="D333" s="59">
        <v>2403</v>
      </c>
      <c r="E333" s="496" t="s">
        <v>110</v>
      </c>
      <c r="F333" s="29">
        <v>1</v>
      </c>
      <c r="G333" s="9">
        <v>1</v>
      </c>
      <c r="H333" s="9">
        <v>1</v>
      </c>
      <c r="I333" s="9">
        <v>2</v>
      </c>
      <c r="J333" s="43">
        <v>2</v>
      </c>
      <c r="K333" s="262">
        <f t="shared" si="5"/>
        <v>0.35859414261160716</v>
      </c>
      <c r="L333" s="163" t="s">
        <v>111</v>
      </c>
    </row>
    <row r="334" spans="1:12" hidden="1">
      <c r="A334" s="34" t="s">
        <v>109</v>
      </c>
      <c r="B334" s="339">
        <v>2019</v>
      </c>
      <c r="C334" s="59" t="s">
        <v>85</v>
      </c>
      <c r="D334" s="59">
        <v>1278</v>
      </c>
      <c r="E334" s="496" t="s">
        <v>110</v>
      </c>
      <c r="F334" s="29">
        <v>1</v>
      </c>
      <c r="G334" s="9">
        <v>1</v>
      </c>
      <c r="H334" s="9">
        <v>1</v>
      </c>
      <c r="I334" s="9">
        <v>2</v>
      </c>
      <c r="J334" s="43">
        <v>2</v>
      </c>
      <c r="K334" s="262">
        <f t="shared" si="5"/>
        <v>0.35859414261160716</v>
      </c>
      <c r="L334" s="163" t="s">
        <v>111</v>
      </c>
    </row>
    <row r="335" spans="1:12" hidden="1">
      <c r="A335" s="34" t="s">
        <v>109</v>
      </c>
      <c r="B335" s="339">
        <v>2019</v>
      </c>
      <c r="C335" s="59" t="s">
        <v>86</v>
      </c>
      <c r="D335" s="59">
        <v>266</v>
      </c>
      <c r="E335" s="496" t="s">
        <v>110</v>
      </c>
      <c r="F335" s="29">
        <v>1</v>
      </c>
      <c r="G335" s="9">
        <v>1</v>
      </c>
      <c r="H335" s="9">
        <v>1</v>
      </c>
      <c r="I335" s="9">
        <v>2</v>
      </c>
      <c r="J335" s="43">
        <v>2</v>
      </c>
      <c r="K335" s="262">
        <f t="shared" si="5"/>
        <v>0.35859414261160716</v>
      </c>
      <c r="L335" s="163" t="s">
        <v>111</v>
      </c>
    </row>
    <row r="336" spans="1:12" hidden="1">
      <c r="A336" s="34" t="s">
        <v>109</v>
      </c>
      <c r="B336" s="339">
        <v>2019</v>
      </c>
      <c r="C336" s="59" t="s">
        <v>87</v>
      </c>
      <c r="D336" s="59">
        <v>936</v>
      </c>
      <c r="E336" s="496" t="s">
        <v>110</v>
      </c>
      <c r="F336" s="29">
        <v>1</v>
      </c>
      <c r="G336" s="9">
        <v>1</v>
      </c>
      <c r="H336" s="9">
        <v>1</v>
      </c>
      <c r="I336" s="9">
        <v>2</v>
      </c>
      <c r="J336" s="43">
        <v>2</v>
      </c>
      <c r="K336" s="262">
        <f t="shared" si="5"/>
        <v>0.35859414261160716</v>
      </c>
      <c r="L336" s="163" t="s">
        <v>111</v>
      </c>
    </row>
    <row r="337" spans="1:12">
      <c r="A337" s="34" t="s">
        <v>109</v>
      </c>
      <c r="B337" s="339">
        <v>2019</v>
      </c>
      <c r="C337" s="59" t="s">
        <v>88</v>
      </c>
      <c r="D337" s="59">
        <v>4</v>
      </c>
      <c r="E337" s="496" t="s">
        <v>110</v>
      </c>
      <c r="F337" s="29">
        <v>1</v>
      </c>
      <c r="G337" s="9">
        <v>1</v>
      </c>
      <c r="H337" s="9">
        <v>1</v>
      </c>
      <c r="I337" s="9">
        <v>2</v>
      </c>
      <c r="J337" s="43">
        <v>2</v>
      </c>
      <c r="K337" s="262">
        <f t="shared" si="5"/>
        <v>0.35859414261160716</v>
      </c>
      <c r="L337" s="163" t="s">
        <v>111</v>
      </c>
    </row>
    <row r="338" spans="1:12" hidden="1">
      <c r="A338" s="34" t="s">
        <v>109</v>
      </c>
      <c r="B338" s="339">
        <v>2019</v>
      </c>
      <c r="C338" s="59" t="s">
        <v>89</v>
      </c>
      <c r="D338" s="59">
        <v>306</v>
      </c>
      <c r="E338" s="496" t="s">
        <v>110</v>
      </c>
      <c r="F338" s="29">
        <v>1</v>
      </c>
      <c r="G338" s="9">
        <v>1</v>
      </c>
      <c r="H338" s="9">
        <v>1</v>
      </c>
      <c r="I338" s="9">
        <v>2</v>
      </c>
      <c r="J338" s="43">
        <v>2</v>
      </c>
      <c r="K338" s="262">
        <f t="shared" si="5"/>
        <v>0.35859414261160716</v>
      </c>
      <c r="L338" s="163" t="s">
        <v>111</v>
      </c>
    </row>
    <row r="339" spans="1:12" hidden="1">
      <c r="A339" s="34" t="s">
        <v>109</v>
      </c>
      <c r="B339" s="339">
        <v>2019</v>
      </c>
      <c r="C339" s="59" t="s">
        <v>90</v>
      </c>
      <c r="D339" s="59">
        <v>610</v>
      </c>
      <c r="E339" s="496" t="s">
        <v>110</v>
      </c>
      <c r="F339" s="29">
        <v>1</v>
      </c>
      <c r="G339" s="9">
        <v>1</v>
      </c>
      <c r="H339" s="9">
        <v>1</v>
      </c>
      <c r="I339" s="9">
        <v>2</v>
      </c>
      <c r="J339" s="43">
        <v>2</v>
      </c>
      <c r="K339" s="262">
        <f t="shared" si="5"/>
        <v>0.35859414261160716</v>
      </c>
      <c r="L339" s="163" t="s">
        <v>111</v>
      </c>
    </row>
    <row r="340" spans="1:12" hidden="1">
      <c r="A340" s="34" t="s">
        <v>109</v>
      </c>
      <c r="B340" s="339">
        <v>2019</v>
      </c>
      <c r="C340" s="59" t="s">
        <v>91</v>
      </c>
      <c r="D340" s="59">
        <v>443</v>
      </c>
      <c r="E340" s="496" t="s">
        <v>110</v>
      </c>
      <c r="F340" s="29">
        <v>1</v>
      </c>
      <c r="G340" s="9">
        <v>1</v>
      </c>
      <c r="H340" s="9">
        <v>1</v>
      </c>
      <c r="I340" s="9">
        <v>2</v>
      </c>
      <c r="J340" s="43">
        <v>2</v>
      </c>
      <c r="K340" s="262">
        <f t="shared" si="5"/>
        <v>0.35859414261160716</v>
      </c>
      <c r="L340" s="163" t="s">
        <v>111</v>
      </c>
    </row>
    <row r="341" spans="1:12" hidden="1">
      <c r="A341" s="34" t="s">
        <v>109</v>
      </c>
      <c r="B341" s="339">
        <v>2019</v>
      </c>
      <c r="C341" s="59" t="s">
        <v>94</v>
      </c>
      <c r="D341" s="59">
        <v>202</v>
      </c>
      <c r="E341" s="496" t="s">
        <v>110</v>
      </c>
      <c r="F341" s="29">
        <v>1</v>
      </c>
      <c r="G341" s="9">
        <v>1</v>
      </c>
      <c r="H341" s="9">
        <v>1</v>
      </c>
      <c r="I341" s="9">
        <v>2</v>
      </c>
      <c r="J341" s="43">
        <v>2</v>
      </c>
      <c r="K341" s="262">
        <f t="shared" si="5"/>
        <v>0.35859414261160716</v>
      </c>
      <c r="L341" s="163" t="s">
        <v>111</v>
      </c>
    </row>
    <row r="342" spans="1:12" hidden="1">
      <c r="A342" s="34" t="s">
        <v>109</v>
      </c>
      <c r="B342" s="339">
        <v>2019</v>
      </c>
      <c r="C342" s="59" t="s">
        <v>96</v>
      </c>
      <c r="D342" s="59">
        <v>448</v>
      </c>
      <c r="E342" s="496" t="s">
        <v>110</v>
      </c>
      <c r="F342" s="29">
        <v>1</v>
      </c>
      <c r="G342" s="9">
        <v>1</v>
      </c>
      <c r="H342" s="9">
        <v>1</v>
      </c>
      <c r="I342" s="9">
        <v>2</v>
      </c>
      <c r="J342" s="43">
        <v>2</v>
      </c>
      <c r="K342" s="262">
        <f t="shared" si="5"/>
        <v>0.35859414261160716</v>
      </c>
      <c r="L342" s="163" t="s">
        <v>111</v>
      </c>
    </row>
    <row r="343" spans="1:12">
      <c r="A343" s="34" t="s">
        <v>109</v>
      </c>
      <c r="B343" s="339">
        <v>2019</v>
      </c>
      <c r="C343" s="59" t="s">
        <v>97</v>
      </c>
      <c r="D343" s="59">
        <v>360</v>
      </c>
      <c r="E343" s="496" t="s">
        <v>110</v>
      </c>
      <c r="F343" s="29">
        <v>1</v>
      </c>
      <c r="G343" s="9">
        <v>1</v>
      </c>
      <c r="H343" s="9">
        <v>1</v>
      </c>
      <c r="I343" s="9">
        <v>2</v>
      </c>
      <c r="J343" s="43">
        <v>2</v>
      </c>
      <c r="K343" s="262">
        <f t="shared" si="5"/>
        <v>0.35859414261160716</v>
      </c>
      <c r="L343" s="163" t="s">
        <v>111</v>
      </c>
    </row>
    <row r="344" spans="1:12" hidden="1">
      <c r="A344" s="34" t="s">
        <v>109</v>
      </c>
      <c r="B344" s="339">
        <v>2019</v>
      </c>
      <c r="C344" s="59" t="s">
        <v>95</v>
      </c>
      <c r="D344" s="59">
        <v>165</v>
      </c>
      <c r="E344" s="496" t="s">
        <v>110</v>
      </c>
      <c r="F344" s="29">
        <v>1</v>
      </c>
      <c r="G344" s="9">
        <v>1</v>
      </c>
      <c r="H344" s="9">
        <v>1</v>
      </c>
      <c r="I344" s="9">
        <v>2</v>
      </c>
      <c r="J344" s="43">
        <v>2</v>
      </c>
      <c r="K344" s="262">
        <f t="shared" si="5"/>
        <v>0.35859414261160716</v>
      </c>
      <c r="L344" s="163" t="s">
        <v>111</v>
      </c>
    </row>
    <row r="345" spans="1:12" hidden="1">
      <c r="A345" s="34" t="s">
        <v>109</v>
      </c>
      <c r="B345" s="339">
        <v>2019</v>
      </c>
      <c r="C345" s="59" t="s">
        <v>93</v>
      </c>
      <c r="D345" s="59">
        <v>98</v>
      </c>
      <c r="E345" s="496" t="s">
        <v>110</v>
      </c>
      <c r="F345" s="29">
        <v>1</v>
      </c>
      <c r="G345" s="9">
        <v>1</v>
      </c>
      <c r="H345" s="9">
        <v>1</v>
      </c>
      <c r="I345" s="9">
        <v>2</v>
      </c>
      <c r="J345" s="43">
        <v>2</v>
      </c>
      <c r="K345" s="262">
        <f t="shared" si="5"/>
        <v>0.35859414261160716</v>
      </c>
      <c r="L345" s="163" t="s">
        <v>111</v>
      </c>
    </row>
    <row r="346" spans="1:12" hidden="1">
      <c r="A346" s="34" t="s">
        <v>109</v>
      </c>
      <c r="B346" s="339">
        <v>2019</v>
      </c>
      <c r="C346" s="59" t="s">
        <v>98</v>
      </c>
      <c r="D346" s="59">
        <v>2309</v>
      </c>
      <c r="E346" s="496" t="s">
        <v>110</v>
      </c>
      <c r="F346" s="29">
        <v>1</v>
      </c>
      <c r="G346" s="9">
        <v>1</v>
      </c>
      <c r="H346" s="9">
        <v>1</v>
      </c>
      <c r="I346" s="9">
        <v>2</v>
      </c>
      <c r="J346" s="43">
        <v>2</v>
      </c>
      <c r="K346" s="262">
        <f t="shared" si="5"/>
        <v>0.35859414261160716</v>
      </c>
      <c r="L346" s="163" t="s">
        <v>111</v>
      </c>
    </row>
    <row r="347" spans="1:12" hidden="1">
      <c r="A347" s="34" t="s">
        <v>109</v>
      </c>
      <c r="B347" s="339">
        <v>2020</v>
      </c>
      <c r="C347" s="59" t="s">
        <v>85</v>
      </c>
      <c r="D347" s="59">
        <v>1665</v>
      </c>
      <c r="E347" s="496" t="s">
        <v>110</v>
      </c>
      <c r="F347" s="29">
        <v>1</v>
      </c>
      <c r="G347" s="9">
        <v>1</v>
      </c>
      <c r="H347" s="9">
        <v>1</v>
      </c>
      <c r="I347" s="9">
        <v>2</v>
      </c>
      <c r="J347" s="43">
        <v>2</v>
      </c>
      <c r="K347" s="262">
        <f t="shared" si="5"/>
        <v>0.35859414261160716</v>
      </c>
      <c r="L347" s="163" t="s">
        <v>111</v>
      </c>
    </row>
    <row r="348" spans="1:12" hidden="1">
      <c r="A348" s="34" t="s">
        <v>109</v>
      </c>
      <c r="B348" s="339">
        <v>2020</v>
      </c>
      <c r="C348" s="59" t="s">
        <v>86</v>
      </c>
      <c r="D348" s="59">
        <v>315</v>
      </c>
      <c r="E348" s="496" t="s">
        <v>110</v>
      </c>
      <c r="F348" s="29">
        <v>1</v>
      </c>
      <c r="G348" s="9">
        <v>1</v>
      </c>
      <c r="H348" s="9">
        <v>1</v>
      </c>
      <c r="I348" s="9">
        <v>2</v>
      </c>
      <c r="J348" s="43">
        <v>2</v>
      </c>
      <c r="K348" s="262">
        <f t="shared" si="5"/>
        <v>0.35859414261160716</v>
      </c>
      <c r="L348" s="163" t="s">
        <v>111</v>
      </c>
    </row>
    <row r="349" spans="1:12" hidden="1">
      <c r="A349" s="34" t="s">
        <v>109</v>
      </c>
      <c r="B349" s="339">
        <v>2020</v>
      </c>
      <c r="C349" s="59" t="s">
        <v>87</v>
      </c>
      <c r="D349" s="59">
        <v>701</v>
      </c>
      <c r="E349" s="496" t="s">
        <v>110</v>
      </c>
      <c r="F349" s="29">
        <v>1</v>
      </c>
      <c r="G349" s="9">
        <v>1</v>
      </c>
      <c r="H349" s="9">
        <v>1</v>
      </c>
      <c r="I349" s="9">
        <v>2</v>
      </c>
      <c r="J349" s="43">
        <v>2</v>
      </c>
      <c r="K349" s="262">
        <f t="shared" si="5"/>
        <v>0.35859414261160716</v>
      </c>
      <c r="L349" s="163" t="s">
        <v>111</v>
      </c>
    </row>
    <row r="350" spans="1:12">
      <c r="A350" s="34" t="s">
        <v>109</v>
      </c>
      <c r="B350" s="339">
        <v>2020</v>
      </c>
      <c r="C350" s="59" t="s">
        <v>88</v>
      </c>
      <c r="D350" s="59">
        <v>4</v>
      </c>
      <c r="E350" s="496" t="s">
        <v>110</v>
      </c>
      <c r="F350" s="29">
        <v>1</v>
      </c>
      <c r="G350" s="9">
        <v>1</v>
      </c>
      <c r="H350" s="9">
        <v>1</v>
      </c>
      <c r="I350" s="9">
        <v>2</v>
      </c>
      <c r="J350" s="43">
        <v>2</v>
      </c>
      <c r="K350" s="262">
        <f t="shared" si="5"/>
        <v>0.35859414261160716</v>
      </c>
      <c r="L350" s="163" t="s">
        <v>111</v>
      </c>
    </row>
    <row r="351" spans="1:12" hidden="1">
      <c r="A351" s="34" t="s">
        <v>109</v>
      </c>
      <c r="B351" s="339">
        <v>2020</v>
      </c>
      <c r="C351" s="59" t="s">
        <v>89</v>
      </c>
      <c r="D351" s="59">
        <v>317</v>
      </c>
      <c r="E351" s="496" t="s">
        <v>110</v>
      </c>
      <c r="F351" s="29">
        <v>1</v>
      </c>
      <c r="G351" s="9">
        <v>1</v>
      </c>
      <c r="H351" s="9">
        <v>1</v>
      </c>
      <c r="I351" s="9">
        <v>2</v>
      </c>
      <c r="J351" s="43">
        <v>2</v>
      </c>
      <c r="K351" s="262">
        <f t="shared" si="5"/>
        <v>0.35859414261160716</v>
      </c>
      <c r="L351" s="163" t="s">
        <v>111</v>
      </c>
    </row>
    <row r="352" spans="1:12" hidden="1">
      <c r="A352" s="34" t="s">
        <v>109</v>
      </c>
      <c r="B352" s="339">
        <v>2020</v>
      </c>
      <c r="C352" s="59" t="s">
        <v>90</v>
      </c>
      <c r="D352" s="59">
        <v>610</v>
      </c>
      <c r="E352" s="496" t="s">
        <v>110</v>
      </c>
      <c r="F352" s="29">
        <v>1</v>
      </c>
      <c r="G352" s="9">
        <v>1</v>
      </c>
      <c r="H352" s="9">
        <v>1</v>
      </c>
      <c r="I352" s="9">
        <v>2</v>
      </c>
      <c r="J352" s="43">
        <v>2</v>
      </c>
      <c r="K352" s="262">
        <f t="shared" si="5"/>
        <v>0.35859414261160716</v>
      </c>
      <c r="L352" s="163" t="s">
        <v>111</v>
      </c>
    </row>
    <row r="353" spans="1:12" hidden="1">
      <c r="A353" s="34" t="s">
        <v>109</v>
      </c>
      <c r="B353" s="339">
        <v>2020</v>
      </c>
      <c r="C353" s="59" t="s">
        <v>91</v>
      </c>
      <c r="D353" s="59">
        <v>474</v>
      </c>
      <c r="E353" s="496" t="s">
        <v>110</v>
      </c>
      <c r="F353" s="29">
        <v>1</v>
      </c>
      <c r="G353" s="9">
        <v>1</v>
      </c>
      <c r="H353" s="9">
        <v>1</v>
      </c>
      <c r="I353" s="9">
        <v>2</v>
      </c>
      <c r="J353" s="43">
        <v>2</v>
      </c>
      <c r="K353" s="262">
        <f t="shared" si="5"/>
        <v>0.35859414261160716</v>
      </c>
      <c r="L353" s="163" t="s">
        <v>111</v>
      </c>
    </row>
    <row r="354" spans="1:12" hidden="1">
      <c r="A354" s="34" t="s">
        <v>109</v>
      </c>
      <c r="B354" s="339">
        <v>2020</v>
      </c>
      <c r="C354" s="59" t="s">
        <v>94</v>
      </c>
      <c r="D354" s="59">
        <v>184</v>
      </c>
      <c r="E354" s="496" t="s">
        <v>110</v>
      </c>
      <c r="F354" s="29">
        <v>1</v>
      </c>
      <c r="G354" s="9">
        <v>1</v>
      </c>
      <c r="H354" s="9">
        <v>1</v>
      </c>
      <c r="I354" s="9">
        <v>2</v>
      </c>
      <c r="J354" s="43">
        <v>2</v>
      </c>
      <c r="K354" s="262">
        <f t="shared" si="5"/>
        <v>0.35859414261160716</v>
      </c>
      <c r="L354" s="163" t="s">
        <v>111</v>
      </c>
    </row>
    <row r="355" spans="1:12" hidden="1">
      <c r="A355" s="34" t="s">
        <v>109</v>
      </c>
      <c r="B355" s="339">
        <v>2020</v>
      </c>
      <c r="C355" s="59" t="s">
        <v>96</v>
      </c>
      <c r="D355" s="59">
        <v>337</v>
      </c>
      <c r="E355" s="496" t="s">
        <v>110</v>
      </c>
      <c r="F355" s="29">
        <v>1</v>
      </c>
      <c r="G355" s="9">
        <v>1</v>
      </c>
      <c r="H355" s="9">
        <v>1</v>
      </c>
      <c r="I355" s="9">
        <v>2</v>
      </c>
      <c r="J355" s="43">
        <v>2</v>
      </c>
      <c r="K355" s="262">
        <f t="shared" si="5"/>
        <v>0.35859414261160716</v>
      </c>
      <c r="L355" s="163" t="s">
        <v>111</v>
      </c>
    </row>
    <row r="356" spans="1:12">
      <c r="A356" s="34" t="s">
        <v>109</v>
      </c>
      <c r="B356" s="339">
        <v>2020</v>
      </c>
      <c r="C356" s="59" t="s">
        <v>97</v>
      </c>
      <c r="D356" s="59">
        <v>344</v>
      </c>
      <c r="E356" s="496" t="s">
        <v>110</v>
      </c>
      <c r="F356" s="29">
        <v>1</v>
      </c>
      <c r="G356" s="9">
        <v>1</v>
      </c>
      <c r="H356" s="9">
        <v>1</v>
      </c>
      <c r="I356" s="9">
        <v>2</v>
      </c>
      <c r="J356" s="43">
        <v>2</v>
      </c>
      <c r="K356" s="262">
        <f t="shared" si="5"/>
        <v>0.35859414261160716</v>
      </c>
      <c r="L356" s="163" t="s">
        <v>111</v>
      </c>
    </row>
    <row r="357" spans="1:12" hidden="1">
      <c r="A357" s="34" t="s">
        <v>109</v>
      </c>
      <c r="B357" s="339">
        <v>2020</v>
      </c>
      <c r="C357" s="59" t="s">
        <v>95</v>
      </c>
      <c r="D357" s="59">
        <v>200</v>
      </c>
      <c r="E357" s="496" t="s">
        <v>110</v>
      </c>
      <c r="F357" s="29">
        <v>1</v>
      </c>
      <c r="G357" s="9">
        <v>1</v>
      </c>
      <c r="H357" s="9">
        <v>1</v>
      </c>
      <c r="I357" s="9">
        <v>2</v>
      </c>
      <c r="J357" s="43">
        <v>2</v>
      </c>
      <c r="K357" s="262">
        <f t="shared" si="5"/>
        <v>0.35859414261160716</v>
      </c>
      <c r="L357" s="163" t="s">
        <v>111</v>
      </c>
    </row>
    <row r="358" spans="1:12" hidden="1">
      <c r="A358" s="34" t="s">
        <v>109</v>
      </c>
      <c r="B358" s="339">
        <v>2020</v>
      </c>
      <c r="C358" s="59" t="s">
        <v>93</v>
      </c>
      <c r="D358" s="59">
        <v>80</v>
      </c>
      <c r="E358" s="496" t="s">
        <v>110</v>
      </c>
      <c r="F358" s="29">
        <v>1</v>
      </c>
      <c r="G358" s="9">
        <v>1</v>
      </c>
      <c r="H358" s="9">
        <v>1</v>
      </c>
      <c r="I358" s="9">
        <v>2</v>
      </c>
      <c r="J358" s="43">
        <v>2</v>
      </c>
      <c r="K358" s="262">
        <f t="shared" si="5"/>
        <v>0.35859414261160716</v>
      </c>
      <c r="L358" s="163" t="s">
        <v>111</v>
      </c>
    </row>
    <row r="359" spans="1:12" hidden="1">
      <c r="A359" s="34" t="s">
        <v>109</v>
      </c>
      <c r="B359" s="339">
        <v>2020</v>
      </c>
      <c r="C359" s="59" t="s">
        <v>98</v>
      </c>
      <c r="D359" s="59">
        <v>2520</v>
      </c>
      <c r="E359" s="496" t="s">
        <v>110</v>
      </c>
      <c r="F359" s="29">
        <v>1</v>
      </c>
      <c r="G359" s="9">
        <v>1</v>
      </c>
      <c r="H359" s="9">
        <v>1</v>
      </c>
      <c r="I359" s="9">
        <v>2</v>
      </c>
      <c r="J359" s="43">
        <v>2</v>
      </c>
      <c r="K359" s="262">
        <f t="shared" si="5"/>
        <v>0.35859414261160716</v>
      </c>
      <c r="L359" s="163" t="s">
        <v>111</v>
      </c>
    </row>
    <row r="360" spans="1:12" hidden="1">
      <c r="A360" s="34" t="s">
        <v>109</v>
      </c>
      <c r="B360" s="339">
        <v>2021</v>
      </c>
      <c r="C360" s="59" t="s">
        <v>85</v>
      </c>
      <c r="D360" s="59">
        <v>1559</v>
      </c>
      <c r="E360" s="496" t="s">
        <v>110</v>
      </c>
      <c r="F360" s="29">
        <v>1</v>
      </c>
      <c r="G360" s="9">
        <v>1</v>
      </c>
      <c r="H360" s="9">
        <v>1</v>
      </c>
      <c r="I360" s="9">
        <v>2</v>
      </c>
      <c r="J360" s="43">
        <v>2</v>
      </c>
      <c r="K360" s="262">
        <f t="shared" si="5"/>
        <v>0.35859414261160716</v>
      </c>
      <c r="L360" s="163" t="s">
        <v>111</v>
      </c>
    </row>
    <row r="361" spans="1:12" hidden="1">
      <c r="A361" s="34" t="s">
        <v>109</v>
      </c>
      <c r="B361" s="339">
        <v>2021</v>
      </c>
      <c r="C361" s="59" t="s">
        <v>86</v>
      </c>
      <c r="D361" s="59">
        <v>290</v>
      </c>
      <c r="E361" s="496" t="s">
        <v>110</v>
      </c>
      <c r="F361" s="29">
        <v>1</v>
      </c>
      <c r="G361" s="9">
        <v>1</v>
      </c>
      <c r="H361" s="9">
        <v>1</v>
      </c>
      <c r="I361" s="9">
        <v>2</v>
      </c>
      <c r="J361" s="43">
        <v>2</v>
      </c>
      <c r="K361" s="262">
        <f t="shared" si="5"/>
        <v>0.35859414261160716</v>
      </c>
      <c r="L361" s="163" t="s">
        <v>111</v>
      </c>
    </row>
    <row r="362" spans="1:12" hidden="1">
      <c r="A362" s="34" t="s">
        <v>109</v>
      </c>
      <c r="B362" s="339">
        <v>2021</v>
      </c>
      <c r="C362" s="59" t="s">
        <v>87</v>
      </c>
      <c r="D362" s="59">
        <v>852</v>
      </c>
      <c r="E362" s="496" t="s">
        <v>110</v>
      </c>
      <c r="F362" s="29">
        <v>1</v>
      </c>
      <c r="G362" s="9">
        <v>1</v>
      </c>
      <c r="H362" s="9">
        <v>1</v>
      </c>
      <c r="I362" s="9">
        <v>2</v>
      </c>
      <c r="J362" s="43">
        <v>2</v>
      </c>
      <c r="K362" s="262">
        <f t="shared" si="5"/>
        <v>0.35859414261160716</v>
      </c>
      <c r="L362" s="163" t="s">
        <v>111</v>
      </c>
    </row>
    <row r="363" spans="1:12">
      <c r="A363" s="34" t="s">
        <v>109</v>
      </c>
      <c r="B363" s="339">
        <v>2021</v>
      </c>
      <c r="C363" s="59" t="s">
        <v>88</v>
      </c>
      <c r="D363" s="59">
        <v>9</v>
      </c>
      <c r="E363" s="496" t="s">
        <v>110</v>
      </c>
      <c r="F363" s="29">
        <v>1</v>
      </c>
      <c r="G363" s="9">
        <v>1</v>
      </c>
      <c r="H363" s="9">
        <v>1</v>
      </c>
      <c r="I363" s="9">
        <v>2</v>
      </c>
      <c r="J363" s="43">
        <v>2</v>
      </c>
      <c r="K363" s="262">
        <f t="shared" si="5"/>
        <v>0.35859414261160716</v>
      </c>
      <c r="L363" s="163" t="s">
        <v>111</v>
      </c>
    </row>
    <row r="364" spans="1:12" hidden="1">
      <c r="A364" s="34" t="s">
        <v>109</v>
      </c>
      <c r="B364" s="339">
        <v>2021</v>
      </c>
      <c r="C364" s="59" t="s">
        <v>89</v>
      </c>
      <c r="D364" s="59">
        <v>231</v>
      </c>
      <c r="E364" s="496" t="s">
        <v>110</v>
      </c>
      <c r="F364" s="29">
        <v>1</v>
      </c>
      <c r="G364" s="9">
        <v>1</v>
      </c>
      <c r="H364" s="9">
        <v>1</v>
      </c>
      <c r="I364" s="9">
        <v>2</v>
      </c>
      <c r="J364" s="43">
        <v>2</v>
      </c>
      <c r="K364" s="262">
        <f t="shared" si="5"/>
        <v>0.35859414261160716</v>
      </c>
      <c r="L364" s="163" t="s">
        <v>111</v>
      </c>
    </row>
    <row r="365" spans="1:12" hidden="1">
      <c r="A365" s="34" t="s">
        <v>109</v>
      </c>
      <c r="B365" s="339">
        <v>2021</v>
      </c>
      <c r="C365" s="59" t="s">
        <v>90</v>
      </c>
      <c r="D365" s="59">
        <v>610</v>
      </c>
      <c r="E365" s="496" t="s">
        <v>110</v>
      </c>
      <c r="F365" s="29">
        <v>1</v>
      </c>
      <c r="G365" s="9">
        <v>1</v>
      </c>
      <c r="H365" s="9">
        <v>1</v>
      </c>
      <c r="I365" s="9">
        <v>2</v>
      </c>
      <c r="J365" s="43">
        <v>2</v>
      </c>
      <c r="K365" s="262">
        <f t="shared" si="5"/>
        <v>0.35859414261160716</v>
      </c>
      <c r="L365" s="163" t="s">
        <v>111</v>
      </c>
    </row>
    <row r="366" spans="1:12" hidden="1">
      <c r="A366" s="34" t="s">
        <v>109</v>
      </c>
      <c r="B366" s="339">
        <v>2021</v>
      </c>
      <c r="C366" s="59" t="s">
        <v>91</v>
      </c>
      <c r="D366" s="59">
        <v>576</v>
      </c>
      <c r="E366" s="496" t="s">
        <v>110</v>
      </c>
      <c r="F366" s="29">
        <v>1</v>
      </c>
      <c r="G366" s="9">
        <v>1</v>
      </c>
      <c r="H366" s="9">
        <v>1</v>
      </c>
      <c r="I366" s="9">
        <v>2</v>
      </c>
      <c r="J366" s="43">
        <v>2</v>
      </c>
      <c r="K366" s="262">
        <f t="shared" si="5"/>
        <v>0.35859414261160716</v>
      </c>
      <c r="L366" s="163" t="s">
        <v>111</v>
      </c>
    </row>
    <row r="367" spans="1:12" hidden="1">
      <c r="A367" s="34" t="s">
        <v>109</v>
      </c>
      <c r="B367" s="339">
        <v>2021</v>
      </c>
      <c r="C367" s="59" t="s">
        <v>94</v>
      </c>
      <c r="D367" s="59">
        <v>210</v>
      </c>
      <c r="E367" s="496" t="s">
        <v>110</v>
      </c>
      <c r="F367" s="29">
        <v>1</v>
      </c>
      <c r="G367" s="9">
        <v>1</v>
      </c>
      <c r="H367" s="9">
        <v>1</v>
      </c>
      <c r="I367" s="9">
        <v>2</v>
      </c>
      <c r="J367" s="43">
        <v>2</v>
      </c>
      <c r="K367" s="262">
        <f t="shared" si="5"/>
        <v>0.35859414261160716</v>
      </c>
      <c r="L367" s="163" t="s">
        <v>111</v>
      </c>
    </row>
    <row r="368" spans="1:12" hidden="1">
      <c r="A368" s="34" t="s">
        <v>109</v>
      </c>
      <c r="B368" s="339">
        <v>2021</v>
      </c>
      <c r="C368" s="59" t="s">
        <v>96</v>
      </c>
      <c r="D368" s="59">
        <v>477</v>
      </c>
      <c r="E368" s="496" t="s">
        <v>110</v>
      </c>
      <c r="F368" s="29">
        <v>1</v>
      </c>
      <c r="G368" s="9">
        <v>1</v>
      </c>
      <c r="H368" s="9">
        <v>1</v>
      </c>
      <c r="I368" s="9">
        <v>2</v>
      </c>
      <c r="J368" s="43">
        <v>2</v>
      </c>
      <c r="K368" s="262">
        <f t="shared" si="5"/>
        <v>0.35859414261160716</v>
      </c>
      <c r="L368" s="163" t="s">
        <v>111</v>
      </c>
    </row>
    <row r="369" spans="1:12">
      <c r="A369" s="34" t="s">
        <v>109</v>
      </c>
      <c r="B369" s="339">
        <v>2021</v>
      </c>
      <c r="C369" s="59" t="s">
        <v>97</v>
      </c>
      <c r="D369" s="59">
        <v>184</v>
      </c>
      <c r="E369" s="496" t="s">
        <v>110</v>
      </c>
      <c r="F369" s="29">
        <v>1</v>
      </c>
      <c r="G369" s="9">
        <v>1</v>
      </c>
      <c r="H369" s="9">
        <v>1</v>
      </c>
      <c r="I369" s="9">
        <v>2</v>
      </c>
      <c r="J369" s="43">
        <v>2</v>
      </c>
      <c r="K369" s="262">
        <f t="shared" si="5"/>
        <v>0.35859414261160716</v>
      </c>
      <c r="L369" s="163" t="s">
        <v>111</v>
      </c>
    </row>
    <row r="370" spans="1:12" hidden="1">
      <c r="A370" s="34" t="s">
        <v>109</v>
      </c>
      <c r="B370" s="339">
        <v>2021</v>
      </c>
      <c r="C370" s="59" t="s">
        <v>95</v>
      </c>
      <c r="D370" s="59">
        <v>200</v>
      </c>
      <c r="E370" s="496" t="s">
        <v>110</v>
      </c>
      <c r="F370" s="29">
        <v>1</v>
      </c>
      <c r="G370" s="9">
        <v>1</v>
      </c>
      <c r="H370" s="9">
        <v>1</v>
      </c>
      <c r="I370" s="9">
        <v>2</v>
      </c>
      <c r="J370" s="43">
        <v>2</v>
      </c>
      <c r="K370" s="262">
        <f t="shared" si="5"/>
        <v>0.35859414261160716</v>
      </c>
      <c r="L370" s="163" t="s">
        <v>111</v>
      </c>
    </row>
    <row r="371" spans="1:12" hidden="1">
      <c r="A371" s="34" t="s">
        <v>109</v>
      </c>
      <c r="B371" s="339">
        <v>2021</v>
      </c>
      <c r="C371" s="59" t="s">
        <v>93</v>
      </c>
      <c r="D371" s="59">
        <v>82</v>
      </c>
      <c r="E371" s="496" t="s">
        <v>110</v>
      </c>
      <c r="F371" s="29">
        <v>1</v>
      </c>
      <c r="G371" s="9">
        <v>1</v>
      </c>
      <c r="H371" s="9">
        <v>1</v>
      </c>
      <c r="I371" s="9">
        <v>2</v>
      </c>
      <c r="J371" s="43">
        <v>2</v>
      </c>
      <c r="K371" s="262">
        <f t="shared" si="5"/>
        <v>0.35859414261160716</v>
      </c>
      <c r="L371" s="163" t="s">
        <v>111</v>
      </c>
    </row>
    <row r="372" spans="1:12" hidden="1">
      <c r="A372" s="149" t="s">
        <v>109</v>
      </c>
      <c r="B372" s="642">
        <v>2021</v>
      </c>
      <c r="C372" s="802" t="s">
        <v>98</v>
      </c>
      <c r="D372" s="802">
        <v>2480</v>
      </c>
      <c r="E372" s="782" t="s">
        <v>110</v>
      </c>
      <c r="F372" s="154">
        <v>1</v>
      </c>
      <c r="G372" s="119">
        <v>1</v>
      </c>
      <c r="H372" s="119">
        <v>1</v>
      </c>
      <c r="I372" s="119">
        <v>2</v>
      </c>
      <c r="J372" s="155">
        <v>2</v>
      </c>
      <c r="K372" s="290">
        <f t="shared" si="5"/>
        <v>0.35859414261160716</v>
      </c>
      <c r="L372" s="799" t="s">
        <v>111</v>
      </c>
    </row>
    <row r="373" spans="1:12" hidden="1">
      <c r="A373" s="33" t="s">
        <v>112</v>
      </c>
      <c r="B373" s="39">
        <v>2017</v>
      </c>
      <c r="C373" s="33" t="s">
        <v>91</v>
      </c>
      <c r="D373" s="792">
        <v>30.108566666666665</v>
      </c>
      <c r="E373" s="150" t="s">
        <v>113</v>
      </c>
      <c r="F373" s="28">
        <v>1</v>
      </c>
      <c r="G373" s="11">
        <v>1</v>
      </c>
      <c r="H373" s="11">
        <v>2</v>
      </c>
      <c r="I373" s="11">
        <v>3</v>
      </c>
      <c r="J373" s="42">
        <v>2</v>
      </c>
      <c r="K373" s="261">
        <f t="shared" si="5"/>
        <v>0.48935255543384243</v>
      </c>
      <c r="L373" s="162"/>
    </row>
    <row r="374" spans="1:12" hidden="1">
      <c r="A374" s="34" t="s">
        <v>112</v>
      </c>
      <c r="B374" s="40">
        <v>2017</v>
      </c>
      <c r="C374" s="34" t="s">
        <v>86</v>
      </c>
      <c r="D374" s="793">
        <v>7.2763666666666662</v>
      </c>
      <c r="E374" s="151" t="s">
        <v>113</v>
      </c>
      <c r="F374" s="29">
        <v>1</v>
      </c>
      <c r="G374" s="9">
        <v>1</v>
      </c>
      <c r="H374" s="9">
        <v>2</v>
      </c>
      <c r="I374" s="9">
        <v>3</v>
      </c>
      <c r="J374" s="43">
        <v>2</v>
      </c>
      <c r="K374" s="262">
        <f t="shared" si="5"/>
        <v>0.48935255543384243</v>
      </c>
      <c r="L374" s="163"/>
    </row>
    <row r="375" spans="1:12" hidden="1">
      <c r="A375" s="34" t="s">
        <v>112</v>
      </c>
      <c r="B375" s="40">
        <v>2017</v>
      </c>
      <c r="C375" s="34" t="s">
        <v>95</v>
      </c>
      <c r="D375" s="793">
        <v>4.2913999999999994</v>
      </c>
      <c r="E375" s="151" t="s">
        <v>113</v>
      </c>
      <c r="F375" s="29">
        <v>1</v>
      </c>
      <c r="G375" s="9">
        <v>1</v>
      </c>
      <c r="H375" s="9">
        <v>2</v>
      </c>
      <c r="I375" s="9">
        <v>3</v>
      </c>
      <c r="J375" s="43">
        <v>2</v>
      </c>
      <c r="K375" s="262">
        <f t="shared" si="5"/>
        <v>0.48935255543384243</v>
      </c>
      <c r="L375" s="163"/>
    </row>
    <row r="376" spans="1:12" hidden="1">
      <c r="A376" s="34" t="s">
        <v>112</v>
      </c>
      <c r="B376" s="40">
        <v>2017</v>
      </c>
      <c r="C376" s="34" t="s">
        <v>87</v>
      </c>
      <c r="D376" s="793">
        <v>4.2263666666666664</v>
      </c>
      <c r="E376" s="151" t="s">
        <v>113</v>
      </c>
      <c r="F376" s="29">
        <v>1</v>
      </c>
      <c r="G376" s="9">
        <v>1</v>
      </c>
      <c r="H376" s="9">
        <v>2</v>
      </c>
      <c r="I376" s="9">
        <v>3</v>
      </c>
      <c r="J376" s="43">
        <v>2</v>
      </c>
      <c r="K376" s="262">
        <f t="shared" si="5"/>
        <v>0.48935255543384243</v>
      </c>
      <c r="L376" s="163"/>
    </row>
    <row r="377" spans="1:12" ht="15.75" hidden="1" thickBot="1">
      <c r="A377" s="35" t="s">
        <v>112</v>
      </c>
      <c r="B377" s="41">
        <v>2017</v>
      </c>
      <c r="C377" s="35" t="s">
        <v>99</v>
      </c>
      <c r="D377" s="796">
        <v>2.6073</v>
      </c>
      <c r="E377" s="152" t="s">
        <v>113</v>
      </c>
      <c r="F377" s="30">
        <v>1</v>
      </c>
      <c r="G377" s="12">
        <v>1</v>
      </c>
      <c r="H377" s="12">
        <v>2</v>
      </c>
      <c r="I377" s="12">
        <v>3</v>
      </c>
      <c r="J377" s="44">
        <v>2</v>
      </c>
      <c r="K377" s="263">
        <f t="shared" si="5"/>
        <v>0.48935255543384243</v>
      </c>
      <c r="L377" s="164"/>
    </row>
    <row r="378" spans="1:12" hidden="1">
      <c r="A378" s="60" t="s">
        <v>114</v>
      </c>
      <c r="B378" s="804">
        <v>1995</v>
      </c>
      <c r="C378" s="805" t="s">
        <v>85</v>
      </c>
      <c r="D378" s="805">
        <v>415</v>
      </c>
      <c r="E378" s="788" t="s">
        <v>110</v>
      </c>
      <c r="F378" s="659">
        <v>1</v>
      </c>
      <c r="G378" s="118">
        <v>1</v>
      </c>
      <c r="H378" s="118">
        <v>1</v>
      </c>
      <c r="I378" s="118">
        <v>2</v>
      </c>
      <c r="J378" s="660">
        <v>2</v>
      </c>
      <c r="K378" s="573">
        <f t="shared" si="5"/>
        <v>0.35859414261160716</v>
      </c>
      <c r="L378" s="652" t="s">
        <v>111</v>
      </c>
    </row>
    <row r="379" spans="1:12" hidden="1">
      <c r="A379" s="34" t="s">
        <v>114</v>
      </c>
      <c r="B379" s="339">
        <v>1995</v>
      </c>
      <c r="C379" s="59" t="s">
        <v>86</v>
      </c>
      <c r="D379" s="59">
        <v>130</v>
      </c>
      <c r="E379" s="496" t="s">
        <v>110</v>
      </c>
      <c r="F379" s="29">
        <v>1</v>
      </c>
      <c r="G379" s="9">
        <v>1</v>
      </c>
      <c r="H379" s="9">
        <v>1</v>
      </c>
      <c r="I379" s="9">
        <v>2</v>
      </c>
      <c r="J379" s="43">
        <v>2</v>
      </c>
      <c r="K379" s="262">
        <f t="shared" si="5"/>
        <v>0.35859414261160716</v>
      </c>
      <c r="L379" s="163" t="s">
        <v>111</v>
      </c>
    </row>
    <row r="380" spans="1:12" hidden="1">
      <c r="A380" s="34" t="s">
        <v>114</v>
      </c>
      <c r="B380" s="339">
        <v>1995</v>
      </c>
      <c r="C380" s="59" t="s">
        <v>87</v>
      </c>
      <c r="D380" s="59">
        <v>145</v>
      </c>
      <c r="E380" s="496" t="s">
        <v>110</v>
      </c>
      <c r="F380" s="29">
        <v>1</v>
      </c>
      <c r="G380" s="9">
        <v>1</v>
      </c>
      <c r="H380" s="9">
        <v>1</v>
      </c>
      <c r="I380" s="9">
        <v>2</v>
      </c>
      <c r="J380" s="43">
        <v>2</v>
      </c>
      <c r="K380" s="262">
        <f t="shared" si="5"/>
        <v>0.35859414261160716</v>
      </c>
      <c r="L380" s="163" t="s">
        <v>111</v>
      </c>
    </row>
    <row r="381" spans="1:12">
      <c r="A381" s="34" t="s">
        <v>114</v>
      </c>
      <c r="B381" s="339">
        <v>1995</v>
      </c>
      <c r="C381" s="59" t="s">
        <v>88</v>
      </c>
      <c r="D381" s="59">
        <v>103</v>
      </c>
      <c r="E381" s="496" t="s">
        <v>110</v>
      </c>
      <c r="F381" s="29">
        <v>1</v>
      </c>
      <c r="G381" s="9">
        <v>1</v>
      </c>
      <c r="H381" s="9">
        <v>1</v>
      </c>
      <c r="I381" s="9">
        <v>2</v>
      </c>
      <c r="J381" s="43">
        <v>2</v>
      </c>
      <c r="K381" s="262">
        <f t="shared" ref="K381:K444" si="6">IF( OR( ISBLANK(F381),ISBLANK(G381), ISBLANK(H381), ISBLANK(I381), ISBLANK(J381) ), "", 1.5*SQRT(   EXP(2.21*(F381-1)) + EXP(2.21*(G381-1)) + EXP(2.21*(H381-1)) + EXP(2.21*(I381-1)) + EXP(2.21*J381)   )/100*2.45 )</f>
        <v>0.35859414261160716</v>
      </c>
      <c r="L381" s="163" t="s">
        <v>111</v>
      </c>
    </row>
    <row r="382" spans="1:12" hidden="1">
      <c r="A382" s="34" t="s">
        <v>114</v>
      </c>
      <c r="B382" s="339">
        <v>1995</v>
      </c>
      <c r="C382" s="59" t="s">
        <v>89</v>
      </c>
      <c r="D382" s="59">
        <v>29</v>
      </c>
      <c r="E382" s="496" t="s">
        <v>110</v>
      </c>
      <c r="F382" s="29">
        <v>1</v>
      </c>
      <c r="G382" s="9">
        <v>1</v>
      </c>
      <c r="H382" s="9">
        <v>1</v>
      </c>
      <c r="I382" s="9">
        <v>2</v>
      </c>
      <c r="J382" s="43">
        <v>2</v>
      </c>
      <c r="K382" s="262">
        <f t="shared" si="6"/>
        <v>0.35859414261160716</v>
      </c>
      <c r="L382" s="163" t="s">
        <v>111</v>
      </c>
    </row>
    <row r="383" spans="1:12" hidden="1">
      <c r="A383" s="34" t="s">
        <v>114</v>
      </c>
      <c r="B383" s="339">
        <v>1995</v>
      </c>
      <c r="C383" s="59" t="s">
        <v>90</v>
      </c>
      <c r="D383" s="59">
        <v>213</v>
      </c>
      <c r="E383" s="496" t="s">
        <v>110</v>
      </c>
      <c r="F383" s="29">
        <v>1</v>
      </c>
      <c r="G383" s="9">
        <v>1</v>
      </c>
      <c r="H383" s="9">
        <v>1</v>
      </c>
      <c r="I383" s="9">
        <v>2</v>
      </c>
      <c r="J383" s="43">
        <v>2</v>
      </c>
      <c r="K383" s="262">
        <f t="shared" si="6"/>
        <v>0.35859414261160716</v>
      </c>
      <c r="L383" s="163" t="s">
        <v>111</v>
      </c>
    </row>
    <row r="384" spans="1:12" hidden="1">
      <c r="A384" s="34" t="s">
        <v>114</v>
      </c>
      <c r="B384" s="339">
        <v>1995</v>
      </c>
      <c r="C384" s="59" t="s">
        <v>91</v>
      </c>
      <c r="D384" s="59">
        <v>0</v>
      </c>
      <c r="E384" s="496" t="s">
        <v>110</v>
      </c>
      <c r="F384" s="29">
        <v>1</v>
      </c>
      <c r="G384" s="9">
        <v>1</v>
      </c>
      <c r="H384" s="9">
        <v>1</v>
      </c>
      <c r="I384" s="9">
        <v>2</v>
      </c>
      <c r="J384" s="43">
        <v>2</v>
      </c>
      <c r="K384" s="262">
        <f t="shared" si="6"/>
        <v>0.35859414261160716</v>
      </c>
      <c r="L384" s="163" t="s">
        <v>111</v>
      </c>
    </row>
    <row r="385" spans="1:12" hidden="1">
      <c r="A385" s="34" t="s">
        <v>114</v>
      </c>
      <c r="B385" s="339">
        <v>1995</v>
      </c>
      <c r="C385" s="59" t="s">
        <v>94</v>
      </c>
      <c r="D385" s="59">
        <v>17</v>
      </c>
      <c r="E385" s="496" t="s">
        <v>110</v>
      </c>
      <c r="F385" s="29">
        <v>1</v>
      </c>
      <c r="G385" s="9">
        <v>1</v>
      </c>
      <c r="H385" s="9">
        <v>1</v>
      </c>
      <c r="I385" s="9">
        <v>2</v>
      </c>
      <c r="J385" s="43">
        <v>2</v>
      </c>
      <c r="K385" s="262">
        <f t="shared" si="6"/>
        <v>0.35859414261160716</v>
      </c>
      <c r="L385" s="163" t="s">
        <v>111</v>
      </c>
    </row>
    <row r="386" spans="1:12" hidden="1">
      <c r="A386" s="34" t="s">
        <v>114</v>
      </c>
      <c r="B386" s="339">
        <v>1995</v>
      </c>
      <c r="C386" s="59" t="s">
        <v>96</v>
      </c>
      <c r="D386" s="59">
        <v>38</v>
      </c>
      <c r="E386" s="496" t="s">
        <v>110</v>
      </c>
      <c r="F386" s="29">
        <v>1</v>
      </c>
      <c r="G386" s="9">
        <v>1</v>
      </c>
      <c r="H386" s="9">
        <v>1</v>
      </c>
      <c r="I386" s="9">
        <v>2</v>
      </c>
      <c r="J386" s="43">
        <v>2</v>
      </c>
      <c r="K386" s="262">
        <f t="shared" si="6"/>
        <v>0.35859414261160716</v>
      </c>
      <c r="L386" s="163" t="s">
        <v>111</v>
      </c>
    </row>
    <row r="387" spans="1:12">
      <c r="A387" s="34" t="s">
        <v>114</v>
      </c>
      <c r="B387" s="339">
        <v>1995</v>
      </c>
      <c r="C387" s="59" t="s">
        <v>97</v>
      </c>
      <c r="D387" s="59">
        <v>84</v>
      </c>
      <c r="E387" s="496" t="s">
        <v>110</v>
      </c>
      <c r="F387" s="29">
        <v>1</v>
      </c>
      <c r="G387" s="9">
        <v>1</v>
      </c>
      <c r="H387" s="9">
        <v>1</v>
      </c>
      <c r="I387" s="9">
        <v>2</v>
      </c>
      <c r="J387" s="43">
        <v>2</v>
      </c>
      <c r="K387" s="262">
        <f t="shared" si="6"/>
        <v>0.35859414261160716</v>
      </c>
      <c r="L387" s="163" t="s">
        <v>111</v>
      </c>
    </row>
    <row r="388" spans="1:12" hidden="1">
      <c r="A388" s="34" t="s">
        <v>114</v>
      </c>
      <c r="B388" s="339">
        <v>1995</v>
      </c>
      <c r="C388" s="59" t="s">
        <v>95</v>
      </c>
      <c r="D388" s="59">
        <v>142</v>
      </c>
      <c r="E388" s="496" t="s">
        <v>110</v>
      </c>
      <c r="F388" s="29">
        <v>1</v>
      </c>
      <c r="G388" s="9">
        <v>1</v>
      </c>
      <c r="H388" s="9">
        <v>1</v>
      </c>
      <c r="I388" s="9">
        <v>2</v>
      </c>
      <c r="J388" s="43">
        <v>2</v>
      </c>
      <c r="K388" s="262">
        <f t="shared" si="6"/>
        <v>0.35859414261160716</v>
      </c>
      <c r="L388" s="163" t="s">
        <v>111</v>
      </c>
    </row>
    <row r="389" spans="1:12" hidden="1">
      <c r="A389" s="34" t="s">
        <v>114</v>
      </c>
      <c r="B389" s="339">
        <v>1995</v>
      </c>
      <c r="C389" s="59" t="s">
        <v>93</v>
      </c>
      <c r="D389" s="59">
        <v>19</v>
      </c>
      <c r="E389" s="496" t="s">
        <v>110</v>
      </c>
      <c r="F389" s="29">
        <v>1</v>
      </c>
      <c r="G389" s="9">
        <v>1</v>
      </c>
      <c r="H389" s="9">
        <v>1</v>
      </c>
      <c r="I389" s="9">
        <v>2</v>
      </c>
      <c r="J389" s="43">
        <v>2</v>
      </c>
      <c r="K389" s="262">
        <f t="shared" si="6"/>
        <v>0.35859414261160716</v>
      </c>
      <c r="L389" s="163" t="s">
        <v>111</v>
      </c>
    </row>
    <row r="390" spans="1:12" hidden="1">
      <c r="A390" s="34" t="s">
        <v>114</v>
      </c>
      <c r="B390" s="339">
        <v>1995</v>
      </c>
      <c r="C390" s="59" t="s">
        <v>98</v>
      </c>
      <c r="D390" s="59">
        <v>540</v>
      </c>
      <c r="E390" s="496" t="s">
        <v>110</v>
      </c>
      <c r="F390" s="29">
        <v>1</v>
      </c>
      <c r="G390" s="9">
        <v>1</v>
      </c>
      <c r="H390" s="9">
        <v>1</v>
      </c>
      <c r="I390" s="9">
        <v>2</v>
      </c>
      <c r="J390" s="43">
        <v>2</v>
      </c>
      <c r="K390" s="262">
        <f t="shared" si="6"/>
        <v>0.35859414261160716</v>
      </c>
      <c r="L390" s="163" t="s">
        <v>111</v>
      </c>
    </row>
    <row r="391" spans="1:12" hidden="1">
      <c r="A391" s="34" t="s">
        <v>114</v>
      </c>
      <c r="B391" s="339">
        <v>1996</v>
      </c>
      <c r="C391" s="59" t="s">
        <v>85</v>
      </c>
      <c r="D391" s="59">
        <v>368</v>
      </c>
      <c r="E391" s="496" t="s">
        <v>110</v>
      </c>
      <c r="F391" s="29">
        <v>1</v>
      </c>
      <c r="G391" s="9">
        <v>1</v>
      </c>
      <c r="H391" s="9">
        <v>1</v>
      </c>
      <c r="I391" s="9">
        <v>2</v>
      </c>
      <c r="J391" s="43">
        <v>2</v>
      </c>
      <c r="K391" s="262">
        <f t="shared" si="6"/>
        <v>0.35859414261160716</v>
      </c>
      <c r="L391" s="163" t="s">
        <v>111</v>
      </c>
    </row>
    <row r="392" spans="1:12" hidden="1">
      <c r="A392" s="34" t="s">
        <v>114</v>
      </c>
      <c r="B392" s="339">
        <v>1996</v>
      </c>
      <c r="C392" s="59" t="s">
        <v>86</v>
      </c>
      <c r="D392" s="59">
        <v>134</v>
      </c>
      <c r="E392" s="496" t="s">
        <v>110</v>
      </c>
      <c r="F392" s="29">
        <v>1</v>
      </c>
      <c r="G392" s="9">
        <v>1</v>
      </c>
      <c r="H392" s="9">
        <v>1</v>
      </c>
      <c r="I392" s="9">
        <v>2</v>
      </c>
      <c r="J392" s="43">
        <v>2</v>
      </c>
      <c r="K392" s="262">
        <f t="shared" si="6"/>
        <v>0.35859414261160716</v>
      </c>
      <c r="L392" s="163" t="s">
        <v>111</v>
      </c>
    </row>
    <row r="393" spans="1:12" hidden="1">
      <c r="A393" s="34" t="s">
        <v>114</v>
      </c>
      <c r="B393" s="339">
        <v>1996</v>
      </c>
      <c r="C393" s="59" t="s">
        <v>87</v>
      </c>
      <c r="D393" s="59">
        <v>168</v>
      </c>
      <c r="E393" s="496" t="s">
        <v>110</v>
      </c>
      <c r="F393" s="29">
        <v>1</v>
      </c>
      <c r="G393" s="9">
        <v>1</v>
      </c>
      <c r="H393" s="9">
        <v>1</v>
      </c>
      <c r="I393" s="9">
        <v>2</v>
      </c>
      <c r="J393" s="43">
        <v>2</v>
      </c>
      <c r="K393" s="262">
        <f t="shared" si="6"/>
        <v>0.35859414261160716</v>
      </c>
      <c r="L393" s="163" t="s">
        <v>111</v>
      </c>
    </row>
    <row r="394" spans="1:12">
      <c r="A394" s="34" t="s">
        <v>114</v>
      </c>
      <c r="B394" s="339">
        <v>1996</v>
      </c>
      <c r="C394" s="59" t="s">
        <v>88</v>
      </c>
      <c r="D394" s="59">
        <v>113</v>
      </c>
      <c r="E394" s="496" t="s">
        <v>110</v>
      </c>
      <c r="F394" s="29">
        <v>1</v>
      </c>
      <c r="G394" s="9">
        <v>1</v>
      </c>
      <c r="H394" s="9">
        <v>1</v>
      </c>
      <c r="I394" s="9">
        <v>2</v>
      </c>
      <c r="J394" s="43">
        <v>2</v>
      </c>
      <c r="K394" s="262">
        <f t="shared" si="6"/>
        <v>0.35859414261160716</v>
      </c>
      <c r="L394" s="163" t="s">
        <v>111</v>
      </c>
    </row>
    <row r="395" spans="1:12" hidden="1">
      <c r="A395" s="34" t="s">
        <v>114</v>
      </c>
      <c r="B395" s="339">
        <v>1996</v>
      </c>
      <c r="C395" s="59" t="s">
        <v>89</v>
      </c>
      <c r="D395" s="59">
        <v>45</v>
      </c>
      <c r="E395" s="496" t="s">
        <v>110</v>
      </c>
      <c r="F395" s="29">
        <v>1</v>
      </c>
      <c r="G395" s="9">
        <v>1</v>
      </c>
      <c r="H395" s="9">
        <v>1</v>
      </c>
      <c r="I395" s="9">
        <v>2</v>
      </c>
      <c r="J395" s="43">
        <v>2</v>
      </c>
      <c r="K395" s="262">
        <f t="shared" si="6"/>
        <v>0.35859414261160716</v>
      </c>
      <c r="L395" s="163" t="s">
        <v>111</v>
      </c>
    </row>
    <row r="396" spans="1:12" hidden="1">
      <c r="A396" s="34" t="s">
        <v>114</v>
      </c>
      <c r="B396" s="339">
        <v>1996</v>
      </c>
      <c r="C396" s="59" t="s">
        <v>90</v>
      </c>
      <c r="D396" s="59">
        <v>287</v>
      </c>
      <c r="E396" s="496" t="s">
        <v>110</v>
      </c>
      <c r="F396" s="29">
        <v>1</v>
      </c>
      <c r="G396" s="9">
        <v>1</v>
      </c>
      <c r="H396" s="9">
        <v>1</v>
      </c>
      <c r="I396" s="9">
        <v>2</v>
      </c>
      <c r="J396" s="43">
        <v>2</v>
      </c>
      <c r="K396" s="262">
        <f t="shared" si="6"/>
        <v>0.35859414261160716</v>
      </c>
      <c r="L396" s="163" t="s">
        <v>111</v>
      </c>
    </row>
    <row r="397" spans="1:12" hidden="1">
      <c r="A397" s="34" t="s">
        <v>114</v>
      </c>
      <c r="B397" s="339">
        <v>1996</v>
      </c>
      <c r="C397" s="59" t="s">
        <v>91</v>
      </c>
      <c r="D397" s="59">
        <v>0</v>
      </c>
      <c r="E397" s="496" t="s">
        <v>110</v>
      </c>
      <c r="F397" s="29">
        <v>1</v>
      </c>
      <c r="G397" s="9">
        <v>1</v>
      </c>
      <c r="H397" s="9">
        <v>1</v>
      </c>
      <c r="I397" s="9">
        <v>2</v>
      </c>
      <c r="J397" s="43">
        <v>2</v>
      </c>
      <c r="K397" s="262">
        <f t="shared" si="6"/>
        <v>0.35859414261160716</v>
      </c>
      <c r="L397" s="163" t="s">
        <v>111</v>
      </c>
    </row>
    <row r="398" spans="1:12" hidden="1">
      <c r="A398" s="34" t="s">
        <v>114</v>
      </c>
      <c r="B398" s="339">
        <v>1996</v>
      </c>
      <c r="C398" s="59" t="s">
        <v>94</v>
      </c>
      <c r="D398" s="59">
        <v>17</v>
      </c>
      <c r="E398" s="496" t="s">
        <v>110</v>
      </c>
      <c r="F398" s="29">
        <v>1</v>
      </c>
      <c r="G398" s="9">
        <v>1</v>
      </c>
      <c r="H398" s="9">
        <v>1</v>
      </c>
      <c r="I398" s="9">
        <v>2</v>
      </c>
      <c r="J398" s="43">
        <v>2</v>
      </c>
      <c r="K398" s="262">
        <f t="shared" si="6"/>
        <v>0.35859414261160716</v>
      </c>
      <c r="L398" s="163" t="s">
        <v>111</v>
      </c>
    </row>
    <row r="399" spans="1:12" hidden="1">
      <c r="A399" s="34" t="s">
        <v>114</v>
      </c>
      <c r="B399" s="339">
        <v>1996</v>
      </c>
      <c r="C399" s="59" t="s">
        <v>96</v>
      </c>
      <c r="D399" s="59">
        <v>47</v>
      </c>
      <c r="E399" s="496" t="s">
        <v>110</v>
      </c>
      <c r="F399" s="29">
        <v>1</v>
      </c>
      <c r="G399" s="9">
        <v>1</v>
      </c>
      <c r="H399" s="9">
        <v>1</v>
      </c>
      <c r="I399" s="9">
        <v>2</v>
      </c>
      <c r="J399" s="43">
        <v>2</v>
      </c>
      <c r="K399" s="262">
        <f t="shared" si="6"/>
        <v>0.35859414261160716</v>
      </c>
      <c r="L399" s="163" t="s">
        <v>111</v>
      </c>
    </row>
    <row r="400" spans="1:12">
      <c r="A400" s="34" t="s">
        <v>114</v>
      </c>
      <c r="B400" s="339">
        <v>1996</v>
      </c>
      <c r="C400" s="59" t="s">
        <v>97</v>
      </c>
      <c r="D400" s="59">
        <v>86</v>
      </c>
      <c r="E400" s="496" t="s">
        <v>110</v>
      </c>
      <c r="F400" s="29">
        <v>1</v>
      </c>
      <c r="G400" s="9">
        <v>1</v>
      </c>
      <c r="H400" s="9">
        <v>1</v>
      </c>
      <c r="I400" s="9">
        <v>2</v>
      </c>
      <c r="J400" s="43">
        <v>2</v>
      </c>
      <c r="K400" s="262">
        <f t="shared" si="6"/>
        <v>0.35859414261160716</v>
      </c>
      <c r="L400" s="163" t="s">
        <v>111</v>
      </c>
    </row>
    <row r="401" spans="1:12" hidden="1">
      <c r="A401" s="34" t="s">
        <v>114</v>
      </c>
      <c r="B401" s="339">
        <v>1996</v>
      </c>
      <c r="C401" s="59" t="s">
        <v>95</v>
      </c>
      <c r="D401" s="59">
        <v>138</v>
      </c>
      <c r="E401" s="496" t="s">
        <v>110</v>
      </c>
      <c r="F401" s="29">
        <v>1</v>
      </c>
      <c r="G401" s="9">
        <v>1</v>
      </c>
      <c r="H401" s="9">
        <v>1</v>
      </c>
      <c r="I401" s="9">
        <v>2</v>
      </c>
      <c r="J401" s="43">
        <v>2</v>
      </c>
      <c r="K401" s="262">
        <f t="shared" si="6"/>
        <v>0.35859414261160716</v>
      </c>
      <c r="L401" s="163" t="s">
        <v>111</v>
      </c>
    </row>
    <row r="402" spans="1:12" hidden="1">
      <c r="A402" s="34" t="s">
        <v>114</v>
      </c>
      <c r="B402" s="339">
        <v>1996</v>
      </c>
      <c r="C402" s="59" t="s">
        <v>93</v>
      </c>
      <c r="D402" s="59">
        <v>20</v>
      </c>
      <c r="E402" s="496" t="s">
        <v>110</v>
      </c>
      <c r="F402" s="29">
        <v>1</v>
      </c>
      <c r="G402" s="9">
        <v>1</v>
      </c>
      <c r="H402" s="9">
        <v>1</v>
      </c>
      <c r="I402" s="9">
        <v>2</v>
      </c>
      <c r="J402" s="43">
        <v>2</v>
      </c>
      <c r="K402" s="262">
        <f t="shared" si="6"/>
        <v>0.35859414261160716</v>
      </c>
      <c r="L402" s="163" t="s">
        <v>111</v>
      </c>
    </row>
    <row r="403" spans="1:12" hidden="1">
      <c r="A403" s="34" t="s">
        <v>114</v>
      </c>
      <c r="B403" s="339">
        <v>1996</v>
      </c>
      <c r="C403" s="59" t="s">
        <v>98</v>
      </c>
      <c r="D403" s="59">
        <v>502</v>
      </c>
      <c r="E403" s="496" t="s">
        <v>110</v>
      </c>
      <c r="F403" s="29">
        <v>1</v>
      </c>
      <c r="G403" s="9">
        <v>1</v>
      </c>
      <c r="H403" s="9">
        <v>1</v>
      </c>
      <c r="I403" s="9">
        <v>2</v>
      </c>
      <c r="J403" s="43">
        <v>2</v>
      </c>
      <c r="K403" s="262">
        <f t="shared" si="6"/>
        <v>0.35859414261160716</v>
      </c>
      <c r="L403" s="163" t="s">
        <v>111</v>
      </c>
    </row>
    <row r="404" spans="1:12" hidden="1">
      <c r="A404" s="34" t="s">
        <v>114</v>
      </c>
      <c r="B404" s="339">
        <v>1997</v>
      </c>
      <c r="C404" s="59" t="s">
        <v>85</v>
      </c>
      <c r="D404" s="59">
        <v>405</v>
      </c>
      <c r="E404" s="496" t="s">
        <v>110</v>
      </c>
      <c r="F404" s="29">
        <v>1</v>
      </c>
      <c r="G404" s="9">
        <v>1</v>
      </c>
      <c r="H404" s="9">
        <v>1</v>
      </c>
      <c r="I404" s="9">
        <v>2</v>
      </c>
      <c r="J404" s="43">
        <v>2</v>
      </c>
      <c r="K404" s="262">
        <f t="shared" si="6"/>
        <v>0.35859414261160716</v>
      </c>
      <c r="L404" s="163" t="s">
        <v>111</v>
      </c>
    </row>
    <row r="405" spans="1:12" hidden="1">
      <c r="A405" s="34" t="s">
        <v>114</v>
      </c>
      <c r="B405" s="339">
        <v>1997</v>
      </c>
      <c r="C405" s="59" t="s">
        <v>86</v>
      </c>
      <c r="D405" s="59">
        <v>148</v>
      </c>
      <c r="E405" s="496" t="s">
        <v>110</v>
      </c>
      <c r="F405" s="29">
        <v>1</v>
      </c>
      <c r="G405" s="9">
        <v>1</v>
      </c>
      <c r="H405" s="9">
        <v>1</v>
      </c>
      <c r="I405" s="9">
        <v>2</v>
      </c>
      <c r="J405" s="43">
        <v>2</v>
      </c>
      <c r="K405" s="262">
        <f t="shared" si="6"/>
        <v>0.35859414261160716</v>
      </c>
      <c r="L405" s="163" t="s">
        <v>111</v>
      </c>
    </row>
    <row r="406" spans="1:12" hidden="1">
      <c r="A406" s="34" t="s">
        <v>114</v>
      </c>
      <c r="B406" s="339">
        <v>1997</v>
      </c>
      <c r="C406" s="59" t="s">
        <v>87</v>
      </c>
      <c r="D406" s="59">
        <v>199</v>
      </c>
      <c r="E406" s="496" t="s">
        <v>110</v>
      </c>
      <c r="F406" s="29">
        <v>1</v>
      </c>
      <c r="G406" s="9">
        <v>1</v>
      </c>
      <c r="H406" s="9">
        <v>1</v>
      </c>
      <c r="I406" s="9">
        <v>2</v>
      </c>
      <c r="J406" s="43">
        <v>2</v>
      </c>
      <c r="K406" s="262">
        <f t="shared" si="6"/>
        <v>0.35859414261160716</v>
      </c>
      <c r="L406" s="163" t="s">
        <v>111</v>
      </c>
    </row>
    <row r="407" spans="1:12">
      <c r="A407" s="34" t="s">
        <v>114</v>
      </c>
      <c r="B407" s="339">
        <v>1997</v>
      </c>
      <c r="C407" s="59" t="s">
        <v>88</v>
      </c>
      <c r="D407" s="59">
        <v>77</v>
      </c>
      <c r="E407" s="496" t="s">
        <v>110</v>
      </c>
      <c r="F407" s="29">
        <v>1</v>
      </c>
      <c r="G407" s="9">
        <v>1</v>
      </c>
      <c r="H407" s="9">
        <v>1</v>
      </c>
      <c r="I407" s="9">
        <v>2</v>
      </c>
      <c r="J407" s="43">
        <v>2</v>
      </c>
      <c r="K407" s="262">
        <f t="shared" si="6"/>
        <v>0.35859414261160716</v>
      </c>
      <c r="L407" s="163" t="s">
        <v>111</v>
      </c>
    </row>
    <row r="408" spans="1:12" hidden="1">
      <c r="A408" s="34" t="s">
        <v>114</v>
      </c>
      <c r="B408" s="339">
        <v>1997</v>
      </c>
      <c r="C408" s="59" t="s">
        <v>89</v>
      </c>
      <c r="D408" s="59">
        <v>43</v>
      </c>
      <c r="E408" s="496" t="s">
        <v>110</v>
      </c>
      <c r="F408" s="29">
        <v>1</v>
      </c>
      <c r="G408" s="9">
        <v>1</v>
      </c>
      <c r="H408" s="9">
        <v>1</v>
      </c>
      <c r="I408" s="9">
        <v>2</v>
      </c>
      <c r="J408" s="43">
        <v>2</v>
      </c>
      <c r="K408" s="262">
        <f t="shared" si="6"/>
        <v>0.35859414261160716</v>
      </c>
      <c r="L408" s="163" t="s">
        <v>111</v>
      </c>
    </row>
    <row r="409" spans="1:12" hidden="1">
      <c r="A409" s="34" t="s">
        <v>114</v>
      </c>
      <c r="B409" s="339">
        <v>1997</v>
      </c>
      <c r="C409" s="59" t="s">
        <v>90</v>
      </c>
      <c r="D409" s="59">
        <v>210</v>
      </c>
      <c r="E409" s="496" t="s">
        <v>110</v>
      </c>
      <c r="F409" s="29">
        <v>1</v>
      </c>
      <c r="G409" s="9">
        <v>1</v>
      </c>
      <c r="H409" s="9">
        <v>1</v>
      </c>
      <c r="I409" s="9">
        <v>2</v>
      </c>
      <c r="J409" s="43">
        <v>2</v>
      </c>
      <c r="K409" s="262">
        <f t="shared" si="6"/>
        <v>0.35859414261160716</v>
      </c>
      <c r="L409" s="163" t="s">
        <v>111</v>
      </c>
    </row>
    <row r="410" spans="1:12" hidden="1">
      <c r="A410" s="34" t="s">
        <v>114</v>
      </c>
      <c r="B410" s="339">
        <v>1997</v>
      </c>
      <c r="C410" s="59" t="s">
        <v>91</v>
      </c>
      <c r="D410" s="59">
        <v>0</v>
      </c>
      <c r="E410" s="496" t="s">
        <v>110</v>
      </c>
      <c r="F410" s="29">
        <v>1</v>
      </c>
      <c r="G410" s="9">
        <v>1</v>
      </c>
      <c r="H410" s="9">
        <v>1</v>
      </c>
      <c r="I410" s="9">
        <v>2</v>
      </c>
      <c r="J410" s="43">
        <v>2</v>
      </c>
      <c r="K410" s="262">
        <f t="shared" si="6"/>
        <v>0.35859414261160716</v>
      </c>
      <c r="L410" s="163" t="s">
        <v>111</v>
      </c>
    </row>
    <row r="411" spans="1:12" hidden="1">
      <c r="A411" s="34" t="s">
        <v>114</v>
      </c>
      <c r="B411" s="339">
        <v>1997</v>
      </c>
      <c r="C411" s="59" t="s">
        <v>94</v>
      </c>
      <c r="D411" s="59">
        <v>28</v>
      </c>
      <c r="E411" s="496" t="s">
        <v>110</v>
      </c>
      <c r="F411" s="29">
        <v>1</v>
      </c>
      <c r="G411" s="9">
        <v>1</v>
      </c>
      <c r="H411" s="9">
        <v>1</v>
      </c>
      <c r="I411" s="9">
        <v>2</v>
      </c>
      <c r="J411" s="43">
        <v>2</v>
      </c>
      <c r="K411" s="262">
        <f t="shared" si="6"/>
        <v>0.35859414261160716</v>
      </c>
      <c r="L411" s="163" t="s">
        <v>111</v>
      </c>
    </row>
    <row r="412" spans="1:12" hidden="1">
      <c r="A412" s="34" t="s">
        <v>114</v>
      </c>
      <c r="B412" s="339">
        <v>1997</v>
      </c>
      <c r="C412" s="59" t="s">
        <v>96</v>
      </c>
      <c r="D412" s="59">
        <v>47</v>
      </c>
      <c r="E412" s="496" t="s">
        <v>110</v>
      </c>
      <c r="F412" s="29">
        <v>1</v>
      </c>
      <c r="G412" s="9">
        <v>1</v>
      </c>
      <c r="H412" s="9">
        <v>1</v>
      </c>
      <c r="I412" s="9">
        <v>2</v>
      </c>
      <c r="J412" s="43">
        <v>2</v>
      </c>
      <c r="K412" s="262">
        <f t="shared" si="6"/>
        <v>0.35859414261160716</v>
      </c>
      <c r="L412" s="163" t="s">
        <v>111</v>
      </c>
    </row>
    <row r="413" spans="1:12">
      <c r="A413" s="34" t="s">
        <v>114</v>
      </c>
      <c r="B413" s="339">
        <v>1997</v>
      </c>
      <c r="C413" s="59" t="s">
        <v>97</v>
      </c>
      <c r="D413" s="59">
        <v>104</v>
      </c>
      <c r="E413" s="496" t="s">
        <v>110</v>
      </c>
      <c r="F413" s="29">
        <v>1</v>
      </c>
      <c r="G413" s="9">
        <v>1</v>
      </c>
      <c r="H413" s="9">
        <v>1</v>
      </c>
      <c r="I413" s="9">
        <v>2</v>
      </c>
      <c r="J413" s="43">
        <v>2</v>
      </c>
      <c r="K413" s="262">
        <f t="shared" si="6"/>
        <v>0.35859414261160716</v>
      </c>
      <c r="L413" s="163" t="s">
        <v>111</v>
      </c>
    </row>
    <row r="414" spans="1:12" hidden="1">
      <c r="A414" s="34" t="s">
        <v>114</v>
      </c>
      <c r="B414" s="339">
        <v>1997</v>
      </c>
      <c r="C414" s="59" t="s">
        <v>95</v>
      </c>
      <c r="D414" s="59">
        <v>135</v>
      </c>
      <c r="E414" s="496" t="s">
        <v>110</v>
      </c>
      <c r="F414" s="29">
        <v>1</v>
      </c>
      <c r="G414" s="9">
        <v>1</v>
      </c>
      <c r="H414" s="9">
        <v>1</v>
      </c>
      <c r="I414" s="9">
        <v>2</v>
      </c>
      <c r="J414" s="43">
        <v>2</v>
      </c>
      <c r="K414" s="262">
        <f t="shared" si="6"/>
        <v>0.35859414261160716</v>
      </c>
      <c r="L414" s="163" t="s">
        <v>111</v>
      </c>
    </row>
    <row r="415" spans="1:12" hidden="1">
      <c r="A415" s="34" t="s">
        <v>114</v>
      </c>
      <c r="B415" s="339">
        <v>1997</v>
      </c>
      <c r="C415" s="59" t="s">
        <v>93</v>
      </c>
      <c r="D415" s="59">
        <v>17</v>
      </c>
      <c r="E415" s="496" t="s">
        <v>110</v>
      </c>
      <c r="F415" s="29">
        <v>1</v>
      </c>
      <c r="G415" s="9">
        <v>1</v>
      </c>
      <c r="H415" s="9">
        <v>1</v>
      </c>
      <c r="I415" s="9">
        <v>2</v>
      </c>
      <c r="J415" s="43">
        <v>2</v>
      </c>
      <c r="K415" s="262">
        <f t="shared" si="6"/>
        <v>0.35859414261160716</v>
      </c>
      <c r="L415" s="163" t="s">
        <v>111</v>
      </c>
    </row>
    <row r="416" spans="1:12" hidden="1">
      <c r="A416" s="34" t="s">
        <v>114</v>
      </c>
      <c r="B416" s="339">
        <v>1997</v>
      </c>
      <c r="C416" s="59" t="s">
        <v>98</v>
      </c>
      <c r="D416" s="59">
        <v>556</v>
      </c>
      <c r="E416" s="496" t="s">
        <v>110</v>
      </c>
      <c r="F416" s="29">
        <v>1</v>
      </c>
      <c r="G416" s="9">
        <v>1</v>
      </c>
      <c r="H416" s="9">
        <v>1</v>
      </c>
      <c r="I416" s="9">
        <v>2</v>
      </c>
      <c r="J416" s="43">
        <v>2</v>
      </c>
      <c r="K416" s="262">
        <f t="shared" si="6"/>
        <v>0.35859414261160716</v>
      </c>
      <c r="L416" s="163" t="s">
        <v>111</v>
      </c>
    </row>
    <row r="417" spans="1:12" hidden="1">
      <c r="A417" s="34" t="s">
        <v>114</v>
      </c>
      <c r="B417" s="339">
        <v>1998</v>
      </c>
      <c r="C417" s="59" t="s">
        <v>85</v>
      </c>
      <c r="D417" s="59">
        <v>403</v>
      </c>
      <c r="E417" s="496" t="s">
        <v>110</v>
      </c>
      <c r="F417" s="29">
        <v>1</v>
      </c>
      <c r="G417" s="9">
        <v>1</v>
      </c>
      <c r="H417" s="9">
        <v>1</v>
      </c>
      <c r="I417" s="9">
        <v>2</v>
      </c>
      <c r="J417" s="43">
        <v>2</v>
      </c>
      <c r="K417" s="262">
        <f t="shared" si="6"/>
        <v>0.35859414261160716</v>
      </c>
      <c r="L417" s="163" t="s">
        <v>111</v>
      </c>
    </row>
    <row r="418" spans="1:12" hidden="1">
      <c r="A418" s="34" t="s">
        <v>114</v>
      </c>
      <c r="B418" s="339">
        <v>1998</v>
      </c>
      <c r="C418" s="59" t="s">
        <v>86</v>
      </c>
      <c r="D418" s="59">
        <v>195</v>
      </c>
      <c r="E418" s="496" t="s">
        <v>110</v>
      </c>
      <c r="F418" s="29">
        <v>1</v>
      </c>
      <c r="G418" s="9">
        <v>1</v>
      </c>
      <c r="H418" s="9">
        <v>1</v>
      </c>
      <c r="I418" s="9">
        <v>2</v>
      </c>
      <c r="J418" s="43">
        <v>2</v>
      </c>
      <c r="K418" s="262">
        <f t="shared" si="6"/>
        <v>0.35859414261160716</v>
      </c>
      <c r="L418" s="163" t="s">
        <v>111</v>
      </c>
    </row>
    <row r="419" spans="1:12" hidden="1">
      <c r="A419" s="34" t="s">
        <v>114</v>
      </c>
      <c r="B419" s="339">
        <v>1998</v>
      </c>
      <c r="C419" s="59" t="s">
        <v>87</v>
      </c>
      <c r="D419" s="59">
        <v>167</v>
      </c>
      <c r="E419" s="496" t="s">
        <v>110</v>
      </c>
      <c r="F419" s="29">
        <v>1</v>
      </c>
      <c r="G419" s="9">
        <v>1</v>
      </c>
      <c r="H419" s="9">
        <v>1</v>
      </c>
      <c r="I419" s="9">
        <v>2</v>
      </c>
      <c r="J419" s="43">
        <v>2</v>
      </c>
      <c r="K419" s="262">
        <f t="shared" si="6"/>
        <v>0.35859414261160716</v>
      </c>
      <c r="L419" s="163" t="s">
        <v>111</v>
      </c>
    </row>
    <row r="420" spans="1:12">
      <c r="A420" s="34" t="s">
        <v>114</v>
      </c>
      <c r="B420" s="339">
        <v>1998</v>
      </c>
      <c r="C420" s="59" t="s">
        <v>88</v>
      </c>
      <c r="D420" s="59">
        <v>79</v>
      </c>
      <c r="E420" s="496" t="s">
        <v>110</v>
      </c>
      <c r="F420" s="29">
        <v>1</v>
      </c>
      <c r="G420" s="9">
        <v>1</v>
      </c>
      <c r="H420" s="9">
        <v>1</v>
      </c>
      <c r="I420" s="9">
        <v>2</v>
      </c>
      <c r="J420" s="43">
        <v>2</v>
      </c>
      <c r="K420" s="262">
        <f t="shared" si="6"/>
        <v>0.35859414261160716</v>
      </c>
      <c r="L420" s="163" t="s">
        <v>111</v>
      </c>
    </row>
    <row r="421" spans="1:12" hidden="1">
      <c r="A421" s="34" t="s">
        <v>114</v>
      </c>
      <c r="B421" s="339">
        <v>1998</v>
      </c>
      <c r="C421" s="59" t="s">
        <v>89</v>
      </c>
      <c r="D421" s="59">
        <v>36</v>
      </c>
      <c r="E421" s="496" t="s">
        <v>110</v>
      </c>
      <c r="F421" s="29">
        <v>1</v>
      </c>
      <c r="G421" s="9">
        <v>1</v>
      </c>
      <c r="H421" s="9">
        <v>1</v>
      </c>
      <c r="I421" s="9">
        <v>2</v>
      </c>
      <c r="J421" s="43">
        <v>2</v>
      </c>
      <c r="K421" s="262">
        <f t="shared" si="6"/>
        <v>0.35859414261160716</v>
      </c>
      <c r="L421" s="163" t="s">
        <v>111</v>
      </c>
    </row>
    <row r="422" spans="1:12" hidden="1">
      <c r="A422" s="34" t="s">
        <v>114</v>
      </c>
      <c r="B422" s="339">
        <v>1998</v>
      </c>
      <c r="C422" s="59" t="s">
        <v>90</v>
      </c>
      <c r="D422" s="59">
        <v>219</v>
      </c>
      <c r="E422" s="496" t="s">
        <v>110</v>
      </c>
      <c r="F422" s="29">
        <v>1</v>
      </c>
      <c r="G422" s="9">
        <v>1</v>
      </c>
      <c r="H422" s="9">
        <v>1</v>
      </c>
      <c r="I422" s="9">
        <v>2</v>
      </c>
      <c r="J422" s="43">
        <v>2</v>
      </c>
      <c r="K422" s="262">
        <f t="shared" si="6"/>
        <v>0.35859414261160716</v>
      </c>
      <c r="L422" s="163" t="s">
        <v>111</v>
      </c>
    </row>
    <row r="423" spans="1:12" hidden="1">
      <c r="A423" s="34" t="s">
        <v>114</v>
      </c>
      <c r="B423" s="339">
        <v>1998</v>
      </c>
      <c r="C423" s="59" t="s">
        <v>91</v>
      </c>
      <c r="D423" s="59">
        <v>0</v>
      </c>
      <c r="E423" s="496" t="s">
        <v>110</v>
      </c>
      <c r="F423" s="29">
        <v>1</v>
      </c>
      <c r="G423" s="9">
        <v>1</v>
      </c>
      <c r="H423" s="9">
        <v>1</v>
      </c>
      <c r="I423" s="9">
        <v>2</v>
      </c>
      <c r="J423" s="43">
        <v>2</v>
      </c>
      <c r="K423" s="262">
        <f t="shared" si="6"/>
        <v>0.35859414261160716</v>
      </c>
      <c r="L423" s="163" t="s">
        <v>111</v>
      </c>
    </row>
    <row r="424" spans="1:12" hidden="1">
      <c r="A424" s="34" t="s">
        <v>114</v>
      </c>
      <c r="B424" s="339">
        <v>1998</v>
      </c>
      <c r="C424" s="59" t="s">
        <v>94</v>
      </c>
      <c r="D424" s="59">
        <v>20</v>
      </c>
      <c r="E424" s="496" t="s">
        <v>110</v>
      </c>
      <c r="F424" s="29">
        <v>1</v>
      </c>
      <c r="G424" s="9">
        <v>1</v>
      </c>
      <c r="H424" s="9">
        <v>1</v>
      </c>
      <c r="I424" s="9">
        <v>2</v>
      </c>
      <c r="J424" s="43">
        <v>2</v>
      </c>
      <c r="K424" s="262">
        <f t="shared" si="6"/>
        <v>0.35859414261160716</v>
      </c>
      <c r="L424" s="163" t="s">
        <v>111</v>
      </c>
    </row>
    <row r="425" spans="1:12" hidden="1">
      <c r="A425" s="34" t="s">
        <v>114</v>
      </c>
      <c r="B425" s="339">
        <v>1998</v>
      </c>
      <c r="C425" s="59" t="s">
        <v>96</v>
      </c>
      <c r="D425" s="59">
        <v>67</v>
      </c>
      <c r="E425" s="496" t="s">
        <v>110</v>
      </c>
      <c r="F425" s="29">
        <v>1</v>
      </c>
      <c r="G425" s="9">
        <v>1</v>
      </c>
      <c r="H425" s="9">
        <v>1</v>
      </c>
      <c r="I425" s="9">
        <v>2</v>
      </c>
      <c r="J425" s="43">
        <v>2</v>
      </c>
      <c r="K425" s="262">
        <f t="shared" si="6"/>
        <v>0.35859414261160716</v>
      </c>
      <c r="L425" s="163" t="s">
        <v>111</v>
      </c>
    </row>
    <row r="426" spans="1:12">
      <c r="A426" s="34" t="s">
        <v>114</v>
      </c>
      <c r="B426" s="339">
        <v>1998</v>
      </c>
      <c r="C426" s="59" t="s">
        <v>97</v>
      </c>
      <c r="D426" s="59">
        <v>96</v>
      </c>
      <c r="E426" s="496" t="s">
        <v>110</v>
      </c>
      <c r="F426" s="29">
        <v>1</v>
      </c>
      <c r="G426" s="9">
        <v>1</v>
      </c>
      <c r="H426" s="9">
        <v>1</v>
      </c>
      <c r="I426" s="9">
        <v>2</v>
      </c>
      <c r="J426" s="43">
        <v>2</v>
      </c>
      <c r="K426" s="262">
        <f t="shared" si="6"/>
        <v>0.35859414261160716</v>
      </c>
      <c r="L426" s="163" t="s">
        <v>111</v>
      </c>
    </row>
    <row r="427" spans="1:12" hidden="1">
      <c r="A427" s="34" t="s">
        <v>114</v>
      </c>
      <c r="B427" s="339">
        <v>1998</v>
      </c>
      <c r="C427" s="59" t="s">
        <v>95</v>
      </c>
      <c r="D427" s="59">
        <v>141</v>
      </c>
      <c r="E427" s="496" t="s">
        <v>110</v>
      </c>
      <c r="F427" s="29">
        <v>1</v>
      </c>
      <c r="G427" s="9">
        <v>1</v>
      </c>
      <c r="H427" s="9">
        <v>1</v>
      </c>
      <c r="I427" s="9">
        <v>2</v>
      </c>
      <c r="J427" s="43">
        <v>2</v>
      </c>
      <c r="K427" s="262">
        <f t="shared" si="6"/>
        <v>0.35859414261160716</v>
      </c>
      <c r="L427" s="163" t="s">
        <v>111</v>
      </c>
    </row>
    <row r="428" spans="1:12" hidden="1">
      <c r="A428" s="34" t="s">
        <v>114</v>
      </c>
      <c r="B428" s="339">
        <v>1998</v>
      </c>
      <c r="C428" s="59" t="s">
        <v>93</v>
      </c>
      <c r="D428" s="59">
        <v>16</v>
      </c>
      <c r="E428" s="496" t="s">
        <v>110</v>
      </c>
      <c r="F428" s="29">
        <v>1</v>
      </c>
      <c r="G428" s="9">
        <v>1</v>
      </c>
      <c r="H428" s="9">
        <v>1</v>
      </c>
      <c r="I428" s="9">
        <v>2</v>
      </c>
      <c r="J428" s="43">
        <v>2</v>
      </c>
      <c r="K428" s="262">
        <f t="shared" si="6"/>
        <v>0.35859414261160716</v>
      </c>
      <c r="L428" s="163" t="s">
        <v>111</v>
      </c>
    </row>
    <row r="429" spans="1:12" hidden="1">
      <c r="A429" s="34" t="s">
        <v>114</v>
      </c>
      <c r="B429" s="339">
        <v>1998</v>
      </c>
      <c r="C429" s="59" t="s">
        <v>98</v>
      </c>
      <c r="D429" s="59">
        <v>544</v>
      </c>
      <c r="E429" s="496" t="s">
        <v>110</v>
      </c>
      <c r="F429" s="29">
        <v>1</v>
      </c>
      <c r="G429" s="9">
        <v>1</v>
      </c>
      <c r="H429" s="9">
        <v>1</v>
      </c>
      <c r="I429" s="9">
        <v>2</v>
      </c>
      <c r="J429" s="43">
        <v>2</v>
      </c>
      <c r="K429" s="262">
        <f t="shared" si="6"/>
        <v>0.35859414261160716</v>
      </c>
      <c r="L429" s="163" t="s">
        <v>111</v>
      </c>
    </row>
    <row r="430" spans="1:12" hidden="1">
      <c r="A430" s="34" t="s">
        <v>114</v>
      </c>
      <c r="B430" s="339">
        <v>1999</v>
      </c>
      <c r="C430" s="59" t="s">
        <v>85</v>
      </c>
      <c r="D430" s="59">
        <v>379</v>
      </c>
      <c r="E430" s="496" t="s">
        <v>110</v>
      </c>
      <c r="F430" s="29">
        <v>1</v>
      </c>
      <c r="G430" s="9">
        <v>1</v>
      </c>
      <c r="H430" s="9">
        <v>1</v>
      </c>
      <c r="I430" s="9">
        <v>2</v>
      </c>
      <c r="J430" s="43">
        <v>2</v>
      </c>
      <c r="K430" s="262">
        <f t="shared" si="6"/>
        <v>0.35859414261160716</v>
      </c>
      <c r="L430" s="163" t="s">
        <v>111</v>
      </c>
    </row>
    <row r="431" spans="1:12" hidden="1">
      <c r="A431" s="34" t="s">
        <v>114</v>
      </c>
      <c r="B431" s="339">
        <v>1999</v>
      </c>
      <c r="C431" s="59" t="s">
        <v>86</v>
      </c>
      <c r="D431" s="59">
        <v>170</v>
      </c>
      <c r="E431" s="496" t="s">
        <v>110</v>
      </c>
      <c r="F431" s="29">
        <v>1</v>
      </c>
      <c r="G431" s="9">
        <v>1</v>
      </c>
      <c r="H431" s="9">
        <v>1</v>
      </c>
      <c r="I431" s="9">
        <v>2</v>
      </c>
      <c r="J431" s="43">
        <v>2</v>
      </c>
      <c r="K431" s="262">
        <f t="shared" si="6"/>
        <v>0.35859414261160716</v>
      </c>
      <c r="L431" s="163" t="s">
        <v>111</v>
      </c>
    </row>
    <row r="432" spans="1:12" hidden="1">
      <c r="A432" s="34" t="s">
        <v>114</v>
      </c>
      <c r="B432" s="339">
        <v>1999</v>
      </c>
      <c r="C432" s="59" t="s">
        <v>87</v>
      </c>
      <c r="D432" s="59">
        <v>180</v>
      </c>
      <c r="E432" s="496" t="s">
        <v>110</v>
      </c>
      <c r="F432" s="29">
        <v>1</v>
      </c>
      <c r="G432" s="9">
        <v>1</v>
      </c>
      <c r="H432" s="9">
        <v>1</v>
      </c>
      <c r="I432" s="9">
        <v>2</v>
      </c>
      <c r="J432" s="43">
        <v>2</v>
      </c>
      <c r="K432" s="262">
        <f t="shared" si="6"/>
        <v>0.35859414261160716</v>
      </c>
      <c r="L432" s="163" t="s">
        <v>111</v>
      </c>
    </row>
    <row r="433" spans="1:12">
      <c r="A433" s="34" t="s">
        <v>114</v>
      </c>
      <c r="B433" s="339">
        <v>1999</v>
      </c>
      <c r="C433" s="59" t="s">
        <v>88</v>
      </c>
      <c r="D433" s="59">
        <v>80</v>
      </c>
      <c r="E433" s="496" t="s">
        <v>110</v>
      </c>
      <c r="F433" s="29">
        <v>1</v>
      </c>
      <c r="G433" s="9">
        <v>1</v>
      </c>
      <c r="H433" s="9">
        <v>1</v>
      </c>
      <c r="I433" s="9">
        <v>2</v>
      </c>
      <c r="J433" s="43">
        <v>2</v>
      </c>
      <c r="K433" s="262">
        <f t="shared" si="6"/>
        <v>0.35859414261160716</v>
      </c>
      <c r="L433" s="163" t="s">
        <v>111</v>
      </c>
    </row>
    <row r="434" spans="1:12" hidden="1">
      <c r="A434" s="34" t="s">
        <v>114</v>
      </c>
      <c r="B434" s="339">
        <v>1999</v>
      </c>
      <c r="C434" s="59" t="s">
        <v>89</v>
      </c>
      <c r="D434" s="59">
        <v>26</v>
      </c>
      <c r="E434" s="496" t="s">
        <v>110</v>
      </c>
      <c r="F434" s="29">
        <v>1</v>
      </c>
      <c r="G434" s="9">
        <v>1</v>
      </c>
      <c r="H434" s="9">
        <v>1</v>
      </c>
      <c r="I434" s="9">
        <v>2</v>
      </c>
      <c r="J434" s="43">
        <v>2</v>
      </c>
      <c r="K434" s="262">
        <f t="shared" si="6"/>
        <v>0.35859414261160716</v>
      </c>
      <c r="L434" s="163" t="s">
        <v>111</v>
      </c>
    </row>
    <row r="435" spans="1:12" hidden="1">
      <c r="A435" s="34" t="s">
        <v>114</v>
      </c>
      <c r="B435" s="339">
        <v>1999</v>
      </c>
      <c r="C435" s="59" t="s">
        <v>90</v>
      </c>
      <c r="D435" s="59">
        <v>245</v>
      </c>
      <c r="E435" s="496" t="s">
        <v>110</v>
      </c>
      <c r="F435" s="29">
        <v>1</v>
      </c>
      <c r="G435" s="9">
        <v>1</v>
      </c>
      <c r="H435" s="9">
        <v>1</v>
      </c>
      <c r="I435" s="9">
        <v>2</v>
      </c>
      <c r="J435" s="43">
        <v>2</v>
      </c>
      <c r="K435" s="262">
        <f t="shared" si="6"/>
        <v>0.35859414261160716</v>
      </c>
      <c r="L435" s="163" t="s">
        <v>111</v>
      </c>
    </row>
    <row r="436" spans="1:12" hidden="1">
      <c r="A436" s="34" t="s">
        <v>114</v>
      </c>
      <c r="B436" s="339">
        <v>1999</v>
      </c>
      <c r="C436" s="59" t="s">
        <v>91</v>
      </c>
      <c r="D436" s="59">
        <v>0</v>
      </c>
      <c r="E436" s="496" t="s">
        <v>110</v>
      </c>
      <c r="F436" s="29">
        <v>1</v>
      </c>
      <c r="G436" s="9">
        <v>1</v>
      </c>
      <c r="H436" s="9">
        <v>1</v>
      </c>
      <c r="I436" s="9">
        <v>2</v>
      </c>
      <c r="J436" s="43">
        <v>2</v>
      </c>
      <c r="K436" s="262">
        <f t="shared" si="6"/>
        <v>0.35859414261160716</v>
      </c>
      <c r="L436" s="163" t="s">
        <v>111</v>
      </c>
    </row>
    <row r="437" spans="1:12" hidden="1">
      <c r="A437" s="34" t="s">
        <v>114</v>
      </c>
      <c r="B437" s="339">
        <v>1999</v>
      </c>
      <c r="C437" s="59" t="s">
        <v>94</v>
      </c>
      <c r="D437" s="59">
        <v>15</v>
      </c>
      <c r="E437" s="496" t="s">
        <v>110</v>
      </c>
      <c r="F437" s="29">
        <v>1</v>
      </c>
      <c r="G437" s="9">
        <v>1</v>
      </c>
      <c r="H437" s="9">
        <v>1</v>
      </c>
      <c r="I437" s="9">
        <v>2</v>
      </c>
      <c r="J437" s="43">
        <v>2</v>
      </c>
      <c r="K437" s="262">
        <f t="shared" si="6"/>
        <v>0.35859414261160716</v>
      </c>
      <c r="L437" s="163" t="s">
        <v>111</v>
      </c>
    </row>
    <row r="438" spans="1:12" hidden="1">
      <c r="A438" s="34" t="s">
        <v>114</v>
      </c>
      <c r="B438" s="339">
        <v>1999</v>
      </c>
      <c r="C438" s="59" t="s">
        <v>96</v>
      </c>
      <c r="D438" s="59">
        <v>39</v>
      </c>
      <c r="E438" s="496" t="s">
        <v>110</v>
      </c>
      <c r="F438" s="29">
        <v>1</v>
      </c>
      <c r="G438" s="9">
        <v>1</v>
      </c>
      <c r="H438" s="9">
        <v>1</v>
      </c>
      <c r="I438" s="9">
        <v>2</v>
      </c>
      <c r="J438" s="43">
        <v>2</v>
      </c>
      <c r="K438" s="262">
        <f t="shared" si="6"/>
        <v>0.35859414261160716</v>
      </c>
      <c r="L438" s="163" t="s">
        <v>111</v>
      </c>
    </row>
    <row r="439" spans="1:12">
      <c r="A439" s="34" t="s">
        <v>114</v>
      </c>
      <c r="B439" s="339">
        <v>1999</v>
      </c>
      <c r="C439" s="59" t="s">
        <v>97</v>
      </c>
      <c r="D439" s="59">
        <v>117</v>
      </c>
      <c r="E439" s="496" t="s">
        <v>110</v>
      </c>
      <c r="F439" s="29">
        <v>1</v>
      </c>
      <c r="G439" s="9">
        <v>1</v>
      </c>
      <c r="H439" s="9">
        <v>1</v>
      </c>
      <c r="I439" s="9">
        <v>2</v>
      </c>
      <c r="J439" s="43">
        <v>2</v>
      </c>
      <c r="K439" s="262">
        <f t="shared" si="6"/>
        <v>0.35859414261160716</v>
      </c>
      <c r="L439" s="163" t="s">
        <v>111</v>
      </c>
    </row>
    <row r="440" spans="1:12" hidden="1">
      <c r="A440" s="34" t="s">
        <v>114</v>
      </c>
      <c r="B440" s="339">
        <v>1999</v>
      </c>
      <c r="C440" s="59" t="s">
        <v>95</v>
      </c>
      <c r="D440" s="59">
        <v>58</v>
      </c>
      <c r="E440" s="496" t="s">
        <v>110</v>
      </c>
      <c r="F440" s="29">
        <v>1</v>
      </c>
      <c r="G440" s="9">
        <v>1</v>
      </c>
      <c r="H440" s="9">
        <v>1</v>
      </c>
      <c r="I440" s="9">
        <v>2</v>
      </c>
      <c r="J440" s="43">
        <v>2</v>
      </c>
      <c r="K440" s="262">
        <f t="shared" si="6"/>
        <v>0.35859414261160716</v>
      </c>
      <c r="L440" s="163" t="s">
        <v>111</v>
      </c>
    </row>
    <row r="441" spans="1:12" hidden="1">
      <c r="A441" s="34" t="s">
        <v>114</v>
      </c>
      <c r="B441" s="339">
        <v>1999</v>
      </c>
      <c r="C441" s="59" t="s">
        <v>93</v>
      </c>
      <c r="D441" s="59">
        <v>20</v>
      </c>
      <c r="E441" s="496" t="s">
        <v>110</v>
      </c>
      <c r="F441" s="29">
        <v>1</v>
      </c>
      <c r="G441" s="9">
        <v>1</v>
      </c>
      <c r="H441" s="9">
        <v>1</v>
      </c>
      <c r="I441" s="9">
        <v>2</v>
      </c>
      <c r="J441" s="43">
        <v>2</v>
      </c>
      <c r="K441" s="262">
        <f t="shared" si="6"/>
        <v>0.35859414261160716</v>
      </c>
      <c r="L441" s="163" t="s">
        <v>111</v>
      </c>
    </row>
    <row r="442" spans="1:12" hidden="1">
      <c r="A442" s="34" t="s">
        <v>114</v>
      </c>
      <c r="B442" s="339">
        <v>1999</v>
      </c>
      <c r="C442" s="59" t="s">
        <v>98</v>
      </c>
      <c r="D442" s="59">
        <v>511</v>
      </c>
      <c r="E442" s="496" t="s">
        <v>110</v>
      </c>
      <c r="F442" s="29">
        <v>1</v>
      </c>
      <c r="G442" s="9">
        <v>1</v>
      </c>
      <c r="H442" s="9">
        <v>1</v>
      </c>
      <c r="I442" s="9">
        <v>2</v>
      </c>
      <c r="J442" s="43">
        <v>2</v>
      </c>
      <c r="K442" s="262">
        <f t="shared" si="6"/>
        <v>0.35859414261160716</v>
      </c>
      <c r="L442" s="163" t="s">
        <v>111</v>
      </c>
    </row>
    <row r="443" spans="1:12" hidden="1">
      <c r="A443" s="34" t="s">
        <v>114</v>
      </c>
      <c r="B443" s="339">
        <v>2000</v>
      </c>
      <c r="C443" s="59" t="s">
        <v>85</v>
      </c>
      <c r="D443" s="59">
        <v>388</v>
      </c>
      <c r="E443" s="496" t="s">
        <v>110</v>
      </c>
      <c r="F443" s="29">
        <v>1</v>
      </c>
      <c r="G443" s="9">
        <v>1</v>
      </c>
      <c r="H443" s="9">
        <v>1</v>
      </c>
      <c r="I443" s="9">
        <v>2</v>
      </c>
      <c r="J443" s="43">
        <v>2</v>
      </c>
      <c r="K443" s="262">
        <f t="shared" si="6"/>
        <v>0.35859414261160716</v>
      </c>
      <c r="L443" s="163" t="s">
        <v>111</v>
      </c>
    </row>
    <row r="444" spans="1:12" hidden="1">
      <c r="A444" s="34" t="s">
        <v>114</v>
      </c>
      <c r="B444" s="339">
        <v>2000</v>
      </c>
      <c r="C444" s="59" t="s">
        <v>86</v>
      </c>
      <c r="D444" s="59">
        <v>167</v>
      </c>
      <c r="E444" s="496" t="s">
        <v>110</v>
      </c>
      <c r="F444" s="29">
        <v>1</v>
      </c>
      <c r="G444" s="9">
        <v>1</v>
      </c>
      <c r="H444" s="9">
        <v>1</v>
      </c>
      <c r="I444" s="9">
        <v>2</v>
      </c>
      <c r="J444" s="43">
        <v>2</v>
      </c>
      <c r="K444" s="262">
        <f t="shared" si="6"/>
        <v>0.35859414261160716</v>
      </c>
      <c r="L444" s="163" t="s">
        <v>111</v>
      </c>
    </row>
    <row r="445" spans="1:12" hidden="1">
      <c r="A445" s="34" t="s">
        <v>114</v>
      </c>
      <c r="B445" s="339">
        <v>2000</v>
      </c>
      <c r="C445" s="59" t="s">
        <v>87</v>
      </c>
      <c r="D445" s="59">
        <v>176</v>
      </c>
      <c r="E445" s="496" t="s">
        <v>110</v>
      </c>
      <c r="F445" s="29">
        <v>1</v>
      </c>
      <c r="G445" s="9">
        <v>1</v>
      </c>
      <c r="H445" s="9">
        <v>1</v>
      </c>
      <c r="I445" s="9">
        <v>2</v>
      </c>
      <c r="J445" s="43">
        <v>2</v>
      </c>
      <c r="K445" s="262">
        <f t="shared" ref="K445:K508" si="7">IF( OR( ISBLANK(F445),ISBLANK(G445), ISBLANK(H445), ISBLANK(I445), ISBLANK(J445) ), "", 1.5*SQRT(   EXP(2.21*(F445-1)) + EXP(2.21*(G445-1)) + EXP(2.21*(H445-1)) + EXP(2.21*(I445-1)) + EXP(2.21*J445)   )/100*2.45 )</f>
        <v>0.35859414261160716</v>
      </c>
      <c r="L445" s="163" t="s">
        <v>111</v>
      </c>
    </row>
    <row r="446" spans="1:12">
      <c r="A446" s="34" t="s">
        <v>114</v>
      </c>
      <c r="B446" s="339">
        <v>2000</v>
      </c>
      <c r="C446" s="59" t="s">
        <v>88</v>
      </c>
      <c r="D446" s="59">
        <v>76</v>
      </c>
      <c r="E446" s="496" t="s">
        <v>110</v>
      </c>
      <c r="F446" s="29">
        <v>1</v>
      </c>
      <c r="G446" s="9">
        <v>1</v>
      </c>
      <c r="H446" s="9">
        <v>1</v>
      </c>
      <c r="I446" s="9">
        <v>2</v>
      </c>
      <c r="J446" s="43">
        <v>2</v>
      </c>
      <c r="K446" s="262">
        <f t="shared" si="7"/>
        <v>0.35859414261160716</v>
      </c>
      <c r="L446" s="163" t="s">
        <v>111</v>
      </c>
    </row>
    <row r="447" spans="1:12" hidden="1">
      <c r="A447" s="34" t="s">
        <v>114</v>
      </c>
      <c r="B447" s="339">
        <v>2000</v>
      </c>
      <c r="C447" s="59" t="s">
        <v>89</v>
      </c>
      <c r="D447" s="59">
        <v>17</v>
      </c>
      <c r="E447" s="496" t="s">
        <v>110</v>
      </c>
      <c r="F447" s="29">
        <v>1</v>
      </c>
      <c r="G447" s="9">
        <v>1</v>
      </c>
      <c r="H447" s="9">
        <v>1</v>
      </c>
      <c r="I447" s="9">
        <v>2</v>
      </c>
      <c r="J447" s="43">
        <v>2</v>
      </c>
      <c r="K447" s="262">
        <f t="shared" si="7"/>
        <v>0.35859414261160716</v>
      </c>
      <c r="L447" s="163" t="s">
        <v>111</v>
      </c>
    </row>
    <row r="448" spans="1:12" hidden="1">
      <c r="A448" s="34" t="s">
        <v>114</v>
      </c>
      <c r="B448" s="339">
        <v>2000</v>
      </c>
      <c r="C448" s="59" t="s">
        <v>90</v>
      </c>
      <c r="D448" s="59">
        <v>204</v>
      </c>
      <c r="E448" s="496" t="s">
        <v>110</v>
      </c>
      <c r="F448" s="29">
        <v>1</v>
      </c>
      <c r="G448" s="9">
        <v>1</v>
      </c>
      <c r="H448" s="9">
        <v>1</v>
      </c>
      <c r="I448" s="9">
        <v>2</v>
      </c>
      <c r="J448" s="43">
        <v>2</v>
      </c>
      <c r="K448" s="262">
        <f t="shared" si="7"/>
        <v>0.35859414261160716</v>
      </c>
      <c r="L448" s="163" t="s">
        <v>111</v>
      </c>
    </row>
    <row r="449" spans="1:12" hidden="1">
      <c r="A449" s="34" t="s">
        <v>114</v>
      </c>
      <c r="B449" s="339">
        <v>2000</v>
      </c>
      <c r="C449" s="59" t="s">
        <v>91</v>
      </c>
      <c r="D449" s="59">
        <v>115</v>
      </c>
      <c r="E449" s="496" t="s">
        <v>110</v>
      </c>
      <c r="F449" s="29">
        <v>1</v>
      </c>
      <c r="G449" s="9">
        <v>1</v>
      </c>
      <c r="H449" s="9">
        <v>1</v>
      </c>
      <c r="I449" s="9">
        <v>2</v>
      </c>
      <c r="J449" s="43">
        <v>2</v>
      </c>
      <c r="K449" s="262">
        <f t="shared" si="7"/>
        <v>0.35859414261160716</v>
      </c>
      <c r="L449" s="163" t="s">
        <v>111</v>
      </c>
    </row>
    <row r="450" spans="1:12" hidden="1">
      <c r="A450" s="34" t="s">
        <v>114</v>
      </c>
      <c r="B450" s="339">
        <v>2000</v>
      </c>
      <c r="C450" s="59" t="s">
        <v>94</v>
      </c>
      <c r="D450" s="59">
        <v>16</v>
      </c>
      <c r="E450" s="496" t="s">
        <v>110</v>
      </c>
      <c r="F450" s="29">
        <v>1</v>
      </c>
      <c r="G450" s="9">
        <v>1</v>
      </c>
      <c r="H450" s="9">
        <v>1</v>
      </c>
      <c r="I450" s="9">
        <v>2</v>
      </c>
      <c r="J450" s="43">
        <v>2</v>
      </c>
      <c r="K450" s="262">
        <f t="shared" si="7"/>
        <v>0.35859414261160716</v>
      </c>
      <c r="L450" s="163" t="s">
        <v>111</v>
      </c>
    </row>
    <row r="451" spans="1:12" hidden="1">
      <c r="A451" s="34" t="s">
        <v>114</v>
      </c>
      <c r="B451" s="339">
        <v>2000</v>
      </c>
      <c r="C451" s="59" t="s">
        <v>96</v>
      </c>
      <c r="D451" s="59">
        <v>49</v>
      </c>
      <c r="E451" s="496" t="s">
        <v>110</v>
      </c>
      <c r="F451" s="29">
        <v>1</v>
      </c>
      <c r="G451" s="9">
        <v>1</v>
      </c>
      <c r="H451" s="9">
        <v>1</v>
      </c>
      <c r="I451" s="9">
        <v>2</v>
      </c>
      <c r="J451" s="43">
        <v>2</v>
      </c>
      <c r="K451" s="262">
        <f t="shared" si="7"/>
        <v>0.35859414261160716</v>
      </c>
      <c r="L451" s="163" t="s">
        <v>111</v>
      </c>
    </row>
    <row r="452" spans="1:12">
      <c r="A452" s="34" t="s">
        <v>114</v>
      </c>
      <c r="B452" s="339">
        <v>2000</v>
      </c>
      <c r="C452" s="59" t="s">
        <v>97</v>
      </c>
      <c r="D452" s="59">
        <v>116</v>
      </c>
      <c r="E452" s="496" t="s">
        <v>110</v>
      </c>
      <c r="F452" s="29">
        <v>1</v>
      </c>
      <c r="G452" s="9">
        <v>1</v>
      </c>
      <c r="H452" s="9">
        <v>1</v>
      </c>
      <c r="I452" s="9">
        <v>2</v>
      </c>
      <c r="J452" s="43">
        <v>2</v>
      </c>
      <c r="K452" s="262">
        <f t="shared" si="7"/>
        <v>0.35859414261160716</v>
      </c>
      <c r="L452" s="163" t="s">
        <v>111</v>
      </c>
    </row>
    <row r="453" spans="1:12" hidden="1">
      <c r="A453" s="34" t="s">
        <v>114</v>
      </c>
      <c r="B453" s="339">
        <v>2000</v>
      </c>
      <c r="C453" s="59" t="s">
        <v>95</v>
      </c>
      <c r="D453" s="59">
        <v>57</v>
      </c>
      <c r="E453" s="496" t="s">
        <v>110</v>
      </c>
      <c r="F453" s="29">
        <v>1</v>
      </c>
      <c r="G453" s="9">
        <v>1</v>
      </c>
      <c r="H453" s="9">
        <v>1</v>
      </c>
      <c r="I453" s="9">
        <v>2</v>
      </c>
      <c r="J453" s="43">
        <v>2</v>
      </c>
      <c r="K453" s="262">
        <f t="shared" si="7"/>
        <v>0.35859414261160716</v>
      </c>
      <c r="L453" s="163" t="s">
        <v>111</v>
      </c>
    </row>
    <row r="454" spans="1:12" hidden="1">
      <c r="A454" s="34" t="s">
        <v>114</v>
      </c>
      <c r="B454" s="339">
        <v>2000</v>
      </c>
      <c r="C454" s="59" t="s">
        <v>93</v>
      </c>
      <c r="D454" s="59">
        <v>26</v>
      </c>
      <c r="E454" s="496" t="s">
        <v>110</v>
      </c>
      <c r="F454" s="29">
        <v>1</v>
      </c>
      <c r="G454" s="9">
        <v>1</v>
      </c>
      <c r="H454" s="9">
        <v>1</v>
      </c>
      <c r="I454" s="9">
        <v>2</v>
      </c>
      <c r="J454" s="43">
        <v>2</v>
      </c>
      <c r="K454" s="262">
        <f t="shared" si="7"/>
        <v>0.35859414261160716</v>
      </c>
      <c r="L454" s="163" t="s">
        <v>111</v>
      </c>
    </row>
    <row r="455" spans="1:12" hidden="1">
      <c r="A455" s="34" t="s">
        <v>114</v>
      </c>
      <c r="B455" s="339">
        <v>2000</v>
      </c>
      <c r="C455" s="59" t="s">
        <v>98</v>
      </c>
      <c r="D455" s="59">
        <v>546</v>
      </c>
      <c r="E455" s="496" t="s">
        <v>110</v>
      </c>
      <c r="F455" s="29">
        <v>1</v>
      </c>
      <c r="G455" s="9">
        <v>1</v>
      </c>
      <c r="H455" s="9">
        <v>1</v>
      </c>
      <c r="I455" s="9">
        <v>2</v>
      </c>
      <c r="J455" s="43">
        <v>2</v>
      </c>
      <c r="K455" s="262">
        <f t="shared" si="7"/>
        <v>0.35859414261160716</v>
      </c>
      <c r="L455" s="163" t="s">
        <v>111</v>
      </c>
    </row>
    <row r="456" spans="1:12" hidden="1">
      <c r="A456" s="34" t="s">
        <v>114</v>
      </c>
      <c r="B456" s="339">
        <v>2001</v>
      </c>
      <c r="C456" s="59" t="s">
        <v>85</v>
      </c>
      <c r="D456" s="59">
        <v>404</v>
      </c>
      <c r="E456" s="496" t="s">
        <v>110</v>
      </c>
      <c r="F456" s="29">
        <v>1</v>
      </c>
      <c r="G456" s="9">
        <v>1</v>
      </c>
      <c r="H456" s="9">
        <v>1</v>
      </c>
      <c r="I456" s="9">
        <v>2</v>
      </c>
      <c r="J456" s="43">
        <v>2</v>
      </c>
      <c r="K456" s="262">
        <f t="shared" si="7"/>
        <v>0.35859414261160716</v>
      </c>
      <c r="L456" s="163" t="s">
        <v>111</v>
      </c>
    </row>
    <row r="457" spans="1:12" hidden="1">
      <c r="A457" s="34" t="s">
        <v>114</v>
      </c>
      <c r="B457" s="339">
        <v>2001</v>
      </c>
      <c r="C457" s="59" t="s">
        <v>86</v>
      </c>
      <c r="D457" s="59">
        <v>135</v>
      </c>
      <c r="E457" s="496" t="s">
        <v>110</v>
      </c>
      <c r="F457" s="29">
        <v>1</v>
      </c>
      <c r="G457" s="9">
        <v>1</v>
      </c>
      <c r="H457" s="9">
        <v>1</v>
      </c>
      <c r="I457" s="9">
        <v>2</v>
      </c>
      <c r="J457" s="43">
        <v>2</v>
      </c>
      <c r="K457" s="262">
        <f t="shared" si="7"/>
        <v>0.35859414261160716</v>
      </c>
      <c r="L457" s="163" t="s">
        <v>111</v>
      </c>
    </row>
    <row r="458" spans="1:12" hidden="1">
      <c r="A458" s="34" t="s">
        <v>114</v>
      </c>
      <c r="B458" s="339">
        <v>2001</v>
      </c>
      <c r="C458" s="59" t="s">
        <v>87</v>
      </c>
      <c r="D458" s="59">
        <v>169</v>
      </c>
      <c r="E458" s="496" t="s">
        <v>110</v>
      </c>
      <c r="F458" s="29">
        <v>1</v>
      </c>
      <c r="G458" s="9">
        <v>1</v>
      </c>
      <c r="H458" s="9">
        <v>1</v>
      </c>
      <c r="I458" s="9">
        <v>2</v>
      </c>
      <c r="J458" s="43">
        <v>2</v>
      </c>
      <c r="K458" s="262">
        <f t="shared" si="7"/>
        <v>0.35859414261160716</v>
      </c>
      <c r="L458" s="163" t="s">
        <v>111</v>
      </c>
    </row>
    <row r="459" spans="1:12">
      <c r="A459" s="34" t="s">
        <v>114</v>
      </c>
      <c r="B459" s="339">
        <v>2001</v>
      </c>
      <c r="C459" s="59" t="s">
        <v>88</v>
      </c>
      <c r="D459" s="59">
        <v>75</v>
      </c>
      <c r="E459" s="496" t="s">
        <v>110</v>
      </c>
      <c r="F459" s="29">
        <v>1</v>
      </c>
      <c r="G459" s="9">
        <v>1</v>
      </c>
      <c r="H459" s="9">
        <v>1</v>
      </c>
      <c r="I459" s="9">
        <v>2</v>
      </c>
      <c r="J459" s="43">
        <v>2</v>
      </c>
      <c r="K459" s="262">
        <f t="shared" si="7"/>
        <v>0.35859414261160716</v>
      </c>
      <c r="L459" s="163" t="s">
        <v>111</v>
      </c>
    </row>
    <row r="460" spans="1:12" hidden="1">
      <c r="A460" s="34" t="s">
        <v>114</v>
      </c>
      <c r="B460" s="339">
        <v>2001</v>
      </c>
      <c r="C460" s="59" t="s">
        <v>89</v>
      </c>
      <c r="D460" s="59">
        <v>27</v>
      </c>
      <c r="E460" s="496" t="s">
        <v>110</v>
      </c>
      <c r="F460" s="29">
        <v>1</v>
      </c>
      <c r="G460" s="9">
        <v>1</v>
      </c>
      <c r="H460" s="9">
        <v>1</v>
      </c>
      <c r="I460" s="9">
        <v>2</v>
      </c>
      <c r="J460" s="43">
        <v>2</v>
      </c>
      <c r="K460" s="262">
        <f t="shared" si="7"/>
        <v>0.35859414261160716</v>
      </c>
      <c r="L460" s="163" t="s">
        <v>111</v>
      </c>
    </row>
    <row r="461" spans="1:12" hidden="1">
      <c r="A461" s="34" t="s">
        <v>114</v>
      </c>
      <c r="B461" s="339">
        <v>2001</v>
      </c>
      <c r="C461" s="59" t="s">
        <v>90</v>
      </c>
      <c r="D461" s="59">
        <v>198</v>
      </c>
      <c r="E461" s="496" t="s">
        <v>110</v>
      </c>
      <c r="F461" s="29">
        <v>1</v>
      </c>
      <c r="G461" s="9">
        <v>1</v>
      </c>
      <c r="H461" s="9">
        <v>1</v>
      </c>
      <c r="I461" s="9">
        <v>2</v>
      </c>
      <c r="J461" s="43">
        <v>2</v>
      </c>
      <c r="K461" s="262">
        <f t="shared" si="7"/>
        <v>0.35859414261160716</v>
      </c>
      <c r="L461" s="163" t="s">
        <v>111</v>
      </c>
    </row>
    <row r="462" spans="1:12" hidden="1">
      <c r="A462" s="34" t="s">
        <v>114</v>
      </c>
      <c r="B462" s="339">
        <v>2001</v>
      </c>
      <c r="C462" s="59" t="s">
        <v>91</v>
      </c>
      <c r="D462" s="59">
        <v>126</v>
      </c>
      <c r="E462" s="496" t="s">
        <v>110</v>
      </c>
      <c r="F462" s="29">
        <v>1</v>
      </c>
      <c r="G462" s="9">
        <v>1</v>
      </c>
      <c r="H462" s="9">
        <v>1</v>
      </c>
      <c r="I462" s="9">
        <v>2</v>
      </c>
      <c r="J462" s="43">
        <v>2</v>
      </c>
      <c r="K462" s="262">
        <f t="shared" si="7"/>
        <v>0.35859414261160716</v>
      </c>
      <c r="L462" s="163" t="s">
        <v>111</v>
      </c>
    </row>
    <row r="463" spans="1:12" hidden="1">
      <c r="A463" s="34" t="s">
        <v>114</v>
      </c>
      <c r="B463" s="339">
        <v>2001</v>
      </c>
      <c r="C463" s="59" t="s">
        <v>94</v>
      </c>
      <c r="D463" s="59">
        <v>19</v>
      </c>
      <c r="E463" s="496" t="s">
        <v>110</v>
      </c>
      <c r="F463" s="29">
        <v>1</v>
      </c>
      <c r="G463" s="9">
        <v>1</v>
      </c>
      <c r="H463" s="9">
        <v>1</v>
      </c>
      <c r="I463" s="9">
        <v>2</v>
      </c>
      <c r="J463" s="43">
        <v>2</v>
      </c>
      <c r="K463" s="262">
        <f t="shared" si="7"/>
        <v>0.35859414261160716</v>
      </c>
      <c r="L463" s="163" t="s">
        <v>111</v>
      </c>
    </row>
    <row r="464" spans="1:12" hidden="1">
      <c r="A464" s="34" t="s">
        <v>114</v>
      </c>
      <c r="B464" s="339">
        <v>2001</v>
      </c>
      <c r="C464" s="59" t="s">
        <v>96</v>
      </c>
      <c r="D464" s="59">
        <v>54</v>
      </c>
      <c r="E464" s="496" t="s">
        <v>110</v>
      </c>
      <c r="F464" s="29">
        <v>1</v>
      </c>
      <c r="G464" s="9">
        <v>1</v>
      </c>
      <c r="H464" s="9">
        <v>1</v>
      </c>
      <c r="I464" s="9">
        <v>2</v>
      </c>
      <c r="J464" s="43">
        <v>2</v>
      </c>
      <c r="K464" s="262">
        <f t="shared" si="7"/>
        <v>0.35859414261160716</v>
      </c>
      <c r="L464" s="163" t="s">
        <v>111</v>
      </c>
    </row>
    <row r="465" spans="1:12">
      <c r="A465" s="34" t="s">
        <v>114</v>
      </c>
      <c r="B465" s="339">
        <v>2001</v>
      </c>
      <c r="C465" s="59" t="s">
        <v>97</v>
      </c>
      <c r="D465" s="59">
        <v>102</v>
      </c>
      <c r="E465" s="496" t="s">
        <v>110</v>
      </c>
      <c r="F465" s="29">
        <v>1</v>
      </c>
      <c r="G465" s="9">
        <v>1</v>
      </c>
      <c r="H465" s="9">
        <v>1</v>
      </c>
      <c r="I465" s="9">
        <v>2</v>
      </c>
      <c r="J465" s="43">
        <v>2</v>
      </c>
      <c r="K465" s="262">
        <f t="shared" si="7"/>
        <v>0.35859414261160716</v>
      </c>
      <c r="L465" s="163" t="s">
        <v>111</v>
      </c>
    </row>
    <row r="466" spans="1:12" hidden="1">
      <c r="A466" s="34" t="s">
        <v>114</v>
      </c>
      <c r="B466" s="339">
        <v>2001</v>
      </c>
      <c r="C466" s="59" t="s">
        <v>95</v>
      </c>
      <c r="D466" s="59">
        <v>43</v>
      </c>
      <c r="E466" s="496" t="s">
        <v>110</v>
      </c>
      <c r="F466" s="29">
        <v>1</v>
      </c>
      <c r="G466" s="9">
        <v>1</v>
      </c>
      <c r="H466" s="9">
        <v>1</v>
      </c>
      <c r="I466" s="9">
        <v>2</v>
      </c>
      <c r="J466" s="43">
        <v>2</v>
      </c>
      <c r="K466" s="262">
        <f t="shared" si="7"/>
        <v>0.35859414261160716</v>
      </c>
      <c r="L466" s="163" t="s">
        <v>111</v>
      </c>
    </row>
    <row r="467" spans="1:12" hidden="1">
      <c r="A467" s="34" t="s">
        <v>114</v>
      </c>
      <c r="B467" s="339">
        <v>2001</v>
      </c>
      <c r="C467" s="59" t="s">
        <v>93</v>
      </c>
      <c r="D467" s="59">
        <v>23</v>
      </c>
      <c r="E467" s="496" t="s">
        <v>110</v>
      </c>
      <c r="F467" s="29">
        <v>1</v>
      </c>
      <c r="G467" s="9">
        <v>1</v>
      </c>
      <c r="H467" s="9">
        <v>1</v>
      </c>
      <c r="I467" s="9">
        <v>2</v>
      </c>
      <c r="J467" s="43">
        <v>2</v>
      </c>
      <c r="K467" s="262">
        <f t="shared" si="7"/>
        <v>0.35859414261160716</v>
      </c>
      <c r="L467" s="163" t="s">
        <v>111</v>
      </c>
    </row>
    <row r="468" spans="1:12" hidden="1">
      <c r="A468" s="34" t="s">
        <v>114</v>
      </c>
      <c r="B468" s="339">
        <v>2001</v>
      </c>
      <c r="C468" s="59" t="s">
        <v>98</v>
      </c>
      <c r="D468" s="59">
        <v>600</v>
      </c>
      <c r="E468" s="496" t="s">
        <v>110</v>
      </c>
      <c r="F468" s="29">
        <v>1</v>
      </c>
      <c r="G468" s="9">
        <v>1</v>
      </c>
      <c r="H468" s="9">
        <v>1</v>
      </c>
      <c r="I468" s="9">
        <v>2</v>
      </c>
      <c r="J468" s="43">
        <v>2</v>
      </c>
      <c r="K468" s="262">
        <f t="shared" si="7"/>
        <v>0.35859414261160716</v>
      </c>
      <c r="L468" s="163" t="s">
        <v>111</v>
      </c>
    </row>
    <row r="469" spans="1:12" hidden="1">
      <c r="A469" s="34" t="s">
        <v>114</v>
      </c>
      <c r="B469" s="339">
        <v>2002</v>
      </c>
      <c r="C469" s="59" t="s">
        <v>85</v>
      </c>
      <c r="D469" s="59">
        <v>494</v>
      </c>
      <c r="E469" s="496" t="s">
        <v>110</v>
      </c>
      <c r="F469" s="29">
        <v>1</v>
      </c>
      <c r="G469" s="9">
        <v>1</v>
      </c>
      <c r="H469" s="9">
        <v>1</v>
      </c>
      <c r="I469" s="9">
        <v>2</v>
      </c>
      <c r="J469" s="43">
        <v>2</v>
      </c>
      <c r="K469" s="262">
        <f t="shared" si="7"/>
        <v>0.35859414261160716</v>
      </c>
      <c r="L469" s="163" t="s">
        <v>111</v>
      </c>
    </row>
    <row r="470" spans="1:12" hidden="1">
      <c r="A470" s="34" t="s">
        <v>114</v>
      </c>
      <c r="B470" s="339">
        <v>2002</v>
      </c>
      <c r="C470" s="59" t="s">
        <v>86</v>
      </c>
      <c r="D470" s="59">
        <v>146</v>
      </c>
      <c r="E470" s="496" t="s">
        <v>110</v>
      </c>
      <c r="F470" s="29">
        <v>1</v>
      </c>
      <c r="G470" s="9">
        <v>1</v>
      </c>
      <c r="H470" s="9">
        <v>1</v>
      </c>
      <c r="I470" s="9">
        <v>2</v>
      </c>
      <c r="J470" s="43">
        <v>2</v>
      </c>
      <c r="K470" s="262">
        <f t="shared" si="7"/>
        <v>0.35859414261160716</v>
      </c>
      <c r="L470" s="163" t="s">
        <v>111</v>
      </c>
    </row>
    <row r="471" spans="1:12" hidden="1">
      <c r="A471" s="34" t="s">
        <v>114</v>
      </c>
      <c r="B471" s="339">
        <v>2002</v>
      </c>
      <c r="C471" s="59" t="s">
        <v>87</v>
      </c>
      <c r="D471" s="59">
        <v>243</v>
      </c>
      <c r="E471" s="496" t="s">
        <v>110</v>
      </c>
      <c r="F471" s="29">
        <v>1</v>
      </c>
      <c r="G471" s="9">
        <v>1</v>
      </c>
      <c r="H471" s="9">
        <v>1</v>
      </c>
      <c r="I471" s="9">
        <v>2</v>
      </c>
      <c r="J471" s="43">
        <v>2</v>
      </c>
      <c r="K471" s="262">
        <f t="shared" si="7"/>
        <v>0.35859414261160716</v>
      </c>
      <c r="L471" s="163" t="s">
        <v>111</v>
      </c>
    </row>
    <row r="472" spans="1:12">
      <c r="A472" s="34" t="s">
        <v>114</v>
      </c>
      <c r="B472" s="339">
        <v>2002</v>
      </c>
      <c r="C472" s="59" t="s">
        <v>88</v>
      </c>
      <c r="D472" s="59">
        <v>73</v>
      </c>
      <c r="E472" s="496" t="s">
        <v>110</v>
      </c>
      <c r="F472" s="29">
        <v>1</v>
      </c>
      <c r="G472" s="9">
        <v>1</v>
      </c>
      <c r="H472" s="9">
        <v>1</v>
      </c>
      <c r="I472" s="9">
        <v>2</v>
      </c>
      <c r="J472" s="43">
        <v>2</v>
      </c>
      <c r="K472" s="262">
        <f t="shared" si="7"/>
        <v>0.35859414261160716</v>
      </c>
      <c r="L472" s="163" t="s">
        <v>111</v>
      </c>
    </row>
    <row r="473" spans="1:12" hidden="1">
      <c r="A473" s="34" t="s">
        <v>114</v>
      </c>
      <c r="B473" s="339">
        <v>2002</v>
      </c>
      <c r="C473" s="59" t="s">
        <v>89</v>
      </c>
      <c r="D473" s="59">
        <v>30</v>
      </c>
      <c r="E473" s="496" t="s">
        <v>110</v>
      </c>
      <c r="F473" s="29">
        <v>1</v>
      </c>
      <c r="G473" s="9">
        <v>1</v>
      </c>
      <c r="H473" s="9">
        <v>1</v>
      </c>
      <c r="I473" s="9">
        <v>2</v>
      </c>
      <c r="J473" s="43">
        <v>2</v>
      </c>
      <c r="K473" s="262">
        <f t="shared" si="7"/>
        <v>0.35859414261160716</v>
      </c>
      <c r="L473" s="163" t="s">
        <v>111</v>
      </c>
    </row>
    <row r="474" spans="1:12" hidden="1">
      <c r="A474" s="34" t="s">
        <v>114</v>
      </c>
      <c r="B474" s="339">
        <v>2002</v>
      </c>
      <c r="C474" s="59" t="s">
        <v>90</v>
      </c>
      <c r="D474" s="59">
        <v>197</v>
      </c>
      <c r="E474" s="496" t="s">
        <v>110</v>
      </c>
      <c r="F474" s="29">
        <v>1</v>
      </c>
      <c r="G474" s="9">
        <v>1</v>
      </c>
      <c r="H474" s="9">
        <v>1</v>
      </c>
      <c r="I474" s="9">
        <v>2</v>
      </c>
      <c r="J474" s="43">
        <v>2</v>
      </c>
      <c r="K474" s="262">
        <f t="shared" si="7"/>
        <v>0.35859414261160716</v>
      </c>
      <c r="L474" s="163" t="s">
        <v>111</v>
      </c>
    </row>
    <row r="475" spans="1:12" hidden="1">
      <c r="A475" s="34" t="s">
        <v>114</v>
      </c>
      <c r="B475" s="339">
        <v>2002</v>
      </c>
      <c r="C475" s="59" t="s">
        <v>91</v>
      </c>
      <c r="D475" s="59">
        <v>118</v>
      </c>
      <c r="E475" s="496" t="s">
        <v>110</v>
      </c>
      <c r="F475" s="29">
        <v>1</v>
      </c>
      <c r="G475" s="9">
        <v>1</v>
      </c>
      <c r="H475" s="9">
        <v>1</v>
      </c>
      <c r="I475" s="9">
        <v>2</v>
      </c>
      <c r="J475" s="43">
        <v>2</v>
      </c>
      <c r="K475" s="262">
        <f t="shared" si="7"/>
        <v>0.35859414261160716</v>
      </c>
      <c r="L475" s="163" t="s">
        <v>111</v>
      </c>
    </row>
    <row r="476" spans="1:12" hidden="1">
      <c r="A476" s="34" t="s">
        <v>114</v>
      </c>
      <c r="B476" s="339">
        <v>2002</v>
      </c>
      <c r="C476" s="59" t="s">
        <v>94</v>
      </c>
      <c r="D476" s="59">
        <v>30</v>
      </c>
      <c r="E476" s="496" t="s">
        <v>110</v>
      </c>
      <c r="F476" s="29">
        <v>1</v>
      </c>
      <c r="G476" s="9">
        <v>1</v>
      </c>
      <c r="H476" s="9">
        <v>1</v>
      </c>
      <c r="I476" s="9">
        <v>2</v>
      </c>
      <c r="J476" s="43">
        <v>2</v>
      </c>
      <c r="K476" s="262">
        <f t="shared" si="7"/>
        <v>0.35859414261160716</v>
      </c>
      <c r="L476" s="163" t="s">
        <v>111</v>
      </c>
    </row>
    <row r="477" spans="1:12" hidden="1">
      <c r="A477" s="34" t="s">
        <v>114</v>
      </c>
      <c r="B477" s="339">
        <v>2002</v>
      </c>
      <c r="C477" s="59" t="s">
        <v>96</v>
      </c>
      <c r="D477" s="59">
        <v>62</v>
      </c>
      <c r="E477" s="496" t="s">
        <v>110</v>
      </c>
      <c r="F477" s="29">
        <v>1</v>
      </c>
      <c r="G477" s="9">
        <v>1</v>
      </c>
      <c r="H477" s="9">
        <v>1</v>
      </c>
      <c r="I477" s="9">
        <v>2</v>
      </c>
      <c r="J477" s="43">
        <v>2</v>
      </c>
      <c r="K477" s="262">
        <f t="shared" si="7"/>
        <v>0.35859414261160716</v>
      </c>
      <c r="L477" s="163" t="s">
        <v>111</v>
      </c>
    </row>
    <row r="478" spans="1:12">
      <c r="A478" s="34" t="s">
        <v>114</v>
      </c>
      <c r="B478" s="339">
        <v>2002</v>
      </c>
      <c r="C478" s="59" t="s">
        <v>97</v>
      </c>
      <c r="D478" s="59">
        <v>179</v>
      </c>
      <c r="E478" s="496" t="s">
        <v>110</v>
      </c>
      <c r="F478" s="29">
        <v>1</v>
      </c>
      <c r="G478" s="9">
        <v>1</v>
      </c>
      <c r="H478" s="9">
        <v>1</v>
      </c>
      <c r="I478" s="9">
        <v>2</v>
      </c>
      <c r="J478" s="43">
        <v>2</v>
      </c>
      <c r="K478" s="262">
        <f t="shared" si="7"/>
        <v>0.35859414261160716</v>
      </c>
      <c r="L478" s="163" t="s">
        <v>111</v>
      </c>
    </row>
    <row r="479" spans="1:12" hidden="1">
      <c r="A479" s="34" t="s">
        <v>114</v>
      </c>
      <c r="B479" s="339">
        <v>2002</v>
      </c>
      <c r="C479" s="59" t="s">
        <v>95</v>
      </c>
      <c r="D479" s="59">
        <v>44</v>
      </c>
      <c r="E479" s="496" t="s">
        <v>110</v>
      </c>
      <c r="F479" s="29">
        <v>1</v>
      </c>
      <c r="G479" s="9">
        <v>1</v>
      </c>
      <c r="H479" s="9">
        <v>1</v>
      </c>
      <c r="I479" s="9">
        <v>2</v>
      </c>
      <c r="J479" s="43">
        <v>2</v>
      </c>
      <c r="K479" s="262">
        <f t="shared" si="7"/>
        <v>0.35859414261160716</v>
      </c>
      <c r="L479" s="163" t="s">
        <v>111</v>
      </c>
    </row>
    <row r="480" spans="1:12" hidden="1">
      <c r="A480" s="34" t="s">
        <v>114</v>
      </c>
      <c r="B480" s="339">
        <v>2002</v>
      </c>
      <c r="C480" s="59" t="s">
        <v>93</v>
      </c>
      <c r="D480" s="59">
        <v>20</v>
      </c>
      <c r="E480" s="496" t="s">
        <v>110</v>
      </c>
      <c r="F480" s="29">
        <v>1</v>
      </c>
      <c r="G480" s="9">
        <v>1</v>
      </c>
      <c r="H480" s="9">
        <v>1</v>
      </c>
      <c r="I480" s="9">
        <v>2</v>
      </c>
      <c r="J480" s="43">
        <v>2</v>
      </c>
      <c r="K480" s="262">
        <f t="shared" si="7"/>
        <v>0.35859414261160716</v>
      </c>
      <c r="L480" s="163" t="s">
        <v>111</v>
      </c>
    </row>
    <row r="481" spans="1:12" hidden="1">
      <c r="A481" s="34" t="s">
        <v>114</v>
      </c>
      <c r="B481" s="339">
        <v>2002</v>
      </c>
      <c r="C481" s="59" t="s">
        <v>98</v>
      </c>
      <c r="D481" s="59">
        <v>723</v>
      </c>
      <c r="E481" s="496" t="s">
        <v>110</v>
      </c>
      <c r="F481" s="29">
        <v>1</v>
      </c>
      <c r="G481" s="9">
        <v>1</v>
      </c>
      <c r="H481" s="9">
        <v>1</v>
      </c>
      <c r="I481" s="9">
        <v>2</v>
      </c>
      <c r="J481" s="43">
        <v>2</v>
      </c>
      <c r="K481" s="262">
        <f t="shared" si="7"/>
        <v>0.35859414261160716</v>
      </c>
      <c r="L481" s="163" t="s">
        <v>111</v>
      </c>
    </row>
    <row r="482" spans="1:12" hidden="1">
      <c r="A482" s="34" t="s">
        <v>114</v>
      </c>
      <c r="B482" s="339">
        <v>2003</v>
      </c>
      <c r="C482" s="59" t="s">
        <v>85</v>
      </c>
      <c r="D482" s="59">
        <v>534</v>
      </c>
      <c r="E482" s="496" t="s">
        <v>110</v>
      </c>
      <c r="F482" s="29">
        <v>1</v>
      </c>
      <c r="G482" s="9">
        <v>1</v>
      </c>
      <c r="H482" s="9">
        <v>1</v>
      </c>
      <c r="I482" s="9">
        <v>2</v>
      </c>
      <c r="J482" s="43">
        <v>2</v>
      </c>
      <c r="K482" s="262">
        <f t="shared" si="7"/>
        <v>0.35859414261160716</v>
      </c>
      <c r="L482" s="163" t="s">
        <v>111</v>
      </c>
    </row>
    <row r="483" spans="1:12" hidden="1">
      <c r="A483" s="34" t="s">
        <v>114</v>
      </c>
      <c r="B483" s="339">
        <v>2003</v>
      </c>
      <c r="C483" s="59" t="s">
        <v>86</v>
      </c>
      <c r="D483" s="59">
        <v>157</v>
      </c>
      <c r="E483" s="496" t="s">
        <v>110</v>
      </c>
      <c r="F483" s="29">
        <v>1</v>
      </c>
      <c r="G483" s="9">
        <v>1</v>
      </c>
      <c r="H483" s="9">
        <v>1</v>
      </c>
      <c r="I483" s="9">
        <v>2</v>
      </c>
      <c r="J483" s="43">
        <v>2</v>
      </c>
      <c r="K483" s="262">
        <f t="shared" si="7"/>
        <v>0.35859414261160716</v>
      </c>
      <c r="L483" s="163" t="s">
        <v>111</v>
      </c>
    </row>
    <row r="484" spans="1:12" hidden="1">
      <c r="A484" s="34" t="s">
        <v>114</v>
      </c>
      <c r="B484" s="339">
        <v>2003</v>
      </c>
      <c r="C484" s="59" t="s">
        <v>87</v>
      </c>
      <c r="D484" s="59">
        <v>190</v>
      </c>
      <c r="E484" s="496" t="s">
        <v>110</v>
      </c>
      <c r="F484" s="29">
        <v>1</v>
      </c>
      <c r="G484" s="9">
        <v>1</v>
      </c>
      <c r="H484" s="9">
        <v>1</v>
      </c>
      <c r="I484" s="9">
        <v>2</v>
      </c>
      <c r="J484" s="43">
        <v>2</v>
      </c>
      <c r="K484" s="262">
        <f t="shared" si="7"/>
        <v>0.35859414261160716</v>
      </c>
      <c r="L484" s="163" t="s">
        <v>111</v>
      </c>
    </row>
    <row r="485" spans="1:12">
      <c r="A485" s="34" t="s">
        <v>114</v>
      </c>
      <c r="B485" s="339">
        <v>2003</v>
      </c>
      <c r="C485" s="59" t="s">
        <v>88</v>
      </c>
      <c r="D485" s="59">
        <v>68</v>
      </c>
      <c r="E485" s="496" t="s">
        <v>110</v>
      </c>
      <c r="F485" s="29">
        <v>1</v>
      </c>
      <c r="G485" s="9">
        <v>1</v>
      </c>
      <c r="H485" s="9">
        <v>1</v>
      </c>
      <c r="I485" s="9">
        <v>2</v>
      </c>
      <c r="J485" s="43">
        <v>2</v>
      </c>
      <c r="K485" s="262">
        <f t="shared" si="7"/>
        <v>0.35859414261160716</v>
      </c>
      <c r="L485" s="163" t="s">
        <v>111</v>
      </c>
    </row>
    <row r="486" spans="1:12" hidden="1">
      <c r="A486" s="34" t="s">
        <v>114</v>
      </c>
      <c r="B486" s="339">
        <v>2003</v>
      </c>
      <c r="C486" s="59" t="s">
        <v>89</v>
      </c>
      <c r="D486" s="59">
        <v>34</v>
      </c>
      <c r="E486" s="496" t="s">
        <v>110</v>
      </c>
      <c r="F486" s="29">
        <v>1</v>
      </c>
      <c r="G486" s="9">
        <v>1</v>
      </c>
      <c r="H486" s="9">
        <v>1</v>
      </c>
      <c r="I486" s="9">
        <v>2</v>
      </c>
      <c r="J486" s="43">
        <v>2</v>
      </c>
      <c r="K486" s="262">
        <f t="shared" si="7"/>
        <v>0.35859414261160716</v>
      </c>
      <c r="L486" s="163" t="s">
        <v>111</v>
      </c>
    </row>
    <row r="487" spans="1:12" hidden="1">
      <c r="A487" s="34" t="s">
        <v>114</v>
      </c>
      <c r="B487" s="339">
        <v>2003</v>
      </c>
      <c r="C487" s="59" t="s">
        <v>90</v>
      </c>
      <c r="D487" s="59">
        <v>151</v>
      </c>
      <c r="E487" s="496" t="s">
        <v>110</v>
      </c>
      <c r="F487" s="29">
        <v>1</v>
      </c>
      <c r="G487" s="9">
        <v>1</v>
      </c>
      <c r="H487" s="9">
        <v>1</v>
      </c>
      <c r="I487" s="9">
        <v>2</v>
      </c>
      <c r="J487" s="43">
        <v>2</v>
      </c>
      <c r="K487" s="262">
        <f t="shared" si="7"/>
        <v>0.35859414261160716</v>
      </c>
      <c r="L487" s="163" t="s">
        <v>111</v>
      </c>
    </row>
    <row r="488" spans="1:12" hidden="1">
      <c r="A488" s="34" t="s">
        <v>114</v>
      </c>
      <c r="B488" s="339">
        <v>2003</v>
      </c>
      <c r="C488" s="59" t="s">
        <v>91</v>
      </c>
      <c r="D488" s="59">
        <v>119</v>
      </c>
      <c r="E488" s="496" t="s">
        <v>110</v>
      </c>
      <c r="F488" s="29">
        <v>1</v>
      </c>
      <c r="G488" s="9">
        <v>1</v>
      </c>
      <c r="H488" s="9">
        <v>1</v>
      </c>
      <c r="I488" s="9">
        <v>2</v>
      </c>
      <c r="J488" s="43">
        <v>2</v>
      </c>
      <c r="K488" s="262">
        <f t="shared" si="7"/>
        <v>0.35859414261160716</v>
      </c>
      <c r="L488" s="163" t="s">
        <v>111</v>
      </c>
    </row>
    <row r="489" spans="1:12" hidden="1">
      <c r="A489" s="34" t="s">
        <v>114</v>
      </c>
      <c r="B489" s="339">
        <v>2003</v>
      </c>
      <c r="C489" s="59" t="s">
        <v>94</v>
      </c>
      <c r="D489" s="59">
        <v>31</v>
      </c>
      <c r="E489" s="496" t="s">
        <v>110</v>
      </c>
      <c r="F489" s="29">
        <v>1</v>
      </c>
      <c r="G489" s="9">
        <v>1</v>
      </c>
      <c r="H489" s="9">
        <v>1</v>
      </c>
      <c r="I489" s="9">
        <v>2</v>
      </c>
      <c r="J489" s="43">
        <v>2</v>
      </c>
      <c r="K489" s="262">
        <f t="shared" si="7"/>
        <v>0.35859414261160716</v>
      </c>
      <c r="L489" s="163" t="s">
        <v>111</v>
      </c>
    </row>
    <row r="490" spans="1:12" hidden="1">
      <c r="A490" s="34" t="s">
        <v>114</v>
      </c>
      <c r="B490" s="339">
        <v>2003</v>
      </c>
      <c r="C490" s="59" t="s">
        <v>96</v>
      </c>
      <c r="D490" s="59">
        <v>78</v>
      </c>
      <c r="E490" s="496" t="s">
        <v>110</v>
      </c>
      <c r="F490" s="29">
        <v>1</v>
      </c>
      <c r="G490" s="9">
        <v>1</v>
      </c>
      <c r="H490" s="9">
        <v>1</v>
      </c>
      <c r="I490" s="9">
        <v>2</v>
      </c>
      <c r="J490" s="43">
        <v>2</v>
      </c>
      <c r="K490" s="262">
        <f t="shared" si="7"/>
        <v>0.35859414261160716</v>
      </c>
      <c r="L490" s="163" t="s">
        <v>111</v>
      </c>
    </row>
    <row r="491" spans="1:12">
      <c r="A491" s="34" t="s">
        <v>114</v>
      </c>
      <c r="B491" s="339">
        <v>2003</v>
      </c>
      <c r="C491" s="59" t="s">
        <v>97</v>
      </c>
      <c r="D491" s="59">
        <v>117</v>
      </c>
      <c r="E491" s="496" t="s">
        <v>110</v>
      </c>
      <c r="F491" s="29">
        <v>1</v>
      </c>
      <c r="G491" s="9">
        <v>1</v>
      </c>
      <c r="H491" s="9">
        <v>1</v>
      </c>
      <c r="I491" s="9">
        <v>2</v>
      </c>
      <c r="J491" s="43">
        <v>2</v>
      </c>
      <c r="K491" s="262">
        <f t="shared" si="7"/>
        <v>0.35859414261160716</v>
      </c>
      <c r="L491" s="163" t="s">
        <v>111</v>
      </c>
    </row>
    <row r="492" spans="1:12" hidden="1">
      <c r="A492" s="34" t="s">
        <v>114</v>
      </c>
      <c r="B492" s="339">
        <v>2003</v>
      </c>
      <c r="C492" s="59" t="s">
        <v>95</v>
      </c>
      <c r="D492" s="59">
        <v>57</v>
      </c>
      <c r="E492" s="496" t="s">
        <v>110</v>
      </c>
      <c r="F492" s="29">
        <v>1</v>
      </c>
      <c r="G492" s="9">
        <v>1</v>
      </c>
      <c r="H492" s="9">
        <v>1</v>
      </c>
      <c r="I492" s="9">
        <v>2</v>
      </c>
      <c r="J492" s="43">
        <v>2</v>
      </c>
      <c r="K492" s="262">
        <f t="shared" si="7"/>
        <v>0.35859414261160716</v>
      </c>
      <c r="L492" s="163" t="s">
        <v>111</v>
      </c>
    </row>
    <row r="493" spans="1:12" hidden="1">
      <c r="A493" s="34" t="s">
        <v>114</v>
      </c>
      <c r="B493" s="339">
        <v>2003</v>
      </c>
      <c r="C493" s="59" t="s">
        <v>93</v>
      </c>
      <c r="D493" s="59">
        <v>19</v>
      </c>
      <c r="E493" s="496" t="s">
        <v>110</v>
      </c>
      <c r="F493" s="29">
        <v>1</v>
      </c>
      <c r="G493" s="9">
        <v>1</v>
      </c>
      <c r="H493" s="9">
        <v>1</v>
      </c>
      <c r="I493" s="9">
        <v>2</v>
      </c>
      <c r="J493" s="43">
        <v>2</v>
      </c>
      <c r="K493" s="262">
        <f t="shared" si="7"/>
        <v>0.35859414261160716</v>
      </c>
      <c r="L493" s="163" t="s">
        <v>111</v>
      </c>
    </row>
    <row r="494" spans="1:12" hidden="1">
      <c r="A494" s="34" t="s">
        <v>114</v>
      </c>
      <c r="B494" s="339">
        <v>2003</v>
      </c>
      <c r="C494" s="59" t="s">
        <v>98</v>
      </c>
      <c r="D494" s="59">
        <v>698</v>
      </c>
      <c r="E494" s="496" t="s">
        <v>110</v>
      </c>
      <c r="F494" s="29">
        <v>1</v>
      </c>
      <c r="G494" s="9">
        <v>1</v>
      </c>
      <c r="H494" s="9">
        <v>1</v>
      </c>
      <c r="I494" s="9">
        <v>2</v>
      </c>
      <c r="J494" s="43">
        <v>2</v>
      </c>
      <c r="K494" s="262">
        <f t="shared" si="7"/>
        <v>0.35859414261160716</v>
      </c>
      <c r="L494" s="163" t="s">
        <v>111</v>
      </c>
    </row>
    <row r="495" spans="1:12" hidden="1">
      <c r="A495" s="34" t="s">
        <v>114</v>
      </c>
      <c r="B495" s="339">
        <v>2004</v>
      </c>
      <c r="C495" s="59" t="s">
        <v>85</v>
      </c>
      <c r="D495" s="59">
        <v>602</v>
      </c>
      <c r="E495" s="496" t="s">
        <v>110</v>
      </c>
      <c r="F495" s="29">
        <v>1</v>
      </c>
      <c r="G495" s="9">
        <v>1</v>
      </c>
      <c r="H495" s="9">
        <v>1</v>
      </c>
      <c r="I495" s="9">
        <v>2</v>
      </c>
      <c r="J495" s="43">
        <v>2</v>
      </c>
      <c r="K495" s="262">
        <f t="shared" si="7"/>
        <v>0.35859414261160716</v>
      </c>
      <c r="L495" s="163" t="s">
        <v>111</v>
      </c>
    </row>
    <row r="496" spans="1:12" hidden="1">
      <c r="A496" s="34" t="s">
        <v>114</v>
      </c>
      <c r="B496" s="339">
        <v>2004</v>
      </c>
      <c r="C496" s="59" t="s">
        <v>86</v>
      </c>
      <c r="D496" s="59">
        <v>162</v>
      </c>
      <c r="E496" s="496" t="s">
        <v>110</v>
      </c>
      <c r="F496" s="29">
        <v>1</v>
      </c>
      <c r="G496" s="9">
        <v>1</v>
      </c>
      <c r="H496" s="9">
        <v>1</v>
      </c>
      <c r="I496" s="9">
        <v>2</v>
      </c>
      <c r="J496" s="43">
        <v>2</v>
      </c>
      <c r="K496" s="262">
        <f t="shared" si="7"/>
        <v>0.35859414261160716</v>
      </c>
      <c r="L496" s="163" t="s">
        <v>111</v>
      </c>
    </row>
    <row r="497" spans="1:12" hidden="1">
      <c r="A497" s="34" t="s">
        <v>114</v>
      </c>
      <c r="B497" s="339">
        <v>2004</v>
      </c>
      <c r="C497" s="59" t="s">
        <v>87</v>
      </c>
      <c r="D497" s="59">
        <v>190</v>
      </c>
      <c r="E497" s="496" t="s">
        <v>110</v>
      </c>
      <c r="F497" s="29">
        <v>1</v>
      </c>
      <c r="G497" s="9">
        <v>1</v>
      </c>
      <c r="H497" s="9">
        <v>1</v>
      </c>
      <c r="I497" s="9">
        <v>2</v>
      </c>
      <c r="J497" s="43">
        <v>2</v>
      </c>
      <c r="K497" s="262">
        <f t="shared" si="7"/>
        <v>0.35859414261160716</v>
      </c>
      <c r="L497" s="163" t="s">
        <v>111</v>
      </c>
    </row>
    <row r="498" spans="1:12">
      <c r="A498" s="34" t="s">
        <v>114</v>
      </c>
      <c r="B498" s="339">
        <v>2004</v>
      </c>
      <c r="C498" s="59" t="s">
        <v>88</v>
      </c>
      <c r="D498" s="59">
        <v>69</v>
      </c>
      <c r="E498" s="496" t="s">
        <v>110</v>
      </c>
      <c r="F498" s="29">
        <v>1</v>
      </c>
      <c r="G498" s="9">
        <v>1</v>
      </c>
      <c r="H498" s="9">
        <v>1</v>
      </c>
      <c r="I498" s="9">
        <v>2</v>
      </c>
      <c r="J498" s="43">
        <v>2</v>
      </c>
      <c r="K498" s="262">
        <f t="shared" si="7"/>
        <v>0.35859414261160716</v>
      </c>
      <c r="L498" s="163" t="s">
        <v>111</v>
      </c>
    </row>
    <row r="499" spans="1:12" hidden="1">
      <c r="A499" s="34" t="s">
        <v>114</v>
      </c>
      <c r="B499" s="339">
        <v>2004</v>
      </c>
      <c r="C499" s="59" t="s">
        <v>89</v>
      </c>
      <c r="D499" s="59">
        <v>40</v>
      </c>
      <c r="E499" s="496" t="s">
        <v>110</v>
      </c>
      <c r="F499" s="29">
        <v>1</v>
      </c>
      <c r="G499" s="9">
        <v>1</v>
      </c>
      <c r="H499" s="9">
        <v>1</v>
      </c>
      <c r="I499" s="9">
        <v>2</v>
      </c>
      <c r="J499" s="43">
        <v>2</v>
      </c>
      <c r="K499" s="262">
        <f t="shared" si="7"/>
        <v>0.35859414261160716</v>
      </c>
      <c r="L499" s="163" t="s">
        <v>111</v>
      </c>
    </row>
    <row r="500" spans="1:12" hidden="1">
      <c r="A500" s="34" t="s">
        <v>114</v>
      </c>
      <c r="B500" s="339">
        <v>2004</v>
      </c>
      <c r="C500" s="59" t="s">
        <v>90</v>
      </c>
      <c r="D500" s="59">
        <v>162</v>
      </c>
      <c r="E500" s="496" t="s">
        <v>110</v>
      </c>
      <c r="F500" s="29">
        <v>1</v>
      </c>
      <c r="G500" s="9">
        <v>1</v>
      </c>
      <c r="H500" s="9">
        <v>1</v>
      </c>
      <c r="I500" s="9">
        <v>2</v>
      </c>
      <c r="J500" s="43">
        <v>2</v>
      </c>
      <c r="K500" s="262">
        <f t="shared" si="7"/>
        <v>0.35859414261160716</v>
      </c>
      <c r="L500" s="163" t="s">
        <v>111</v>
      </c>
    </row>
    <row r="501" spans="1:12" hidden="1">
      <c r="A501" s="34" t="s">
        <v>114</v>
      </c>
      <c r="B501" s="339">
        <v>2004</v>
      </c>
      <c r="C501" s="59" t="s">
        <v>91</v>
      </c>
      <c r="D501" s="59">
        <v>107</v>
      </c>
      <c r="E501" s="496" t="s">
        <v>110</v>
      </c>
      <c r="F501" s="29">
        <v>1</v>
      </c>
      <c r="G501" s="9">
        <v>1</v>
      </c>
      <c r="H501" s="9">
        <v>1</v>
      </c>
      <c r="I501" s="9">
        <v>2</v>
      </c>
      <c r="J501" s="43">
        <v>2</v>
      </c>
      <c r="K501" s="262">
        <f t="shared" si="7"/>
        <v>0.35859414261160716</v>
      </c>
      <c r="L501" s="163" t="s">
        <v>111</v>
      </c>
    </row>
    <row r="502" spans="1:12" hidden="1">
      <c r="A502" s="34" t="s">
        <v>114</v>
      </c>
      <c r="B502" s="339">
        <v>2004</v>
      </c>
      <c r="C502" s="59" t="s">
        <v>94</v>
      </c>
      <c r="D502" s="59">
        <v>16</v>
      </c>
      <c r="E502" s="496" t="s">
        <v>110</v>
      </c>
      <c r="F502" s="29">
        <v>1</v>
      </c>
      <c r="G502" s="9">
        <v>1</v>
      </c>
      <c r="H502" s="9">
        <v>1</v>
      </c>
      <c r="I502" s="9">
        <v>2</v>
      </c>
      <c r="J502" s="43">
        <v>2</v>
      </c>
      <c r="K502" s="262">
        <f t="shared" si="7"/>
        <v>0.35859414261160716</v>
      </c>
      <c r="L502" s="163" t="s">
        <v>111</v>
      </c>
    </row>
    <row r="503" spans="1:12" hidden="1">
      <c r="A503" s="34" t="s">
        <v>114</v>
      </c>
      <c r="B503" s="339">
        <v>2004</v>
      </c>
      <c r="C503" s="59" t="s">
        <v>96</v>
      </c>
      <c r="D503" s="59">
        <v>82</v>
      </c>
      <c r="E503" s="496" t="s">
        <v>110</v>
      </c>
      <c r="F503" s="29">
        <v>1</v>
      </c>
      <c r="G503" s="9">
        <v>1</v>
      </c>
      <c r="H503" s="9">
        <v>1</v>
      </c>
      <c r="I503" s="9">
        <v>2</v>
      </c>
      <c r="J503" s="43">
        <v>2</v>
      </c>
      <c r="K503" s="262">
        <f t="shared" si="7"/>
        <v>0.35859414261160716</v>
      </c>
      <c r="L503" s="163" t="s">
        <v>111</v>
      </c>
    </row>
    <row r="504" spans="1:12">
      <c r="A504" s="34" t="s">
        <v>114</v>
      </c>
      <c r="B504" s="339">
        <v>2004</v>
      </c>
      <c r="C504" s="59" t="s">
        <v>97</v>
      </c>
      <c r="D504" s="59">
        <v>192</v>
      </c>
      <c r="E504" s="496" t="s">
        <v>110</v>
      </c>
      <c r="F504" s="29">
        <v>1</v>
      </c>
      <c r="G504" s="9">
        <v>1</v>
      </c>
      <c r="H504" s="9">
        <v>1</v>
      </c>
      <c r="I504" s="9">
        <v>2</v>
      </c>
      <c r="J504" s="43">
        <v>2</v>
      </c>
      <c r="K504" s="262">
        <f t="shared" si="7"/>
        <v>0.35859414261160716</v>
      </c>
      <c r="L504" s="163" t="s">
        <v>111</v>
      </c>
    </row>
    <row r="505" spans="1:12" hidden="1">
      <c r="A505" s="34" t="s">
        <v>114</v>
      </c>
      <c r="B505" s="339">
        <v>2004</v>
      </c>
      <c r="C505" s="59" t="s">
        <v>95</v>
      </c>
      <c r="D505" s="59">
        <v>75</v>
      </c>
      <c r="E505" s="496" t="s">
        <v>110</v>
      </c>
      <c r="F505" s="29">
        <v>1</v>
      </c>
      <c r="G505" s="9">
        <v>1</v>
      </c>
      <c r="H505" s="9">
        <v>1</v>
      </c>
      <c r="I505" s="9">
        <v>2</v>
      </c>
      <c r="J505" s="43">
        <v>2</v>
      </c>
      <c r="K505" s="262">
        <f t="shared" si="7"/>
        <v>0.35859414261160716</v>
      </c>
      <c r="L505" s="163" t="s">
        <v>111</v>
      </c>
    </row>
    <row r="506" spans="1:12" hidden="1">
      <c r="A506" s="34" t="s">
        <v>114</v>
      </c>
      <c r="B506" s="339">
        <v>2004</v>
      </c>
      <c r="C506" s="59" t="s">
        <v>93</v>
      </c>
      <c r="D506" s="59">
        <v>21</v>
      </c>
      <c r="E506" s="496" t="s">
        <v>110</v>
      </c>
      <c r="F506" s="29">
        <v>1</v>
      </c>
      <c r="G506" s="9">
        <v>1</v>
      </c>
      <c r="H506" s="9">
        <v>1</v>
      </c>
      <c r="I506" s="9">
        <v>2</v>
      </c>
      <c r="J506" s="43">
        <v>2</v>
      </c>
      <c r="K506" s="262">
        <f t="shared" si="7"/>
        <v>0.35859414261160716</v>
      </c>
      <c r="L506" s="163" t="s">
        <v>111</v>
      </c>
    </row>
    <row r="507" spans="1:12" hidden="1">
      <c r="A507" s="34" t="s">
        <v>114</v>
      </c>
      <c r="B507" s="339">
        <v>2004</v>
      </c>
      <c r="C507" s="59" t="s">
        <v>98</v>
      </c>
      <c r="D507" s="59">
        <v>802</v>
      </c>
      <c r="E507" s="496" t="s">
        <v>110</v>
      </c>
      <c r="F507" s="29">
        <v>1</v>
      </c>
      <c r="G507" s="9">
        <v>1</v>
      </c>
      <c r="H507" s="9">
        <v>1</v>
      </c>
      <c r="I507" s="9">
        <v>2</v>
      </c>
      <c r="J507" s="43">
        <v>2</v>
      </c>
      <c r="K507" s="262">
        <f t="shared" si="7"/>
        <v>0.35859414261160716</v>
      </c>
      <c r="L507" s="163" t="s">
        <v>111</v>
      </c>
    </row>
    <row r="508" spans="1:12" hidden="1">
      <c r="A508" s="34" t="s">
        <v>114</v>
      </c>
      <c r="B508" s="339">
        <v>2005</v>
      </c>
      <c r="C508" s="59" t="s">
        <v>85</v>
      </c>
      <c r="D508" s="59">
        <v>700</v>
      </c>
      <c r="E508" s="496" t="s">
        <v>110</v>
      </c>
      <c r="F508" s="29">
        <v>1</v>
      </c>
      <c r="G508" s="9">
        <v>1</v>
      </c>
      <c r="H508" s="9">
        <v>1</v>
      </c>
      <c r="I508" s="9">
        <v>2</v>
      </c>
      <c r="J508" s="43">
        <v>2</v>
      </c>
      <c r="K508" s="262">
        <f t="shared" si="7"/>
        <v>0.35859414261160716</v>
      </c>
      <c r="L508" s="163" t="s">
        <v>111</v>
      </c>
    </row>
    <row r="509" spans="1:12" hidden="1">
      <c r="A509" s="34" t="s">
        <v>114</v>
      </c>
      <c r="B509" s="339">
        <v>2005</v>
      </c>
      <c r="C509" s="59" t="s">
        <v>86</v>
      </c>
      <c r="D509" s="59">
        <v>172</v>
      </c>
      <c r="E509" s="496" t="s">
        <v>110</v>
      </c>
      <c r="F509" s="29">
        <v>1</v>
      </c>
      <c r="G509" s="9">
        <v>1</v>
      </c>
      <c r="H509" s="9">
        <v>1</v>
      </c>
      <c r="I509" s="9">
        <v>2</v>
      </c>
      <c r="J509" s="43">
        <v>2</v>
      </c>
      <c r="K509" s="262">
        <f t="shared" ref="K509:K572" si="8">IF( OR( ISBLANK(F509),ISBLANK(G509), ISBLANK(H509), ISBLANK(I509), ISBLANK(J509) ), "", 1.5*SQRT(   EXP(2.21*(F509-1)) + EXP(2.21*(G509-1)) + EXP(2.21*(H509-1)) + EXP(2.21*(I509-1)) + EXP(2.21*J509)   )/100*2.45 )</f>
        <v>0.35859414261160716</v>
      </c>
      <c r="L509" s="163" t="s">
        <v>111</v>
      </c>
    </row>
    <row r="510" spans="1:12" hidden="1">
      <c r="A510" s="34" t="s">
        <v>114</v>
      </c>
      <c r="B510" s="339">
        <v>2005</v>
      </c>
      <c r="C510" s="59" t="s">
        <v>87</v>
      </c>
      <c r="D510" s="59">
        <v>214</v>
      </c>
      <c r="E510" s="496" t="s">
        <v>110</v>
      </c>
      <c r="F510" s="29">
        <v>1</v>
      </c>
      <c r="G510" s="9">
        <v>1</v>
      </c>
      <c r="H510" s="9">
        <v>1</v>
      </c>
      <c r="I510" s="9">
        <v>2</v>
      </c>
      <c r="J510" s="43">
        <v>2</v>
      </c>
      <c r="K510" s="262">
        <f t="shared" si="8"/>
        <v>0.35859414261160716</v>
      </c>
      <c r="L510" s="163" t="s">
        <v>111</v>
      </c>
    </row>
    <row r="511" spans="1:12">
      <c r="A511" s="34" t="s">
        <v>114</v>
      </c>
      <c r="B511" s="339">
        <v>2005</v>
      </c>
      <c r="C511" s="59" t="s">
        <v>88</v>
      </c>
      <c r="D511" s="59">
        <v>96</v>
      </c>
      <c r="E511" s="496" t="s">
        <v>110</v>
      </c>
      <c r="F511" s="29">
        <v>1</v>
      </c>
      <c r="G511" s="9">
        <v>1</v>
      </c>
      <c r="H511" s="9">
        <v>1</v>
      </c>
      <c r="I511" s="9">
        <v>2</v>
      </c>
      <c r="J511" s="43">
        <v>2</v>
      </c>
      <c r="K511" s="262">
        <f t="shared" si="8"/>
        <v>0.35859414261160716</v>
      </c>
      <c r="L511" s="163" t="s">
        <v>111</v>
      </c>
    </row>
    <row r="512" spans="1:12" hidden="1">
      <c r="A512" s="34" t="s">
        <v>114</v>
      </c>
      <c r="B512" s="339">
        <v>2005</v>
      </c>
      <c r="C512" s="59" t="s">
        <v>89</v>
      </c>
      <c r="D512" s="59">
        <v>32</v>
      </c>
      <c r="E512" s="496" t="s">
        <v>110</v>
      </c>
      <c r="F512" s="29">
        <v>1</v>
      </c>
      <c r="G512" s="9">
        <v>1</v>
      </c>
      <c r="H512" s="9">
        <v>1</v>
      </c>
      <c r="I512" s="9">
        <v>2</v>
      </c>
      <c r="J512" s="43">
        <v>2</v>
      </c>
      <c r="K512" s="262">
        <f t="shared" si="8"/>
        <v>0.35859414261160716</v>
      </c>
      <c r="L512" s="163" t="s">
        <v>111</v>
      </c>
    </row>
    <row r="513" spans="1:12" hidden="1">
      <c r="A513" s="34" t="s">
        <v>114</v>
      </c>
      <c r="B513" s="339">
        <v>2005</v>
      </c>
      <c r="C513" s="59" t="s">
        <v>90</v>
      </c>
      <c r="D513" s="59">
        <v>134</v>
      </c>
      <c r="E513" s="496" t="s">
        <v>110</v>
      </c>
      <c r="F513" s="29">
        <v>1</v>
      </c>
      <c r="G513" s="9">
        <v>1</v>
      </c>
      <c r="H513" s="9">
        <v>1</v>
      </c>
      <c r="I513" s="9">
        <v>2</v>
      </c>
      <c r="J513" s="43">
        <v>2</v>
      </c>
      <c r="K513" s="262">
        <f t="shared" si="8"/>
        <v>0.35859414261160716</v>
      </c>
      <c r="L513" s="163" t="s">
        <v>111</v>
      </c>
    </row>
    <row r="514" spans="1:12" hidden="1">
      <c r="A514" s="34" t="s">
        <v>114</v>
      </c>
      <c r="B514" s="339">
        <v>2005</v>
      </c>
      <c r="C514" s="59" t="s">
        <v>91</v>
      </c>
      <c r="D514" s="59">
        <v>161</v>
      </c>
      <c r="E514" s="496" t="s">
        <v>110</v>
      </c>
      <c r="F514" s="29">
        <v>1</v>
      </c>
      <c r="G514" s="9">
        <v>1</v>
      </c>
      <c r="H514" s="9">
        <v>1</v>
      </c>
      <c r="I514" s="9">
        <v>2</v>
      </c>
      <c r="J514" s="43">
        <v>2</v>
      </c>
      <c r="K514" s="262">
        <f t="shared" si="8"/>
        <v>0.35859414261160716</v>
      </c>
      <c r="L514" s="163" t="s">
        <v>111</v>
      </c>
    </row>
    <row r="515" spans="1:12" hidden="1">
      <c r="A515" s="34" t="s">
        <v>114</v>
      </c>
      <c r="B515" s="339">
        <v>2005</v>
      </c>
      <c r="C515" s="59" t="s">
        <v>94</v>
      </c>
      <c r="D515" s="59">
        <v>16</v>
      </c>
      <c r="E515" s="496" t="s">
        <v>110</v>
      </c>
      <c r="F515" s="29">
        <v>1</v>
      </c>
      <c r="G515" s="9">
        <v>1</v>
      </c>
      <c r="H515" s="9">
        <v>1</v>
      </c>
      <c r="I515" s="9">
        <v>2</v>
      </c>
      <c r="J515" s="43">
        <v>2</v>
      </c>
      <c r="K515" s="262">
        <f t="shared" si="8"/>
        <v>0.35859414261160716</v>
      </c>
      <c r="L515" s="163" t="s">
        <v>111</v>
      </c>
    </row>
    <row r="516" spans="1:12" hidden="1">
      <c r="A516" s="34" t="s">
        <v>114</v>
      </c>
      <c r="B516" s="339">
        <v>2005</v>
      </c>
      <c r="C516" s="59" t="s">
        <v>96</v>
      </c>
      <c r="D516" s="59">
        <v>84</v>
      </c>
      <c r="E516" s="496" t="s">
        <v>110</v>
      </c>
      <c r="F516" s="29">
        <v>1</v>
      </c>
      <c r="G516" s="9">
        <v>1</v>
      </c>
      <c r="H516" s="9">
        <v>1</v>
      </c>
      <c r="I516" s="9">
        <v>2</v>
      </c>
      <c r="J516" s="43">
        <v>2</v>
      </c>
      <c r="K516" s="262">
        <f t="shared" si="8"/>
        <v>0.35859414261160716</v>
      </c>
      <c r="L516" s="163" t="s">
        <v>111</v>
      </c>
    </row>
    <row r="517" spans="1:12">
      <c r="A517" s="34" t="s">
        <v>114</v>
      </c>
      <c r="B517" s="339">
        <v>2005</v>
      </c>
      <c r="C517" s="59" t="s">
        <v>97</v>
      </c>
      <c r="D517" s="59">
        <v>187</v>
      </c>
      <c r="E517" s="496" t="s">
        <v>110</v>
      </c>
      <c r="F517" s="29">
        <v>1</v>
      </c>
      <c r="G517" s="9">
        <v>1</v>
      </c>
      <c r="H517" s="9">
        <v>1</v>
      </c>
      <c r="I517" s="9">
        <v>2</v>
      </c>
      <c r="J517" s="43">
        <v>2</v>
      </c>
      <c r="K517" s="262">
        <f t="shared" si="8"/>
        <v>0.35859414261160716</v>
      </c>
      <c r="L517" s="163" t="s">
        <v>111</v>
      </c>
    </row>
    <row r="518" spans="1:12" hidden="1">
      <c r="A518" s="34" t="s">
        <v>114</v>
      </c>
      <c r="B518" s="339">
        <v>2005</v>
      </c>
      <c r="C518" s="59" t="s">
        <v>95</v>
      </c>
      <c r="D518" s="59">
        <v>111</v>
      </c>
      <c r="E518" s="496" t="s">
        <v>110</v>
      </c>
      <c r="F518" s="29">
        <v>1</v>
      </c>
      <c r="G518" s="9">
        <v>1</v>
      </c>
      <c r="H518" s="9">
        <v>1</v>
      </c>
      <c r="I518" s="9">
        <v>2</v>
      </c>
      <c r="J518" s="43">
        <v>2</v>
      </c>
      <c r="K518" s="262">
        <f t="shared" si="8"/>
        <v>0.35859414261160716</v>
      </c>
      <c r="L518" s="163" t="s">
        <v>111</v>
      </c>
    </row>
    <row r="519" spans="1:12" hidden="1">
      <c r="A519" s="34" t="s">
        <v>114</v>
      </c>
      <c r="B519" s="339">
        <v>2005</v>
      </c>
      <c r="C519" s="59" t="s">
        <v>93</v>
      </c>
      <c r="D519" s="59">
        <v>65</v>
      </c>
      <c r="E519" s="496" t="s">
        <v>110</v>
      </c>
      <c r="F519" s="29">
        <v>1</v>
      </c>
      <c r="G519" s="9">
        <v>1</v>
      </c>
      <c r="H519" s="9">
        <v>1</v>
      </c>
      <c r="I519" s="9">
        <v>2</v>
      </c>
      <c r="J519" s="43">
        <v>2</v>
      </c>
      <c r="K519" s="262">
        <f t="shared" si="8"/>
        <v>0.35859414261160716</v>
      </c>
      <c r="L519" s="163" t="s">
        <v>111</v>
      </c>
    </row>
    <row r="520" spans="1:12" hidden="1">
      <c r="A520" s="34" t="s">
        <v>114</v>
      </c>
      <c r="B520" s="339">
        <v>2005</v>
      </c>
      <c r="C520" s="59" t="s">
        <v>98</v>
      </c>
      <c r="D520" s="59">
        <v>783</v>
      </c>
      <c r="E520" s="496" t="s">
        <v>110</v>
      </c>
      <c r="F520" s="29">
        <v>1</v>
      </c>
      <c r="G520" s="9">
        <v>1</v>
      </c>
      <c r="H520" s="9">
        <v>1</v>
      </c>
      <c r="I520" s="9">
        <v>2</v>
      </c>
      <c r="J520" s="43">
        <v>2</v>
      </c>
      <c r="K520" s="262">
        <f t="shared" si="8"/>
        <v>0.35859414261160716</v>
      </c>
      <c r="L520" s="163" t="s">
        <v>111</v>
      </c>
    </row>
    <row r="521" spans="1:12" hidden="1">
      <c r="A521" s="34" t="s">
        <v>114</v>
      </c>
      <c r="B521" s="339">
        <v>2006</v>
      </c>
      <c r="C521" s="59" t="s">
        <v>85</v>
      </c>
      <c r="D521" s="59">
        <v>601</v>
      </c>
      <c r="E521" s="496" t="s">
        <v>110</v>
      </c>
      <c r="F521" s="29">
        <v>1</v>
      </c>
      <c r="G521" s="9">
        <v>1</v>
      </c>
      <c r="H521" s="9">
        <v>1</v>
      </c>
      <c r="I521" s="9">
        <v>2</v>
      </c>
      <c r="J521" s="43">
        <v>2</v>
      </c>
      <c r="K521" s="262">
        <f t="shared" si="8"/>
        <v>0.35859414261160716</v>
      </c>
      <c r="L521" s="163" t="s">
        <v>111</v>
      </c>
    </row>
    <row r="522" spans="1:12" hidden="1">
      <c r="A522" s="34" t="s">
        <v>114</v>
      </c>
      <c r="B522" s="339">
        <v>2006</v>
      </c>
      <c r="C522" s="59" t="s">
        <v>86</v>
      </c>
      <c r="D522" s="59">
        <v>161</v>
      </c>
      <c r="E522" s="496" t="s">
        <v>110</v>
      </c>
      <c r="F522" s="29">
        <v>1</v>
      </c>
      <c r="G522" s="9">
        <v>1</v>
      </c>
      <c r="H522" s="9">
        <v>1</v>
      </c>
      <c r="I522" s="9">
        <v>2</v>
      </c>
      <c r="J522" s="43">
        <v>2</v>
      </c>
      <c r="K522" s="262">
        <f t="shared" si="8"/>
        <v>0.35859414261160716</v>
      </c>
      <c r="L522" s="163" t="s">
        <v>111</v>
      </c>
    </row>
    <row r="523" spans="1:12" hidden="1">
      <c r="A523" s="34" t="s">
        <v>114</v>
      </c>
      <c r="B523" s="339">
        <v>2006</v>
      </c>
      <c r="C523" s="59" t="s">
        <v>87</v>
      </c>
      <c r="D523" s="59">
        <v>251</v>
      </c>
      <c r="E523" s="496" t="s">
        <v>110</v>
      </c>
      <c r="F523" s="29">
        <v>1</v>
      </c>
      <c r="G523" s="9">
        <v>1</v>
      </c>
      <c r="H523" s="9">
        <v>1</v>
      </c>
      <c r="I523" s="9">
        <v>2</v>
      </c>
      <c r="J523" s="43">
        <v>2</v>
      </c>
      <c r="K523" s="262">
        <f t="shared" si="8"/>
        <v>0.35859414261160716</v>
      </c>
      <c r="L523" s="163" t="s">
        <v>111</v>
      </c>
    </row>
    <row r="524" spans="1:12">
      <c r="A524" s="34" t="s">
        <v>114</v>
      </c>
      <c r="B524" s="339">
        <v>2006</v>
      </c>
      <c r="C524" s="59" t="s">
        <v>88</v>
      </c>
      <c r="D524" s="59">
        <v>52</v>
      </c>
      <c r="E524" s="496" t="s">
        <v>110</v>
      </c>
      <c r="F524" s="29">
        <v>1</v>
      </c>
      <c r="G524" s="9">
        <v>1</v>
      </c>
      <c r="H524" s="9">
        <v>1</v>
      </c>
      <c r="I524" s="9">
        <v>2</v>
      </c>
      <c r="J524" s="43">
        <v>2</v>
      </c>
      <c r="K524" s="262">
        <f t="shared" si="8"/>
        <v>0.35859414261160716</v>
      </c>
      <c r="L524" s="163" t="s">
        <v>111</v>
      </c>
    </row>
    <row r="525" spans="1:12" hidden="1">
      <c r="A525" s="34" t="s">
        <v>114</v>
      </c>
      <c r="B525" s="339">
        <v>2006</v>
      </c>
      <c r="C525" s="59" t="s">
        <v>89</v>
      </c>
      <c r="D525" s="59">
        <v>41</v>
      </c>
      <c r="E525" s="496" t="s">
        <v>110</v>
      </c>
      <c r="F525" s="29">
        <v>1</v>
      </c>
      <c r="G525" s="9">
        <v>1</v>
      </c>
      <c r="H525" s="9">
        <v>1</v>
      </c>
      <c r="I525" s="9">
        <v>2</v>
      </c>
      <c r="J525" s="43">
        <v>2</v>
      </c>
      <c r="K525" s="262">
        <f t="shared" si="8"/>
        <v>0.35859414261160716</v>
      </c>
      <c r="L525" s="163" t="s">
        <v>111</v>
      </c>
    </row>
    <row r="526" spans="1:12" hidden="1">
      <c r="A526" s="34" t="s">
        <v>114</v>
      </c>
      <c r="B526" s="339">
        <v>2006</v>
      </c>
      <c r="C526" s="59" t="s">
        <v>90</v>
      </c>
      <c r="D526" s="59">
        <v>130</v>
      </c>
      <c r="E526" s="496" t="s">
        <v>110</v>
      </c>
      <c r="F526" s="29">
        <v>1</v>
      </c>
      <c r="G526" s="9">
        <v>1</v>
      </c>
      <c r="H526" s="9">
        <v>1</v>
      </c>
      <c r="I526" s="9">
        <v>2</v>
      </c>
      <c r="J526" s="43">
        <v>2</v>
      </c>
      <c r="K526" s="262">
        <f t="shared" si="8"/>
        <v>0.35859414261160716</v>
      </c>
      <c r="L526" s="163" t="s">
        <v>111</v>
      </c>
    </row>
    <row r="527" spans="1:12" hidden="1">
      <c r="A527" s="34" t="s">
        <v>114</v>
      </c>
      <c r="B527" s="339">
        <v>2006</v>
      </c>
      <c r="C527" s="59" t="s">
        <v>91</v>
      </c>
      <c r="D527" s="59">
        <v>157</v>
      </c>
      <c r="E527" s="496" t="s">
        <v>110</v>
      </c>
      <c r="F527" s="29">
        <v>1</v>
      </c>
      <c r="G527" s="9">
        <v>1</v>
      </c>
      <c r="H527" s="9">
        <v>1</v>
      </c>
      <c r="I527" s="9">
        <v>2</v>
      </c>
      <c r="J527" s="43">
        <v>2</v>
      </c>
      <c r="K527" s="262">
        <f t="shared" si="8"/>
        <v>0.35859414261160716</v>
      </c>
      <c r="L527" s="163" t="s">
        <v>111</v>
      </c>
    </row>
    <row r="528" spans="1:12" hidden="1">
      <c r="A528" s="34" t="s">
        <v>114</v>
      </c>
      <c r="B528" s="339">
        <v>2006</v>
      </c>
      <c r="C528" s="59" t="s">
        <v>94</v>
      </c>
      <c r="D528" s="59">
        <v>15</v>
      </c>
      <c r="E528" s="496" t="s">
        <v>110</v>
      </c>
      <c r="F528" s="29">
        <v>1</v>
      </c>
      <c r="G528" s="9">
        <v>1</v>
      </c>
      <c r="H528" s="9">
        <v>1</v>
      </c>
      <c r="I528" s="9">
        <v>2</v>
      </c>
      <c r="J528" s="43">
        <v>2</v>
      </c>
      <c r="K528" s="262">
        <f t="shared" si="8"/>
        <v>0.35859414261160716</v>
      </c>
      <c r="L528" s="163" t="s">
        <v>111</v>
      </c>
    </row>
    <row r="529" spans="1:12" hidden="1">
      <c r="A529" s="34" t="s">
        <v>114</v>
      </c>
      <c r="B529" s="339">
        <v>2006</v>
      </c>
      <c r="C529" s="59" t="s">
        <v>96</v>
      </c>
      <c r="D529" s="59">
        <v>75</v>
      </c>
      <c r="E529" s="496" t="s">
        <v>110</v>
      </c>
      <c r="F529" s="29">
        <v>1</v>
      </c>
      <c r="G529" s="9">
        <v>1</v>
      </c>
      <c r="H529" s="9">
        <v>1</v>
      </c>
      <c r="I529" s="9">
        <v>2</v>
      </c>
      <c r="J529" s="43">
        <v>2</v>
      </c>
      <c r="K529" s="262">
        <f t="shared" si="8"/>
        <v>0.35859414261160716</v>
      </c>
      <c r="L529" s="163" t="s">
        <v>111</v>
      </c>
    </row>
    <row r="530" spans="1:12">
      <c r="A530" s="34" t="s">
        <v>114</v>
      </c>
      <c r="B530" s="339">
        <v>2006</v>
      </c>
      <c r="C530" s="59" t="s">
        <v>97</v>
      </c>
      <c r="D530" s="59">
        <v>202</v>
      </c>
      <c r="E530" s="496" t="s">
        <v>110</v>
      </c>
      <c r="F530" s="29">
        <v>1</v>
      </c>
      <c r="G530" s="9">
        <v>1</v>
      </c>
      <c r="H530" s="9">
        <v>1</v>
      </c>
      <c r="I530" s="9">
        <v>2</v>
      </c>
      <c r="J530" s="43">
        <v>2</v>
      </c>
      <c r="K530" s="262">
        <f t="shared" si="8"/>
        <v>0.35859414261160716</v>
      </c>
      <c r="L530" s="163" t="s">
        <v>111</v>
      </c>
    </row>
    <row r="531" spans="1:12" hidden="1">
      <c r="A531" s="34" t="s">
        <v>114</v>
      </c>
      <c r="B531" s="339">
        <v>2006</v>
      </c>
      <c r="C531" s="59" t="s">
        <v>95</v>
      </c>
      <c r="D531" s="59">
        <v>81</v>
      </c>
      <c r="E531" s="496" t="s">
        <v>110</v>
      </c>
      <c r="F531" s="29">
        <v>1</v>
      </c>
      <c r="G531" s="9">
        <v>1</v>
      </c>
      <c r="H531" s="9">
        <v>1</v>
      </c>
      <c r="I531" s="9">
        <v>2</v>
      </c>
      <c r="J531" s="43">
        <v>2</v>
      </c>
      <c r="K531" s="262">
        <f t="shared" si="8"/>
        <v>0.35859414261160716</v>
      </c>
      <c r="L531" s="163" t="s">
        <v>111</v>
      </c>
    </row>
    <row r="532" spans="1:12" hidden="1">
      <c r="A532" s="34" t="s">
        <v>114</v>
      </c>
      <c r="B532" s="339">
        <v>2006</v>
      </c>
      <c r="C532" s="59" t="s">
        <v>93</v>
      </c>
      <c r="D532" s="59">
        <v>60</v>
      </c>
      <c r="E532" s="496" t="s">
        <v>110</v>
      </c>
      <c r="F532" s="29">
        <v>1</v>
      </c>
      <c r="G532" s="9">
        <v>1</v>
      </c>
      <c r="H532" s="9">
        <v>1</v>
      </c>
      <c r="I532" s="9">
        <v>2</v>
      </c>
      <c r="J532" s="43">
        <v>2</v>
      </c>
      <c r="K532" s="262">
        <f t="shared" si="8"/>
        <v>0.35859414261160716</v>
      </c>
      <c r="L532" s="163" t="s">
        <v>111</v>
      </c>
    </row>
    <row r="533" spans="1:12" hidden="1">
      <c r="A533" s="34" t="s">
        <v>114</v>
      </c>
      <c r="B533" s="339">
        <v>2006</v>
      </c>
      <c r="C533" s="59" t="s">
        <v>98</v>
      </c>
      <c r="D533" s="59">
        <v>841</v>
      </c>
      <c r="E533" s="496" t="s">
        <v>110</v>
      </c>
      <c r="F533" s="29">
        <v>1</v>
      </c>
      <c r="G533" s="9">
        <v>1</v>
      </c>
      <c r="H533" s="9">
        <v>1</v>
      </c>
      <c r="I533" s="9">
        <v>2</v>
      </c>
      <c r="J533" s="43">
        <v>2</v>
      </c>
      <c r="K533" s="262">
        <f t="shared" si="8"/>
        <v>0.35859414261160716</v>
      </c>
      <c r="L533" s="163" t="s">
        <v>111</v>
      </c>
    </row>
    <row r="534" spans="1:12" hidden="1">
      <c r="A534" s="34" t="s">
        <v>114</v>
      </c>
      <c r="B534" s="339">
        <v>2007</v>
      </c>
      <c r="C534" s="59" t="s">
        <v>85</v>
      </c>
      <c r="D534" s="59">
        <v>651</v>
      </c>
      <c r="E534" s="496" t="s">
        <v>110</v>
      </c>
      <c r="F534" s="29">
        <v>1</v>
      </c>
      <c r="G534" s="9">
        <v>1</v>
      </c>
      <c r="H534" s="9">
        <v>1</v>
      </c>
      <c r="I534" s="9">
        <v>2</v>
      </c>
      <c r="J534" s="43">
        <v>2</v>
      </c>
      <c r="K534" s="262">
        <f t="shared" si="8"/>
        <v>0.35859414261160716</v>
      </c>
      <c r="L534" s="163" t="s">
        <v>111</v>
      </c>
    </row>
    <row r="535" spans="1:12" hidden="1">
      <c r="A535" s="34" t="s">
        <v>114</v>
      </c>
      <c r="B535" s="339">
        <v>2007</v>
      </c>
      <c r="C535" s="59" t="s">
        <v>86</v>
      </c>
      <c r="D535" s="59">
        <v>160</v>
      </c>
      <c r="E535" s="496" t="s">
        <v>110</v>
      </c>
      <c r="F535" s="29">
        <v>1</v>
      </c>
      <c r="G535" s="9">
        <v>1</v>
      </c>
      <c r="H535" s="9">
        <v>1</v>
      </c>
      <c r="I535" s="9">
        <v>2</v>
      </c>
      <c r="J535" s="43">
        <v>2</v>
      </c>
      <c r="K535" s="262">
        <f t="shared" si="8"/>
        <v>0.35859414261160716</v>
      </c>
      <c r="L535" s="163" t="s">
        <v>111</v>
      </c>
    </row>
    <row r="536" spans="1:12" hidden="1">
      <c r="A536" s="34" t="s">
        <v>114</v>
      </c>
      <c r="B536" s="339">
        <v>2007</v>
      </c>
      <c r="C536" s="59" t="s">
        <v>87</v>
      </c>
      <c r="D536" s="59">
        <v>239</v>
      </c>
      <c r="E536" s="496" t="s">
        <v>110</v>
      </c>
      <c r="F536" s="29">
        <v>1</v>
      </c>
      <c r="G536" s="9">
        <v>1</v>
      </c>
      <c r="H536" s="9">
        <v>1</v>
      </c>
      <c r="I536" s="9">
        <v>2</v>
      </c>
      <c r="J536" s="43">
        <v>2</v>
      </c>
      <c r="K536" s="262">
        <f t="shared" si="8"/>
        <v>0.35859414261160716</v>
      </c>
      <c r="L536" s="163" t="s">
        <v>111</v>
      </c>
    </row>
    <row r="537" spans="1:12">
      <c r="A537" s="34" t="s">
        <v>114</v>
      </c>
      <c r="B537" s="339">
        <v>2007</v>
      </c>
      <c r="C537" s="59" t="s">
        <v>88</v>
      </c>
      <c r="D537" s="59">
        <v>58</v>
      </c>
      <c r="E537" s="496" t="s">
        <v>110</v>
      </c>
      <c r="F537" s="29">
        <v>1</v>
      </c>
      <c r="G537" s="9">
        <v>1</v>
      </c>
      <c r="H537" s="9">
        <v>1</v>
      </c>
      <c r="I537" s="9">
        <v>2</v>
      </c>
      <c r="J537" s="43">
        <v>2</v>
      </c>
      <c r="K537" s="262">
        <f t="shared" si="8"/>
        <v>0.35859414261160716</v>
      </c>
      <c r="L537" s="163" t="s">
        <v>111</v>
      </c>
    </row>
    <row r="538" spans="1:12" hidden="1">
      <c r="A538" s="34" t="s">
        <v>114</v>
      </c>
      <c r="B538" s="339">
        <v>2007</v>
      </c>
      <c r="C538" s="59" t="s">
        <v>89</v>
      </c>
      <c r="D538" s="59">
        <v>41</v>
      </c>
      <c r="E538" s="496" t="s">
        <v>110</v>
      </c>
      <c r="F538" s="29">
        <v>1</v>
      </c>
      <c r="G538" s="9">
        <v>1</v>
      </c>
      <c r="H538" s="9">
        <v>1</v>
      </c>
      <c r="I538" s="9">
        <v>2</v>
      </c>
      <c r="J538" s="43">
        <v>2</v>
      </c>
      <c r="K538" s="262">
        <f t="shared" si="8"/>
        <v>0.35859414261160716</v>
      </c>
      <c r="L538" s="163" t="s">
        <v>111</v>
      </c>
    </row>
    <row r="539" spans="1:12" hidden="1">
      <c r="A539" s="34" t="s">
        <v>114</v>
      </c>
      <c r="B539" s="339">
        <v>2007</v>
      </c>
      <c r="C539" s="59" t="s">
        <v>90</v>
      </c>
      <c r="D539" s="59">
        <v>148</v>
      </c>
      <c r="E539" s="496" t="s">
        <v>110</v>
      </c>
      <c r="F539" s="29">
        <v>1</v>
      </c>
      <c r="G539" s="9">
        <v>1</v>
      </c>
      <c r="H539" s="9">
        <v>1</v>
      </c>
      <c r="I539" s="9">
        <v>2</v>
      </c>
      <c r="J539" s="43">
        <v>2</v>
      </c>
      <c r="K539" s="262">
        <f t="shared" si="8"/>
        <v>0.35859414261160716</v>
      </c>
      <c r="L539" s="163" t="s">
        <v>111</v>
      </c>
    </row>
    <row r="540" spans="1:12" hidden="1">
      <c r="A540" s="34" t="s">
        <v>114</v>
      </c>
      <c r="B540" s="339">
        <v>2007</v>
      </c>
      <c r="C540" s="59" t="s">
        <v>91</v>
      </c>
      <c r="D540" s="59">
        <v>116</v>
      </c>
      <c r="E540" s="496" t="s">
        <v>110</v>
      </c>
      <c r="F540" s="29">
        <v>1</v>
      </c>
      <c r="G540" s="9">
        <v>1</v>
      </c>
      <c r="H540" s="9">
        <v>1</v>
      </c>
      <c r="I540" s="9">
        <v>2</v>
      </c>
      <c r="J540" s="43">
        <v>2</v>
      </c>
      <c r="K540" s="262">
        <f t="shared" si="8"/>
        <v>0.35859414261160716</v>
      </c>
      <c r="L540" s="163" t="s">
        <v>111</v>
      </c>
    </row>
    <row r="541" spans="1:12" hidden="1">
      <c r="A541" s="34" t="s">
        <v>114</v>
      </c>
      <c r="B541" s="339">
        <v>2007</v>
      </c>
      <c r="C541" s="59" t="s">
        <v>94</v>
      </c>
      <c r="D541" s="59">
        <v>18</v>
      </c>
      <c r="E541" s="496" t="s">
        <v>110</v>
      </c>
      <c r="F541" s="29">
        <v>1</v>
      </c>
      <c r="G541" s="9">
        <v>1</v>
      </c>
      <c r="H541" s="9">
        <v>1</v>
      </c>
      <c r="I541" s="9">
        <v>2</v>
      </c>
      <c r="J541" s="43">
        <v>2</v>
      </c>
      <c r="K541" s="262">
        <f t="shared" si="8"/>
        <v>0.35859414261160716</v>
      </c>
      <c r="L541" s="163" t="s">
        <v>111</v>
      </c>
    </row>
    <row r="542" spans="1:12" hidden="1">
      <c r="A542" s="34" t="s">
        <v>114</v>
      </c>
      <c r="B542" s="339">
        <v>2007</v>
      </c>
      <c r="C542" s="59" t="s">
        <v>96</v>
      </c>
      <c r="D542" s="59">
        <v>80</v>
      </c>
      <c r="E542" s="496" t="s">
        <v>110</v>
      </c>
      <c r="F542" s="29">
        <v>1</v>
      </c>
      <c r="G542" s="9">
        <v>1</v>
      </c>
      <c r="H542" s="9">
        <v>1</v>
      </c>
      <c r="I542" s="9">
        <v>2</v>
      </c>
      <c r="J542" s="43">
        <v>2</v>
      </c>
      <c r="K542" s="262">
        <f t="shared" si="8"/>
        <v>0.35859414261160716</v>
      </c>
      <c r="L542" s="163" t="s">
        <v>111</v>
      </c>
    </row>
    <row r="543" spans="1:12">
      <c r="A543" s="34" t="s">
        <v>114</v>
      </c>
      <c r="B543" s="339">
        <v>2007</v>
      </c>
      <c r="C543" s="59" t="s">
        <v>97</v>
      </c>
      <c r="D543" s="59">
        <v>204</v>
      </c>
      <c r="E543" s="496" t="s">
        <v>110</v>
      </c>
      <c r="F543" s="29">
        <v>1</v>
      </c>
      <c r="G543" s="9">
        <v>1</v>
      </c>
      <c r="H543" s="9">
        <v>1</v>
      </c>
      <c r="I543" s="9">
        <v>2</v>
      </c>
      <c r="J543" s="43">
        <v>2</v>
      </c>
      <c r="K543" s="262">
        <f t="shared" si="8"/>
        <v>0.35859414261160716</v>
      </c>
      <c r="L543" s="163" t="s">
        <v>111</v>
      </c>
    </row>
    <row r="544" spans="1:12" hidden="1">
      <c r="A544" s="34" t="s">
        <v>114</v>
      </c>
      <c r="B544" s="339">
        <v>2007</v>
      </c>
      <c r="C544" s="59" t="s">
        <v>95</v>
      </c>
      <c r="D544" s="59">
        <v>121</v>
      </c>
      <c r="E544" s="496" t="s">
        <v>110</v>
      </c>
      <c r="F544" s="29">
        <v>1</v>
      </c>
      <c r="G544" s="9">
        <v>1</v>
      </c>
      <c r="H544" s="9">
        <v>1</v>
      </c>
      <c r="I544" s="9">
        <v>2</v>
      </c>
      <c r="J544" s="43">
        <v>2</v>
      </c>
      <c r="K544" s="262">
        <f t="shared" si="8"/>
        <v>0.35859414261160716</v>
      </c>
      <c r="L544" s="163" t="s">
        <v>111</v>
      </c>
    </row>
    <row r="545" spans="1:12" hidden="1">
      <c r="A545" s="34" t="s">
        <v>114</v>
      </c>
      <c r="B545" s="339">
        <v>2007</v>
      </c>
      <c r="C545" s="59" t="s">
        <v>93</v>
      </c>
      <c r="D545" s="59">
        <v>30</v>
      </c>
      <c r="E545" s="496" t="s">
        <v>110</v>
      </c>
      <c r="F545" s="29">
        <v>1</v>
      </c>
      <c r="G545" s="9">
        <v>1</v>
      </c>
      <c r="H545" s="9">
        <v>1</v>
      </c>
      <c r="I545" s="9">
        <v>2</v>
      </c>
      <c r="J545" s="43">
        <v>2</v>
      </c>
      <c r="K545" s="262">
        <f t="shared" si="8"/>
        <v>0.35859414261160716</v>
      </c>
      <c r="L545" s="163" t="s">
        <v>111</v>
      </c>
    </row>
    <row r="546" spans="1:12" hidden="1">
      <c r="A546" s="34" t="s">
        <v>114</v>
      </c>
      <c r="B546" s="339">
        <v>2007</v>
      </c>
      <c r="C546" s="59" t="s">
        <v>98</v>
      </c>
      <c r="D546" s="59">
        <v>953</v>
      </c>
      <c r="E546" s="496" t="s">
        <v>110</v>
      </c>
      <c r="F546" s="29">
        <v>1</v>
      </c>
      <c r="G546" s="9">
        <v>1</v>
      </c>
      <c r="H546" s="9">
        <v>1</v>
      </c>
      <c r="I546" s="9">
        <v>2</v>
      </c>
      <c r="J546" s="43">
        <v>2</v>
      </c>
      <c r="K546" s="262">
        <f t="shared" si="8"/>
        <v>0.35859414261160716</v>
      </c>
      <c r="L546" s="163" t="s">
        <v>111</v>
      </c>
    </row>
    <row r="547" spans="1:12" hidden="1">
      <c r="A547" s="34" t="s">
        <v>114</v>
      </c>
      <c r="B547" s="339">
        <v>2008</v>
      </c>
      <c r="C547" s="59" t="s">
        <v>85</v>
      </c>
      <c r="D547" s="59">
        <v>662</v>
      </c>
      <c r="E547" s="496" t="s">
        <v>110</v>
      </c>
      <c r="F547" s="29">
        <v>1</v>
      </c>
      <c r="G547" s="9">
        <v>1</v>
      </c>
      <c r="H547" s="9">
        <v>1</v>
      </c>
      <c r="I547" s="9">
        <v>2</v>
      </c>
      <c r="J547" s="43">
        <v>2</v>
      </c>
      <c r="K547" s="262">
        <f t="shared" si="8"/>
        <v>0.35859414261160716</v>
      </c>
      <c r="L547" s="163" t="s">
        <v>111</v>
      </c>
    </row>
    <row r="548" spans="1:12" hidden="1">
      <c r="A548" s="34" t="s">
        <v>114</v>
      </c>
      <c r="B548" s="339">
        <v>2008</v>
      </c>
      <c r="C548" s="59" t="s">
        <v>86</v>
      </c>
      <c r="D548" s="59">
        <v>151</v>
      </c>
      <c r="E548" s="496" t="s">
        <v>110</v>
      </c>
      <c r="F548" s="29">
        <v>1</v>
      </c>
      <c r="G548" s="9">
        <v>1</v>
      </c>
      <c r="H548" s="9">
        <v>1</v>
      </c>
      <c r="I548" s="9">
        <v>2</v>
      </c>
      <c r="J548" s="43">
        <v>2</v>
      </c>
      <c r="K548" s="262">
        <f t="shared" si="8"/>
        <v>0.35859414261160716</v>
      </c>
      <c r="L548" s="163" t="s">
        <v>111</v>
      </c>
    </row>
    <row r="549" spans="1:12" hidden="1">
      <c r="A549" s="34" t="s">
        <v>114</v>
      </c>
      <c r="B549" s="339">
        <v>2008</v>
      </c>
      <c r="C549" s="59" t="s">
        <v>87</v>
      </c>
      <c r="D549" s="59">
        <v>235</v>
      </c>
      <c r="E549" s="496" t="s">
        <v>110</v>
      </c>
      <c r="F549" s="29">
        <v>1</v>
      </c>
      <c r="G549" s="9">
        <v>1</v>
      </c>
      <c r="H549" s="9">
        <v>1</v>
      </c>
      <c r="I549" s="9">
        <v>2</v>
      </c>
      <c r="J549" s="43">
        <v>2</v>
      </c>
      <c r="K549" s="262">
        <f t="shared" si="8"/>
        <v>0.35859414261160716</v>
      </c>
      <c r="L549" s="163" t="s">
        <v>111</v>
      </c>
    </row>
    <row r="550" spans="1:12">
      <c r="A550" s="34" t="s">
        <v>114</v>
      </c>
      <c r="B550" s="339">
        <v>2008</v>
      </c>
      <c r="C550" s="59" t="s">
        <v>88</v>
      </c>
      <c r="D550" s="59">
        <v>43</v>
      </c>
      <c r="E550" s="496" t="s">
        <v>110</v>
      </c>
      <c r="F550" s="29">
        <v>1</v>
      </c>
      <c r="G550" s="9">
        <v>1</v>
      </c>
      <c r="H550" s="9">
        <v>1</v>
      </c>
      <c r="I550" s="9">
        <v>2</v>
      </c>
      <c r="J550" s="43">
        <v>2</v>
      </c>
      <c r="K550" s="262">
        <f t="shared" si="8"/>
        <v>0.35859414261160716</v>
      </c>
      <c r="L550" s="163" t="s">
        <v>111</v>
      </c>
    </row>
    <row r="551" spans="1:12" hidden="1">
      <c r="A551" s="34" t="s">
        <v>114</v>
      </c>
      <c r="B551" s="339">
        <v>2008</v>
      </c>
      <c r="C551" s="59" t="s">
        <v>89</v>
      </c>
      <c r="D551" s="59">
        <v>31</v>
      </c>
      <c r="E551" s="496" t="s">
        <v>110</v>
      </c>
      <c r="F551" s="29">
        <v>1</v>
      </c>
      <c r="G551" s="9">
        <v>1</v>
      </c>
      <c r="H551" s="9">
        <v>1</v>
      </c>
      <c r="I551" s="9">
        <v>2</v>
      </c>
      <c r="J551" s="43">
        <v>2</v>
      </c>
      <c r="K551" s="262">
        <f t="shared" si="8"/>
        <v>0.35859414261160716</v>
      </c>
      <c r="L551" s="163" t="s">
        <v>111</v>
      </c>
    </row>
    <row r="552" spans="1:12" hidden="1">
      <c r="A552" s="34" t="s">
        <v>114</v>
      </c>
      <c r="B552" s="339">
        <v>2008</v>
      </c>
      <c r="C552" s="59" t="s">
        <v>90</v>
      </c>
      <c r="D552" s="59">
        <v>124</v>
      </c>
      <c r="E552" s="496" t="s">
        <v>110</v>
      </c>
      <c r="F552" s="29">
        <v>1</v>
      </c>
      <c r="G552" s="9">
        <v>1</v>
      </c>
      <c r="H552" s="9">
        <v>1</v>
      </c>
      <c r="I552" s="9">
        <v>2</v>
      </c>
      <c r="J552" s="43">
        <v>2</v>
      </c>
      <c r="K552" s="262">
        <f t="shared" si="8"/>
        <v>0.35859414261160716</v>
      </c>
      <c r="L552" s="163" t="s">
        <v>111</v>
      </c>
    </row>
    <row r="553" spans="1:12" hidden="1">
      <c r="A553" s="34" t="s">
        <v>114</v>
      </c>
      <c r="B553" s="339">
        <v>2008</v>
      </c>
      <c r="C553" s="59" t="s">
        <v>91</v>
      </c>
      <c r="D553" s="59">
        <v>94</v>
      </c>
      <c r="E553" s="496" t="s">
        <v>110</v>
      </c>
      <c r="F553" s="29">
        <v>1</v>
      </c>
      <c r="G553" s="9">
        <v>1</v>
      </c>
      <c r="H553" s="9">
        <v>1</v>
      </c>
      <c r="I553" s="9">
        <v>2</v>
      </c>
      <c r="J553" s="43">
        <v>2</v>
      </c>
      <c r="K553" s="262">
        <f t="shared" si="8"/>
        <v>0.35859414261160716</v>
      </c>
      <c r="L553" s="163" t="s">
        <v>111</v>
      </c>
    </row>
    <row r="554" spans="1:12" hidden="1">
      <c r="A554" s="34" t="s">
        <v>114</v>
      </c>
      <c r="B554" s="339">
        <v>2008</v>
      </c>
      <c r="C554" s="59" t="s">
        <v>94</v>
      </c>
      <c r="D554" s="59">
        <v>23</v>
      </c>
      <c r="E554" s="496" t="s">
        <v>110</v>
      </c>
      <c r="F554" s="29">
        <v>1</v>
      </c>
      <c r="G554" s="9">
        <v>1</v>
      </c>
      <c r="H554" s="9">
        <v>1</v>
      </c>
      <c r="I554" s="9">
        <v>2</v>
      </c>
      <c r="J554" s="43">
        <v>2</v>
      </c>
      <c r="K554" s="262">
        <f t="shared" si="8"/>
        <v>0.35859414261160716</v>
      </c>
      <c r="L554" s="163" t="s">
        <v>111</v>
      </c>
    </row>
    <row r="555" spans="1:12" hidden="1">
      <c r="A555" s="34" t="s">
        <v>114</v>
      </c>
      <c r="B555" s="339">
        <v>2008</v>
      </c>
      <c r="C555" s="59" t="s">
        <v>96</v>
      </c>
      <c r="D555" s="59">
        <v>117</v>
      </c>
      <c r="E555" s="496" t="s">
        <v>110</v>
      </c>
      <c r="F555" s="29">
        <v>1</v>
      </c>
      <c r="G555" s="9">
        <v>1</v>
      </c>
      <c r="H555" s="9">
        <v>1</v>
      </c>
      <c r="I555" s="9">
        <v>2</v>
      </c>
      <c r="J555" s="43">
        <v>2</v>
      </c>
      <c r="K555" s="262">
        <f t="shared" si="8"/>
        <v>0.35859414261160716</v>
      </c>
      <c r="L555" s="163" t="s">
        <v>111</v>
      </c>
    </row>
    <row r="556" spans="1:12">
      <c r="A556" s="34" t="s">
        <v>114</v>
      </c>
      <c r="B556" s="339">
        <v>2008</v>
      </c>
      <c r="C556" s="59" t="s">
        <v>97</v>
      </c>
      <c r="D556" s="59">
        <v>197</v>
      </c>
      <c r="E556" s="496" t="s">
        <v>110</v>
      </c>
      <c r="F556" s="29">
        <v>1</v>
      </c>
      <c r="G556" s="9">
        <v>1</v>
      </c>
      <c r="H556" s="9">
        <v>1</v>
      </c>
      <c r="I556" s="9">
        <v>2</v>
      </c>
      <c r="J556" s="43">
        <v>2</v>
      </c>
      <c r="K556" s="262">
        <f t="shared" si="8"/>
        <v>0.35859414261160716</v>
      </c>
      <c r="L556" s="163" t="s">
        <v>111</v>
      </c>
    </row>
    <row r="557" spans="1:12" hidden="1">
      <c r="A557" s="34" t="s">
        <v>114</v>
      </c>
      <c r="B557" s="339">
        <v>2008</v>
      </c>
      <c r="C557" s="59" t="s">
        <v>95</v>
      </c>
      <c r="D557" s="59">
        <v>101</v>
      </c>
      <c r="E557" s="496" t="s">
        <v>110</v>
      </c>
      <c r="F557" s="29">
        <v>1</v>
      </c>
      <c r="G557" s="9">
        <v>1</v>
      </c>
      <c r="H557" s="9">
        <v>1</v>
      </c>
      <c r="I557" s="9">
        <v>2</v>
      </c>
      <c r="J557" s="43">
        <v>2</v>
      </c>
      <c r="K557" s="262">
        <f t="shared" si="8"/>
        <v>0.35859414261160716</v>
      </c>
      <c r="L557" s="163" t="s">
        <v>111</v>
      </c>
    </row>
    <row r="558" spans="1:12" hidden="1">
      <c r="A558" s="34" t="s">
        <v>114</v>
      </c>
      <c r="B558" s="339">
        <v>2008</v>
      </c>
      <c r="C558" s="59" t="s">
        <v>93</v>
      </c>
      <c r="D558" s="59">
        <v>28</v>
      </c>
      <c r="E558" s="496" t="s">
        <v>110</v>
      </c>
      <c r="F558" s="29">
        <v>1</v>
      </c>
      <c r="G558" s="9">
        <v>1</v>
      </c>
      <c r="H558" s="9">
        <v>1</v>
      </c>
      <c r="I558" s="9">
        <v>2</v>
      </c>
      <c r="J558" s="43">
        <v>2</v>
      </c>
      <c r="K558" s="262">
        <f t="shared" si="8"/>
        <v>0.35859414261160716</v>
      </c>
      <c r="L558" s="163" t="s">
        <v>111</v>
      </c>
    </row>
    <row r="559" spans="1:12" hidden="1">
      <c r="A559" s="34" t="s">
        <v>114</v>
      </c>
      <c r="B559" s="339">
        <v>2008</v>
      </c>
      <c r="C559" s="59" t="s">
        <v>98</v>
      </c>
      <c r="D559" s="59">
        <v>868</v>
      </c>
      <c r="E559" s="496" t="s">
        <v>110</v>
      </c>
      <c r="F559" s="29">
        <v>1</v>
      </c>
      <c r="G559" s="9">
        <v>1</v>
      </c>
      <c r="H559" s="9">
        <v>1</v>
      </c>
      <c r="I559" s="9">
        <v>2</v>
      </c>
      <c r="J559" s="43">
        <v>2</v>
      </c>
      <c r="K559" s="262">
        <f t="shared" si="8"/>
        <v>0.35859414261160716</v>
      </c>
      <c r="L559" s="163" t="s">
        <v>111</v>
      </c>
    </row>
    <row r="560" spans="1:12" hidden="1">
      <c r="A560" s="34" t="s">
        <v>114</v>
      </c>
      <c r="B560" s="339">
        <v>2009</v>
      </c>
      <c r="C560" s="59" t="s">
        <v>85</v>
      </c>
      <c r="D560" s="59">
        <v>593</v>
      </c>
      <c r="E560" s="496" t="s">
        <v>110</v>
      </c>
      <c r="F560" s="29">
        <v>1</v>
      </c>
      <c r="G560" s="9">
        <v>1</v>
      </c>
      <c r="H560" s="9">
        <v>1</v>
      </c>
      <c r="I560" s="9">
        <v>2</v>
      </c>
      <c r="J560" s="43">
        <v>2</v>
      </c>
      <c r="K560" s="262">
        <f t="shared" si="8"/>
        <v>0.35859414261160716</v>
      </c>
      <c r="L560" s="163" t="s">
        <v>111</v>
      </c>
    </row>
    <row r="561" spans="1:12" hidden="1">
      <c r="A561" s="34" t="s">
        <v>114</v>
      </c>
      <c r="B561" s="339">
        <v>2009</v>
      </c>
      <c r="C561" s="59" t="s">
        <v>86</v>
      </c>
      <c r="D561" s="59">
        <v>162</v>
      </c>
      <c r="E561" s="496" t="s">
        <v>110</v>
      </c>
      <c r="F561" s="29">
        <v>1</v>
      </c>
      <c r="G561" s="9">
        <v>1</v>
      </c>
      <c r="H561" s="9">
        <v>1</v>
      </c>
      <c r="I561" s="9">
        <v>2</v>
      </c>
      <c r="J561" s="43">
        <v>2</v>
      </c>
      <c r="K561" s="262">
        <f t="shared" si="8"/>
        <v>0.35859414261160716</v>
      </c>
      <c r="L561" s="163" t="s">
        <v>111</v>
      </c>
    </row>
    <row r="562" spans="1:12" hidden="1">
      <c r="A562" s="34" t="s">
        <v>114</v>
      </c>
      <c r="B562" s="339">
        <v>2009</v>
      </c>
      <c r="C562" s="59" t="s">
        <v>87</v>
      </c>
      <c r="D562" s="59">
        <v>246</v>
      </c>
      <c r="E562" s="496" t="s">
        <v>110</v>
      </c>
      <c r="F562" s="29">
        <v>1</v>
      </c>
      <c r="G562" s="9">
        <v>1</v>
      </c>
      <c r="H562" s="9">
        <v>1</v>
      </c>
      <c r="I562" s="9">
        <v>2</v>
      </c>
      <c r="J562" s="43">
        <v>2</v>
      </c>
      <c r="K562" s="262">
        <f t="shared" si="8"/>
        <v>0.35859414261160716</v>
      </c>
      <c r="L562" s="163" t="s">
        <v>111</v>
      </c>
    </row>
    <row r="563" spans="1:12">
      <c r="A563" s="34" t="s">
        <v>114</v>
      </c>
      <c r="B563" s="339">
        <v>2009</v>
      </c>
      <c r="C563" s="59" t="s">
        <v>88</v>
      </c>
      <c r="D563" s="59">
        <v>41</v>
      </c>
      <c r="E563" s="496" t="s">
        <v>110</v>
      </c>
      <c r="F563" s="29">
        <v>1</v>
      </c>
      <c r="G563" s="9">
        <v>1</v>
      </c>
      <c r="H563" s="9">
        <v>1</v>
      </c>
      <c r="I563" s="9">
        <v>2</v>
      </c>
      <c r="J563" s="43">
        <v>2</v>
      </c>
      <c r="K563" s="262">
        <f t="shared" si="8"/>
        <v>0.35859414261160716</v>
      </c>
      <c r="L563" s="163" t="s">
        <v>111</v>
      </c>
    </row>
    <row r="564" spans="1:12" hidden="1">
      <c r="A564" s="34" t="s">
        <v>114</v>
      </c>
      <c r="B564" s="339">
        <v>2009</v>
      </c>
      <c r="C564" s="59" t="s">
        <v>89</v>
      </c>
      <c r="D564" s="59">
        <v>28</v>
      </c>
      <c r="E564" s="496" t="s">
        <v>110</v>
      </c>
      <c r="F564" s="29">
        <v>1</v>
      </c>
      <c r="G564" s="9">
        <v>1</v>
      </c>
      <c r="H564" s="9">
        <v>1</v>
      </c>
      <c r="I564" s="9">
        <v>2</v>
      </c>
      <c r="J564" s="43">
        <v>2</v>
      </c>
      <c r="K564" s="262">
        <f t="shared" si="8"/>
        <v>0.35859414261160716</v>
      </c>
      <c r="L564" s="163" t="s">
        <v>111</v>
      </c>
    </row>
    <row r="565" spans="1:12" hidden="1">
      <c r="A565" s="34" t="s">
        <v>114</v>
      </c>
      <c r="B565" s="339">
        <v>2009</v>
      </c>
      <c r="C565" s="59" t="s">
        <v>90</v>
      </c>
      <c r="D565" s="59">
        <v>159</v>
      </c>
      <c r="E565" s="496" t="s">
        <v>110</v>
      </c>
      <c r="F565" s="29">
        <v>1</v>
      </c>
      <c r="G565" s="9">
        <v>1</v>
      </c>
      <c r="H565" s="9">
        <v>1</v>
      </c>
      <c r="I565" s="9">
        <v>2</v>
      </c>
      <c r="J565" s="43">
        <v>2</v>
      </c>
      <c r="K565" s="262">
        <f t="shared" si="8"/>
        <v>0.35859414261160716</v>
      </c>
      <c r="L565" s="163" t="s">
        <v>111</v>
      </c>
    </row>
    <row r="566" spans="1:12" hidden="1">
      <c r="A566" s="34" t="s">
        <v>114</v>
      </c>
      <c r="B566" s="339">
        <v>2009</v>
      </c>
      <c r="C566" s="59" t="s">
        <v>91</v>
      </c>
      <c r="D566" s="59">
        <v>92</v>
      </c>
      <c r="E566" s="496" t="s">
        <v>110</v>
      </c>
      <c r="F566" s="29">
        <v>1</v>
      </c>
      <c r="G566" s="9">
        <v>1</v>
      </c>
      <c r="H566" s="9">
        <v>1</v>
      </c>
      <c r="I566" s="9">
        <v>2</v>
      </c>
      <c r="J566" s="43">
        <v>2</v>
      </c>
      <c r="K566" s="262">
        <f t="shared" si="8"/>
        <v>0.35859414261160716</v>
      </c>
      <c r="L566" s="163" t="s">
        <v>111</v>
      </c>
    </row>
    <row r="567" spans="1:12" hidden="1">
      <c r="A567" s="34" t="s">
        <v>114</v>
      </c>
      <c r="B567" s="339">
        <v>2009</v>
      </c>
      <c r="C567" s="59" t="s">
        <v>94</v>
      </c>
      <c r="D567" s="59">
        <v>23</v>
      </c>
      <c r="E567" s="496" t="s">
        <v>110</v>
      </c>
      <c r="F567" s="29">
        <v>1</v>
      </c>
      <c r="G567" s="9">
        <v>1</v>
      </c>
      <c r="H567" s="9">
        <v>1</v>
      </c>
      <c r="I567" s="9">
        <v>2</v>
      </c>
      <c r="J567" s="43">
        <v>2</v>
      </c>
      <c r="K567" s="262">
        <f t="shared" si="8"/>
        <v>0.35859414261160716</v>
      </c>
      <c r="L567" s="163" t="s">
        <v>111</v>
      </c>
    </row>
    <row r="568" spans="1:12" hidden="1">
      <c r="A568" s="34" t="s">
        <v>114</v>
      </c>
      <c r="B568" s="339">
        <v>2009</v>
      </c>
      <c r="C568" s="59" t="s">
        <v>96</v>
      </c>
      <c r="D568" s="59">
        <v>50</v>
      </c>
      <c r="E568" s="496" t="s">
        <v>110</v>
      </c>
      <c r="F568" s="29">
        <v>1</v>
      </c>
      <c r="G568" s="9">
        <v>1</v>
      </c>
      <c r="H568" s="9">
        <v>1</v>
      </c>
      <c r="I568" s="9">
        <v>2</v>
      </c>
      <c r="J568" s="43">
        <v>2</v>
      </c>
      <c r="K568" s="262">
        <f t="shared" si="8"/>
        <v>0.35859414261160716</v>
      </c>
      <c r="L568" s="163" t="s">
        <v>111</v>
      </c>
    </row>
    <row r="569" spans="1:12">
      <c r="A569" s="34" t="s">
        <v>114</v>
      </c>
      <c r="B569" s="339">
        <v>2009</v>
      </c>
      <c r="C569" s="59" t="s">
        <v>97</v>
      </c>
      <c r="D569" s="59">
        <v>173</v>
      </c>
      <c r="E569" s="496" t="s">
        <v>110</v>
      </c>
      <c r="F569" s="29">
        <v>1</v>
      </c>
      <c r="G569" s="9">
        <v>1</v>
      </c>
      <c r="H569" s="9">
        <v>1</v>
      </c>
      <c r="I569" s="9">
        <v>2</v>
      </c>
      <c r="J569" s="43">
        <v>2</v>
      </c>
      <c r="K569" s="262">
        <f t="shared" si="8"/>
        <v>0.35859414261160716</v>
      </c>
      <c r="L569" s="163" t="s">
        <v>111</v>
      </c>
    </row>
    <row r="570" spans="1:12" hidden="1">
      <c r="A570" s="34" t="s">
        <v>114</v>
      </c>
      <c r="B570" s="339">
        <v>2009</v>
      </c>
      <c r="C570" s="59" t="s">
        <v>95</v>
      </c>
      <c r="D570" s="59">
        <v>41</v>
      </c>
      <c r="E570" s="496" t="s">
        <v>110</v>
      </c>
      <c r="F570" s="29">
        <v>1</v>
      </c>
      <c r="G570" s="9">
        <v>1</v>
      </c>
      <c r="H570" s="9">
        <v>1</v>
      </c>
      <c r="I570" s="9">
        <v>2</v>
      </c>
      <c r="J570" s="43">
        <v>2</v>
      </c>
      <c r="K570" s="262">
        <f t="shared" si="8"/>
        <v>0.35859414261160716</v>
      </c>
      <c r="L570" s="163" t="s">
        <v>111</v>
      </c>
    </row>
    <row r="571" spans="1:12" hidden="1">
      <c r="A571" s="34" t="s">
        <v>114</v>
      </c>
      <c r="B571" s="339">
        <v>2009</v>
      </c>
      <c r="C571" s="59" t="s">
        <v>93</v>
      </c>
      <c r="D571" s="59">
        <v>35</v>
      </c>
      <c r="E571" s="496" t="s">
        <v>110</v>
      </c>
      <c r="F571" s="29">
        <v>1</v>
      </c>
      <c r="G571" s="9">
        <v>1</v>
      </c>
      <c r="H571" s="9">
        <v>1</v>
      </c>
      <c r="I571" s="9">
        <v>2</v>
      </c>
      <c r="J571" s="43">
        <v>2</v>
      </c>
      <c r="K571" s="262">
        <f t="shared" si="8"/>
        <v>0.35859414261160716</v>
      </c>
      <c r="L571" s="163" t="s">
        <v>111</v>
      </c>
    </row>
    <row r="572" spans="1:12" hidden="1">
      <c r="A572" s="34" t="s">
        <v>114</v>
      </c>
      <c r="B572" s="339">
        <v>2009</v>
      </c>
      <c r="C572" s="59" t="s">
        <v>98</v>
      </c>
      <c r="D572" s="59">
        <v>701</v>
      </c>
      <c r="E572" s="496" t="s">
        <v>110</v>
      </c>
      <c r="F572" s="29">
        <v>1</v>
      </c>
      <c r="G572" s="9">
        <v>1</v>
      </c>
      <c r="H572" s="9">
        <v>1</v>
      </c>
      <c r="I572" s="9">
        <v>2</v>
      </c>
      <c r="J572" s="43">
        <v>2</v>
      </c>
      <c r="K572" s="262">
        <f t="shared" si="8"/>
        <v>0.35859414261160716</v>
      </c>
      <c r="L572" s="163" t="s">
        <v>111</v>
      </c>
    </row>
    <row r="573" spans="1:12" hidden="1">
      <c r="A573" s="34" t="s">
        <v>114</v>
      </c>
      <c r="B573" s="339">
        <v>2010</v>
      </c>
      <c r="C573" s="59" t="s">
        <v>85</v>
      </c>
      <c r="D573" s="59">
        <v>706</v>
      </c>
      <c r="E573" s="496" t="s">
        <v>110</v>
      </c>
      <c r="F573" s="29">
        <v>1</v>
      </c>
      <c r="G573" s="9">
        <v>1</v>
      </c>
      <c r="H573" s="9">
        <v>1</v>
      </c>
      <c r="I573" s="9">
        <v>2</v>
      </c>
      <c r="J573" s="43">
        <v>2</v>
      </c>
      <c r="K573" s="262">
        <f t="shared" ref="K573:K636" si="9">IF( OR( ISBLANK(F573),ISBLANK(G573), ISBLANK(H573), ISBLANK(I573), ISBLANK(J573) ), "", 1.5*SQRT(   EXP(2.21*(F573-1)) + EXP(2.21*(G573-1)) + EXP(2.21*(H573-1)) + EXP(2.21*(I573-1)) + EXP(2.21*J573)   )/100*2.45 )</f>
        <v>0.35859414261160716</v>
      </c>
      <c r="L573" s="163" t="s">
        <v>111</v>
      </c>
    </row>
    <row r="574" spans="1:12" hidden="1">
      <c r="A574" s="34" t="s">
        <v>114</v>
      </c>
      <c r="B574" s="339">
        <v>2010</v>
      </c>
      <c r="C574" s="59" t="s">
        <v>86</v>
      </c>
      <c r="D574" s="59">
        <v>182</v>
      </c>
      <c r="E574" s="496" t="s">
        <v>110</v>
      </c>
      <c r="F574" s="29">
        <v>1</v>
      </c>
      <c r="G574" s="9">
        <v>1</v>
      </c>
      <c r="H574" s="9">
        <v>1</v>
      </c>
      <c r="I574" s="9">
        <v>2</v>
      </c>
      <c r="J574" s="43">
        <v>2</v>
      </c>
      <c r="K574" s="262">
        <f t="shared" si="9"/>
        <v>0.35859414261160716</v>
      </c>
      <c r="L574" s="163" t="s">
        <v>111</v>
      </c>
    </row>
    <row r="575" spans="1:12" hidden="1">
      <c r="A575" s="34" t="s">
        <v>114</v>
      </c>
      <c r="B575" s="339">
        <v>2010</v>
      </c>
      <c r="C575" s="59" t="s">
        <v>87</v>
      </c>
      <c r="D575" s="59">
        <v>225</v>
      </c>
      <c r="E575" s="496" t="s">
        <v>110</v>
      </c>
      <c r="F575" s="29">
        <v>1</v>
      </c>
      <c r="G575" s="9">
        <v>1</v>
      </c>
      <c r="H575" s="9">
        <v>1</v>
      </c>
      <c r="I575" s="9">
        <v>2</v>
      </c>
      <c r="J575" s="43">
        <v>2</v>
      </c>
      <c r="K575" s="262">
        <f t="shared" si="9"/>
        <v>0.35859414261160716</v>
      </c>
      <c r="L575" s="163" t="s">
        <v>111</v>
      </c>
    </row>
    <row r="576" spans="1:12">
      <c r="A576" s="34" t="s">
        <v>114</v>
      </c>
      <c r="B576" s="339">
        <v>2010</v>
      </c>
      <c r="C576" s="59" t="s">
        <v>88</v>
      </c>
      <c r="D576" s="59">
        <v>41</v>
      </c>
      <c r="E576" s="496" t="s">
        <v>110</v>
      </c>
      <c r="F576" s="29">
        <v>1</v>
      </c>
      <c r="G576" s="9">
        <v>1</v>
      </c>
      <c r="H576" s="9">
        <v>1</v>
      </c>
      <c r="I576" s="9">
        <v>2</v>
      </c>
      <c r="J576" s="43">
        <v>2</v>
      </c>
      <c r="K576" s="262">
        <f t="shared" si="9"/>
        <v>0.35859414261160716</v>
      </c>
      <c r="L576" s="163" t="s">
        <v>111</v>
      </c>
    </row>
    <row r="577" spans="1:12" hidden="1">
      <c r="A577" s="34" t="s">
        <v>114</v>
      </c>
      <c r="B577" s="339">
        <v>2010</v>
      </c>
      <c r="C577" s="59" t="s">
        <v>89</v>
      </c>
      <c r="D577" s="59">
        <v>28</v>
      </c>
      <c r="E577" s="496" t="s">
        <v>110</v>
      </c>
      <c r="F577" s="29">
        <v>1</v>
      </c>
      <c r="G577" s="9">
        <v>1</v>
      </c>
      <c r="H577" s="9">
        <v>1</v>
      </c>
      <c r="I577" s="9">
        <v>2</v>
      </c>
      <c r="J577" s="43">
        <v>2</v>
      </c>
      <c r="K577" s="262">
        <f t="shared" si="9"/>
        <v>0.35859414261160716</v>
      </c>
      <c r="L577" s="163" t="s">
        <v>111</v>
      </c>
    </row>
    <row r="578" spans="1:12" hidden="1">
      <c r="A578" s="34" t="s">
        <v>114</v>
      </c>
      <c r="B578" s="339">
        <v>2010</v>
      </c>
      <c r="C578" s="59" t="s">
        <v>90</v>
      </c>
      <c r="D578" s="59">
        <v>121</v>
      </c>
      <c r="E578" s="496" t="s">
        <v>110</v>
      </c>
      <c r="F578" s="29">
        <v>1</v>
      </c>
      <c r="G578" s="9">
        <v>1</v>
      </c>
      <c r="H578" s="9">
        <v>1</v>
      </c>
      <c r="I578" s="9">
        <v>2</v>
      </c>
      <c r="J578" s="43">
        <v>2</v>
      </c>
      <c r="K578" s="262">
        <f t="shared" si="9"/>
        <v>0.35859414261160716</v>
      </c>
      <c r="L578" s="163" t="s">
        <v>111</v>
      </c>
    </row>
    <row r="579" spans="1:12" hidden="1">
      <c r="A579" s="34" t="s">
        <v>114</v>
      </c>
      <c r="B579" s="339">
        <v>2010</v>
      </c>
      <c r="C579" s="59" t="s">
        <v>91</v>
      </c>
      <c r="D579" s="59">
        <v>55</v>
      </c>
      <c r="E579" s="496" t="s">
        <v>110</v>
      </c>
      <c r="F579" s="29">
        <v>1</v>
      </c>
      <c r="G579" s="9">
        <v>1</v>
      </c>
      <c r="H579" s="9">
        <v>1</v>
      </c>
      <c r="I579" s="9">
        <v>2</v>
      </c>
      <c r="J579" s="43">
        <v>2</v>
      </c>
      <c r="K579" s="262">
        <f t="shared" si="9"/>
        <v>0.35859414261160716</v>
      </c>
      <c r="L579" s="163" t="s">
        <v>111</v>
      </c>
    </row>
    <row r="580" spans="1:12" hidden="1">
      <c r="A580" s="34" t="s">
        <v>114</v>
      </c>
      <c r="B580" s="339">
        <v>2010</v>
      </c>
      <c r="C580" s="59" t="s">
        <v>94</v>
      </c>
      <c r="D580" s="59">
        <v>20</v>
      </c>
      <c r="E580" s="496" t="s">
        <v>110</v>
      </c>
      <c r="F580" s="29">
        <v>1</v>
      </c>
      <c r="G580" s="9">
        <v>1</v>
      </c>
      <c r="H580" s="9">
        <v>1</v>
      </c>
      <c r="I580" s="9">
        <v>2</v>
      </c>
      <c r="J580" s="43">
        <v>2</v>
      </c>
      <c r="K580" s="262">
        <f t="shared" si="9"/>
        <v>0.35859414261160716</v>
      </c>
      <c r="L580" s="163" t="s">
        <v>111</v>
      </c>
    </row>
    <row r="581" spans="1:12" hidden="1">
      <c r="A581" s="34" t="s">
        <v>114</v>
      </c>
      <c r="B581" s="339">
        <v>2010</v>
      </c>
      <c r="C581" s="59" t="s">
        <v>96</v>
      </c>
      <c r="D581" s="59">
        <v>34</v>
      </c>
      <c r="E581" s="496" t="s">
        <v>110</v>
      </c>
      <c r="F581" s="29">
        <v>1</v>
      </c>
      <c r="G581" s="9">
        <v>1</v>
      </c>
      <c r="H581" s="9">
        <v>1</v>
      </c>
      <c r="I581" s="9">
        <v>2</v>
      </c>
      <c r="J581" s="43">
        <v>2</v>
      </c>
      <c r="K581" s="262">
        <f t="shared" si="9"/>
        <v>0.35859414261160716</v>
      </c>
      <c r="L581" s="163" t="s">
        <v>111</v>
      </c>
    </row>
    <row r="582" spans="1:12">
      <c r="A582" s="34" t="s">
        <v>114</v>
      </c>
      <c r="B582" s="339">
        <v>2010</v>
      </c>
      <c r="C582" s="59" t="s">
        <v>97</v>
      </c>
      <c r="D582" s="59">
        <v>204</v>
      </c>
      <c r="E582" s="496" t="s">
        <v>110</v>
      </c>
      <c r="F582" s="29">
        <v>1</v>
      </c>
      <c r="G582" s="9">
        <v>1</v>
      </c>
      <c r="H582" s="9">
        <v>1</v>
      </c>
      <c r="I582" s="9">
        <v>2</v>
      </c>
      <c r="J582" s="43">
        <v>2</v>
      </c>
      <c r="K582" s="262">
        <f t="shared" si="9"/>
        <v>0.35859414261160716</v>
      </c>
      <c r="L582" s="163" t="s">
        <v>111</v>
      </c>
    </row>
    <row r="583" spans="1:12" hidden="1">
      <c r="A583" s="34" t="s">
        <v>114</v>
      </c>
      <c r="B583" s="339">
        <v>2010</v>
      </c>
      <c r="C583" s="59" t="s">
        <v>95</v>
      </c>
      <c r="D583" s="59">
        <v>52</v>
      </c>
      <c r="E583" s="496" t="s">
        <v>110</v>
      </c>
      <c r="F583" s="29">
        <v>1</v>
      </c>
      <c r="G583" s="9">
        <v>1</v>
      </c>
      <c r="H583" s="9">
        <v>1</v>
      </c>
      <c r="I583" s="9">
        <v>2</v>
      </c>
      <c r="J583" s="43">
        <v>2</v>
      </c>
      <c r="K583" s="262">
        <f t="shared" si="9"/>
        <v>0.35859414261160716</v>
      </c>
      <c r="L583" s="163" t="s">
        <v>111</v>
      </c>
    </row>
    <row r="584" spans="1:12" hidden="1">
      <c r="A584" s="34" t="s">
        <v>114</v>
      </c>
      <c r="B584" s="339">
        <v>2010</v>
      </c>
      <c r="C584" s="59" t="s">
        <v>93</v>
      </c>
      <c r="D584" s="59">
        <v>25</v>
      </c>
      <c r="E584" s="496" t="s">
        <v>110</v>
      </c>
      <c r="F584" s="29">
        <v>1</v>
      </c>
      <c r="G584" s="9">
        <v>1</v>
      </c>
      <c r="H584" s="9">
        <v>1</v>
      </c>
      <c r="I584" s="9">
        <v>2</v>
      </c>
      <c r="J584" s="43">
        <v>2</v>
      </c>
      <c r="K584" s="262">
        <f t="shared" si="9"/>
        <v>0.35859414261160716</v>
      </c>
      <c r="L584" s="163" t="s">
        <v>111</v>
      </c>
    </row>
    <row r="585" spans="1:12" hidden="1">
      <c r="A585" s="34" t="s">
        <v>114</v>
      </c>
      <c r="B585" s="339">
        <v>2010</v>
      </c>
      <c r="C585" s="59" t="s">
        <v>98</v>
      </c>
      <c r="D585" s="59">
        <v>784</v>
      </c>
      <c r="E585" s="496" t="s">
        <v>110</v>
      </c>
      <c r="F585" s="29">
        <v>1</v>
      </c>
      <c r="G585" s="9">
        <v>1</v>
      </c>
      <c r="H585" s="9">
        <v>1</v>
      </c>
      <c r="I585" s="9">
        <v>2</v>
      </c>
      <c r="J585" s="43">
        <v>2</v>
      </c>
      <c r="K585" s="262">
        <f t="shared" si="9"/>
        <v>0.35859414261160716</v>
      </c>
      <c r="L585" s="163" t="s">
        <v>111</v>
      </c>
    </row>
    <row r="586" spans="1:12" hidden="1">
      <c r="A586" s="34" t="s">
        <v>114</v>
      </c>
      <c r="B586" s="339">
        <v>2011</v>
      </c>
      <c r="C586" s="59" t="s">
        <v>85</v>
      </c>
      <c r="D586" s="59">
        <v>756</v>
      </c>
      <c r="E586" s="496" t="s">
        <v>110</v>
      </c>
      <c r="F586" s="29">
        <v>1</v>
      </c>
      <c r="G586" s="9">
        <v>1</v>
      </c>
      <c r="H586" s="9">
        <v>1</v>
      </c>
      <c r="I586" s="9">
        <v>2</v>
      </c>
      <c r="J586" s="43">
        <v>2</v>
      </c>
      <c r="K586" s="262">
        <f t="shared" si="9"/>
        <v>0.35859414261160716</v>
      </c>
      <c r="L586" s="163" t="s">
        <v>111</v>
      </c>
    </row>
    <row r="587" spans="1:12" hidden="1">
      <c r="A587" s="34" t="s">
        <v>114</v>
      </c>
      <c r="B587" s="339">
        <v>2011</v>
      </c>
      <c r="C587" s="59" t="s">
        <v>86</v>
      </c>
      <c r="D587" s="59">
        <v>165</v>
      </c>
      <c r="E587" s="496" t="s">
        <v>110</v>
      </c>
      <c r="F587" s="29">
        <v>1</v>
      </c>
      <c r="G587" s="9">
        <v>1</v>
      </c>
      <c r="H587" s="9">
        <v>1</v>
      </c>
      <c r="I587" s="9">
        <v>2</v>
      </c>
      <c r="J587" s="43">
        <v>2</v>
      </c>
      <c r="K587" s="262">
        <f t="shared" si="9"/>
        <v>0.35859414261160716</v>
      </c>
      <c r="L587" s="163" t="s">
        <v>111</v>
      </c>
    </row>
    <row r="588" spans="1:12" hidden="1">
      <c r="A588" s="34" t="s">
        <v>114</v>
      </c>
      <c r="B588" s="339">
        <v>2011</v>
      </c>
      <c r="C588" s="59" t="s">
        <v>87</v>
      </c>
      <c r="D588" s="59">
        <v>300</v>
      </c>
      <c r="E588" s="496" t="s">
        <v>110</v>
      </c>
      <c r="F588" s="29">
        <v>1</v>
      </c>
      <c r="G588" s="9">
        <v>1</v>
      </c>
      <c r="H588" s="9">
        <v>1</v>
      </c>
      <c r="I588" s="9">
        <v>2</v>
      </c>
      <c r="J588" s="43">
        <v>2</v>
      </c>
      <c r="K588" s="262">
        <f t="shared" si="9"/>
        <v>0.35859414261160716</v>
      </c>
      <c r="L588" s="163" t="s">
        <v>111</v>
      </c>
    </row>
    <row r="589" spans="1:12">
      <c r="A589" s="34" t="s">
        <v>114</v>
      </c>
      <c r="B589" s="339">
        <v>2011</v>
      </c>
      <c r="C589" s="59" t="s">
        <v>88</v>
      </c>
      <c r="D589" s="59">
        <v>48</v>
      </c>
      <c r="E589" s="496" t="s">
        <v>110</v>
      </c>
      <c r="F589" s="29">
        <v>1</v>
      </c>
      <c r="G589" s="9">
        <v>1</v>
      </c>
      <c r="H589" s="9">
        <v>1</v>
      </c>
      <c r="I589" s="9">
        <v>2</v>
      </c>
      <c r="J589" s="43">
        <v>2</v>
      </c>
      <c r="K589" s="262">
        <f t="shared" si="9"/>
        <v>0.35859414261160716</v>
      </c>
      <c r="L589" s="163" t="s">
        <v>111</v>
      </c>
    </row>
    <row r="590" spans="1:12" hidden="1">
      <c r="A590" s="34" t="s">
        <v>114</v>
      </c>
      <c r="B590" s="339">
        <v>2011</v>
      </c>
      <c r="C590" s="59" t="s">
        <v>89</v>
      </c>
      <c r="D590" s="59">
        <v>36</v>
      </c>
      <c r="E590" s="496" t="s">
        <v>110</v>
      </c>
      <c r="F590" s="29">
        <v>1</v>
      </c>
      <c r="G590" s="9">
        <v>1</v>
      </c>
      <c r="H590" s="9">
        <v>1</v>
      </c>
      <c r="I590" s="9">
        <v>2</v>
      </c>
      <c r="J590" s="43">
        <v>2</v>
      </c>
      <c r="K590" s="262">
        <f t="shared" si="9"/>
        <v>0.35859414261160716</v>
      </c>
      <c r="L590" s="163" t="s">
        <v>111</v>
      </c>
    </row>
    <row r="591" spans="1:12" hidden="1">
      <c r="A591" s="34" t="s">
        <v>114</v>
      </c>
      <c r="B591" s="339">
        <v>2011</v>
      </c>
      <c r="C591" s="59" t="s">
        <v>90</v>
      </c>
      <c r="D591" s="59">
        <v>122</v>
      </c>
      <c r="E591" s="496" t="s">
        <v>110</v>
      </c>
      <c r="F591" s="29">
        <v>1</v>
      </c>
      <c r="G591" s="9">
        <v>1</v>
      </c>
      <c r="H591" s="9">
        <v>1</v>
      </c>
      <c r="I591" s="9">
        <v>2</v>
      </c>
      <c r="J591" s="43">
        <v>2</v>
      </c>
      <c r="K591" s="262">
        <f t="shared" si="9"/>
        <v>0.35859414261160716</v>
      </c>
      <c r="L591" s="163" t="s">
        <v>111</v>
      </c>
    </row>
    <row r="592" spans="1:12" hidden="1">
      <c r="A592" s="34" t="s">
        <v>114</v>
      </c>
      <c r="B592" s="339">
        <v>2011</v>
      </c>
      <c r="C592" s="59" t="s">
        <v>91</v>
      </c>
      <c r="D592" s="59">
        <v>60</v>
      </c>
      <c r="E592" s="496" t="s">
        <v>110</v>
      </c>
      <c r="F592" s="29">
        <v>1</v>
      </c>
      <c r="G592" s="9">
        <v>1</v>
      </c>
      <c r="H592" s="9">
        <v>1</v>
      </c>
      <c r="I592" s="9">
        <v>2</v>
      </c>
      <c r="J592" s="43">
        <v>2</v>
      </c>
      <c r="K592" s="262">
        <f t="shared" si="9"/>
        <v>0.35859414261160716</v>
      </c>
      <c r="L592" s="163" t="s">
        <v>111</v>
      </c>
    </row>
    <row r="593" spans="1:12" hidden="1">
      <c r="A593" s="34" t="s">
        <v>114</v>
      </c>
      <c r="B593" s="339">
        <v>2011</v>
      </c>
      <c r="C593" s="59" t="s">
        <v>94</v>
      </c>
      <c r="D593" s="59">
        <v>18</v>
      </c>
      <c r="E593" s="496" t="s">
        <v>110</v>
      </c>
      <c r="F593" s="29">
        <v>1</v>
      </c>
      <c r="G593" s="9">
        <v>1</v>
      </c>
      <c r="H593" s="9">
        <v>1</v>
      </c>
      <c r="I593" s="9">
        <v>2</v>
      </c>
      <c r="J593" s="43">
        <v>2</v>
      </c>
      <c r="K593" s="262">
        <f t="shared" si="9"/>
        <v>0.35859414261160716</v>
      </c>
      <c r="L593" s="163" t="s">
        <v>111</v>
      </c>
    </row>
    <row r="594" spans="1:12" hidden="1">
      <c r="A594" s="34" t="s">
        <v>114</v>
      </c>
      <c r="B594" s="339">
        <v>2011</v>
      </c>
      <c r="C594" s="59" t="s">
        <v>96</v>
      </c>
      <c r="D594" s="59">
        <v>48</v>
      </c>
      <c r="E594" s="496" t="s">
        <v>110</v>
      </c>
      <c r="F594" s="29">
        <v>1</v>
      </c>
      <c r="G594" s="9">
        <v>1</v>
      </c>
      <c r="H594" s="9">
        <v>1</v>
      </c>
      <c r="I594" s="9">
        <v>2</v>
      </c>
      <c r="J594" s="43">
        <v>2</v>
      </c>
      <c r="K594" s="262">
        <f t="shared" si="9"/>
        <v>0.35859414261160716</v>
      </c>
      <c r="L594" s="163" t="s">
        <v>111</v>
      </c>
    </row>
    <row r="595" spans="1:12">
      <c r="A595" s="34" t="s">
        <v>114</v>
      </c>
      <c r="B595" s="339">
        <v>2011</v>
      </c>
      <c r="C595" s="59" t="s">
        <v>97</v>
      </c>
      <c r="D595" s="59">
        <v>196</v>
      </c>
      <c r="E595" s="496" t="s">
        <v>110</v>
      </c>
      <c r="F595" s="29">
        <v>1</v>
      </c>
      <c r="G595" s="9">
        <v>1</v>
      </c>
      <c r="H595" s="9">
        <v>1</v>
      </c>
      <c r="I595" s="9">
        <v>2</v>
      </c>
      <c r="J595" s="43">
        <v>2</v>
      </c>
      <c r="K595" s="262">
        <f t="shared" si="9"/>
        <v>0.35859414261160716</v>
      </c>
      <c r="L595" s="163" t="s">
        <v>111</v>
      </c>
    </row>
    <row r="596" spans="1:12" hidden="1">
      <c r="A596" s="34" t="s">
        <v>114</v>
      </c>
      <c r="B596" s="339">
        <v>2011</v>
      </c>
      <c r="C596" s="59" t="s">
        <v>95</v>
      </c>
      <c r="D596" s="59">
        <v>53</v>
      </c>
      <c r="E596" s="496" t="s">
        <v>110</v>
      </c>
      <c r="F596" s="29">
        <v>1</v>
      </c>
      <c r="G596" s="9">
        <v>1</v>
      </c>
      <c r="H596" s="9">
        <v>1</v>
      </c>
      <c r="I596" s="9">
        <v>2</v>
      </c>
      <c r="J596" s="43">
        <v>2</v>
      </c>
      <c r="K596" s="262">
        <f t="shared" si="9"/>
        <v>0.35859414261160716</v>
      </c>
      <c r="L596" s="163" t="s">
        <v>111</v>
      </c>
    </row>
    <row r="597" spans="1:12" hidden="1">
      <c r="A597" s="34" t="s">
        <v>114</v>
      </c>
      <c r="B597" s="339">
        <v>2011</v>
      </c>
      <c r="C597" s="59" t="s">
        <v>93</v>
      </c>
      <c r="D597" s="59">
        <v>30</v>
      </c>
      <c r="E597" s="496" t="s">
        <v>110</v>
      </c>
      <c r="F597" s="29">
        <v>1</v>
      </c>
      <c r="G597" s="9">
        <v>1</v>
      </c>
      <c r="H597" s="9">
        <v>1</v>
      </c>
      <c r="I597" s="9">
        <v>2</v>
      </c>
      <c r="J597" s="43">
        <v>2</v>
      </c>
      <c r="K597" s="262">
        <f t="shared" si="9"/>
        <v>0.35859414261160716</v>
      </c>
      <c r="L597" s="163" t="s">
        <v>111</v>
      </c>
    </row>
    <row r="598" spans="1:12" hidden="1">
      <c r="A598" s="34" t="s">
        <v>114</v>
      </c>
      <c r="B598" s="339">
        <v>2011</v>
      </c>
      <c r="C598" s="59" t="s">
        <v>98</v>
      </c>
      <c r="D598" s="59">
        <v>907</v>
      </c>
      <c r="E598" s="496" t="s">
        <v>110</v>
      </c>
      <c r="F598" s="29">
        <v>1</v>
      </c>
      <c r="G598" s="9">
        <v>1</v>
      </c>
      <c r="H598" s="9">
        <v>1</v>
      </c>
      <c r="I598" s="9">
        <v>2</v>
      </c>
      <c r="J598" s="43">
        <v>2</v>
      </c>
      <c r="K598" s="262">
        <f t="shared" si="9"/>
        <v>0.35859414261160716</v>
      </c>
      <c r="L598" s="163" t="s">
        <v>111</v>
      </c>
    </row>
    <row r="599" spans="1:12" hidden="1">
      <c r="A599" s="34" t="s">
        <v>114</v>
      </c>
      <c r="B599" s="339">
        <v>2012</v>
      </c>
      <c r="C599" s="59" t="s">
        <v>85</v>
      </c>
      <c r="D599" s="59">
        <v>853</v>
      </c>
      <c r="E599" s="496" t="s">
        <v>110</v>
      </c>
      <c r="F599" s="29">
        <v>1</v>
      </c>
      <c r="G599" s="9">
        <v>1</v>
      </c>
      <c r="H599" s="9">
        <v>1</v>
      </c>
      <c r="I599" s="9">
        <v>2</v>
      </c>
      <c r="J599" s="43">
        <v>2</v>
      </c>
      <c r="K599" s="262">
        <f t="shared" si="9"/>
        <v>0.35859414261160716</v>
      </c>
      <c r="L599" s="163" t="s">
        <v>111</v>
      </c>
    </row>
    <row r="600" spans="1:12" hidden="1">
      <c r="A600" s="34" t="s">
        <v>114</v>
      </c>
      <c r="B600" s="339">
        <v>2012</v>
      </c>
      <c r="C600" s="59" t="s">
        <v>86</v>
      </c>
      <c r="D600" s="59">
        <v>190</v>
      </c>
      <c r="E600" s="496" t="s">
        <v>110</v>
      </c>
      <c r="F600" s="29">
        <v>1</v>
      </c>
      <c r="G600" s="9">
        <v>1</v>
      </c>
      <c r="H600" s="9">
        <v>1</v>
      </c>
      <c r="I600" s="9">
        <v>2</v>
      </c>
      <c r="J600" s="43">
        <v>2</v>
      </c>
      <c r="K600" s="262">
        <f t="shared" si="9"/>
        <v>0.35859414261160716</v>
      </c>
      <c r="L600" s="163" t="s">
        <v>111</v>
      </c>
    </row>
    <row r="601" spans="1:12" hidden="1">
      <c r="A601" s="34" t="s">
        <v>114</v>
      </c>
      <c r="B601" s="339">
        <v>2012</v>
      </c>
      <c r="C601" s="59" t="s">
        <v>87</v>
      </c>
      <c r="D601" s="59">
        <v>258</v>
      </c>
      <c r="E601" s="496" t="s">
        <v>110</v>
      </c>
      <c r="F601" s="29">
        <v>1</v>
      </c>
      <c r="G601" s="9">
        <v>1</v>
      </c>
      <c r="H601" s="9">
        <v>1</v>
      </c>
      <c r="I601" s="9">
        <v>2</v>
      </c>
      <c r="J601" s="43">
        <v>2</v>
      </c>
      <c r="K601" s="262">
        <f t="shared" si="9"/>
        <v>0.35859414261160716</v>
      </c>
      <c r="L601" s="163" t="s">
        <v>111</v>
      </c>
    </row>
    <row r="602" spans="1:12">
      <c r="A602" s="34" t="s">
        <v>114</v>
      </c>
      <c r="B602" s="339">
        <v>2012</v>
      </c>
      <c r="C602" s="59" t="s">
        <v>88</v>
      </c>
      <c r="D602" s="59">
        <v>44</v>
      </c>
      <c r="E602" s="496" t="s">
        <v>110</v>
      </c>
      <c r="F602" s="29">
        <v>1</v>
      </c>
      <c r="G602" s="9">
        <v>1</v>
      </c>
      <c r="H602" s="9">
        <v>1</v>
      </c>
      <c r="I602" s="9">
        <v>2</v>
      </c>
      <c r="J602" s="43">
        <v>2</v>
      </c>
      <c r="K602" s="262">
        <f t="shared" si="9"/>
        <v>0.35859414261160716</v>
      </c>
      <c r="L602" s="163" t="s">
        <v>111</v>
      </c>
    </row>
    <row r="603" spans="1:12" hidden="1">
      <c r="A603" s="34" t="s">
        <v>114</v>
      </c>
      <c r="B603" s="339">
        <v>2012</v>
      </c>
      <c r="C603" s="59" t="s">
        <v>89</v>
      </c>
      <c r="D603" s="59">
        <v>38</v>
      </c>
      <c r="E603" s="496" t="s">
        <v>110</v>
      </c>
      <c r="F603" s="29">
        <v>1</v>
      </c>
      <c r="G603" s="9">
        <v>1</v>
      </c>
      <c r="H603" s="9">
        <v>1</v>
      </c>
      <c r="I603" s="9">
        <v>2</v>
      </c>
      <c r="J603" s="43">
        <v>2</v>
      </c>
      <c r="K603" s="262">
        <f t="shared" si="9"/>
        <v>0.35859414261160716</v>
      </c>
      <c r="L603" s="163" t="s">
        <v>111</v>
      </c>
    </row>
    <row r="604" spans="1:12" hidden="1">
      <c r="A604" s="34" t="s">
        <v>114</v>
      </c>
      <c r="B604" s="339">
        <v>2012</v>
      </c>
      <c r="C604" s="59" t="s">
        <v>90</v>
      </c>
      <c r="D604" s="59">
        <v>181</v>
      </c>
      <c r="E604" s="496" t="s">
        <v>110</v>
      </c>
      <c r="F604" s="29">
        <v>1</v>
      </c>
      <c r="G604" s="9">
        <v>1</v>
      </c>
      <c r="H604" s="9">
        <v>1</v>
      </c>
      <c r="I604" s="9">
        <v>2</v>
      </c>
      <c r="J604" s="43">
        <v>2</v>
      </c>
      <c r="K604" s="262">
        <f t="shared" si="9"/>
        <v>0.35859414261160716</v>
      </c>
      <c r="L604" s="163" t="s">
        <v>111</v>
      </c>
    </row>
    <row r="605" spans="1:12" hidden="1">
      <c r="A605" s="34" t="s">
        <v>114</v>
      </c>
      <c r="B605" s="339">
        <v>2012</v>
      </c>
      <c r="C605" s="59" t="s">
        <v>91</v>
      </c>
      <c r="D605" s="59">
        <v>77</v>
      </c>
      <c r="E605" s="496" t="s">
        <v>110</v>
      </c>
      <c r="F605" s="29">
        <v>1</v>
      </c>
      <c r="G605" s="9">
        <v>1</v>
      </c>
      <c r="H605" s="9">
        <v>1</v>
      </c>
      <c r="I605" s="9">
        <v>2</v>
      </c>
      <c r="J605" s="43">
        <v>2</v>
      </c>
      <c r="K605" s="262">
        <f t="shared" si="9"/>
        <v>0.35859414261160716</v>
      </c>
      <c r="L605" s="163" t="s">
        <v>111</v>
      </c>
    </row>
    <row r="606" spans="1:12" hidden="1">
      <c r="A606" s="34" t="s">
        <v>114</v>
      </c>
      <c r="B606" s="339">
        <v>2012</v>
      </c>
      <c r="C606" s="59" t="s">
        <v>94</v>
      </c>
      <c r="D606" s="59">
        <v>20</v>
      </c>
      <c r="E606" s="496" t="s">
        <v>110</v>
      </c>
      <c r="F606" s="29">
        <v>1</v>
      </c>
      <c r="G606" s="9">
        <v>1</v>
      </c>
      <c r="H606" s="9">
        <v>1</v>
      </c>
      <c r="I606" s="9">
        <v>2</v>
      </c>
      <c r="J606" s="43">
        <v>2</v>
      </c>
      <c r="K606" s="262">
        <f t="shared" si="9"/>
        <v>0.35859414261160716</v>
      </c>
      <c r="L606" s="163" t="s">
        <v>111</v>
      </c>
    </row>
    <row r="607" spans="1:12" hidden="1">
      <c r="A607" s="34" t="s">
        <v>114</v>
      </c>
      <c r="B607" s="339">
        <v>2012</v>
      </c>
      <c r="C607" s="59" t="s">
        <v>96</v>
      </c>
      <c r="D607" s="59">
        <v>46</v>
      </c>
      <c r="E607" s="496" t="s">
        <v>110</v>
      </c>
      <c r="F607" s="29">
        <v>1</v>
      </c>
      <c r="G607" s="9">
        <v>1</v>
      </c>
      <c r="H607" s="9">
        <v>1</v>
      </c>
      <c r="I607" s="9">
        <v>2</v>
      </c>
      <c r="J607" s="43">
        <v>2</v>
      </c>
      <c r="K607" s="262">
        <f t="shared" si="9"/>
        <v>0.35859414261160716</v>
      </c>
      <c r="L607" s="163" t="s">
        <v>111</v>
      </c>
    </row>
    <row r="608" spans="1:12">
      <c r="A608" s="34" t="s">
        <v>114</v>
      </c>
      <c r="B608" s="339">
        <v>2012</v>
      </c>
      <c r="C608" s="59" t="s">
        <v>97</v>
      </c>
      <c r="D608" s="59">
        <v>187</v>
      </c>
      <c r="E608" s="496" t="s">
        <v>110</v>
      </c>
      <c r="F608" s="29">
        <v>1</v>
      </c>
      <c r="G608" s="9">
        <v>1</v>
      </c>
      <c r="H608" s="9">
        <v>1</v>
      </c>
      <c r="I608" s="9">
        <v>2</v>
      </c>
      <c r="J608" s="43">
        <v>2</v>
      </c>
      <c r="K608" s="262">
        <f t="shared" si="9"/>
        <v>0.35859414261160716</v>
      </c>
      <c r="L608" s="163" t="s">
        <v>111</v>
      </c>
    </row>
    <row r="609" spans="1:12" hidden="1">
      <c r="A609" s="34" t="s">
        <v>114</v>
      </c>
      <c r="B609" s="339">
        <v>2012</v>
      </c>
      <c r="C609" s="59" t="s">
        <v>95</v>
      </c>
      <c r="D609" s="59">
        <v>55</v>
      </c>
      <c r="E609" s="496" t="s">
        <v>110</v>
      </c>
      <c r="F609" s="29">
        <v>1</v>
      </c>
      <c r="G609" s="9">
        <v>1</v>
      </c>
      <c r="H609" s="9">
        <v>1</v>
      </c>
      <c r="I609" s="9">
        <v>2</v>
      </c>
      <c r="J609" s="43">
        <v>2</v>
      </c>
      <c r="K609" s="262">
        <f t="shared" si="9"/>
        <v>0.35859414261160716</v>
      </c>
      <c r="L609" s="163" t="s">
        <v>111</v>
      </c>
    </row>
    <row r="610" spans="1:12" hidden="1">
      <c r="A610" s="34" t="s">
        <v>114</v>
      </c>
      <c r="B610" s="339">
        <v>2012</v>
      </c>
      <c r="C610" s="59" t="s">
        <v>93</v>
      </c>
      <c r="D610" s="59">
        <v>28</v>
      </c>
      <c r="E610" s="496" t="s">
        <v>110</v>
      </c>
      <c r="F610" s="29">
        <v>1</v>
      </c>
      <c r="G610" s="9">
        <v>1</v>
      </c>
      <c r="H610" s="9">
        <v>1</v>
      </c>
      <c r="I610" s="9">
        <v>2</v>
      </c>
      <c r="J610" s="43">
        <v>2</v>
      </c>
      <c r="K610" s="262">
        <f t="shared" si="9"/>
        <v>0.35859414261160716</v>
      </c>
      <c r="L610" s="163" t="s">
        <v>111</v>
      </c>
    </row>
    <row r="611" spans="1:12" hidden="1">
      <c r="A611" s="34" t="s">
        <v>114</v>
      </c>
      <c r="B611" s="339">
        <v>2012</v>
      </c>
      <c r="C611" s="59" t="s">
        <v>98</v>
      </c>
      <c r="D611" s="59">
        <v>922</v>
      </c>
      <c r="E611" s="496" t="s">
        <v>110</v>
      </c>
      <c r="F611" s="29">
        <v>1</v>
      </c>
      <c r="G611" s="9">
        <v>1</v>
      </c>
      <c r="H611" s="9">
        <v>1</v>
      </c>
      <c r="I611" s="9">
        <v>2</v>
      </c>
      <c r="J611" s="43">
        <v>2</v>
      </c>
      <c r="K611" s="262">
        <f t="shared" si="9"/>
        <v>0.35859414261160716</v>
      </c>
      <c r="L611" s="163" t="s">
        <v>111</v>
      </c>
    </row>
    <row r="612" spans="1:12" hidden="1">
      <c r="A612" s="34" t="s">
        <v>114</v>
      </c>
      <c r="B612" s="339">
        <v>2013</v>
      </c>
      <c r="C612" s="59" t="s">
        <v>85</v>
      </c>
      <c r="D612" s="59">
        <v>984</v>
      </c>
      <c r="E612" s="496" t="s">
        <v>110</v>
      </c>
      <c r="F612" s="29">
        <v>1</v>
      </c>
      <c r="G612" s="9">
        <v>1</v>
      </c>
      <c r="H612" s="9">
        <v>1</v>
      </c>
      <c r="I612" s="9">
        <v>2</v>
      </c>
      <c r="J612" s="43">
        <v>2</v>
      </c>
      <c r="K612" s="262">
        <f t="shared" si="9"/>
        <v>0.35859414261160716</v>
      </c>
      <c r="L612" s="163" t="s">
        <v>111</v>
      </c>
    </row>
    <row r="613" spans="1:12" hidden="1">
      <c r="A613" s="34" t="s">
        <v>114</v>
      </c>
      <c r="B613" s="339">
        <v>2013</v>
      </c>
      <c r="C613" s="59" t="s">
        <v>86</v>
      </c>
      <c r="D613" s="59">
        <v>222</v>
      </c>
      <c r="E613" s="496" t="s">
        <v>110</v>
      </c>
      <c r="F613" s="29">
        <v>1</v>
      </c>
      <c r="G613" s="9">
        <v>1</v>
      </c>
      <c r="H613" s="9">
        <v>1</v>
      </c>
      <c r="I613" s="9">
        <v>2</v>
      </c>
      <c r="J613" s="43">
        <v>2</v>
      </c>
      <c r="K613" s="262">
        <f t="shared" si="9"/>
        <v>0.35859414261160716</v>
      </c>
      <c r="L613" s="163" t="s">
        <v>111</v>
      </c>
    </row>
    <row r="614" spans="1:12" hidden="1">
      <c r="A614" s="34" t="s">
        <v>114</v>
      </c>
      <c r="B614" s="339">
        <v>2013</v>
      </c>
      <c r="C614" s="59" t="s">
        <v>87</v>
      </c>
      <c r="D614" s="59">
        <v>232</v>
      </c>
      <c r="E614" s="496" t="s">
        <v>110</v>
      </c>
      <c r="F614" s="29">
        <v>1</v>
      </c>
      <c r="G614" s="9">
        <v>1</v>
      </c>
      <c r="H614" s="9">
        <v>1</v>
      </c>
      <c r="I614" s="9">
        <v>2</v>
      </c>
      <c r="J614" s="43">
        <v>2</v>
      </c>
      <c r="K614" s="262">
        <f t="shared" si="9"/>
        <v>0.35859414261160716</v>
      </c>
      <c r="L614" s="163" t="s">
        <v>111</v>
      </c>
    </row>
    <row r="615" spans="1:12">
      <c r="A615" s="34" t="s">
        <v>114</v>
      </c>
      <c r="B615" s="339">
        <v>2013</v>
      </c>
      <c r="C615" s="59" t="s">
        <v>88</v>
      </c>
      <c r="D615" s="59">
        <v>47</v>
      </c>
      <c r="E615" s="496" t="s">
        <v>110</v>
      </c>
      <c r="F615" s="29">
        <v>1</v>
      </c>
      <c r="G615" s="9">
        <v>1</v>
      </c>
      <c r="H615" s="9">
        <v>1</v>
      </c>
      <c r="I615" s="9">
        <v>2</v>
      </c>
      <c r="J615" s="43">
        <v>2</v>
      </c>
      <c r="K615" s="262">
        <f t="shared" si="9"/>
        <v>0.35859414261160716</v>
      </c>
      <c r="L615" s="163" t="s">
        <v>111</v>
      </c>
    </row>
    <row r="616" spans="1:12" hidden="1">
      <c r="A616" s="34" t="s">
        <v>114</v>
      </c>
      <c r="B616" s="339">
        <v>2013</v>
      </c>
      <c r="C616" s="59" t="s">
        <v>89</v>
      </c>
      <c r="D616" s="59">
        <v>37</v>
      </c>
      <c r="E616" s="496" t="s">
        <v>110</v>
      </c>
      <c r="F616" s="29">
        <v>1</v>
      </c>
      <c r="G616" s="9">
        <v>1</v>
      </c>
      <c r="H616" s="9">
        <v>1</v>
      </c>
      <c r="I616" s="9">
        <v>2</v>
      </c>
      <c r="J616" s="43">
        <v>2</v>
      </c>
      <c r="K616" s="262">
        <f t="shared" si="9"/>
        <v>0.35859414261160716</v>
      </c>
      <c r="L616" s="163" t="s">
        <v>111</v>
      </c>
    </row>
    <row r="617" spans="1:12" hidden="1">
      <c r="A617" s="34" t="s">
        <v>114</v>
      </c>
      <c r="B617" s="339">
        <v>2013</v>
      </c>
      <c r="C617" s="59" t="s">
        <v>90</v>
      </c>
      <c r="D617" s="59">
        <v>164</v>
      </c>
      <c r="E617" s="496" t="s">
        <v>110</v>
      </c>
      <c r="F617" s="29">
        <v>1</v>
      </c>
      <c r="G617" s="9">
        <v>1</v>
      </c>
      <c r="H617" s="9">
        <v>1</v>
      </c>
      <c r="I617" s="9">
        <v>2</v>
      </c>
      <c r="J617" s="43">
        <v>2</v>
      </c>
      <c r="K617" s="262">
        <f t="shared" si="9"/>
        <v>0.35859414261160716</v>
      </c>
      <c r="L617" s="163" t="s">
        <v>111</v>
      </c>
    </row>
    <row r="618" spans="1:12" hidden="1">
      <c r="A618" s="34" t="s">
        <v>114</v>
      </c>
      <c r="B618" s="339">
        <v>2013</v>
      </c>
      <c r="C618" s="59" t="s">
        <v>91</v>
      </c>
      <c r="D618" s="59">
        <v>40</v>
      </c>
      <c r="E618" s="496" t="s">
        <v>110</v>
      </c>
      <c r="F618" s="29">
        <v>1</v>
      </c>
      <c r="G618" s="9">
        <v>1</v>
      </c>
      <c r="H618" s="9">
        <v>1</v>
      </c>
      <c r="I618" s="9">
        <v>2</v>
      </c>
      <c r="J618" s="43">
        <v>2</v>
      </c>
      <c r="K618" s="262">
        <f t="shared" si="9"/>
        <v>0.35859414261160716</v>
      </c>
      <c r="L618" s="163" t="s">
        <v>111</v>
      </c>
    </row>
    <row r="619" spans="1:12" hidden="1">
      <c r="A619" s="34" t="s">
        <v>114</v>
      </c>
      <c r="B619" s="339">
        <v>2013</v>
      </c>
      <c r="C619" s="59" t="s">
        <v>94</v>
      </c>
      <c r="D619" s="59">
        <v>15</v>
      </c>
      <c r="E619" s="496" t="s">
        <v>110</v>
      </c>
      <c r="F619" s="29">
        <v>1</v>
      </c>
      <c r="G619" s="9">
        <v>1</v>
      </c>
      <c r="H619" s="9">
        <v>1</v>
      </c>
      <c r="I619" s="9">
        <v>2</v>
      </c>
      <c r="J619" s="43">
        <v>2</v>
      </c>
      <c r="K619" s="262">
        <f t="shared" si="9"/>
        <v>0.35859414261160716</v>
      </c>
      <c r="L619" s="163" t="s">
        <v>111</v>
      </c>
    </row>
    <row r="620" spans="1:12" hidden="1">
      <c r="A620" s="34" t="s">
        <v>114</v>
      </c>
      <c r="B620" s="339">
        <v>2013</v>
      </c>
      <c r="C620" s="59" t="s">
        <v>96</v>
      </c>
      <c r="D620" s="59">
        <v>42</v>
      </c>
      <c r="E620" s="496" t="s">
        <v>110</v>
      </c>
      <c r="F620" s="29">
        <v>1</v>
      </c>
      <c r="G620" s="9">
        <v>1</v>
      </c>
      <c r="H620" s="9">
        <v>1</v>
      </c>
      <c r="I620" s="9">
        <v>2</v>
      </c>
      <c r="J620" s="43">
        <v>2</v>
      </c>
      <c r="K620" s="262">
        <f t="shared" si="9"/>
        <v>0.35859414261160716</v>
      </c>
      <c r="L620" s="163" t="s">
        <v>111</v>
      </c>
    </row>
    <row r="621" spans="1:12">
      <c r="A621" s="34" t="s">
        <v>114</v>
      </c>
      <c r="B621" s="339">
        <v>2013</v>
      </c>
      <c r="C621" s="59" t="s">
        <v>97</v>
      </c>
      <c r="D621" s="59">
        <v>176</v>
      </c>
      <c r="E621" s="496" t="s">
        <v>110</v>
      </c>
      <c r="F621" s="29">
        <v>1</v>
      </c>
      <c r="G621" s="9">
        <v>1</v>
      </c>
      <c r="H621" s="9">
        <v>1</v>
      </c>
      <c r="I621" s="9">
        <v>2</v>
      </c>
      <c r="J621" s="43">
        <v>2</v>
      </c>
      <c r="K621" s="262">
        <f t="shared" si="9"/>
        <v>0.35859414261160716</v>
      </c>
      <c r="L621" s="163" t="s">
        <v>111</v>
      </c>
    </row>
    <row r="622" spans="1:12" hidden="1">
      <c r="A622" s="34" t="s">
        <v>114</v>
      </c>
      <c r="B622" s="339">
        <v>2013</v>
      </c>
      <c r="C622" s="59" t="s">
        <v>95</v>
      </c>
      <c r="D622" s="59">
        <v>54</v>
      </c>
      <c r="E622" s="496" t="s">
        <v>110</v>
      </c>
      <c r="F622" s="29">
        <v>1</v>
      </c>
      <c r="G622" s="9">
        <v>1</v>
      </c>
      <c r="H622" s="9">
        <v>1</v>
      </c>
      <c r="I622" s="9">
        <v>2</v>
      </c>
      <c r="J622" s="43">
        <v>2</v>
      </c>
      <c r="K622" s="262">
        <f t="shared" si="9"/>
        <v>0.35859414261160716</v>
      </c>
      <c r="L622" s="163" t="s">
        <v>111</v>
      </c>
    </row>
    <row r="623" spans="1:12" hidden="1">
      <c r="A623" s="34" t="s">
        <v>114</v>
      </c>
      <c r="B623" s="339">
        <v>2013</v>
      </c>
      <c r="C623" s="59" t="s">
        <v>93</v>
      </c>
      <c r="D623" s="59">
        <v>26</v>
      </c>
      <c r="E623" s="496" t="s">
        <v>110</v>
      </c>
      <c r="F623" s="29">
        <v>1</v>
      </c>
      <c r="G623" s="9">
        <v>1</v>
      </c>
      <c r="H623" s="9">
        <v>1</v>
      </c>
      <c r="I623" s="9">
        <v>2</v>
      </c>
      <c r="J623" s="43">
        <v>2</v>
      </c>
      <c r="K623" s="262">
        <f t="shared" si="9"/>
        <v>0.35859414261160716</v>
      </c>
      <c r="L623" s="163" t="s">
        <v>111</v>
      </c>
    </row>
    <row r="624" spans="1:12" hidden="1">
      <c r="A624" s="34" t="s">
        <v>114</v>
      </c>
      <c r="B624" s="339">
        <v>2013</v>
      </c>
      <c r="C624" s="59" t="s">
        <v>98</v>
      </c>
      <c r="D624" s="59">
        <v>1210</v>
      </c>
      <c r="E624" s="496" t="s">
        <v>110</v>
      </c>
      <c r="F624" s="29">
        <v>1</v>
      </c>
      <c r="G624" s="9">
        <v>1</v>
      </c>
      <c r="H624" s="9">
        <v>1</v>
      </c>
      <c r="I624" s="9">
        <v>2</v>
      </c>
      <c r="J624" s="43">
        <v>2</v>
      </c>
      <c r="K624" s="262">
        <f t="shared" si="9"/>
        <v>0.35859414261160716</v>
      </c>
      <c r="L624" s="163" t="s">
        <v>111</v>
      </c>
    </row>
    <row r="625" spans="1:12" hidden="1">
      <c r="A625" s="34" t="s">
        <v>114</v>
      </c>
      <c r="B625" s="339">
        <v>2014</v>
      </c>
      <c r="C625" s="59" t="s">
        <v>85</v>
      </c>
      <c r="D625" s="59">
        <v>1013</v>
      </c>
      <c r="E625" s="496" t="s">
        <v>110</v>
      </c>
      <c r="F625" s="29">
        <v>1</v>
      </c>
      <c r="G625" s="9">
        <v>1</v>
      </c>
      <c r="H625" s="9">
        <v>1</v>
      </c>
      <c r="I625" s="9">
        <v>2</v>
      </c>
      <c r="J625" s="43">
        <v>2</v>
      </c>
      <c r="K625" s="262">
        <f t="shared" si="9"/>
        <v>0.35859414261160716</v>
      </c>
      <c r="L625" s="163" t="s">
        <v>111</v>
      </c>
    </row>
    <row r="626" spans="1:12" hidden="1">
      <c r="A626" s="34" t="s">
        <v>114</v>
      </c>
      <c r="B626" s="339">
        <v>2014</v>
      </c>
      <c r="C626" s="59" t="s">
        <v>86</v>
      </c>
      <c r="D626" s="59">
        <v>192</v>
      </c>
      <c r="E626" s="496" t="s">
        <v>110</v>
      </c>
      <c r="F626" s="29">
        <v>1</v>
      </c>
      <c r="G626" s="9">
        <v>1</v>
      </c>
      <c r="H626" s="9">
        <v>1</v>
      </c>
      <c r="I626" s="9">
        <v>2</v>
      </c>
      <c r="J626" s="43">
        <v>2</v>
      </c>
      <c r="K626" s="262">
        <f t="shared" si="9"/>
        <v>0.35859414261160716</v>
      </c>
      <c r="L626" s="163" t="s">
        <v>111</v>
      </c>
    </row>
    <row r="627" spans="1:12" hidden="1">
      <c r="A627" s="34" t="s">
        <v>114</v>
      </c>
      <c r="B627" s="339">
        <v>2014</v>
      </c>
      <c r="C627" s="59" t="s">
        <v>87</v>
      </c>
      <c r="D627" s="59">
        <v>207</v>
      </c>
      <c r="E627" s="496" t="s">
        <v>110</v>
      </c>
      <c r="F627" s="29">
        <v>1</v>
      </c>
      <c r="G627" s="9">
        <v>1</v>
      </c>
      <c r="H627" s="9">
        <v>1</v>
      </c>
      <c r="I627" s="9">
        <v>2</v>
      </c>
      <c r="J627" s="43">
        <v>2</v>
      </c>
      <c r="K627" s="262">
        <f t="shared" si="9"/>
        <v>0.35859414261160716</v>
      </c>
      <c r="L627" s="163" t="s">
        <v>111</v>
      </c>
    </row>
    <row r="628" spans="1:12">
      <c r="A628" s="34" t="s">
        <v>114</v>
      </c>
      <c r="B628" s="339">
        <v>2014</v>
      </c>
      <c r="C628" s="59" t="s">
        <v>88</v>
      </c>
      <c r="D628" s="59">
        <v>47</v>
      </c>
      <c r="E628" s="496" t="s">
        <v>110</v>
      </c>
      <c r="F628" s="29">
        <v>1</v>
      </c>
      <c r="G628" s="9">
        <v>1</v>
      </c>
      <c r="H628" s="9">
        <v>1</v>
      </c>
      <c r="I628" s="9">
        <v>2</v>
      </c>
      <c r="J628" s="43">
        <v>2</v>
      </c>
      <c r="K628" s="262">
        <f t="shared" si="9"/>
        <v>0.35859414261160716</v>
      </c>
      <c r="L628" s="163" t="s">
        <v>111</v>
      </c>
    </row>
    <row r="629" spans="1:12" hidden="1">
      <c r="A629" s="34" t="s">
        <v>114</v>
      </c>
      <c r="B629" s="339">
        <v>2014</v>
      </c>
      <c r="C629" s="59" t="s">
        <v>89</v>
      </c>
      <c r="D629" s="59">
        <v>43</v>
      </c>
      <c r="E629" s="496" t="s">
        <v>110</v>
      </c>
      <c r="F629" s="29">
        <v>1</v>
      </c>
      <c r="G629" s="9">
        <v>1</v>
      </c>
      <c r="H629" s="9">
        <v>1</v>
      </c>
      <c r="I629" s="9">
        <v>2</v>
      </c>
      <c r="J629" s="43">
        <v>2</v>
      </c>
      <c r="K629" s="262">
        <f t="shared" si="9"/>
        <v>0.35859414261160716</v>
      </c>
      <c r="L629" s="163" t="s">
        <v>111</v>
      </c>
    </row>
    <row r="630" spans="1:12" hidden="1">
      <c r="A630" s="34" t="s">
        <v>114</v>
      </c>
      <c r="B630" s="339">
        <v>2014</v>
      </c>
      <c r="C630" s="59" t="s">
        <v>90</v>
      </c>
      <c r="D630" s="59">
        <v>142</v>
      </c>
      <c r="E630" s="496" t="s">
        <v>110</v>
      </c>
      <c r="F630" s="29">
        <v>1</v>
      </c>
      <c r="G630" s="9">
        <v>1</v>
      </c>
      <c r="H630" s="9">
        <v>1</v>
      </c>
      <c r="I630" s="9">
        <v>2</v>
      </c>
      <c r="J630" s="43">
        <v>2</v>
      </c>
      <c r="K630" s="262">
        <f t="shared" si="9"/>
        <v>0.35859414261160716</v>
      </c>
      <c r="L630" s="163" t="s">
        <v>111</v>
      </c>
    </row>
    <row r="631" spans="1:12" hidden="1">
      <c r="A631" s="34" t="s">
        <v>114</v>
      </c>
      <c r="B631" s="339">
        <v>2014</v>
      </c>
      <c r="C631" s="59" t="s">
        <v>91</v>
      </c>
      <c r="D631" s="59">
        <v>64</v>
      </c>
      <c r="E631" s="496" t="s">
        <v>110</v>
      </c>
      <c r="F631" s="29">
        <v>1</v>
      </c>
      <c r="G631" s="9">
        <v>1</v>
      </c>
      <c r="H631" s="9">
        <v>1</v>
      </c>
      <c r="I631" s="9">
        <v>2</v>
      </c>
      <c r="J631" s="43">
        <v>2</v>
      </c>
      <c r="K631" s="262">
        <f t="shared" si="9"/>
        <v>0.35859414261160716</v>
      </c>
      <c r="L631" s="163" t="s">
        <v>111</v>
      </c>
    </row>
    <row r="632" spans="1:12" hidden="1">
      <c r="A632" s="34" t="s">
        <v>114</v>
      </c>
      <c r="B632" s="339">
        <v>2014</v>
      </c>
      <c r="C632" s="59" t="s">
        <v>94</v>
      </c>
      <c r="D632" s="59">
        <v>18</v>
      </c>
      <c r="E632" s="496" t="s">
        <v>110</v>
      </c>
      <c r="F632" s="29">
        <v>1</v>
      </c>
      <c r="G632" s="9">
        <v>1</v>
      </c>
      <c r="H632" s="9">
        <v>1</v>
      </c>
      <c r="I632" s="9">
        <v>2</v>
      </c>
      <c r="J632" s="43">
        <v>2</v>
      </c>
      <c r="K632" s="262">
        <f t="shared" si="9"/>
        <v>0.35859414261160716</v>
      </c>
      <c r="L632" s="163" t="s">
        <v>111</v>
      </c>
    </row>
    <row r="633" spans="1:12" hidden="1">
      <c r="A633" s="34" t="s">
        <v>114</v>
      </c>
      <c r="B633" s="339">
        <v>2014</v>
      </c>
      <c r="C633" s="59" t="s">
        <v>96</v>
      </c>
      <c r="D633" s="59">
        <v>39</v>
      </c>
      <c r="E633" s="496" t="s">
        <v>110</v>
      </c>
      <c r="F633" s="29">
        <v>1</v>
      </c>
      <c r="G633" s="9">
        <v>1</v>
      </c>
      <c r="H633" s="9">
        <v>1</v>
      </c>
      <c r="I633" s="9">
        <v>2</v>
      </c>
      <c r="J633" s="43">
        <v>2</v>
      </c>
      <c r="K633" s="262">
        <f t="shared" si="9"/>
        <v>0.35859414261160716</v>
      </c>
      <c r="L633" s="163" t="s">
        <v>111</v>
      </c>
    </row>
    <row r="634" spans="1:12">
      <c r="A634" s="34" t="s">
        <v>114</v>
      </c>
      <c r="B634" s="339">
        <v>2014</v>
      </c>
      <c r="C634" s="59" t="s">
        <v>97</v>
      </c>
      <c r="D634" s="59">
        <v>204</v>
      </c>
      <c r="E634" s="496" t="s">
        <v>110</v>
      </c>
      <c r="F634" s="29">
        <v>1</v>
      </c>
      <c r="G634" s="9">
        <v>1</v>
      </c>
      <c r="H634" s="9">
        <v>1</v>
      </c>
      <c r="I634" s="9">
        <v>2</v>
      </c>
      <c r="J634" s="43">
        <v>2</v>
      </c>
      <c r="K634" s="262">
        <f t="shared" si="9"/>
        <v>0.35859414261160716</v>
      </c>
      <c r="L634" s="163" t="s">
        <v>111</v>
      </c>
    </row>
    <row r="635" spans="1:12" hidden="1">
      <c r="A635" s="34" t="s">
        <v>114</v>
      </c>
      <c r="B635" s="339">
        <v>2014</v>
      </c>
      <c r="C635" s="59" t="s">
        <v>95</v>
      </c>
      <c r="D635" s="59">
        <v>56</v>
      </c>
      <c r="E635" s="496" t="s">
        <v>110</v>
      </c>
      <c r="F635" s="29">
        <v>1</v>
      </c>
      <c r="G635" s="9">
        <v>1</v>
      </c>
      <c r="H635" s="9">
        <v>1</v>
      </c>
      <c r="I635" s="9">
        <v>2</v>
      </c>
      <c r="J635" s="43">
        <v>2</v>
      </c>
      <c r="K635" s="262">
        <f t="shared" si="9"/>
        <v>0.35859414261160716</v>
      </c>
      <c r="L635" s="163" t="s">
        <v>111</v>
      </c>
    </row>
    <row r="636" spans="1:12" hidden="1">
      <c r="A636" s="34" t="s">
        <v>114</v>
      </c>
      <c r="B636" s="339">
        <v>2014</v>
      </c>
      <c r="C636" s="59" t="s">
        <v>93</v>
      </c>
      <c r="D636" s="59">
        <v>29</v>
      </c>
      <c r="E636" s="496" t="s">
        <v>110</v>
      </c>
      <c r="F636" s="29">
        <v>1</v>
      </c>
      <c r="G636" s="9">
        <v>1</v>
      </c>
      <c r="H636" s="9">
        <v>1</v>
      </c>
      <c r="I636" s="9">
        <v>2</v>
      </c>
      <c r="J636" s="43">
        <v>2</v>
      </c>
      <c r="K636" s="262">
        <f t="shared" si="9"/>
        <v>0.35859414261160716</v>
      </c>
      <c r="L636" s="163" t="s">
        <v>111</v>
      </c>
    </row>
    <row r="637" spans="1:12" hidden="1">
      <c r="A637" s="34" t="s">
        <v>114</v>
      </c>
      <c r="B637" s="339">
        <v>2014</v>
      </c>
      <c r="C637" s="59" t="s">
        <v>98</v>
      </c>
      <c r="D637" s="59">
        <v>912</v>
      </c>
      <c r="E637" s="496" t="s">
        <v>110</v>
      </c>
      <c r="F637" s="29">
        <v>1</v>
      </c>
      <c r="G637" s="9">
        <v>1</v>
      </c>
      <c r="H637" s="9">
        <v>1</v>
      </c>
      <c r="I637" s="9">
        <v>2</v>
      </c>
      <c r="J637" s="43">
        <v>2</v>
      </c>
      <c r="K637" s="262">
        <f t="shared" ref="K637:K700" si="10">IF( OR( ISBLANK(F637),ISBLANK(G637), ISBLANK(H637), ISBLANK(I637), ISBLANK(J637) ), "", 1.5*SQRT(   EXP(2.21*(F637-1)) + EXP(2.21*(G637-1)) + EXP(2.21*(H637-1)) + EXP(2.21*(I637-1)) + EXP(2.21*J637)   )/100*2.45 )</f>
        <v>0.35859414261160716</v>
      </c>
      <c r="L637" s="163" t="s">
        <v>111</v>
      </c>
    </row>
    <row r="638" spans="1:12" hidden="1">
      <c r="A638" s="34" t="s">
        <v>114</v>
      </c>
      <c r="B638" s="339">
        <v>2015</v>
      </c>
      <c r="C638" s="59" t="s">
        <v>85</v>
      </c>
      <c r="D638" s="59">
        <v>1105</v>
      </c>
      <c r="E638" s="496" t="s">
        <v>110</v>
      </c>
      <c r="F638" s="29">
        <v>1</v>
      </c>
      <c r="G638" s="9">
        <v>1</v>
      </c>
      <c r="H638" s="9">
        <v>1</v>
      </c>
      <c r="I638" s="9">
        <v>2</v>
      </c>
      <c r="J638" s="43">
        <v>2</v>
      </c>
      <c r="K638" s="262">
        <f t="shared" si="10"/>
        <v>0.35859414261160716</v>
      </c>
      <c r="L638" s="163" t="s">
        <v>111</v>
      </c>
    </row>
    <row r="639" spans="1:12" hidden="1">
      <c r="A639" s="34" t="s">
        <v>114</v>
      </c>
      <c r="B639" s="339">
        <v>2015</v>
      </c>
      <c r="C639" s="59" t="s">
        <v>86</v>
      </c>
      <c r="D639" s="59">
        <v>217</v>
      </c>
      <c r="E639" s="496" t="s">
        <v>110</v>
      </c>
      <c r="F639" s="29">
        <v>1</v>
      </c>
      <c r="G639" s="9">
        <v>1</v>
      </c>
      <c r="H639" s="9">
        <v>1</v>
      </c>
      <c r="I639" s="9">
        <v>2</v>
      </c>
      <c r="J639" s="43">
        <v>2</v>
      </c>
      <c r="K639" s="262">
        <f t="shared" si="10"/>
        <v>0.35859414261160716</v>
      </c>
      <c r="L639" s="163" t="s">
        <v>111</v>
      </c>
    </row>
    <row r="640" spans="1:12" hidden="1">
      <c r="A640" s="34" t="s">
        <v>114</v>
      </c>
      <c r="B640" s="339">
        <v>2015</v>
      </c>
      <c r="C640" s="59" t="s">
        <v>87</v>
      </c>
      <c r="D640" s="59">
        <v>247</v>
      </c>
      <c r="E640" s="496" t="s">
        <v>110</v>
      </c>
      <c r="F640" s="29">
        <v>1</v>
      </c>
      <c r="G640" s="9">
        <v>1</v>
      </c>
      <c r="H640" s="9">
        <v>1</v>
      </c>
      <c r="I640" s="9">
        <v>2</v>
      </c>
      <c r="J640" s="43">
        <v>2</v>
      </c>
      <c r="K640" s="262">
        <f t="shared" si="10"/>
        <v>0.35859414261160716</v>
      </c>
      <c r="L640" s="163" t="s">
        <v>111</v>
      </c>
    </row>
    <row r="641" spans="1:12">
      <c r="A641" s="34" t="s">
        <v>114</v>
      </c>
      <c r="B641" s="339">
        <v>2015</v>
      </c>
      <c r="C641" s="59" t="s">
        <v>88</v>
      </c>
      <c r="D641" s="59">
        <v>50</v>
      </c>
      <c r="E641" s="496" t="s">
        <v>110</v>
      </c>
      <c r="F641" s="29">
        <v>1</v>
      </c>
      <c r="G641" s="9">
        <v>1</v>
      </c>
      <c r="H641" s="9">
        <v>1</v>
      </c>
      <c r="I641" s="9">
        <v>2</v>
      </c>
      <c r="J641" s="43">
        <v>2</v>
      </c>
      <c r="K641" s="262">
        <f t="shared" si="10"/>
        <v>0.35859414261160716</v>
      </c>
      <c r="L641" s="163" t="s">
        <v>111</v>
      </c>
    </row>
    <row r="642" spans="1:12" hidden="1">
      <c r="A642" s="34" t="s">
        <v>114</v>
      </c>
      <c r="B642" s="339">
        <v>2015</v>
      </c>
      <c r="C642" s="59" t="s">
        <v>89</v>
      </c>
      <c r="D642" s="59">
        <v>46</v>
      </c>
      <c r="E642" s="496" t="s">
        <v>110</v>
      </c>
      <c r="F642" s="29">
        <v>1</v>
      </c>
      <c r="G642" s="9">
        <v>1</v>
      </c>
      <c r="H642" s="9">
        <v>1</v>
      </c>
      <c r="I642" s="9">
        <v>2</v>
      </c>
      <c r="J642" s="43">
        <v>2</v>
      </c>
      <c r="K642" s="262">
        <f t="shared" si="10"/>
        <v>0.35859414261160716</v>
      </c>
      <c r="L642" s="163" t="s">
        <v>111</v>
      </c>
    </row>
    <row r="643" spans="1:12" hidden="1">
      <c r="A643" s="34" t="s">
        <v>114</v>
      </c>
      <c r="B643" s="339">
        <v>2015</v>
      </c>
      <c r="C643" s="59" t="s">
        <v>90</v>
      </c>
      <c r="D643" s="59">
        <v>163</v>
      </c>
      <c r="E643" s="496" t="s">
        <v>110</v>
      </c>
      <c r="F643" s="29">
        <v>1</v>
      </c>
      <c r="G643" s="9">
        <v>1</v>
      </c>
      <c r="H643" s="9">
        <v>1</v>
      </c>
      <c r="I643" s="9">
        <v>2</v>
      </c>
      <c r="J643" s="43">
        <v>2</v>
      </c>
      <c r="K643" s="262">
        <f t="shared" si="10"/>
        <v>0.35859414261160716</v>
      </c>
      <c r="L643" s="163" t="s">
        <v>111</v>
      </c>
    </row>
    <row r="644" spans="1:12" hidden="1">
      <c r="A644" s="34" t="s">
        <v>114</v>
      </c>
      <c r="B644" s="339">
        <v>2015</v>
      </c>
      <c r="C644" s="59" t="s">
        <v>91</v>
      </c>
      <c r="D644" s="59">
        <v>76</v>
      </c>
      <c r="E644" s="496" t="s">
        <v>110</v>
      </c>
      <c r="F644" s="29">
        <v>1</v>
      </c>
      <c r="G644" s="9">
        <v>1</v>
      </c>
      <c r="H644" s="9">
        <v>1</v>
      </c>
      <c r="I644" s="9">
        <v>2</v>
      </c>
      <c r="J644" s="43">
        <v>2</v>
      </c>
      <c r="K644" s="262">
        <f t="shared" si="10"/>
        <v>0.35859414261160716</v>
      </c>
      <c r="L644" s="163" t="s">
        <v>111</v>
      </c>
    </row>
    <row r="645" spans="1:12" hidden="1">
      <c r="A645" s="34" t="s">
        <v>114</v>
      </c>
      <c r="B645" s="339">
        <v>2015</v>
      </c>
      <c r="C645" s="59" t="s">
        <v>94</v>
      </c>
      <c r="D645" s="59">
        <v>17</v>
      </c>
      <c r="E645" s="496" t="s">
        <v>110</v>
      </c>
      <c r="F645" s="29">
        <v>1</v>
      </c>
      <c r="G645" s="9">
        <v>1</v>
      </c>
      <c r="H645" s="9">
        <v>1</v>
      </c>
      <c r="I645" s="9">
        <v>2</v>
      </c>
      <c r="J645" s="43">
        <v>2</v>
      </c>
      <c r="K645" s="262">
        <f t="shared" si="10"/>
        <v>0.35859414261160716</v>
      </c>
      <c r="L645" s="163" t="s">
        <v>111</v>
      </c>
    </row>
    <row r="646" spans="1:12" hidden="1">
      <c r="A646" s="34" t="s">
        <v>114</v>
      </c>
      <c r="B646" s="339">
        <v>2015</v>
      </c>
      <c r="C646" s="59" t="s">
        <v>96</v>
      </c>
      <c r="D646" s="59">
        <v>42</v>
      </c>
      <c r="E646" s="496" t="s">
        <v>110</v>
      </c>
      <c r="F646" s="29">
        <v>1</v>
      </c>
      <c r="G646" s="9">
        <v>1</v>
      </c>
      <c r="H646" s="9">
        <v>1</v>
      </c>
      <c r="I646" s="9">
        <v>2</v>
      </c>
      <c r="J646" s="43">
        <v>2</v>
      </c>
      <c r="K646" s="262">
        <f t="shared" si="10"/>
        <v>0.35859414261160716</v>
      </c>
      <c r="L646" s="163" t="s">
        <v>111</v>
      </c>
    </row>
    <row r="647" spans="1:12">
      <c r="A647" s="34" t="s">
        <v>114</v>
      </c>
      <c r="B647" s="339">
        <v>2015</v>
      </c>
      <c r="C647" s="59" t="s">
        <v>97</v>
      </c>
      <c r="D647" s="59">
        <v>204</v>
      </c>
      <c r="E647" s="496" t="s">
        <v>110</v>
      </c>
      <c r="F647" s="29">
        <v>1</v>
      </c>
      <c r="G647" s="9">
        <v>1</v>
      </c>
      <c r="H647" s="9">
        <v>1</v>
      </c>
      <c r="I647" s="9">
        <v>2</v>
      </c>
      <c r="J647" s="43">
        <v>2</v>
      </c>
      <c r="K647" s="262">
        <f t="shared" si="10"/>
        <v>0.35859414261160716</v>
      </c>
      <c r="L647" s="163" t="s">
        <v>111</v>
      </c>
    </row>
    <row r="648" spans="1:12" hidden="1">
      <c r="A648" s="34" t="s">
        <v>114</v>
      </c>
      <c r="B648" s="339">
        <v>2015</v>
      </c>
      <c r="C648" s="59" t="s">
        <v>95</v>
      </c>
      <c r="D648" s="59">
        <v>54</v>
      </c>
      <c r="E648" s="496" t="s">
        <v>110</v>
      </c>
      <c r="F648" s="29">
        <v>1</v>
      </c>
      <c r="G648" s="9">
        <v>1</v>
      </c>
      <c r="H648" s="9">
        <v>1</v>
      </c>
      <c r="I648" s="9">
        <v>2</v>
      </c>
      <c r="J648" s="43">
        <v>2</v>
      </c>
      <c r="K648" s="262">
        <f t="shared" si="10"/>
        <v>0.35859414261160716</v>
      </c>
      <c r="L648" s="163" t="s">
        <v>111</v>
      </c>
    </row>
    <row r="649" spans="1:12" hidden="1">
      <c r="A649" s="34" t="s">
        <v>114</v>
      </c>
      <c r="B649" s="339">
        <v>2015</v>
      </c>
      <c r="C649" s="59" t="s">
        <v>93</v>
      </c>
      <c r="D649" s="59">
        <v>32</v>
      </c>
      <c r="E649" s="496" t="s">
        <v>110</v>
      </c>
      <c r="F649" s="29">
        <v>1</v>
      </c>
      <c r="G649" s="9">
        <v>1</v>
      </c>
      <c r="H649" s="9">
        <v>1</v>
      </c>
      <c r="I649" s="9">
        <v>2</v>
      </c>
      <c r="J649" s="43">
        <v>2</v>
      </c>
      <c r="K649" s="262">
        <f t="shared" si="10"/>
        <v>0.35859414261160716</v>
      </c>
      <c r="L649" s="163" t="s">
        <v>111</v>
      </c>
    </row>
    <row r="650" spans="1:12" hidden="1">
      <c r="A650" s="34" t="s">
        <v>114</v>
      </c>
      <c r="B650" s="339">
        <v>2015</v>
      </c>
      <c r="C650" s="59" t="s">
        <v>98</v>
      </c>
      <c r="D650" s="59">
        <v>983</v>
      </c>
      <c r="E650" s="496" t="s">
        <v>110</v>
      </c>
      <c r="F650" s="29">
        <v>1</v>
      </c>
      <c r="G650" s="9">
        <v>1</v>
      </c>
      <c r="H650" s="9">
        <v>1</v>
      </c>
      <c r="I650" s="9">
        <v>2</v>
      </c>
      <c r="J650" s="43">
        <v>2</v>
      </c>
      <c r="K650" s="262">
        <f t="shared" si="10"/>
        <v>0.35859414261160716</v>
      </c>
      <c r="L650" s="163" t="s">
        <v>111</v>
      </c>
    </row>
    <row r="651" spans="1:12" hidden="1">
      <c r="A651" s="34" t="s">
        <v>114</v>
      </c>
      <c r="B651" s="339">
        <v>2016</v>
      </c>
      <c r="C651" s="59" t="s">
        <v>85</v>
      </c>
      <c r="D651" s="59">
        <v>1245</v>
      </c>
      <c r="E651" s="496" t="s">
        <v>110</v>
      </c>
      <c r="F651" s="29">
        <v>1</v>
      </c>
      <c r="G651" s="9">
        <v>1</v>
      </c>
      <c r="H651" s="9">
        <v>1</v>
      </c>
      <c r="I651" s="9">
        <v>2</v>
      </c>
      <c r="J651" s="43">
        <v>2</v>
      </c>
      <c r="K651" s="262">
        <f t="shared" si="10"/>
        <v>0.35859414261160716</v>
      </c>
      <c r="L651" s="163" t="s">
        <v>111</v>
      </c>
    </row>
    <row r="652" spans="1:12" hidden="1">
      <c r="A652" s="34" t="s">
        <v>114</v>
      </c>
      <c r="B652" s="339">
        <v>2016</v>
      </c>
      <c r="C652" s="59" t="s">
        <v>86</v>
      </c>
      <c r="D652" s="59">
        <v>223</v>
      </c>
      <c r="E652" s="496" t="s">
        <v>110</v>
      </c>
      <c r="F652" s="29">
        <v>1</v>
      </c>
      <c r="G652" s="9">
        <v>1</v>
      </c>
      <c r="H652" s="9">
        <v>1</v>
      </c>
      <c r="I652" s="9">
        <v>2</v>
      </c>
      <c r="J652" s="43">
        <v>2</v>
      </c>
      <c r="K652" s="262">
        <f t="shared" si="10"/>
        <v>0.35859414261160716</v>
      </c>
      <c r="L652" s="163" t="s">
        <v>111</v>
      </c>
    </row>
    <row r="653" spans="1:12" hidden="1">
      <c r="A653" s="34" t="s">
        <v>114</v>
      </c>
      <c r="B653" s="339">
        <v>2016</v>
      </c>
      <c r="C653" s="59" t="s">
        <v>87</v>
      </c>
      <c r="D653" s="59">
        <v>279</v>
      </c>
      <c r="E653" s="496" t="s">
        <v>110</v>
      </c>
      <c r="F653" s="29">
        <v>1</v>
      </c>
      <c r="G653" s="9">
        <v>1</v>
      </c>
      <c r="H653" s="9">
        <v>1</v>
      </c>
      <c r="I653" s="9">
        <v>2</v>
      </c>
      <c r="J653" s="43">
        <v>2</v>
      </c>
      <c r="K653" s="262">
        <f t="shared" si="10"/>
        <v>0.35859414261160716</v>
      </c>
      <c r="L653" s="163" t="s">
        <v>111</v>
      </c>
    </row>
    <row r="654" spans="1:12">
      <c r="A654" s="34" t="s">
        <v>114</v>
      </c>
      <c r="B654" s="339">
        <v>2016</v>
      </c>
      <c r="C654" s="59" t="s">
        <v>88</v>
      </c>
      <c r="D654" s="59">
        <v>46</v>
      </c>
      <c r="E654" s="496" t="s">
        <v>110</v>
      </c>
      <c r="F654" s="29">
        <v>1</v>
      </c>
      <c r="G654" s="9">
        <v>1</v>
      </c>
      <c r="H654" s="9">
        <v>1</v>
      </c>
      <c r="I654" s="9">
        <v>2</v>
      </c>
      <c r="J654" s="43">
        <v>2</v>
      </c>
      <c r="K654" s="262">
        <f t="shared" si="10"/>
        <v>0.35859414261160716</v>
      </c>
      <c r="L654" s="163" t="s">
        <v>111</v>
      </c>
    </row>
    <row r="655" spans="1:12" hidden="1">
      <c r="A655" s="34" t="s">
        <v>114</v>
      </c>
      <c r="B655" s="339">
        <v>2016</v>
      </c>
      <c r="C655" s="59" t="s">
        <v>89</v>
      </c>
      <c r="D655" s="59">
        <v>51</v>
      </c>
      <c r="E655" s="496" t="s">
        <v>110</v>
      </c>
      <c r="F655" s="29">
        <v>1</v>
      </c>
      <c r="G655" s="9">
        <v>1</v>
      </c>
      <c r="H655" s="9">
        <v>1</v>
      </c>
      <c r="I655" s="9">
        <v>2</v>
      </c>
      <c r="J655" s="43">
        <v>2</v>
      </c>
      <c r="K655" s="262">
        <f t="shared" si="10"/>
        <v>0.35859414261160716</v>
      </c>
      <c r="L655" s="163" t="s">
        <v>111</v>
      </c>
    </row>
    <row r="656" spans="1:12" hidden="1">
      <c r="A656" s="34" t="s">
        <v>114</v>
      </c>
      <c r="B656" s="339">
        <v>2016</v>
      </c>
      <c r="C656" s="59" t="s">
        <v>90</v>
      </c>
      <c r="D656" s="59">
        <v>185</v>
      </c>
      <c r="E656" s="496" t="s">
        <v>110</v>
      </c>
      <c r="F656" s="29">
        <v>1</v>
      </c>
      <c r="G656" s="9">
        <v>1</v>
      </c>
      <c r="H656" s="9">
        <v>1</v>
      </c>
      <c r="I656" s="9">
        <v>2</v>
      </c>
      <c r="J656" s="43">
        <v>2</v>
      </c>
      <c r="K656" s="262">
        <f t="shared" si="10"/>
        <v>0.35859414261160716</v>
      </c>
      <c r="L656" s="163" t="s">
        <v>111</v>
      </c>
    </row>
    <row r="657" spans="1:12" hidden="1">
      <c r="A657" s="34" t="s">
        <v>114</v>
      </c>
      <c r="B657" s="339">
        <v>2016</v>
      </c>
      <c r="C657" s="59" t="s">
        <v>91</v>
      </c>
      <c r="D657" s="59">
        <v>95</v>
      </c>
      <c r="E657" s="496" t="s">
        <v>110</v>
      </c>
      <c r="F657" s="29">
        <v>1</v>
      </c>
      <c r="G657" s="9">
        <v>1</v>
      </c>
      <c r="H657" s="9">
        <v>1</v>
      </c>
      <c r="I657" s="9">
        <v>2</v>
      </c>
      <c r="J657" s="43">
        <v>2</v>
      </c>
      <c r="K657" s="262">
        <f t="shared" si="10"/>
        <v>0.35859414261160716</v>
      </c>
      <c r="L657" s="163" t="s">
        <v>111</v>
      </c>
    </row>
    <row r="658" spans="1:12" hidden="1">
      <c r="A658" s="34" t="s">
        <v>114</v>
      </c>
      <c r="B658" s="339">
        <v>2016</v>
      </c>
      <c r="C658" s="59" t="s">
        <v>94</v>
      </c>
      <c r="D658" s="59">
        <v>22</v>
      </c>
      <c r="E658" s="496" t="s">
        <v>110</v>
      </c>
      <c r="F658" s="29">
        <v>1</v>
      </c>
      <c r="G658" s="9">
        <v>1</v>
      </c>
      <c r="H658" s="9">
        <v>1</v>
      </c>
      <c r="I658" s="9">
        <v>2</v>
      </c>
      <c r="J658" s="43">
        <v>2</v>
      </c>
      <c r="K658" s="262">
        <f t="shared" si="10"/>
        <v>0.35859414261160716</v>
      </c>
      <c r="L658" s="163" t="s">
        <v>111</v>
      </c>
    </row>
    <row r="659" spans="1:12" hidden="1">
      <c r="A659" s="34" t="s">
        <v>114</v>
      </c>
      <c r="B659" s="339">
        <v>2016</v>
      </c>
      <c r="C659" s="59" t="s">
        <v>96</v>
      </c>
      <c r="D659" s="59">
        <v>48</v>
      </c>
      <c r="E659" s="496" t="s">
        <v>110</v>
      </c>
      <c r="F659" s="29">
        <v>1</v>
      </c>
      <c r="G659" s="9">
        <v>1</v>
      </c>
      <c r="H659" s="9">
        <v>1</v>
      </c>
      <c r="I659" s="9">
        <v>2</v>
      </c>
      <c r="J659" s="43">
        <v>2</v>
      </c>
      <c r="K659" s="262">
        <f t="shared" si="10"/>
        <v>0.35859414261160716</v>
      </c>
      <c r="L659" s="163" t="s">
        <v>111</v>
      </c>
    </row>
    <row r="660" spans="1:12">
      <c r="A660" s="34" t="s">
        <v>114</v>
      </c>
      <c r="B660" s="339">
        <v>2016</v>
      </c>
      <c r="C660" s="59" t="s">
        <v>97</v>
      </c>
      <c r="D660" s="59">
        <v>236</v>
      </c>
      <c r="E660" s="496" t="s">
        <v>110</v>
      </c>
      <c r="F660" s="29">
        <v>1</v>
      </c>
      <c r="G660" s="9">
        <v>1</v>
      </c>
      <c r="H660" s="9">
        <v>1</v>
      </c>
      <c r="I660" s="9">
        <v>2</v>
      </c>
      <c r="J660" s="43">
        <v>2</v>
      </c>
      <c r="K660" s="262">
        <f t="shared" si="10"/>
        <v>0.35859414261160716</v>
      </c>
      <c r="L660" s="163" t="s">
        <v>111</v>
      </c>
    </row>
    <row r="661" spans="1:12" hidden="1">
      <c r="A661" s="34" t="s">
        <v>114</v>
      </c>
      <c r="B661" s="339">
        <v>2016</v>
      </c>
      <c r="C661" s="59" t="s">
        <v>95</v>
      </c>
      <c r="D661" s="59">
        <v>70</v>
      </c>
      <c r="E661" s="496" t="s">
        <v>110</v>
      </c>
      <c r="F661" s="29">
        <v>1</v>
      </c>
      <c r="G661" s="9">
        <v>1</v>
      </c>
      <c r="H661" s="9">
        <v>1</v>
      </c>
      <c r="I661" s="9">
        <v>2</v>
      </c>
      <c r="J661" s="43">
        <v>2</v>
      </c>
      <c r="K661" s="262">
        <f t="shared" si="10"/>
        <v>0.35859414261160716</v>
      </c>
      <c r="L661" s="163" t="s">
        <v>111</v>
      </c>
    </row>
    <row r="662" spans="1:12" hidden="1">
      <c r="A662" s="34" t="s">
        <v>114</v>
      </c>
      <c r="B662" s="339">
        <v>2016</v>
      </c>
      <c r="C662" s="59" t="s">
        <v>93</v>
      </c>
      <c r="D662" s="59">
        <v>39</v>
      </c>
      <c r="E662" s="496" t="s">
        <v>110</v>
      </c>
      <c r="F662" s="29">
        <v>1</v>
      </c>
      <c r="G662" s="9">
        <v>1</v>
      </c>
      <c r="H662" s="9">
        <v>1</v>
      </c>
      <c r="I662" s="9">
        <v>2</v>
      </c>
      <c r="J662" s="43">
        <v>2</v>
      </c>
      <c r="K662" s="262">
        <f t="shared" si="10"/>
        <v>0.35859414261160716</v>
      </c>
      <c r="L662" s="163" t="s">
        <v>111</v>
      </c>
    </row>
    <row r="663" spans="1:12" hidden="1">
      <c r="A663" s="34" t="s">
        <v>114</v>
      </c>
      <c r="B663" s="339">
        <v>2016</v>
      </c>
      <c r="C663" s="59" t="s">
        <v>98</v>
      </c>
      <c r="D663" s="59">
        <v>1123</v>
      </c>
      <c r="E663" s="496" t="s">
        <v>110</v>
      </c>
      <c r="F663" s="29">
        <v>1</v>
      </c>
      <c r="G663" s="9">
        <v>1</v>
      </c>
      <c r="H663" s="9">
        <v>1</v>
      </c>
      <c r="I663" s="9">
        <v>2</v>
      </c>
      <c r="J663" s="43">
        <v>2</v>
      </c>
      <c r="K663" s="262">
        <f t="shared" si="10"/>
        <v>0.35859414261160716</v>
      </c>
      <c r="L663" s="163" t="s">
        <v>111</v>
      </c>
    </row>
    <row r="664" spans="1:12" hidden="1">
      <c r="A664" s="34" t="s">
        <v>114</v>
      </c>
      <c r="B664" s="339">
        <v>2017</v>
      </c>
      <c r="C664" s="59" t="s">
        <v>85</v>
      </c>
      <c r="D664" s="59">
        <v>1197</v>
      </c>
      <c r="E664" s="496" t="s">
        <v>110</v>
      </c>
      <c r="F664" s="29">
        <v>1</v>
      </c>
      <c r="G664" s="9">
        <v>1</v>
      </c>
      <c r="H664" s="9">
        <v>1</v>
      </c>
      <c r="I664" s="9">
        <v>2</v>
      </c>
      <c r="J664" s="43">
        <v>2</v>
      </c>
      <c r="K664" s="262">
        <f t="shared" si="10"/>
        <v>0.35859414261160716</v>
      </c>
      <c r="L664" s="163" t="s">
        <v>111</v>
      </c>
    </row>
    <row r="665" spans="1:12" hidden="1">
      <c r="A665" s="34" t="s">
        <v>114</v>
      </c>
      <c r="B665" s="339">
        <v>2017</v>
      </c>
      <c r="C665" s="59" t="s">
        <v>86</v>
      </c>
      <c r="D665" s="59">
        <v>231</v>
      </c>
      <c r="E665" s="496" t="s">
        <v>110</v>
      </c>
      <c r="F665" s="29">
        <v>1</v>
      </c>
      <c r="G665" s="9">
        <v>1</v>
      </c>
      <c r="H665" s="9">
        <v>1</v>
      </c>
      <c r="I665" s="9">
        <v>2</v>
      </c>
      <c r="J665" s="43">
        <v>2</v>
      </c>
      <c r="K665" s="262">
        <f t="shared" si="10"/>
        <v>0.35859414261160716</v>
      </c>
      <c r="L665" s="163" t="s">
        <v>111</v>
      </c>
    </row>
    <row r="666" spans="1:12" hidden="1">
      <c r="A666" s="34" t="s">
        <v>114</v>
      </c>
      <c r="B666" s="339">
        <v>2017</v>
      </c>
      <c r="C666" s="59" t="s">
        <v>87</v>
      </c>
      <c r="D666" s="59">
        <v>316</v>
      </c>
      <c r="E666" s="496" t="s">
        <v>110</v>
      </c>
      <c r="F666" s="29">
        <v>1</v>
      </c>
      <c r="G666" s="9">
        <v>1</v>
      </c>
      <c r="H666" s="9">
        <v>1</v>
      </c>
      <c r="I666" s="9">
        <v>2</v>
      </c>
      <c r="J666" s="43">
        <v>2</v>
      </c>
      <c r="K666" s="262">
        <f t="shared" si="10"/>
        <v>0.35859414261160716</v>
      </c>
      <c r="L666" s="163" t="s">
        <v>111</v>
      </c>
    </row>
    <row r="667" spans="1:12">
      <c r="A667" s="34" t="s">
        <v>114</v>
      </c>
      <c r="B667" s="339">
        <v>2017</v>
      </c>
      <c r="C667" s="59" t="s">
        <v>88</v>
      </c>
      <c r="D667" s="59">
        <v>43</v>
      </c>
      <c r="E667" s="496" t="s">
        <v>110</v>
      </c>
      <c r="F667" s="29">
        <v>1</v>
      </c>
      <c r="G667" s="9">
        <v>1</v>
      </c>
      <c r="H667" s="9">
        <v>1</v>
      </c>
      <c r="I667" s="9">
        <v>2</v>
      </c>
      <c r="J667" s="43">
        <v>2</v>
      </c>
      <c r="K667" s="262">
        <f t="shared" si="10"/>
        <v>0.35859414261160716</v>
      </c>
      <c r="L667" s="163" t="s">
        <v>111</v>
      </c>
    </row>
    <row r="668" spans="1:12" hidden="1">
      <c r="A668" s="34" t="s">
        <v>114</v>
      </c>
      <c r="B668" s="339">
        <v>2017</v>
      </c>
      <c r="C668" s="59" t="s">
        <v>89</v>
      </c>
      <c r="D668" s="59">
        <v>53</v>
      </c>
      <c r="E668" s="496" t="s">
        <v>110</v>
      </c>
      <c r="F668" s="29">
        <v>1</v>
      </c>
      <c r="G668" s="9">
        <v>1</v>
      </c>
      <c r="H668" s="9">
        <v>1</v>
      </c>
      <c r="I668" s="9">
        <v>2</v>
      </c>
      <c r="J668" s="43">
        <v>2</v>
      </c>
      <c r="K668" s="262">
        <f t="shared" si="10"/>
        <v>0.35859414261160716</v>
      </c>
      <c r="L668" s="163" t="s">
        <v>111</v>
      </c>
    </row>
    <row r="669" spans="1:12" hidden="1">
      <c r="A669" s="34" t="s">
        <v>114</v>
      </c>
      <c r="B669" s="339">
        <v>2017</v>
      </c>
      <c r="C669" s="59" t="s">
        <v>90</v>
      </c>
      <c r="D669" s="59">
        <v>212</v>
      </c>
      <c r="E669" s="496" t="s">
        <v>110</v>
      </c>
      <c r="F669" s="29">
        <v>1</v>
      </c>
      <c r="G669" s="9">
        <v>1</v>
      </c>
      <c r="H669" s="9">
        <v>1</v>
      </c>
      <c r="I669" s="9">
        <v>2</v>
      </c>
      <c r="J669" s="43">
        <v>2</v>
      </c>
      <c r="K669" s="262">
        <f t="shared" si="10"/>
        <v>0.35859414261160716</v>
      </c>
      <c r="L669" s="163" t="s">
        <v>111</v>
      </c>
    </row>
    <row r="670" spans="1:12" hidden="1">
      <c r="A670" s="34" t="s">
        <v>114</v>
      </c>
      <c r="B670" s="339">
        <v>2017</v>
      </c>
      <c r="C670" s="59" t="s">
        <v>91</v>
      </c>
      <c r="D670" s="59">
        <v>112</v>
      </c>
      <c r="E670" s="496" t="s">
        <v>110</v>
      </c>
      <c r="F670" s="29">
        <v>1</v>
      </c>
      <c r="G670" s="9">
        <v>1</v>
      </c>
      <c r="H670" s="9">
        <v>1</v>
      </c>
      <c r="I670" s="9">
        <v>2</v>
      </c>
      <c r="J670" s="43">
        <v>2</v>
      </c>
      <c r="K670" s="262">
        <f t="shared" si="10"/>
        <v>0.35859414261160716</v>
      </c>
      <c r="L670" s="163" t="s">
        <v>111</v>
      </c>
    </row>
    <row r="671" spans="1:12" hidden="1">
      <c r="A671" s="34" t="s">
        <v>114</v>
      </c>
      <c r="B671" s="339">
        <v>2017</v>
      </c>
      <c r="C671" s="59" t="s">
        <v>94</v>
      </c>
      <c r="D671" s="59">
        <v>29</v>
      </c>
      <c r="E671" s="496" t="s">
        <v>110</v>
      </c>
      <c r="F671" s="29">
        <v>1</v>
      </c>
      <c r="G671" s="9">
        <v>1</v>
      </c>
      <c r="H671" s="9">
        <v>1</v>
      </c>
      <c r="I671" s="9">
        <v>2</v>
      </c>
      <c r="J671" s="43">
        <v>2</v>
      </c>
      <c r="K671" s="262">
        <f t="shared" si="10"/>
        <v>0.35859414261160716</v>
      </c>
      <c r="L671" s="163" t="s">
        <v>111</v>
      </c>
    </row>
    <row r="672" spans="1:12" hidden="1">
      <c r="A672" s="34" t="s">
        <v>114</v>
      </c>
      <c r="B672" s="339">
        <v>2017</v>
      </c>
      <c r="C672" s="59" t="s">
        <v>96</v>
      </c>
      <c r="D672" s="59">
        <v>53</v>
      </c>
      <c r="E672" s="496" t="s">
        <v>110</v>
      </c>
      <c r="F672" s="29">
        <v>1</v>
      </c>
      <c r="G672" s="9">
        <v>1</v>
      </c>
      <c r="H672" s="9">
        <v>1</v>
      </c>
      <c r="I672" s="9">
        <v>2</v>
      </c>
      <c r="J672" s="43">
        <v>2</v>
      </c>
      <c r="K672" s="262">
        <f t="shared" si="10"/>
        <v>0.35859414261160716</v>
      </c>
      <c r="L672" s="163" t="s">
        <v>111</v>
      </c>
    </row>
    <row r="673" spans="1:12">
      <c r="A673" s="34" t="s">
        <v>114</v>
      </c>
      <c r="B673" s="339">
        <v>2017</v>
      </c>
      <c r="C673" s="59" t="s">
        <v>97</v>
      </c>
      <c r="D673" s="59">
        <v>232</v>
      </c>
      <c r="E673" s="496" t="s">
        <v>110</v>
      </c>
      <c r="F673" s="29">
        <v>1</v>
      </c>
      <c r="G673" s="9">
        <v>1</v>
      </c>
      <c r="H673" s="9">
        <v>1</v>
      </c>
      <c r="I673" s="9">
        <v>2</v>
      </c>
      <c r="J673" s="43">
        <v>2</v>
      </c>
      <c r="K673" s="262">
        <f t="shared" si="10"/>
        <v>0.35859414261160716</v>
      </c>
      <c r="L673" s="163" t="s">
        <v>111</v>
      </c>
    </row>
    <row r="674" spans="1:12" hidden="1">
      <c r="A674" s="34" t="s">
        <v>114</v>
      </c>
      <c r="B674" s="339">
        <v>2017</v>
      </c>
      <c r="C674" s="59" t="s">
        <v>95</v>
      </c>
      <c r="D674" s="59">
        <v>72</v>
      </c>
      <c r="E674" s="496" t="s">
        <v>110</v>
      </c>
      <c r="F674" s="29">
        <v>1</v>
      </c>
      <c r="G674" s="9">
        <v>1</v>
      </c>
      <c r="H674" s="9">
        <v>1</v>
      </c>
      <c r="I674" s="9">
        <v>2</v>
      </c>
      <c r="J674" s="43">
        <v>2</v>
      </c>
      <c r="K674" s="262">
        <f t="shared" si="10"/>
        <v>0.35859414261160716</v>
      </c>
      <c r="L674" s="163" t="s">
        <v>111</v>
      </c>
    </row>
    <row r="675" spans="1:12" hidden="1">
      <c r="A675" s="34" t="s">
        <v>114</v>
      </c>
      <c r="B675" s="339">
        <v>2017</v>
      </c>
      <c r="C675" s="59" t="s">
        <v>93</v>
      </c>
      <c r="D675" s="59">
        <v>41</v>
      </c>
      <c r="E675" s="496" t="s">
        <v>110</v>
      </c>
      <c r="F675" s="29">
        <v>1</v>
      </c>
      <c r="G675" s="9">
        <v>1</v>
      </c>
      <c r="H675" s="9">
        <v>1</v>
      </c>
      <c r="I675" s="9">
        <v>2</v>
      </c>
      <c r="J675" s="43">
        <v>2</v>
      </c>
      <c r="K675" s="262">
        <f t="shared" si="10"/>
        <v>0.35859414261160716</v>
      </c>
      <c r="L675" s="163" t="s">
        <v>111</v>
      </c>
    </row>
    <row r="676" spans="1:12" hidden="1">
      <c r="A676" s="34" t="s">
        <v>114</v>
      </c>
      <c r="B676" s="339">
        <v>2017</v>
      </c>
      <c r="C676" s="59" t="s">
        <v>98</v>
      </c>
      <c r="D676" s="59">
        <v>1172</v>
      </c>
      <c r="E676" s="496" t="s">
        <v>110</v>
      </c>
      <c r="F676" s="29">
        <v>1</v>
      </c>
      <c r="G676" s="9">
        <v>1</v>
      </c>
      <c r="H676" s="9">
        <v>1</v>
      </c>
      <c r="I676" s="9">
        <v>2</v>
      </c>
      <c r="J676" s="43">
        <v>2</v>
      </c>
      <c r="K676" s="262">
        <f t="shared" si="10"/>
        <v>0.35859414261160716</v>
      </c>
      <c r="L676" s="163" t="s">
        <v>111</v>
      </c>
    </row>
    <row r="677" spans="1:12" hidden="1">
      <c r="A677" s="34" t="s">
        <v>114</v>
      </c>
      <c r="B677" s="339">
        <v>2018</v>
      </c>
      <c r="C677" s="59" t="s">
        <v>85</v>
      </c>
      <c r="D677" s="59">
        <v>1084</v>
      </c>
      <c r="E677" s="496" t="s">
        <v>110</v>
      </c>
      <c r="F677" s="29">
        <v>1</v>
      </c>
      <c r="G677" s="9">
        <v>1</v>
      </c>
      <c r="H677" s="9">
        <v>1</v>
      </c>
      <c r="I677" s="9">
        <v>2</v>
      </c>
      <c r="J677" s="43">
        <v>2</v>
      </c>
      <c r="K677" s="262">
        <f t="shared" si="10"/>
        <v>0.35859414261160716</v>
      </c>
      <c r="L677" s="163" t="s">
        <v>111</v>
      </c>
    </row>
    <row r="678" spans="1:12" hidden="1">
      <c r="A678" s="34" t="s">
        <v>114</v>
      </c>
      <c r="B678" s="339">
        <v>2018</v>
      </c>
      <c r="C678" s="59" t="s">
        <v>86</v>
      </c>
      <c r="D678" s="59">
        <v>243</v>
      </c>
      <c r="E678" s="496" t="s">
        <v>110</v>
      </c>
      <c r="F678" s="29">
        <v>1</v>
      </c>
      <c r="G678" s="9">
        <v>1</v>
      </c>
      <c r="H678" s="9">
        <v>1</v>
      </c>
      <c r="I678" s="9">
        <v>2</v>
      </c>
      <c r="J678" s="43">
        <v>2</v>
      </c>
      <c r="K678" s="262">
        <f t="shared" si="10"/>
        <v>0.35859414261160716</v>
      </c>
      <c r="L678" s="163" t="s">
        <v>111</v>
      </c>
    </row>
    <row r="679" spans="1:12" hidden="1">
      <c r="A679" s="34" t="s">
        <v>114</v>
      </c>
      <c r="B679" s="339">
        <v>2018</v>
      </c>
      <c r="C679" s="59" t="s">
        <v>87</v>
      </c>
      <c r="D679" s="59">
        <v>323</v>
      </c>
      <c r="E679" s="496" t="s">
        <v>110</v>
      </c>
      <c r="F679" s="29">
        <v>1</v>
      </c>
      <c r="G679" s="9">
        <v>1</v>
      </c>
      <c r="H679" s="9">
        <v>1</v>
      </c>
      <c r="I679" s="9">
        <v>2</v>
      </c>
      <c r="J679" s="43">
        <v>2</v>
      </c>
      <c r="K679" s="262">
        <f t="shared" si="10"/>
        <v>0.35859414261160716</v>
      </c>
      <c r="L679" s="163" t="s">
        <v>111</v>
      </c>
    </row>
    <row r="680" spans="1:12">
      <c r="A680" s="34" t="s">
        <v>114</v>
      </c>
      <c r="B680" s="339">
        <v>2018</v>
      </c>
      <c r="C680" s="59" t="s">
        <v>88</v>
      </c>
      <c r="D680" s="59">
        <v>41</v>
      </c>
      <c r="E680" s="496" t="s">
        <v>110</v>
      </c>
      <c r="F680" s="29">
        <v>1</v>
      </c>
      <c r="G680" s="9">
        <v>1</v>
      </c>
      <c r="H680" s="9">
        <v>1</v>
      </c>
      <c r="I680" s="9">
        <v>2</v>
      </c>
      <c r="J680" s="43">
        <v>2</v>
      </c>
      <c r="K680" s="262">
        <f t="shared" si="10"/>
        <v>0.35859414261160716</v>
      </c>
      <c r="L680" s="163" t="s">
        <v>111</v>
      </c>
    </row>
    <row r="681" spans="1:12" hidden="1">
      <c r="A681" s="34" t="s">
        <v>114</v>
      </c>
      <c r="B681" s="339">
        <v>2018</v>
      </c>
      <c r="C681" s="59" t="s">
        <v>89</v>
      </c>
      <c r="D681" s="59">
        <v>56</v>
      </c>
      <c r="E681" s="496" t="s">
        <v>110</v>
      </c>
      <c r="F681" s="29">
        <v>1</v>
      </c>
      <c r="G681" s="9">
        <v>1</v>
      </c>
      <c r="H681" s="9">
        <v>1</v>
      </c>
      <c r="I681" s="9">
        <v>2</v>
      </c>
      <c r="J681" s="43">
        <v>2</v>
      </c>
      <c r="K681" s="262">
        <f t="shared" si="10"/>
        <v>0.35859414261160716</v>
      </c>
      <c r="L681" s="163" t="s">
        <v>111</v>
      </c>
    </row>
    <row r="682" spans="1:12" hidden="1">
      <c r="A682" s="34" t="s">
        <v>114</v>
      </c>
      <c r="B682" s="339">
        <v>2018</v>
      </c>
      <c r="C682" s="59" t="s">
        <v>90</v>
      </c>
      <c r="D682" s="59">
        <v>221</v>
      </c>
      <c r="E682" s="496" t="s">
        <v>110</v>
      </c>
      <c r="F682" s="29">
        <v>1</v>
      </c>
      <c r="G682" s="9">
        <v>1</v>
      </c>
      <c r="H682" s="9">
        <v>1</v>
      </c>
      <c r="I682" s="9">
        <v>2</v>
      </c>
      <c r="J682" s="43">
        <v>2</v>
      </c>
      <c r="K682" s="262">
        <f t="shared" si="10"/>
        <v>0.35859414261160716</v>
      </c>
      <c r="L682" s="163" t="s">
        <v>111</v>
      </c>
    </row>
    <row r="683" spans="1:12" hidden="1">
      <c r="A683" s="34" t="s">
        <v>114</v>
      </c>
      <c r="B683" s="339">
        <v>2018</v>
      </c>
      <c r="C683" s="59" t="s">
        <v>91</v>
      </c>
      <c r="D683" s="59">
        <v>103</v>
      </c>
      <c r="E683" s="496" t="s">
        <v>110</v>
      </c>
      <c r="F683" s="29">
        <v>1</v>
      </c>
      <c r="G683" s="9">
        <v>1</v>
      </c>
      <c r="H683" s="9">
        <v>1</v>
      </c>
      <c r="I683" s="9">
        <v>2</v>
      </c>
      <c r="J683" s="43">
        <v>2</v>
      </c>
      <c r="K683" s="262">
        <f t="shared" si="10"/>
        <v>0.35859414261160716</v>
      </c>
      <c r="L683" s="163" t="s">
        <v>111</v>
      </c>
    </row>
    <row r="684" spans="1:12" hidden="1">
      <c r="A684" s="34" t="s">
        <v>114</v>
      </c>
      <c r="B684" s="339">
        <v>2018</v>
      </c>
      <c r="C684" s="59" t="s">
        <v>94</v>
      </c>
      <c r="D684" s="59">
        <v>35</v>
      </c>
      <c r="E684" s="496" t="s">
        <v>110</v>
      </c>
      <c r="F684" s="29">
        <v>1</v>
      </c>
      <c r="G684" s="9">
        <v>1</v>
      </c>
      <c r="H684" s="9">
        <v>1</v>
      </c>
      <c r="I684" s="9">
        <v>2</v>
      </c>
      <c r="J684" s="43">
        <v>2</v>
      </c>
      <c r="K684" s="262">
        <f t="shared" si="10"/>
        <v>0.35859414261160716</v>
      </c>
      <c r="L684" s="163" t="s">
        <v>111</v>
      </c>
    </row>
    <row r="685" spans="1:12" hidden="1">
      <c r="A685" s="34" t="s">
        <v>114</v>
      </c>
      <c r="B685" s="339">
        <v>2018</v>
      </c>
      <c r="C685" s="59" t="s">
        <v>96</v>
      </c>
      <c r="D685" s="59">
        <v>55</v>
      </c>
      <c r="E685" s="496" t="s">
        <v>110</v>
      </c>
      <c r="F685" s="29">
        <v>1</v>
      </c>
      <c r="G685" s="9">
        <v>1</v>
      </c>
      <c r="H685" s="9">
        <v>1</v>
      </c>
      <c r="I685" s="9">
        <v>2</v>
      </c>
      <c r="J685" s="43">
        <v>2</v>
      </c>
      <c r="K685" s="262">
        <f t="shared" si="10"/>
        <v>0.35859414261160716</v>
      </c>
      <c r="L685" s="163" t="s">
        <v>111</v>
      </c>
    </row>
    <row r="686" spans="1:12">
      <c r="A686" s="34" t="s">
        <v>114</v>
      </c>
      <c r="B686" s="339">
        <v>2018</v>
      </c>
      <c r="C686" s="59" t="s">
        <v>97</v>
      </c>
      <c r="D686" s="59">
        <v>229</v>
      </c>
      <c r="E686" s="496" t="s">
        <v>110</v>
      </c>
      <c r="F686" s="29">
        <v>1</v>
      </c>
      <c r="G686" s="9">
        <v>1</v>
      </c>
      <c r="H686" s="9">
        <v>1</v>
      </c>
      <c r="I686" s="9">
        <v>2</v>
      </c>
      <c r="J686" s="43">
        <v>2</v>
      </c>
      <c r="K686" s="262">
        <f t="shared" si="10"/>
        <v>0.35859414261160716</v>
      </c>
      <c r="L686" s="163" t="s">
        <v>111</v>
      </c>
    </row>
    <row r="687" spans="1:12" hidden="1">
      <c r="A687" s="34" t="s">
        <v>114</v>
      </c>
      <c r="B687" s="339">
        <v>2018</v>
      </c>
      <c r="C687" s="59" t="s">
        <v>95</v>
      </c>
      <c r="D687" s="59">
        <v>80</v>
      </c>
      <c r="E687" s="496" t="s">
        <v>110</v>
      </c>
      <c r="F687" s="29">
        <v>1</v>
      </c>
      <c r="G687" s="9">
        <v>1</v>
      </c>
      <c r="H687" s="9">
        <v>1</v>
      </c>
      <c r="I687" s="9">
        <v>2</v>
      </c>
      <c r="J687" s="43">
        <v>2</v>
      </c>
      <c r="K687" s="262">
        <f t="shared" si="10"/>
        <v>0.35859414261160716</v>
      </c>
      <c r="L687" s="163" t="s">
        <v>111</v>
      </c>
    </row>
    <row r="688" spans="1:12" hidden="1">
      <c r="A688" s="34" t="s">
        <v>114</v>
      </c>
      <c r="B688" s="339">
        <v>2018</v>
      </c>
      <c r="C688" s="59" t="s">
        <v>93</v>
      </c>
      <c r="D688" s="59">
        <v>42</v>
      </c>
      <c r="E688" s="496" t="s">
        <v>110</v>
      </c>
      <c r="F688" s="29">
        <v>1</v>
      </c>
      <c r="G688" s="9">
        <v>1</v>
      </c>
      <c r="H688" s="9">
        <v>1</v>
      </c>
      <c r="I688" s="9">
        <v>2</v>
      </c>
      <c r="J688" s="43">
        <v>2</v>
      </c>
      <c r="K688" s="262">
        <f t="shared" si="10"/>
        <v>0.35859414261160716</v>
      </c>
      <c r="L688" s="163" t="s">
        <v>111</v>
      </c>
    </row>
    <row r="689" spans="1:12" hidden="1">
      <c r="A689" s="34" t="s">
        <v>114</v>
      </c>
      <c r="B689" s="339">
        <v>2018</v>
      </c>
      <c r="C689" s="59" t="s">
        <v>98</v>
      </c>
      <c r="D689" s="59">
        <v>1272</v>
      </c>
      <c r="E689" s="496" t="s">
        <v>110</v>
      </c>
      <c r="F689" s="29">
        <v>1</v>
      </c>
      <c r="G689" s="9">
        <v>1</v>
      </c>
      <c r="H689" s="9">
        <v>1</v>
      </c>
      <c r="I689" s="9">
        <v>2</v>
      </c>
      <c r="J689" s="43">
        <v>2</v>
      </c>
      <c r="K689" s="262">
        <f t="shared" si="10"/>
        <v>0.35859414261160716</v>
      </c>
      <c r="L689" s="163" t="s">
        <v>111</v>
      </c>
    </row>
    <row r="690" spans="1:12" hidden="1">
      <c r="A690" s="34" t="s">
        <v>114</v>
      </c>
      <c r="B690" s="339">
        <v>2019</v>
      </c>
      <c r="C690" s="59" t="s">
        <v>85</v>
      </c>
      <c r="D690" s="59">
        <v>942</v>
      </c>
      <c r="E690" s="496" t="s">
        <v>110</v>
      </c>
      <c r="F690" s="29">
        <v>1</v>
      </c>
      <c r="G690" s="9">
        <v>1</v>
      </c>
      <c r="H690" s="9">
        <v>1</v>
      </c>
      <c r="I690" s="9">
        <v>2</v>
      </c>
      <c r="J690" s="43">
        <v>2</v>
      </c>
      <c r="K690" s="262">
        <f t="shared" si="10"/>
        <v>0.35859414261160716</v>
      </c>
      <c r="L690" s="163" t="s">
        <v>111</v>
      </c>
    </row>
    <row r="691" spans="1:12" hidden="1">
      <c r="A691" s="34" t="s">
        <v>114</v>
      </c>
      <c r="B691" s="339">
        <v>2019</v>
      </c>
      <c r="C691" s="59" t="s">
        <v>86</v>
      </c>
      <c r="D691" s="59">
        <v>270</v>
      </c>
      <c r="E691" s="496" t="s">
        <v>110</v>
      </c>
      <c r="F691" s="29">
        <v>1</v>
      </c>
      <c r="G691" s="9">
        <v>1</v>
      </c>
      <c r="H691" s="9">
        <v>1</v>
      </c>
      <c r="I691" s="9">
        <v>2</v>
      </c>
      <c r="J691" s="43">
        <v>2</v>
      </c>
      <c r="K691" s="262">
        <f t="shared" si="10"/>
        <v>0.35859414261160716</v>
      </c>
      <c r="L691" s="163" t="s">
        <v>111</v>
      </c>
    </row>
    <row r="692" spans="1:12" hidden="1">
      <c r="A692" s="34" t="s">
        <v>114</v>
      </c>
      <c r="B692" s="339">
        <v>2019</v>
      </c>
      <c r="C692" s="59" t="s">
        <v>87</v>
      </c>
      <c r="D692" s="59">
        <v>302</v>
      </c>
      <c r="E692" s="496" t="s">
        <v>110</v>
      </c>
      <c r="F692" s="29">
        <v>1</v>
      </c>
      <c r="G692" s="9">
        <v>1</v>
      </c>
      <c r="H692" s="9">
        <v>1</v>
      </c>
      <c r="I692" s="9">
        <v>2</v>
      </c>
      <c r="J692" s="43">
        <v>2</v>
      </c>
      <c r="K692" s="262">
        <f t="shared" si="10"/>
        <v>0.35859414261160716</v>
      </c>
      <c r="L692" s="163" t="s">
        <v>111</v>
      </c>
    </row>
    <row r="693" spans="1:12">
      <c r="A693" s="34" t="s">
        <v>114</v>
      </c>
      <c r="B693" s="339">
        <v>2019</v>
      </c>
      <c r="C693" s="59" t="s">
        <v>88</v>
      </c>
      <c r="D693" s="59">
        <v>111</v>
      </c>
      <c r="E693" s="496" t="s">
        <v>110</v>
      </c>
      <c r="F693" s="29">
        <v>1</v>
      </c>
      <c r="G693" s="9">
        <v>1</v>
      </c>
      <c r="H693" s="9">
        <v>1</v>
      </c>
      <c r="I693" s="9">
        <v>2</v>
      </c>
      <c r="J693" s="43">
        <v>2</v>
      </c>
      <c r="K693" s="262">
        <f t="shared" si="10"/>
        <v>0.35859414261160716</v>
      </c>
      <c r="L693" s="163" t="s">
        <v>111</v>
      </c>
    </row>
    <row r="694" spans="1:12" hidden="1">
      <c r="A694" s="34" t="s">
        <v>114</v>
      </c>
      <c r="B694" s="339">
        <v>2019</v>
      </c>
      <c r="C694" s="59" t="s">
        <v>89</v>
      </c>
      <c r="D694" s="59">
        <v>56</v>
      </c>
      <c r="E694" s="496" t="s">
        <v>110</v>
      </c>
      <c r="F694" s="29">
        <v>1</v>
      </c>
      <c r="G694" s="9">
        <v>1</v>
      </c>
      <c r="H694" s="9">
        <v>1</v>
      </c>
      <c r="I694" s="9">
        <v>2</v>
      </c>
      <c r="J694" s="43">
        <v>2</v>
      </c>
      <c r="K694" s="262">
        <f t="shared" si="10"/>
        <v>0.35859414261160716</v>
      </c>
      <c r="L694" s="163" t="s">
        <v>111</v>
      </c>
    </row>
    <row r="695" spans="1:12" hidden="1">
      <c r="A695" s="34" t="s">
        <v>114</v>
      </c>
      <c r="B695" s="339">
        <v>2019</v>
      </c>
      <c r="C695" s="59" t="s">
        <v>90</v>
      </c>
      <c r="D695" s="59">
        <v>217</v>
      </c>
      <c r="E695" s="496" t="s">
        <v>110</v>
      </c>
      <c r="F695" s="29">
        <v>1</v>
      </c>
      <c r="G695" s="9">
        <v>1</v>
      </c>
      <c r="H695" s="9">
        <v>1</v>
      </c>
      <c r="I695" s="9">
        <v>2</v>
      </c>
      <c r="J695" s="43">
        <v>2</v>
      </c>
      <c r="K695" s="262">
        <f t="shared" si="10"/>
        <v>0.35859414261160716</v>
      </c>
      <c r="L695" s="163" t="s">
        <v>111</v>
      </c>
    </row>
    <row r="696" spans="1:12" hidden="1">
      <c r="A696" s="34" t="s">
        <v>114</v>
      </c>
      <c r="B696" s="339">
        <v>2019</v>
      </c>
      <c r="C696" s="59" t="s">
        <v>91</v>
      </c>
      <c r="D696" s="59">
        <v>134</v>
      </c>
      <c r="E696" s="496" t="s">
        <v>110</v>
      </c>
      <c r="F696" s="29">
        <v>1</v>
      </c>
      <c r="G696" s="9">
        <v>1</v>
      </c>
      <c r="H696" s="9">
        <v>1</v>
      </c>
      <c r="I696" s="9">
        <v>2</v>
      </c>
      <c r="J696" s="43">
        <v>2</v>
      </c>
      <c r="K696" s="262">
        <f t="shared" si="10"/>
        <v>0.35859414261160716</v>
      </c>
      <c r="L696" s="163" t="s">
        <v>111</v>
      </c>
    </row>
    <row r="697" spans="1:12" hidden="1">
      <c r="A697" s="34" t="s">
        <v>114</v>
      </c>
      <c r="B697" s="339">
        <v>2019</v>
      </c>
      <c r="C697" s="59" t="s">
        <v>94</v>
      </c>
      <c r="D697" s="59">
        <v>17</v>
      </c>
      <c r="E697" s="496" t="s">
        <v>110</v>
      </c>
      <c r="F697" s="29">
        <v>1</v>
      </c>
      <c r="G697" s="9">
        <v>1</v>
      </c>
      <c r="H697" s="9">
        <v>1</v>
      </c>
      <c r="I697" s="9">
        <v>2</v>
      </c>
      <c r="J697" s="43">
        <v>2</v>
      </c>
      <c r="K697" s="262">
        <f t="shared" si="10"/>
        <v>0.35859414261160716</v>
      </c>
      <c r="L697" s="163" t="s">
        <v>111</v>
      </c>
    </row>
    <row r="698" spans="1:12" hidden="1">
      <c r="A698" s="34" t="s">
        <v>114</v>
      </c>
      <c r="B698" s="339">
        <v>2019</v>
      </c>
      <c r="C698" s="59" t="s">
        <v>96</v>
      </c>
      <c r="D698" s="59">
        <v>70</v>
      </c>
      <c r="E698" s="496" t="s">
        <v>110</v>
      </c>
      <c r="F698" s="29">
        <v>1</v>
      </c>
      <c r="G698" s="9">
        <v>1</v>
      </c>
      <c r="H698" s="9">
        <v>1</v>
      </c>
      <c r="I698" s="9">
        <v>2</v>
      </c>
      <c r="J698" s="43">
        <v>2</v>
      </c>
      <c r="K698" s="262">
        <f t="shared" si="10"/>
        <v>0.35859414261160716</v>
      </c>
      <c r="L698" s="163" t="s">
        <v>111</v>
      </c>
    </row>
    <row r="699" spans="1:12">
      <c r="A699" s="34" t="s">
        <v>114</v>
      </c>
      <c r="B699" s="339">
        <v>2019</v>
      </c>
      <c r="C699" s="59" t="s">
        <v>97</v>
      </c>
      <c r="D699" s="59">
        <v>243</v>
      </c>
      <c r="E699" s="496" t="s">
        <v>110</v>
      </c>
      <c r="F699" s="29">
        <v>1</v>
      </c>
      <c r="G699" s="9">
        <v>1</v>
      </c>
      <c r="H699" s="9">
        <v>1</v>
      </c>
      <c r="I699" s="9">
        <v>2</v>
      </c>
      <c r="J699" s="43">
        <v>2</v>
      </c>
      <c r="K699" s="262">
        <f t="shared" si="10"/>
        <v>0.35859414261160716</v>
      </c>
      <c r="L699" s="163" t="s">
        <v>111</v>
      </c>
    </row>
    <row r="700" spans="1:12" hidden="1">
      <c r="A700" s="34" t="s">
        <v>114</v>
      </c>
      <c r="B700" s="339">
        <v>2019</v>
      </c>
      <c r="C700" s="59" t="s">
        <v>95</v>
      </c>
      <c r="D700" s="59">
        <v>79</v>
      </c>
      <c r="E700" s="496" t="s">
        <v>110</v>
      </c>
      <c r="F700" s="29">
        <v>1</v>
      </c>
      <c r="G700" s="9">
        <v>1</v>
      </c>
      <c r="H700" s="9">
        <v>1</v>
      </c>
      <c r="I700" s="9">
        <v>2</v>
      </c>
      <c r="J700" s="43">
        <v>2</v>
      </c>
      <c r="K700" s="262">
        <f t="shared" si="10"/>
        <v>0.35859414261160716</v>
      </c>
      <c r="L700" s="163" t="s">
        <v>111</v>
      </c>
    </row>
    <row r="701" spans="1:12" hidden="1">
      <c r="A701" s="34" t="s">
        <v>114</v>
      </c>
      <c r="B701" s="339">
        <v>2019</v>
      </c>
      <c r="C701" s="59" t="s">
        <v>93</v>
      </c>
      <c r="D701" s="59">
        <v>40</v>
      </c>
      <c r="E701" s="496" t="s">
        <v>110</v>
      </c>
      <c r="F701" s="29">
        <v>1</v>
      </c>
      <c r="G701" s="9">
        <v>1</v>
      </c>
      <c r="H701" s="9">
        <v>1</v>
      </c>
      <c r="I701" s="9">
        <v>2</v>
      </c>
      <c r="J701" s="43">
        <v>2</v>
      </c>
      <c r="K701" s="262">
        <f t="shared" ref="K701:K764" si="11">IF( OR( ISBLANK(F701),ISBLANK(G701), ISBLANK(H701), ISBLANK(I701), ISBLANK(J701) ), "", 1.5*SQRT(   EXP(2.21*(F701-1)) + EXP(2.21*(G701-1)) + EXP(2.21*(H701-1)) + EXP(2.21*(I701-1)) + EXP(2.21*J701)   )/100*2.45 )</f>
        <v>0.35859414261160716</v>
      </c>
      <c r="L701" s="163" t="s">
        <v>111</v>
      </c>
    </row>
    <row r="702" spans="1:12" hidden="1">
      <c r="A702" s="34" t="s">
        <v>114</v>
      </c>
      <c r="B702" s="339">
        <v>2019</v>
      </c>
      <c r="C702" s="59" t="s">
        <v>98</v>
      </c>
      <c r="D702" s="59">
        <v>1386</v>
      </c>
      <c r="E702" s="496" t="s">
        <v>110</v>
      </c>
      <c r="F702" s="29">
        <v>1</v>
      </c>
      <c r="G702" s="9">
        <v>1</v>
      </c>
      <c r="H702" s="9">
        <v>1</v>
      </c>
      <c r="I702" s="9">
        <v>2</v>
      </c>
      <c r="J702" s="43">
        <v>2</v>
      </c>
      <c r="K702" s="262">
        <f t="shared" si="11"/>
        <v>0.35859414261160716</v>
      </c>
      <c r="L702" s="163" t="s">
        <v>111</v>
      </c>
    </row>
    <row r="703" spans="1:12" hidden="1">
      <c r="A703" s="34" t="s">
        <v>114</v>
      </c>
      <c r="B703" s="339">
        <v>2020</v>
      </c>
      <c r="C703" s="59" t="s">
        <v>85</v>
      </c>
      <c r="D703" s="59">
        <v>713</v>
      </c>
      <c r="E703" s="496" t="s">
        <v>110</v>
      </c>
      <c r="F703" s="29">
        <v>1</v>
      </c>
      <c r="G703" s="9">
        <v>1</v>
      </c>
      <c r="H703" s="9">
        <v>1</v>
      </c>
      <c r="I703" s="9">
        <v>2</v>
      </c>
      <c r="J703" s="43">
        <v>2</v>
      </c>
      <c r="K703" s="262">
        <f t="shared" si="11"/>
        <v>0.35859414261160716</v>
      </c>
      <c r="L703" s="163" t="s">
        <v>111</v>
      </c>
    </row>
    <row r="704" spans="1:12" hidden="1">
      <c r="A704" s="34" t="s">
        <v>114</v>
      </c>
      <c r="B704" s="339">
        <v>2020</v>
      </c>
      <c r="C704" s="59" t="s">
        <v>86</v>
      </c>
      <c r="D704" s="59">
        <v>239</v>
      </c>
      <c r="E704" s="496" t="s">
        <v>110</v>
      </c>
      <c r="F704" s="29">
        <v>1</v>
      </c>
      <c r="G704" s="9">
        <v>1</v>
      </c>
      <c r="H704" s="9">
        <v>1</v>
      </c>
      <c r="I704" s="9">
        <v>2</v>
      </c>
      <c r="J704" s="43">
        <v>2</v>
      </c>
      <c r="K704" s="262">
        <f t="shared" si="11"/>
        <v>0.35859414261160716</v>
      </c>
      <c r="L704" s="163" t="s">
        <v>111</v>
      </c>
    </row>
    <row r="705" spans="1:12" hidden="1">
      <c r="A705" s="34" t="s">
        <v>114</v>
      </c>
      <c r="B705" s="339">
        <v>2020</v>
      </c>
      <c r="C705" s="59" t="s">
        <v>87</v>
      </c>
      <c r="D705" s="59">
        <v>303</v>
      </c>
      <c r="E705" s="496" t="s">
        <v>110</v>
      </c>
      <c r="F705" s="29">
        <v>1</v>
      </c>
      <c r="G705" s="9">
        <v>1</v>
      </c>
      <c r="H705" s="9">
        <v>1</v>
      </c>
      <c r="I705" s="9">
        <v>2</v>
      </c>
      <c r="J705" s="43">
        <v>2</v>
      </c>
      <c r="K705" s="262">
        <f t="shared" si="11"/>
        <v>0.35859414261160716</v>
      </c>
      <c r="L705" s="163" t="s">
        <v>111</v>
      </c>
    </row>
    <row r="706" spans="1:12">
      <c r="A706" s="34" t="s">
        <v>114</v>
      </c>
      <c r="B706" s="339">
        <v>2020</v>
      </c>
      <c r="C706" s="59" t="s">
        <v>88</v>
      </c>
      <c r="D706" s="59">
        <v>34</v>
      </c>
      <c r="E706" s="496" t="s">
        <v>110</v>
      </c>
      <c r="F706" s="29">
        <v>1</v>
      </c>
      <c r="G706" s="9">
        <v>1</v>
      </c>
      <c r="H706" s="9">
        <v>1</v>
      </c>
      <c r="I706" s="9">
        <v>2</v>
      </c>
      <c r="J706" s="43">
        <v>2</v>
      </c>
      <c r="K706" s="262">
        <f t="shared" si="11"/>
        <v>0.35859414261160716</v>
      </c>
      <c r="L706" s="163" t="s">
        <v>111</v>
      </c>
    </row>
    <row r="707" spans="1:12" hidden="1">
      <c r="A707" s="34" t="s">
        <v>114</v>
      </c>
      <c r="B707" s="339">
        <v>2020</v>
      </c>
      <c r="C707" s="59" t="s">
        <v>89</v>
      </c>
      <c r="D707" s="59">
        <v>48</v>
      </c>
      <c r="E707" s="496" t="s">
        <v>110</v>
      </c>
      <c r="F707" s="29">
        <v>1</v>
      </c>
      <c r="G707" s="9">
        <v>1</v>
      </c>
      <c r="H707" s="9">
        <v>1</v>
      </c>
      <c r="I707" s="9">
        <v>2</v>
      </c>
      <c r="J707" s="43">
        <v>2</v>
      </c>
      <c r="K707" s="262">
        <f t="shared" si="11"/>
        <v>0.35859414261160716</v>
      </c>
      <c r="L707" s="163" t="s">
        <v>111</v>
      </c>
    </row>
    <row r="708" spans="1:12" hidden="1">
      <c r="A708" s="34" t="s">
        <v>114</v>
      </c>
      <c r="B708" s="339">
        <v>2020</v>
      </c>
      <c r="C708" s="59" t="s">
        <v>90</v>
      </c>
      <c r="D708" s="59">
        <v>186</v>
      </c>
      <c r="E708" s="496" t="s">
        <v>110</v>
      </c>
      <c r="F708" s="29">
        <v>1</v>
      </c>
      <c r="G708" s="9">
        <v>1</v>
      </c>
      <c r="H708" s="9">
        <v>1</v>
      </c>
      <c r="I708" s="9">
        <v>2</v>
      </c>
      <c r="J708" s="43">
        <v>2</v>
      </c>
      <c r="K708" s="262">
        <f t="shared" si="11"/>
        <v>0.35859414261160716</v>
      </c>
      <c r="L708" s="163" t="s">
        <v>111</v>
      </c>
    </row>
    <row r="709" spans="1:12" hidden="1">
      <c r="A709" s="34" t="s">
        <v>114</v>
      </c>
      <c r="B709" s="339">
        <v>2020</v>
      </c>
      <c r="C709" s="59" t="s">
        <v>91</v>
      </c>
      <c r="D709" s="59">
        <v>130</v>
      </c>
      <c r="E709" s="496" t="s">
        <v>110</v>
      </c>
      <c r="F709" s="29">
        <v>1</v>
      </c>
      <c r="G709" s="9">
        <v>1</v>
      </c>
      <c r="H709" s="9">
        <v>1</v>
      </c>
      <c r="I709" s="9">
        <v>2</v>
      </c>
      <c r="J709" s="43">
        <v>2</v>
      </c>
      <c r="K709" s="262">
        <f t="shared" si="11"/>
        <v>0.35859414261160716</v>
      </c>
      <c r="L709" s="163" t="s">
        <v>111</v>
      </c>
    </row>
    <row r="710" spans="1:12" hidden="1">
      <c r="A710" s="34" t="s">
        <v>114</v>
      </c>
      <c r="B710" s="339">
        <v>2020</v>
      </c>
      <c r="C710" s="59" t="s">
        <v>94</v>
      </c>
      <c r="D710" s="59">
        <v>16</v>
      </c>
      <c r="E710" s="496" t="s">
        <v>110</v>
      </c>
      <c r="F710" s="29">
        <v>1</v>
      </c>
      <c r="G710" s="9">
        <v>1</v>
      </c>
      <c r="H710" s="9">
        <v>1</v>
      </c>
      <c r="I710" s="9">
        <v>2</v>
      </c>
      <c r="J710" s="43">
        <v>2</v>
      </c>
      <c r="K710" s="262">
        <f t="shared" si="11"/>
        <v>0.35859414261160716</v>
      </c>
      <c r="L710" s="163" t="s">
        <v>111</v>
      </c>
    </row>
    <row r="711" spans="1:12" hidden="1">
      <c r="A711" s="34" t="s">
        <v>114</v>
      </c>
      <c r="B711" s="339">
        <v>2020</v>
      </c>
      <c r="C711" s="59" t="s">
        <v>96</v>
      </c>
      <c r="D711" s="59">
        <v>65</v>
      </c>
      <c r="E711" s="496" t="s">
        <v>110</v>
      </c>
      <c r="F711" s="29">
        <v>1</v>
      </c>
      <c r="G711" s="9">
        <v>1</v>
      </c>
      <c r="H711" s="9">
        <v>1</v>
      </c>
      <c r="I711" s="9">
        <v>2</v>
      </c>
      <c r="J711" s="43">
        <v>2</v>
      </c>
      <c r="K711" s="262">
        <f t="shared" si="11"/>
        <v>0.35859414261160716</v>
      </c>
      <c r="L711" s="163" t="s">
        <v>111</v>
      </c>
    </row>
    <row r="712" spans="1:12">
      <c r="A712" s="34" t="s">
        <v>114</v>
      </c>
      <c r="B712" s="339">
        <v>2020</v>
      </c>
      <c r="C712" s="59" t="s">
        <v>97</v>
      </c>
      <c r="D712" s="59">
        <v>242</v>
      </c>
      <c r="E712" s="496" t="s">
        <v>110</v>
      </c>
      <c r="F712" s="29">
        <v>1</v>
      </c>
      <c r="G712" s="9">
        <v>1</v>
      </c>
      <c r="H712" s="9">
        <v>1</v>
      </c>
      <c r="I712" s="9">
        <v>2</v>
      </c>
      <c r="J712" s="43">
        <v>2</v>
      </c>
      <c r="K712" s="262">
        <f t="shared" si="11"/>
        <v>0.35859414261160716</v>
      </c>
      <c r="L712" s="163" t="s">
        <v>111</v>
      </c>
    </row>
    <row r="713" spans="1:12" hidden="1">
      <c r="A713" s="34" t="s">
        <v>114</v>
      </c>
      <c r="B713" s="339">
        <v>2020</v>
      </c>
      <c r="C713" s="59" t="s">
        <v>95</v>
      </c>
      <c r="D713" s="59">
        <v>71</v>
      </c>
      <c r="E713" s="496" t="s">
        <v>110</v>
      </c>
      <c r="F713" s="29">
        <v>1</v>
      </c>
      <c r="G713" s="9">
        <v>1</v>
      </c>
      <c r="H713" s="9">
        <v>1</v>
      </c>
      <c r="I713" s="9">
        <v>2</v>
      </c>
      <c r="J713" s="43">
        <v>2</v>
      </c>
      <c r="K713" s="262">
        <f t="shared" si="11"/>
        <v>0.35859414261160716</v>
      </c>
      <c r="L713" s="163" t="s">
        <v>111</v>
      </c>
    </row>
    <row r="714" spans="1:12" hidden="1">
      <c r="A714" s="34" t="s">
        <v>114</v>
      </c>
      <c r="B714" s="339">
        <v>2020</v>
      </c>
      <c r="C714" s="59" t="s">
        <v>93</v>
      </c>
      <c r="D714" s="59">
        <v>43</v>
      </c>
      <c r="E714" s="496" t="s">
        <v>110</v>
      </c>
      <c r="F714" s="29">
        <v>1</v>
      </c>
      <c r="G714" s="9">
        <v>1</v>
      </c>
      <c r="H714" s="9">
        <v>1</v>
      </c>
      <c r="I714" s="9">
        <v>2</v>
      </c>
      <c r="J714" s="43">
        <v>2</v>
      </c>
      <c r="K714" s="262">
        <f t="shared" si="11"/>
        <v>0.35859414261160716</v>
      </c>
      <c r="L714" s="163" t="s">
        <v>111</v>
      </c>
    </row>
    <row r="715" spans="1:12" hidden="1">
      <c r="A715" s="34" t="s">
        <v>114</v>
      </c>
      <c r="B715" s="339">
        <v>2020</v>
      </c>
      <c r="C715" s="59" t="s">
        <v>98</v>
      </c>
      <c r="D715" s="59">
        <v>1355</v>
      </c>
      <c r="E715" s="496" t="s">
        <v>110</v>
      </c>
      <c r="F715" s="29">
        <v>1</v>
      </c>
      <c r="G715" s="9">
        <v>1</v>
      </c>
      <c r="H715" s="9">
        <v>1</v>
      </c>
      <c r="I715" s="9">
        <v>2</v>
      </c>
      <c r="J715" s="43">
        <v>2</v>
      </c>
      <c r="K715" s="262">
        <f t="shared" si="11"/>
        <v>0.35859414261160716</v>
      </c>
      <c r="L715" s="163" t="s">
        <v>111</v>
      </c>
    </row>
    <row r="716" spans="1:12" hidden="1">
      <c r="A716" s="34" t="s">
        <v>114</v>
      </c>
      <c r="B716" s="339">
        <v>2021</v>
      </c>
      <c r="C716" s="59" t="s">
        <v>85</v>
      </c>
      <c r="D716" s="59">
        <v>1052</v>
      </c>
      <c r="E716" s="496" t="s">
        <v>110</v>
      </c>
      <c r="F716" s="29">
        <v>1</v>
      </c>
      <c r="G716" s="9">
        <v>1</v>
      </c>
      <c r="H716" s="9">
        <v>1</v>
      </c>
      <c r="I716" s="9">
        <v>2</v>
      </c>
      <c r="J716" s="43">
        <v>2</v>
      </c>
      <c r="K716" s="262">
        <f t="shared" si="11"/>
        <v>0.35859414261160716</v>
      </c>
      <c r="L716" s="163" t="s">
        <v>111</v>
      </c>
    </row>
    <row r="717" spans="1:12" hidden="1">
      <c r="A717" s="34" t="s">
        <v>114</v>
      </c>
      <c r="B717" s="339">
        <v>2021</v>
      </c>
      <c r="C717" s="59" t="s">
        <v>86</v>
      </c>
      <c r="D717" s="59">
        <v>261</v>
      </c>
      <c r="E717" s="496" t="s">
        <v>110</v>
      </c>
      <c r="F717" s="29">
        <v>1</v>
      </c>
      <c r="G717" s="9">
        <v>1</v>
      </c>
      <c r="H717" s="9">
        <v>1</v>
      </c>
      <c r="I717" s="9">
        <v>2</v>
      </c>
      <c r="J717" s="43">
        <v>2</v>
      </c>
      <c r="K717" s="262">
        <f t="shared" si="11"/>
        <v>0.35859414261160716</v>
      </c>
      <c r="L717" s="163" t="s">
        <v>111</v>
      </c>
    </row>
    <row r="718" spans="1:12" hidden="1">
      <c r="A718" s="34" t="s">
        <v>114</v>
      </c>
      <c r="B718" s="339">
        <v>2021</v>
      </c>
      <c r="C718" s="59" t="s">
        <v>87</v>
      </c>
      <c r="D718" s="59">
        <v>371</v>
      </c>
      <c r="E718" s="496" t="s">
        <v>110</v>
      </c>
      <c r="F718" s="29">
        <v>1</v>
      </c>
      <c r="G718" s="9">
        <v>1</v>
      </c>
      <c r="H718" s="9">
        <v>1</v>
      </c>
      <c r="I718" s="9">
        <v>2</v>
      </c>
      <c r="J718" s="43">
        <v>2</v>
      </c>
      <c r="K718" s="262">
        <f t="shared" si="11"/>
        <v>0.35859414261160716</v>
      </c>
      <c r="L718" s="163" t="s">
        <v>111</v>
      </c>
    </row>
    <row r="719" spans="1:12">
      <c r="A719" s="34" t="s">
        <v>114</v>
      </c>
      <c r="B719" s="339">
        <v>2021</v>
      </c>
      <c r="C719" s="59" t="s">
        <v>88</v>
      </c>
      <c r="D719" s="59">
        <v>35</v>
      </c>
      <c r="E719" s="496" t="s">
        <v>110</v>
      </c>
      <c r="F719" s="29">
        <v>1</v>
      </c>
      <c r="G719" s="9">
        <v>1</v>
      </c>
      <c r="H719" s="9">
        <v>1</v>
      </c>
      <c r="I719" s="9">
        <v>2</v>
      </c>
      <c r="J719" s="43">
        <v>2</v>
      </c>
      <c r="K719" s="262">
        <f t="shared" si="11"/>
        <v>0.35859414261160716</v>
      </c>
      <c r="L719" s="163" t="s">
        <v>111</v>
      </c>
    </row>
    <row r="720" spans="1:12" hidden="1">
      <c r="A720" s="34" t="s">
        <v>114</v>
      </c>
      <c r="B720" s="339">
        <v>2021</v>
      </c>
      <c r="C720" s="59" t="s">
        <v>89</v>
      </c>
      <c r="D720" s="59">
        <v>55</v>
      </c>
      <c r="E720" s="496" t="s">
        <v>110</v>
      </c>
      <c r="F720" s="29">
        <v>1</v>
      </c>
      <c r="G720" s="9">
        <v>1</v>
      </c>
      <c r="H720" s="9">
        <v>1</v>
      </c>
      <c r="I720" s="9">
        <v>2</v>
      </c>
      <c r="J720" s="43">
        <v>2</v>
      </c>
      <c r="K720" s="262">
        <f t="shared" si="11"/>
        <v>0.35859414261160716</v>
      </c>
      <c r="L720" s="163" t="s">
        <v>111</v>
      </c>
    </row>
    <row r="721" spans="1:12" hidden="1">
      <c r="A721" s="34" t="s">
        <v>114</v>
      </c>
      <c r="B721" s="339">
        <v>2021</v>
      </c>
      <c r="C721" s="59" t="s">
        <v>90</v>
      </c>
      <c r="D721" s="59">
        <v>198</v>
      </c>
      <c r="E721" s="496" t="s">
        <v>110</v>
      </c>
      <c r="F721" s="29">
        <v>1</v>
      </c>
      <c r="G721" s="9">
        <v>1</v>
      </c>
      <c r="H721" s="9">
        <v>1</v>
      </c>
      <c r="I721" s="9">
        <v>2</v>
      </c>
      <c r="J721" s="43">
        <v>2</v>
      </c>
      <c r="K721" s="262">
        <f t="shared" si="11"/>
        <v>0.35859414261160716</v>
      </c>
      <c r="L721" s="163" t="s">
        <v>111</v>
      </c>
    </row>
    <row r="722" spans="1:12" hidden="1">
      <c r="A722" s="34" t="s">
        <v>114</v>
      </c>
      <c r="B722" s="339">
        <v>2021</v>
      </c>
      <c r="C722" s="59" t="s">
        <v>91</v>
      </c>
      <c r="D722" s="59">
        <v>124</v>
      </c>
      <c r="E722" s="496" t="s">
        <v>110</v>
      </c>
      <c r="F722" s="29">
        <v>1</v>
      </c>
      <c r="G722" s="9">
        <v>1</v>
      </c>
      <c r="H722" s="9">
        <v>1</v>
      </c>
      <c r="I722" s="9">
        <v>2</v>
      </c>
      <c r="J722" s="43">
        <v>2</v>
      </c>
      <c r="K722" s="262">
        <f t="shared" si="11"/>
        <v>0.35859414261160716</v>
      </c>
      <c r="L722" s="163" t="s">
        <v>111</v>
      </c>
    </row>
    <row r="723" spans="1:12" hidden="1">
      <c r="A723" s="34" t="s">
        <v>114</v>
      </c>
      <c r="B723" s="339">
        <v>2021</v>
      </c>
      <c r="C723" s="59" t="s">
        <v>94</v>
      </c>
      <c r="D723" s="59">
        <v>18</v>
      </c>
      <c r="E723" s="496" t="s">
        <v>110</v>
      </c>
      <c r="F723" s="29">
        <v>1</v>
      </c>
      <c r="G723" s="9">
        <v>1</v>
      </c>
      <c r="H723" s="9">
        <v>1</v>
      </c>
      <c r="I723" s="9">
        <v>2</v>
      </c>
      <c r="J723" s="43">
        <v>2</v>
      </c>
      <c r="K723" s="262">
        <f t="shared" si="11"/>
        <v>0.35859414261160716</v>
      </c>
      <c r="L723" s="163" t="s">
        <v>111</v>
      </c>
    </row>
    <row r="724" spans="1:12" hidden="1">
      <c r="A724" s="34" t="s">
        <v>114</v>
      </c>
      <c r="B724" s="339">
        <v>2021</v>
      </c>
      <c r="C724" s="59" t="s">
        <v>96</v>
      </c>
      <c r="D724" s="59">
        <v>79</v>
      </c>
      <c r="E724" s="496" t="s">
        <v>110</v>
      </c>
      <c r="F724" s="29">
        <v>1</v>
      </c>
      <c r="G724" s="9">
        <v>1</v>
      </c>
      <c r="H724" s="9">
        <v>1</v>
      </c>
      <c r="I724" s="9">
        <v>2</v>
      </c>
      <c r="J724" s="43">
        <v>2</v>
      </c>
      <c r="K724" s="262">
        <f t="shared" si="11"/>
        <v>0.35859414261160716</v>
      </c>
      <c r="L724" s="163" t="s">
        <v>111</v>
      </c>
    </row>
    <row r="725" spans="1:12">
      <c r="A725" s="34" t="s">
        <v>114</v>
      </c>
      <c r="B725" s="339">
        <v>2021</v>
      </c>
      <c r="C725" s="59" t="s">
        <v>97</v>
      </c>
      <c r="D725" s="59">
        <v>243</v>
      </c>
      <c r="E725" s="496" t="s">
        <v>110</v>
      </c>
      <c r="F725" s="29">
        <v>1</v>
      </c>
      <c r="G725" s="9">
        <v>1</v>
      </c>
      <c r="H725" s="9">
        <v>1</v>
      </c>
      <c r="I725" s="9">
        <v>2</v>
      </c>
      <c r="J725" s="43">
        <v>2</v>
      </c>
      <c r="K725" s="262">
        <f t="shared" si="11"/>
        <v>0.35859414261160716</v>
      </c>
      <c r="L725" s="163" t="s">
        <v>111</v>
      </c>
    </row>
    <row r="726" spans="1:12" hidden="1">
      <c r="A726" s="34" t="s">
        <v>114</v>
      </c>
      <c r="B726" s="339">
        <v>2021</v>
      </c>
      <c r="C726" s="59" t="s">
        <v>95</v>
      </c>
      <c r="D726" s="59">
        <v>92</v>
      </c>
      <c r="E726" s="496" t="s">
        <v>110</v>
      </c>
      <c r="F726" s="29">
        <v>1</v>
      </c>
      <c r="G726" s="9">
        <v>1</v>
      </c>
      <c r="H726" s="9">
        <v>1</v>
      </c>
      <c r="I726" s="9">
        <v>2</v>
      </c>
      <c r="J726" s="43">
        <v>2</v>
      </c>
      <c r="K726" s="262">
        <f t="shared" si="11"/>
        <v>0.35859414261160716</v>
      </c>
      <c r="L726" s="163" t="s">
        <v>111</v>
      </c>
    </row>
    <row r="727" spans="1:12" hidden="1">
      <c r="A727" s="34" t="s">
        <v>114</v>
      </c>
      <c r="B727" s="339">
        <v>2021</v>
      </c>
      <c r="C727" s="59" t="s">
        <v>93</v>
      </c>
      <c r="D727" s="59">
        <v>50</v>
      </c>
      <c r="E727" s="496" t="s">
        <v>110</v>
      </c>
      <c r="F727" s="29">
        <v>1</v>
      </c>
      <c r="G727" s="9">
        <v>1</v>
      </c>
      <c r="H727" s="9">
        <v>1</v>
      </c>
      <c r="I727" s="9">
        <v>2</v>
      </c>
      <c r="J727" s="43">
        <v>2</v>
      </c>
      <c r="K727" s="262">
        <f t="shared" si="11"/>
        <v>0.35859414261160716</v>
      </c>
      <c r="L727" s="163" t="s">
        <v>111</v>
      </c>
    </row>
    <row r="728" spans="1:12" hidden="1">
      <c r="A728" s="149" t="s">
        <v>114</v>
      </c>
      <c r="B728" s="642">
        <v>2021</v>
      </c>
      <c r="C728" s="802" t="s">
        <v>98</v>
      </c>
      <c r="D728" s="802">
        <v>1446</v>
      </c>
      <c r="E728" s="782" t="s">
        <v>110</v>
      </c>
      <c r="F728" s="154">
        <v>1</v>
      </c>
      <c r="G728" s="119">
        <v>1</v>
      </c>
      <c r="H728" s="119">
        <v>1</v>
      </c>
      <c r="I728" s="119">
        <v>2</v>
      </c>
      <c r="J728" s="155">
        <v>2</v>
      </c>
      <c r="K728" s="290">
        <f t="shared" si="11"/>
        <v>0.35859414261160716</v>
      </c>
      <c r="L728" s="799" t="s">
        <v>111</v>
      </c>
    </row>
    <row r="729" spans="1:12" hidden="1">
      <c r="A729" s="33" t="s">
        <v>37</v>
      </c>
      <c r="B729" s="39">
        <v>2016</v>
      </c>
      <c r="C729" s="803" t="s">
        <v>92</v>
      </c>
      <c r="D729" s="33">
        <v>18</v>
      </c>
      <c r="E729" s="150" t="s">
        <v>115</v>
      </c>
      <c r="F729" s="28">
        <v>1</v>
      </c>
      <c r="G729" s="11">
        <v>1</v>
      </c>
      <c r="H729" s="11">
        <v>1</v>
      </c>
      <c r="I729" s="11">
        <v>1</v>
      </c>
      <c r="J729" s="42">
        <v>1</v>
      </c>
      <c r="K729" s="261">
        <f t="shared" si="11"/>
        <v>0.13309242924026707</v>
      </c>
      <c r="L729" s="162"/>
    </row>
    <row r="730" spans="1:12" hidden="1">
      <c r="A730" s="34" t="s">
        <v>37</v>
      </c>
      <c r="B730" s="40">
        <v>2020</v>
      </c>
      <c r="C730" s="59" t="s">
        <v>92</v>
      </c>
      <c r="D730" s="793">
        <f>Intentionally_produced_MPs!K106</f>
        <v>12.105</v>
      </c>
      <c r="E730" s="151" t="s">
        <v>115</v>
      </c>
      <c r="F730" s="29">
        <v>1</v>
      </c>
      <c r="G730" s="9">
        <v>1</v>
      </c>
      <c r="H730" s="9">
        <v>1</v>
      </c>
      <c r="I730" s="9">
        <v>1</v>
      </c>
      <c r="J730" s="43">
        <v>1</v>
      </c>
      <c r="K730" s="262">
        <f t="shared" si="11"/>
        <v>0.13309242924026707</v>
      </c>
      <c r="L730" s="163"/>
    </row>
    <row r="731" spans="1:12" hidden="1">
      <c r="A731" s="34" t="s">
        <v>37</v>
      </c>
      <c r="B731" s="40">
        <v>2019</v>
      </c>
      <c r="C731" s="59" t="s">
        <v>92</v>
      </c>
      <c r="D731" s="34">
        <v>11.4</v>
      </c>
      <c r="E731" s="151" t="s">
        <v>115</v>
      </c>
      <c r="F731" s="29">
        <v>1</v>
      </c>
      <c r="G731" s="9">
        <v>1</v>
      </c>
      <c r="H731" s="9">
        <v>1</v>
      </c>
      <c r="I731" s="9">
        <v>1</v>
      </c>
      <c r="J731" s="43">
        <v>1</v>
      </c>
      <c r="K731" s="262">
        <f t="shared" si="11"/>
        <v>0.13309242924026707</v>
      </c>
      <c r="L731" s="163"/>
    </row>
    <row r="732" spans="1:12" hidden="1">
      <c r="A732" s="34" t="s">
        <v>37</v>
      </c>
      <c r="B732" s="40">
        <v>2021</v>
      </c>
      <c r="C732" s="59" t="s">
        <v>92</v>
      </c>
      <c r="D732" s="34">
        <v>10.331</v>
      </c>
      <c r="E732" s="151" t="s">
        <v>115</v>
      </c>
      <c r="F732" s="29">
        <v>1</v>
      </c>
      <c r="G732" s="9">
        <v>1</v>
      </c>
      <c r="H732" s="9">
        <v>1</v>
      </c>
      <c r="I732" s="9">
        <v>1</v>
      </c>
      <c r="J732" s="43">
        <v>1</v>
      </c>
      <c r="K732" s="262">
        <f t="shared" si="11"/>
        <v>0.13309242924026707</v>
      </c>
      <c r="L732" s="163"/>
    </row>
    <row r="733" spans="1:12" hidden="1">
      <c r="A733" s="34" t="s">
        <v>37</v>
      </c>
      <c r="B733" s="40">
        <v>2020</v>
      </c>
      <c r="C733" s="34" t="s">
        <v>93</v>
      </c>
      <c r="D733" s="793">
        <f>Intentionally_produced_MPs!L106</f>
        <v>0.88557259919129572</v>
      </c>
      <c r="E733" s="151" t="s">
        <v>116</v>
      </c>
      <c r="F733" s="29">
        <v>2</v>
      </c>
      <c r="G733" s="9">
        <v>1</v>
      </c>
      <c r="H733" s="9">
        <v>3</v>
      </c>
      <c r="I733" s="9">
        <v>1</v>
      </c>
      <c r="J733" s="43">
        <v>2</v>
      </c>
      <c r="K733" s="262">
        <f t="shared" si="11"/>
        <v>0.48935255543384243</v>
      </c>
      <c r="L733" s="163"/>
    </row>
    <row r="734" spans="1:12" hidden="1">
      <c r="A734" s="34" t="s">
        <v>37</v>
      </c>
      <c r="B734" s="40">
        <v>2020</v>
      </c>
      <c r="C734" s="59" t="s">
        <v>98</v>
      </c>
      <c r="D734" s="793">
        <f>Intentionally_produced_MPs!Q106</f>
        <v>0.61395725887587771</v>
      </c>
      <c r="E734" s="151" t="s">
        <v>116</v>
      </c>
      <c r="F734" s="29">
        <v>2</v>
      </c>
      <c r="G734" s="9">
        <v>1</v>
      </c>
      <c r="H734" s="9">
        <v>3</v>
      </c>
      <c r="I734" s="9">
        <v>1</v>
      </c>
      <c r="J734" s="43">
        <v>2</v>
      </c>
      <c r="K734" s="262">
        <f t="shared" si="11"/>
        <v>0.48935255543384243</v>
      </c>
      <c r="L734" s="163"/>
    </row>
    <row r="735" spans="1:12" hidden="1">
      <c r="A735" s="34" t="s">
        <v>37</v>
      </c>
      <c r="B735" s="40">
        <v>2020</v>
      </c>
      <c r="C735" s="34" t="s">
        <v>86</v>
      </c>
      <c r="D735" s="793">
        <f>Intentionally_produced_MPs!E106</f>
        <v>0.47206704477479411</v>
      </c>
      <c r="E735" s="151" t="s">
        <v>116</v>
      </c>
      <c r="F735" s="29">
        <v>2</v>
      </c>
      <c r="G735" s="9">
        <v>1</v>
      </c>
      <c r="H735" s="9">
        <v>3</v>
      </c>
      <c r="I735" s="9">
        <v>1</v>
      </c>
      <c r="J735" s="43">
        <v>2</v>
      </c>
      <c r="K735" s="262">
        <f t="shared" si="11"/>
        <v>0.48935255543384243</v>
      </c>
      <c r="L735" s="163"/>
    </row>
    <row r="736" spans="1:12" hidden="1">
      <c r="A736" s="34" t="s">
        <v>37</v>
      </c>
      <c r="B736" s="40">
        <v>2020</v>
      </c>
      <c r="C736" s="34" t="s">
        <v>95</v>
      </c>
      <c r="D736" s="793">
        <f>Intentionally_produced_MPs!N106</f>
        <v>9.4626657606709394E-2</v>
      </c>
      <c r="E736" s="151" t="s">
        <v>116</v>
      </c>
      <c r="F736" s="29">
        <v>2</v>
      </c>
      <c r="G736" s="9">
        <v>1</v>
      </c>
      <c r="H736" s="9">
        <v>3</v>
      </c>
      <c r="I736" s="9">
        <v>1</v>
      </c>
      <c r="J736" s="43">
        <v>2</v>
      </c>
      <c r="K736" s="262">
        <f t="shared" si="11"/>
        <v>0.48935255543384243</v>
      </c>
      <c r="L736" s="163"/>
    </row>
    <row r="737" spans="1:12">
      <c r="A737" s="34" t="s">
        <v>37</v>
      </c>
      <c r="B737" s="40">
        <v>2020</v>
      </c>
      <c r="C737" s="34" t="s">
        <v>97</v>
      </c>
      <c r="D737" s="793">
        <f>Intentionally_produced_MPs!P106</f>
        <v>9.4091020248298574E-2</v>
      </c>
      <c r="E737" s="151" t="s">
        <v>116</v>
      </c>
      <c r="F737" s="29">
        <v>2</v>
      </c>
      <c r="G737" s="9">
        <v>1</v>
      </c>
      <c r="H737" s="9">
        <v>3</v>
      </c>
      <c r="I737" s="9">
        <v>1</v>
      </c>
      <c r="J737" s="43">
        <v>2</v>
      </c>
      <c r="K737" s="262">
        <f t="shared" si="11"/>
        <v>0.48935255543384243</v>
      </c>
      <c r="L737" s="163"/>
    </row>
    <row r="738" spans="1:12" hidden="1">
      <c r="A738" s="34" t="s">
        <v>37</v>
      </c>
      <c r="B738" s="40">
        <v>2020</v>
      </c>
      <c r="C738" s="34" t="s">
        <v>85</v>
      </c>
      <c r="D738" s="793">
        <f>Intentionally_produced_MPs!D106</f>
        <v>7.5513119408761431E-2</v>
      </c>
      <c r="E738" s="151" t="s">
        <v>116</v>
      </c>
      <c r="F738" s="29">
        <v>2</v>
      </c>
      <c r="G738" s="9">
        <v>1</v>
      </c>
      <c r="H738" s="9">
        <v>3</v>
      </c>
      <c r="I738" s="9">
        <v>1</v>
      </c>
      <c r="J738" s="43">
        <v>2</v>
      </c>
      <c r="K738" s="262">
        <f t="shared" si="11"/>
        <v>0.48935255543384243</v>
      </c>
      <c r="L738" s="163"/>
    </row>
    <row r="739" spans="1:12" hidden="1">
      <c r="A739" s="34" t="s">
        <v>37</v>
      </c>
      <c r="B739" s="40">
        <v>2020</v>
      </c>
      <c r="C739" s="34" t="s">
        <v>90</v>
      </c>
      <c r="D739" s="793">
        <f>Intentionally_produced_MPs!I106</f>
        <v>7.5513119408761431E-2</v>
      </c>
      <c r="E739" s="151" t="s">
        <v>116</v>
      </c>
      <c r="F739" s="29">
        <v>2</v>
      </c>
      <c r="G739" s="9">
        <v>1</v>
      </c>
      <c r="H739" s="9">
        <v>3</v>
      </c>
      <c r="I739" s="9">
        <v>1</v>
      </c>
      <c r="J739" s="43">
        <v>2</v>
      </c>
      <c r="K739" s="262">
        <f t="shared" si="11"/>
        <v>0.48935255543384243</v>
      </c>
      <c r="L739" s="163"/>
    </row>
    <row r="740" spans="1:12" hidden="1">
      <c r="A740" s="34" t="s">
        <v>37</v>
      </c>
      <c r="B740" s="40">
        <v>2020</v>
      </c>
      <c r="C740" s="34" t="s">
        <v>87</v>
      </c>
      <c r="D740" s="793">
        <f>Intentionally_produced_MPs!F106</f>
        <v>6.7122772807787945E-2</v>
      </c>
      <c r="E740" s="151" t="s">
        <v>116</v>
      </c>
      <c r="F740" s="29">
        <v>2</v>
      </c>
      <c r="G740" s="9">
        <v>1</v>
      </c>
      <c r="H740" s="9">
        <v>3</v>
      </c>
      <c r="I740" s="9">
        <v>1</v>
      </c>
      <c r="J740" s="43">
        <v>2</v>
      </c>
      <c r="K740" s="262">
        <f t="shared" si="11"/>
        <v>0.48935255543384243</v>
      </c>
      <c r="L740" s="163"/>
    </row>
    <row r="741" spans="1:12" ht="15.75" hidden="1" thickBot="1">
      <c r="A741" s="35" t="s">
        <v>37</v>
      </c>
      <c r="B741" s="41">
        <v>2020</v>
      </c>
      <c r="C741" s="35" t="s">
        <v>91</v>
      </c>
      <c r="D741" s="796">
        <f>Intentionally_produced_MPs!J106</f>
        <v>2.6968247440510646E-2</v>
      </c>
      <c r="E741" s="152" t="s">
        <v>116</v>
      </c>
      <c r="F741" s="30">
        <v>2</v>
      </c>
      <c r="G741" s="12">
        <v>1</v>
      </c>
      <c r="H741" s="12">
        <v>3</v>
      </c>
      <c r="I741" s="12">
        <v>1</v>
      </c>
      <c r="J741" s="44">
        <v>2</v>
      </c>
      <c r="K741" s="263">
        <f t="shared" si="11"/>
        <v>0.48935255543384243</v>
      </c>
      <c r="L741" s="164"/>
    </row>
    <row r="742" spans="1:12" hidden="1">
      <c r="A742" s="60" t="s">
        <v>39</v>
      </c>
      <c r="B742" s="161">
        <v>2020</v>
      </c>
      <c r="C742" s="60" t="s">
        <v>85</v>
      </c>
      <c r="D742" s="795">
        <f>Packaging!E19</f>
        <v>179.20538768005665</v>
      </c>
      <c r="E742" s="230" t="s">
        <v>117</v>
      </c>
      <c r="F742" s="659">
        <v>1</v>
      </c>
      <c r="G742" s="118">
        <v>1</v>
      </c>
      <c r="H742" s="118">
        <v>2</v>
      </c>
      <c r="I742" s="118">
        <v>1</v>
      </c>
      <c r="J742" s="660">
        <v>2</v>
      </c>
      <c r="K742" s="573">
        <f t="shared" si="11"/>
        <v>0.35859414261160716</v>
      </c>
      <c r="L742" s="652"/>
    </row>
    <row r="743" spans="1:12" hidden="1">
      <c r="A743" s="34" t="str">
        <f>Packaging!U23</f>
        <v>Packaging</v>
      </c>
      <c r="B743" s="40">
        <f>Packaging!V23</f>
        <v>2021</v>
      </c>
      <c r="C743" s="34" t="str">
        <f>Packaging!X23</f>
        <v>LDPE</v>
      </c>
      <c r="D743" s="793">
        <f>Packaging!Y23</f>
        <v>176.5619464740613</v>
      </c>
      <c r="E743" s="151" t="s">
        <v>117</v>
      </c>
      <c r="F743" s="29">
        <v>1</v>
      </c>
      <c r="G743" s="9">
        <v>1</v>
      </c>
      <c r="H743" s="9">
        <v>2</v>
      </c>
      <c r="I743" s="9">
        <v>1</v>
      </c>
      <c r="J743" s="43">
        <v>2</v>
      </c>
      <c r="K743" s="262">
        <f t="shared" si="11"/>
        <v>0.35859414261160716</v>
      </c>
      <c r="L743" s="163"/>
    </row>
    <row r="744" spans="1:12" hidden="1">
      <c r="A744" s="34" t="str">
        <f>Packaging!U39</f>
        <v>Packaging</v>
      </c>
      <c r="B744" s="40">
        <f>Packaging!V39</f>
        <v>2019</v>
      </c>
      <c r="C744" s="34" t="str">
        <f>Packaging!X39</f>
        <v>LDPE</v>
      </c>
      <c r="D744" s="793">
        <f>Packaging!Y39</f>
        <v>169.17764938027008</v>
      </c>
      <c r="E744" s="151" t="s">
        <v>117</v>
      </c>
      <c r="F744" s="29">
        <v>1</v>
      </c>
      <c r="G744" s="9">
        <v>1</v>
      </c>
      <c r="H744" s="9">
        <v>2</v>
      </c>
      <c r="I744" s="9">
        <v>1</v>
      </c>
      <c r="J744" s="43">
        <v>2</v>
      </c>
      <c r="K744" s="262">
        <f t="shared" si="11"/>
        <v>0.35859414261160716</v>
      </c>
      <c r="L744" s="163"/>
    </row>
    <row r="745" spans="1:12" hidden="1">
      <c r="A745" s="34" t="str">
        <f>Packaging!U47</f>
        <v>Packaging</v>
      </c>
      <c r="B745" s="40">
        <f>Packaging!V47</f>
        <v>2018</v>
      </c>
      <c r="C745" s="34" t="str">
        <f>Packaging!X47</f>
        <v>LDPE</v>
      </c>
      <c r="D745" s="793">
        <f>Packaging!Y47</f>
        <v>169.17764938027008</v>
      </c>
      <c r="E745" s="151" t="s">
        <v>117</v>
      </c>
      <c r="F745" s="29">
        <v>1</v>
      </c>
      <c r="G745" s="9">
        <v>1</v>
      </c>
      <c r="H745" s="9">
        <v>2</v>
      </c>
      <c r="I745" s="9">
        <v>1</v>
      </c>
      <c r="J745" s="43">
        <v>2</v>
      </c>
      <c r="K745" s="262">
        <f t="shared" si="11"/>
        <v>0.35859414261160716</v>
      </c>
      <c r="L745" s="163"/>
    </row>
    <row r="746" spans="1:12" hidden="1">
      <c r="A746" s="34" t="str">
        <f>Packaging!U55</f>
        <v>Packaging</v>
      </c>
      <c r="B746" s="40">
        <f>Packaging!V55</f>
        <v>2017</v>
      </c>
      <c r="C746" s="34" t="str">
        <f>Packaging!X55</f>
        <v>LDPE</v>
      </c>
      <c r="D746" s="793">
        <f>Packaging!Y55</f>
        <v>165.61941966099099</v>
      </c>
      <c r="E746" s="151" t="s">
        <v>117</v>
      </c>
      <c r="F746" s="29">
        <v>1</v>
      </c>
      <c r="G746" s="9">
        <v>1</v>
      </c>
      <c r="H746" s="9">
        <v>2</v>
      </c>
      <c r="I746" s="9">
        <v>1</v>
      </c>
      <c r="J746" s="43">
        <v>2</v>
      </c>
      <c r="K746" s="262">
        <f t="shared" si="11"/>
        <v>0.35859414261160716</v>
      </c>
      <c r="L746" s="163"/>
    </row>
    <row r="747" spans="1:12" hidden="1">
      <c r="A747" s="34" t="s">
        <v>39</v>
      </c>
      <c r="B747" s="40">
        <v>2020</v>
      </c>
      <c r="C747" s="34" t="s">
        <v>87</v>
      </c>
      <c r="D747" s="793">
        <f>Packaging!E21</f>
        <v>116.77935273343896</v>
      </c>
      <c r="E747" s="151" t="s">
        <v>117</v>
      </c>
      <c r="F747" s="29">
        <v>1</v>
      </c>
      <c r="G747" s="9">
        <v>1</v>
      </c>
      <c r="H747" s="9">
        <v>2</v>
      </c>
      <c r="I747" s="9">
        <v>1</v>
      </c>
      <c r="J747" s="43">
        <v>2</v>
      </c>
      <c r="K747" s="262">
        <f t="shared" si="11"/>
        <v>0.35859414261160716</v>
      </c>
      <c r="L747" s="163"/>
    </row>
    <row r="748" spans="1:12" hidden="1">
      <c r="A748" s="34" t="str">
        <f>Packaging!U25</f>
        <v>Packaging</v>
      </c>
      <c r="B748" s="40">
        <f>Packaging!V25</f>
        <v>2021</v>
      </c>
      <c r="C748" s="34" t="str">
        <f>Packaging!X25</f>
        <v>PP</v>
      </c>
      <c r="D748" s="793">
        <f>Packaging!Y25</f>
        <v>115.05675188409299</v>
      </c>
      <c r="E748" s="151" t="s">
        <v>117</v>
      </c>
      <c r="F748" s="29">
        <v>1</v>
      </c>
      <c r="G748" s="9">
        <v>1</v>
      </c>
      <c r="H748" s="9">
        <v>2</v>
      </c>
      <c r="I748" s="9">
        <v>1</v>
      </c>
      <c r="J748" s="43">
        <v>2</v>
      </c>
      <c r="K748" s="262">
        <f t="shared" si="11"/>
        <v>0.35859414261160716</v>
      </c>
      <c r="L748" s="163"/>
    </row>
    <row r="749" spans="1:12" hidden="1">
      <c r="A749" s="34" t="str">
        <f>Packaging!U41</f>
        <v>Packaging</v>
      </c>
      <c r="B749" s="40">
        <f>Packaging!V41</f>
        <v>2019</v>
      </c>
      <c r="C749" s="34" t="str">
        <f>Packaging!X41</f>
        <v>PP</v>
      </c>
      <c r="D749" s="793">
        <f>Packaging!Y41</f>
        <v>110.24476801369778</v>
      </c>
      <c r="E749" s="151" t="s">
        <v>117</v>
      </c>
      <c r="F749" s="29">
        <v>1</v>
      </c>
      <c r="G749" s="9">
        <v>1</v>
      </c>
      <c r="H749" s="9">
        <v>2</v>
      </c>
      <c r="I749" s="9">
        <v>1</v>
      </c>
      <c r="J749" s="43">
        <v>2</v>
      </c>
      <c r="K749" s="262">
        <f t="shared" si="11"/>
        <v>0.35859414261160716</v>
      </c>
      <c r="L749" s="163"/>
    </row>
    <row r="750" spans="1:12" hidden="1">
      <c r="A750" s="34" t="str">
        <f>Packaging!U49</f>
        <v>Packaging</v>
      </c>
      <c r="B750" s="40">
        <f>Packaging!V49</f>
        <v>2018</v>
      </c>
      <c r="C750" s="34" t="str">
        <f>Packaging!X49</f>
        <v>PP</v>
      </c>
      <c r="D750" s="793">
        <f>Packaging!Y49</f>
        <v>110.24476801369778</v>
      </c>
      <c r="E750" s="151" t="s">
        <v>117</v>
      </c>
      <c r="F750" s="29">
        <v>1</v>
      </c>
      <c r="G750" s="9">
        <v>1</v>
      </c>
      <c r="H750" s="9">
        <v>2</v>
      </c>
      <c r="I750" s="9">
        <v>1</v>
      </c>
      <c r="J750" s="43">
        <v>2</v>
      </c>
      <c r="K750" s="262">
        <f t="shared" si="11"/>
        <v>0.35859414261160716</v>
      </c>
      <c r="L750" s="163"/>
    </row>
    <row r="751" spans="1:12" hidden="1">
      <c r="A751" s="34" t="str">
        <f>Packaging!U57</f>
        <v>Packaging</v>
      </c>
      <c r="B751" s="40">
        <f>Packaging!V57</f>
        <v>2017</v>
      </c>
      <c r="C751" s="34" t="str">
        <f>Packaging!X57</f>
        <v>PP</v>
      </c>
      <c r="D751" s="793">
        <f>Packaging!Y57</f>
        <v>107.92604440346705</v>
      </c>
      <c r="E751" s="151" t="s">
        <v>117</v>
      </c>
      <c r="F751" s="29">
        <v>1</v>
      </c>
      <c r="G751" s="9">
        <v>1</v>
      </c>
      <c r="H751" s="9">
        <v>2</v>
      </c>
      <c r="I751" s="9">
        <v>1</v>
      </c>
      <c r="J751" s="43">
        <v>2</v>
      </c>
      <c r="K751" s="262">
        <f t="shared" si="11"/>
        <v>0.35859414261160716</v>
      </c>
      <c r="L751" s="163"/>
    </row>
    <row r="752" spans="1:12" hidden="1">
      <c r="A752" s="34" t="s">
        <v>39</v>
      </c>
      <c r="B752" s="40">
        <v>2020</v>
      </c>
      <c r="C752" s="34" t="s">
        <v>86</v>
      </c>
      <c r="D752" s="793">
        <f>Packaging!E20</f>
        <v>102.02794810331973</v>
      </c>
      <c r="E752" s="151" t="s">
        <v>117</v>
      </c>
      <c r="F752" s="29">
        <v>1</v>
      </c>
      <c r="G752" s="9">
        <v>1</v>
      </c>
      <c r="H752" s="9">
        <v>2</v>
      </c>
      <c r="I752" s="9">
        <v>1</v>
      </c>
      <c r="J752" s="43">
        <v>2</v>
      </c>
      <c r="K752" s="262">
        <f t="shared" si="11"/>
        <v>0.35859414261160716</v>
      </c>
      <c r="L752" s="163"/>
    </row>
    <row r="753" spans="1:12" hidden="1">
      <c r="A753" s="34" t="s">
        <v>39</v>
      </c>
      <c r="B753" s="40">
        <v>2020</v>
      </c>
      <c r="C753" s="34" t="s">
        <v>91</v>
      </c>
      <c r="D753" s="793">
        <f>Packaging!E25</f>
        <v>101.66359214435965</v>
      </c>
      <c r="E753" s="151" t="s">
        <v>117</v>
      </c>
      <c r="F753" s="29">
        <v>1</v>
      </c>
      <c r="G753" s="9">
        <v>1</v>
      </c>
      <c r="H753" s="9">
        <v>2</v>
      </c>
      <c r="I753" s="9">
        <v>1</v>
      </c>
      <c r="J753" s="43">
        <v>2</v>
      </c>
      <c r="K753" s="262">
        <f t="shared" si="11"/>
        <v>0.35859414261160716</v>
      </c>
      <c r="L753" s="163"/>
    </row>
    <row r="754" spans="1:12" hidden="1">
      <c r="A754" s="34" t="str">
        <f>Packaging!U24</f>
        <v>Packaging</v>
      </c>
      <c r="B754" s="40">
        <f>Packaging!V24</f>
        <v>2021</v>
      </c>
      <c r="C754" s="34" t="str">
        <f>Packaging!X24</f>
        <v>HDPE</v>
      </c>
      <c r="D754" s="793">
        <f>Packaging!Y24</f>
        <v>100.52294378581011</v>
      </c>
      <c r="E754" s="151" t="s">
        <v>117</v>
      </c>
      <c r="F754" s="29">
        <v>1</v>
      </c>
      <c r="G754" s="9">
        <v>1</v>
      </c>
      <c r="H754" s="9">
        <v>2</v>
      </c>
      <c r="I754" s="9">
        <v>1</v>
      </c>
      <c r="J754" s="43">
        <v>2</v>
      </c>
      <c r="K754" s="262">
        <f t="shared" si="11"/>
        <v>0.35859414261160716</v>
      </c>
      <c r="L754" s="163"/>
    </row>
    <row r="755" spans="1:12" hidden="1">
      <c r="A755" s="34" t="str">
        <f>Packaging!U29</f>
        <v>Packaging</v>
      </c>
      <c r="B755" s="40">
        <f>Packaging!V29</f>
        <v>2021</v>
      </c>
      <c r="C755" s="34" t="str">
        <f>Packaging!X29</f>
        <v>PET</v>
      </c>
      <c r="D755" s="793">
        <f>Packaging!Y29</f>
        <v>100.1639624060858</v>
      </c>
      <c r="E755" s="151" t="s">
        <v>117</v>
      </c>
      <c r="F755" s="29">
        <v>1</v>
      </c>
      <c r="G755" s="9">
        <v>1</v>
      </c>
      <c r="H755" s="9">
        <v>2</v>
      </c>
      <c r="I755" s="9">
        <v>1</v>
      </c>
      <c r="J755" s="43">
        <v>2</v>
      </c>
      <c r="K755" s="262">
        <f t="shared" si="11"/>
        <v>0.35859414261160716</v>
      </c>
      <c r="L755" s="163"/>
    </row>
    <row r="756" spans="1:12" hidden="1">
      <c r="A756" s="34" t="str">
        <f>Packaging!U40</f>
        <v>Packaging</v>
      </c>
      <c r="B756" s="40">
        <f>Packaging!V40</f>
        <v>2019</v>
      </c>
      <c r="C756" s="34" t="str">
        <f>Packaging!X40</f>
        <v>HDPE</v>
      </c>
      <c r="D756" s="793">
        <f>Packaging!Y40</f>
        <v>96.318802992845164</v>
      </c>
      <c r="E756" s="151" t="s">
        <v>117</v>
      </c>
      <c r="F756" s="29">
        <v>1</v>
      </c>
      <c r="G756" s="9">
        <v>1</v>
      </c>
      <c r="H756" s="9">
        <v>2</v>
      </c>
      <c r="I756" s="9">
        <v>1</v>
      </c>
      <c r="J756" s="43">
        <v>2</v>
      </c>
      <c r="K756" s="262">
        <f t="shared" si="11"/>
        <v>0.35859414261160716</v>
      </c>
      <c r="L756" s="163"/>
    </row>
    <row r="757" spans="1:12" hidden="1">
      <c r="A757" s="34" t="str">
        <f>Packaging!U48</f>
        <v>Packaging</v>
      </c>
      <c r="B757" s="40">
        <f>Packaging!V48</f>
        <v>2018</v>
      </c>
      <c r="C757" s="34" t="str">
        <f>Packaging!X48</f>
        <v>HDPE</v>
      </c>
      <c r="D757" s="793">
        <f>Packaging!Y48</f>
        <v>96.318802992845164</v>
      </c>
      <c r="E757" s="151" t="s">
        <v>117</v>
      </c>
      <c r="F757" s="29">
        <v>1</v>
      </c>
      <c r="G757" s="9">
        <v>1</v>
      </c>
      <c r="H757" s="9">
        <v>2</v>
      </c>
      <c r="I757" s="9">
        <v>1</v>
      </c>
      <c r="J757" s="43">
        <v>2</v>
      </c>
      <c r="K757" s="262">
        <f t="shared" si="11"/>
        <v>0.35859414261160716</v>
      </c>
      <c r="L757" s="163"/>
    </row>
    <row r="758" spans="1:12" hidden="1">
      <c r="A758" s="34" t="str">
        <f>Packaging!U45</f>
        <v>Packaging</v>
      </c>
      <c r="B758" s="40">
        <f>Packaging!V45</f>
        <v>2019</v>
      </c>
      <c r="C758" s="34" t="str">
        <f>Packaging!X45</f>
        <v>PET</v>
      </c>
      <c r="D758" s="793">
        <f>Packaging!Y45</f>
        <v>95.974835183213173</v>
      </c>
      <c r="E758" s="151" t="s">
        <v>117</v>
      </c>
      <c r="F758" s="29">
        <v>1</v>
      </c>
      <c r="G758" s="9">
        <v>1</v>
      </c>
      <c r="H758" s="9">
        <v>2</v>
      </c>
      <c r="I758" s="9">
        <v>1</v>
      </c>
      <c r="J758" s="43">
        <v>2</v>
      </c>
      <c r="K758" s="262">
        <f t="shared" si="11"/>
        <v>0.35859414261160716</v>
      </c>
      <c r="L758" s="163"/>
    </row>
    <row r="759" spans="1:12" hidden="1">
      <c r="A759" s="34" t="str">
        <f>Packaging!U53</f>
        <v>Packaging</v>
      </c>
      <c r="B759" s="40">
        <f>Packaging!V53</f>
        <v>2018</v>
      </c>
      <c r="C759" s="34" t="str">
        <f>Packaging!X53</f>
        <v>PET</v>
      </c>
      <c r="D759" s="793">
        <f>Packaging!Y53</f>
        <v>95.974835183213173</v>
      </c>
      <c r="E759" s="151" t="s">
        <v>117</v>
      </c>
      <c r="F759" s="29">
        <v>1</v>
      </c>
      <c r="G759" s="9">
        <v>1</v>
      </c>
      <c r="H759" s="9">
        <v>2</v>
      </c>
      <c r="I759" s="9">
        <v>1</v>
      </c>
      <c r="J759" s="43">
        <v>2</v>
      </c>
      <c r="K759" s="262">
        <f t="shared" si="11"/>
        <v>0.35859414261160716</v>
      </c>
      <c r="L759" s="163"/>
    </row>
    <row r="760" spans="1:12" hidden="1">
      <c r="A760" s="34" t="str">
        <f>Packaging!U56</f>
        <v>Packaging</v>
      </c>
      <c r="B760" s="40">
        <f>Packaging!V56</f>
        <v>2017</v>
      </c>
      <c r="C760" s="34" t="str">
        <f>Packaging!X56</f>
        <v>HDPE</v>
      </c>
      <c r="D760" s="793">
        <f>Packaging!Y56</f>
        <v>94.292977308483216</v>
      </c>
      <c r="E760" s="151" t="s">
        <v>117</v>
      </c>
      <c r="F760" s="29">
        <v>1</v>
      </c>
      <c r="G760" s="9">
        <v>1</v>
      </c>
      <c r="H760" s="9">
        <v>2</v>
      </c>
      <c r="I760" s="9">
        <v>1</v>
      </c>
      <c r="J760" s="43">
        <v>2</v>
      </c>
      <c r="K760" s="262">
        <f t="shared" si="11"/>
        <v>0.35859414261160716</v>
      </c>
      <c r="L760" s="163"/>
    </row>
    <row r="761" spans="1:12" hidden="1">
      <c r="A761" s="34" t="str">
        <f>Packaging!U61</f>
        <v>Packaging</v>
      </c>
      <c r="B761" s="40">
        <f>Packaging!V61</f>
        <v>2017</v>
      </c>
      <c r="C761" s="34" t="str">
        <f>Packaging!X61</f>
        <v>PET</v>
      </c>
      <c r="D761" s="793">
        <f>Packaging!Y61</f>
        <v>93.956244003451516</v>
      </c>
      <c r="E761" s="151" t="s">
        <v>117</v>
      </c>
      <c r="F761" s="29">
        <v>1</v>
      </c>
      <c r="G761" s="9">
        <v>1</v>
      </c>
      <c r="H761" s="9">
        <v>2</v>
      </c>
      <c r="I761" s="9">
        <v>1</v>
      </c>
      <c r="J761" s="43">
        <v>2</v>
      </c>
      <c r="K761" s="262">
        <f t="shared" si="11"/>
        <v>0.35859414261160716</v>
      </c>
      <c r="L761" s="163"/>
    </row>
    <row r="762" spans="1:12">
      <c r="A762" s="34" t="s">
        <v>39</v>
      </c>
      <c r="B762" s="40">
        <v>2020</v>
      </c>
      <c r="C762" s="34" t="s">
        <v>88</v>
      </c>
      <c r="D762" s="793">
        <f>Packaging!E22</f>
        <v>20.887643454491393</v>
      </c>
      <c r="E762" s="151" t="s">
        <v>117</v>
      </c>
      <c r="F762" s="29">
        <v>1</v>
      </c>
      <c r="G762" s="9">
        <v>1</v>
      </c>
      <c r="H762" s="9">
        <v>2</v>
      </c>
      <c r="I762" s="9">
        <v>1</v>
      </c>
      <c r="J762" s="43">
        <v>2</v>
      </c>
      <c r="K762" s="262">
        <f t="shared" si="11"/>
        <v>0.35859414261160716</v>
      </c>
      <c r="L762" s="163"/>
    </row>
    <row r="763" spans="1:12">
      <c r="A763" s="34" t="str">
        <f>Packaging!U26</f>
        <v>Packaging</v>
      </c>
      <c r="B763" s="40">
        <f>Packaging!V26</f>
        <v>2021</v>
      </c>
      <c r="C763" s="34" t="str">
        <f>Packaging!X26</f>
        <v>PS</v>
      </c>
      <c r="D763" s="793">
        <f>Packaging!Y26</f>
        <v>20.579531861873875</v>
      </c>
      <c r="E763" s="151" t="s">
        <v>117</v>
      </c>
      <c r="F763" s="29">
        <v>1</v>
      </c>
      <c r="G763" s="9">
        <v>1</v>
      </c>
      <c r="H763" s="9">
        <v>2</v>
      </c>
      <c r="I763" s="9">
        <v>1</v>
      </c>
      <c r="J763" s="43">
        <v>2</v>
      </c>
      <c r="K763" s="262">
        <f t="shared" si="11"/>
        <v>0.35859414261160716</v>
      </c>
      <c r="L763" s="163"/>
    </row>
    <row r="764" spans="1:12">
      <c r="A764" s="34" t="str">
        <f>Packaging!U42</f>
        <v>Packaging</v>
      </c>
      <c r="B764" s="40">
        <f>Packaging!V42</f>
        <v>2019</v>
      </c>
      <c r="C764" s="34" t="str">
        <f>Packaging!X42</f>
        <v>PS</v>
      </c>
      <c r="D764" s="793">
        <f>Packaging!Y42</f>
        <v>19.71884030090072</v>
      </c>
      <c r="E764" s="151" t="s">
        <v>117</v>
      </c>
      <c r="F764" s="29">
        <v>1</v>
      </c>
      <c r="G764" s="9">
        <v>1</v>
      </c>
      <c r="H764" s="9">
        <v>2</v>
      </c>
      <c r="I764" s="9">
        <v>1</v>
      </c>
      <c r="J764" s="43">
        <v>2</v>
      </c>
      <c r="K764" s="262">
        <f t="shared" si="11"/>
        <v>0.35859414261160716</v>
      </c>
      <c r="L764" s="163"/>
    </row>
    <row r="765" spans="1:12">
      <c r="A765" s="34" t="str">
        <f>Packaging!U50</f>
        <v>Packaging</v>
      </c>
      <c r="B765" s="40">
        <f>Packaging!V50</f>
        <v>2018</v>
      </c>
      <c r="C765" s="34" t="str">
        <f>Packaging!X50</f>
        <v>PS</v>
      </c>
      <c r="D765" s="793">
        <f>Packaging!Y50</f>
        <v>19.71884030090072</v>
      </c>
      <c r="E765" s="151" t="s">
        <v>117</v>
      </c>
      <c r="F765" s="29">
        <v>1</v>
      </c>
      <c r="G765" s="9">
        <v>1</v>
      </c>
      <c r="H765" s="9">
        <v>2</v>
      </c>
      <c r="I765" s="9">
        <v>1</v>
      </c>
      <c r="J765" s="43">
        <v>2</v>
      </c>
      <c r="K765" s="262">
        <f t="shared" ref="K765:K828" si="12">IF( OR( ISBLANK(F765),ISBLANK(G765), ISBLANK(H765), ISBLANK(I765), ISBLANK(J765) ), "", 1.5*SQRT(   EXP(2.21*(F765-1)) + EXP(2.21*(G765-1)) + EXP(2.21*(H765-1)) + EXP(2.21*(I765-1)) + EXP(2.21*J765)   )/100*2.45 )</f>
        <v>0.35859414261160716</v>
      </c>
      <c r="L765" s="163"/>
    </row>
    <row r="766" spans="1:12">
      <c r="A766" s="34" t="str">
        <f>Packaging!U58</f>
        <v>Packaging</v>
      </c>
      <c r="B766" s="40">
        <f>Packaging!V58</f>
        <v>2017</v>
      </c>
      <c r="C766" s="34" t="str">
        <f>Packaging!X58</f>
        <v>PS</v>
      </c>
      <c r="D766" s="793">
        <f>Packaging!Y58</f>
        <v>19.304103698013705</v>
      </c>
      <c r="E766" s="151" t="s">
        <v>117</v>
      </c>
      <c r="F766" s="29">
        <v>1</v>
      </c>
      <c r="G766" s="9">
        <v>1</v>
      </c>
      <c r="H766" s="9">
        <v>2</v>
      </c>
      <c r="I766" s="9">
        <v>1</v>
      </c>
      <c r="J766" s="43">
        <v>2</v>
      </c>
      <c r="K766" s="262">
        <f t="shared" si="12"/>
        <v>0.35859414261160716</v>
      </c>
      <c r="L766" s="163"/>
    </row>
    <row r="767" spans="1:12" hidden="1">
      <c r="A767" s="34" t="s">
        <v>39</v>
      </c>
      <c r="B767" s="40">
        <v>2020</v>
      </c>
      <c r="C767" s="34" t="s">
        <v>98</v>
      </c>
      <c r="D767" s="793">
        <f>Packaging!E26</f>
        <v>14.06772703280042</v>
      </c>
      <c r="E767" s="151" t="s">
        <v>117</v>
      </c>
      <c r="F767" s="29">
        <v>1</v>
      </c>
      <c r="G767" s="9">
        <v>1</v>
      </c>
      <c r="H767" s="9">
        <v>2</v>
      </c>
      <c r="I767" s="9">
        <v>1</v>
      </c>
      <c r="J767" s="43">
        <v>2</v>
      </c>
      <c r="K767" s="262">
        <f t="shared" si="12"/>
        <v>0.35859414261160716</v>
      </c>
      <c r="L767" s="163"/>
    </row>
    <row r="768" spans="1:12" hidden="1">
      <c r="A768" s="34" t="str">
        <f>Packaging!U30</f>
        <v>Packaging</v>
      </c>
      <c r="B768" s="40">
        <f>Packaging!V30</f>
        <v>2021</v>
      </c>
      <c r="C768" s="34" t="str">
        <f>Packaging!X30</f>
        <v>OTHER</v>
      </c>
      <c r="D768" s="793">
        <f>Packaging!Y30</f>
        <v>13.860215362562069</v>
      </c>
      <c r="E768" s="151" t="s">
        <v>117</v>
      </c>
      <c r="F768" s="29">
        <v>1</v>
      </c>
      <c r="G768" s="9">
        <v>1</v>
      </c>
      <c r="H768" s="9">
        <v>2</v>
      </c>
      <c r="I768" s="9">
        <v>1</v>
      </c>
      <c r="J768" s="43">
        <v>2</v>
      </c>
      <c r="K768" s="262">
        <f t="shared" si="12"/>
        <v>0.35859414261160716</v>
      </c>
      <c r="L768" s="163"/>
    </row>
    <row r="769" spans="1:12" hidden="1">
      <c r="A769" s="34" t="str">
        <f>Packaging!U46</f>
        <v>Packaging</v>
      </c>
      <c r="B769" s="40">
        <f>Packaging!V46</f>
        <v>2019</v>
      </c>
      <c r="C769" s="34" t="str">
        <f>Packaging!X46</f>
        <v>OTHER</v>
      </c>
      <c r="D769" s="793">
        <f>Packaging!Y46</f>
        <v>13.280543751181623</v>
      </c>
      <c r="E769" s="151" t="s">
        <v>117</v>
      </c>
      <c r="F769" s="29">
        <v>1</v>
      </c>
      <c r="G769" s="9">
        <v>1</v>
      </c>
      <c r="H769" s="9">
        <v>2</v>
      </c>
      <c r="I769" s="9">
        <v>1</v>
      </c>
      <c r="J769" s="43">
        <v>2</v>
      </c>
      <c r="K769" s="262">
        <f t="shared" si="12"/>
        <v>0.35859414261160716</v>
      </c>
      <c r="L769" s="163"/>
    </row>
    <row r="770" spans="1:12" hidden="1">
      <c r="A770" s="34" t="str">
        <f>Packaging!U54</f>
        <v>Packaging</v>
      </c>
      <c r="B770" s="40">
        <f>Packaging!V54</f>
        <v>2018</v>
      </c>
      <c r="C770" s="34" t="str">
        <f>Packaging!X54</f>
        <v>OTHER</v>
      </c>
      <c r="D770" s="793">
        <f>Packaging!Y54</f>
        <v>13.280543751181623</v>
      </c>
      <c r="E770" s="151" t="s">
        <v>117</v>
      </c>
      <c r="F770" s="29">
        <v>1</v>
      </c>
      <c r="G770" s="9">
        <v>1</v>
      </c>
      <c r="H770" s="9">
        <v>2</v>
      </c>
      <c r="I770" s="9">
        <v>1</v>
      </c>
      <c r="J770" s="43">
        <v>2</v>
      </c>
      <c r="K770" s="262">
        <f t="shared" si="12"/>
        <v>0.35859414261160716</v>
      </c>
      <c r="L770" s="163"/>
    </row>
    <row r="771" spans="1:12" hidden="1">
      <c r="A771" s="34" t="str">
        <f>Packaging!U62</f>
        <v>Packaging</v>
      </c>
      <c r="B771" s="40">
        <f>Packaging!V62</f>
        <v>2017</v>
      </c>
      <c r="C771" s="34" t="str">
        <f>Packaging!X62</f>
        <v>OTHER</v>
      </c>
      <c r="D771" s="793">
        <f>Packaging!Y62</f>
        <v>13.001220651252373</v>
      </c>
      <c r="E771" s="151" t="s">
        <v>117</v>
      </c>
      <c r="F771" s="29">
        <v>1</v>
      </c>
      <c r="G771" s="9">
        <v>1</v>
      </c>
      <c r="H771" s="9">
        <v>2</v>
      </c>
      <c r="I771" s="9">
        <v>1</v>
      </c>
      <c r="J771" s="43">
        <v>2</v>
      </c>
      <c r="K771" s="262">
        <f t="shared" si="12"/>
        <v>0.35859414261160716</v>
      </c>
      <c r="L771" s="163"/>
    </row>
    <row r="772" spans="1:12" hidden="1">
      <c r="A772" s="34" t="s">
        <v>39</v>
      </c>
      <c r="B772" s="40">
        <v>2020</v>
      </c>
      <c r="C772" s="34" t="s">
        <v>90</v>
      </c>
      <c r="D772" s="793">
        <f>Packaging!E24</f>
        <v>11.900009692415585</v>
      </c>
      <c r="E772" s="151" t="s">
        <v>117</v>
      </c>
      <c r="F772" s="29">
        <v>1</v>
      </c>
      <c r="G772" s="9">
        <v>1</v>
      </c>
      <c r="H772" s="9">
        <v>2</v>
      </c>
      <c r="I772" s="9">
        <v>1</v>
      </c>
      <c r="J772" s="43">
        <v>2</v>
      </c>
      <c r="K772" s="262">
        <f t="shared" si="12"/>
        <v>0.35859414261160716</v>
      </c>
      <c r="L772" s="163"/>
    </row>
    <row r="773" spans="1:12" hidden="1">
      <c r="A773" s="34" t="str">
        <f>Packaging!U28</f>
        <v>Packaging</v>
      </c>
      <c r="B773" s="40">
        <f>Packaging!V28</f>
        <v>2021</v>
      </c>
      <c r="C773" s="34" t="str">
        <f>Packaging!X28</f>
        <v>PVC</v>
      </c>
      <c r="D773" s="793">
        <f>Packaging!Y28</f>
        <v>11.724473809371505</v>
      </c>
      <c r="E773" s="151" t="s">
        <v>117</v>
      </c>
      <c r="F773" s="29">
        <v>1</v>
      </c>
      <c r="G773" s="9">
        <v>1</v>
      </c>
      <c r="H773" s="9">
        <v>2</v>
      </c>
      <c r="I773" s="9">
        <v>1</v>
      </c>
      <c r="J773" s="43">
        <v>2</v>
      </c>
      <c r="K773" s="262">
        <f t="shared" si="12"/>
        <v>0.35859414261160716</v>
      </c>
      <c r="L773" s="163"/>
    </row>
    <row r="774" spans="1:12" hidden="1">
      <c r="A774" s="34" t="str">
        <f>Packaging!U44</f>
        <v>Packaging</v>
      </c>
      <c r="B774" s="40">
        <f>Packaging!V44</f>
        <v>2019</v>
      </c>
      <c r="C774" s="34" t="str">
        <f>Packaging!X44</f>
        <v>PVC</v>
      </c>
      <c r="D774" s="793">
        <f>Packaging!Y44</f>
        <v>11.234124673525903</v>
      </c>
      <c r="E774" s="151" t="s">
        <v>117</v>
      </c>
      <c r="F774" s="29">
        <v>1</v>
      </c>
      <c r="G774" s="9">
        <v>1</v>
      </c>
      <c r="H774" s="9">
        <v>2</v>
      </c>
      <c r="I774" s="9">
        <v>1</v>
      </c>
      <c r="J774" s="43">
        <v>2</v>
      </c>
      <c r="K774" s="262">
        <f t="shared" si="12"/>
        <v>0.35859414261160716</v>
      </c>
      <c r="L774" s="163"/>
    </row>
    <row r="775" spans="1:12" hidden="1">
      <c r="A775" s="34" t="str">
        <f>Packaging!U52</f>
        <v>Packaging</v>
      </c>
      <c r="B775" s="40">
        <f>Packaging!V52</f>
        <v>2018</v>
      </c>
      <c r="C775" s="34" t="str">
        <f>Packaging!X52</f>
        <v>PVC</v>
      </c>
      <c r="D775" s="793">
        <f>Packaging!Y52</f>
        <v>11.234124673525903</v>
      </c>
      <c r="E775" s="151" t="s">
        <v>117</v>
      </c>
      <c r="F775" s="29">
        <v>1</v>
      </c>
      <c r="G775" s="9">
        <v>1</v>
      </c>
      <c r="H775" s="9">
        <v>2</v>
      </c>
      <c r="I775" s="9">
        <v>1</v>
      </c>
      <c r="J775" s="43">
        <v>2</v>
      </c>
      <c r="K775" s="262">
        <f t="shared" si="12"/>
        <v>0.35859414261160716</v>
      </c>
      <c r="L775" s="163"/>
    </row>
    <row r="776" spans="1:12" hidden="1">
      <c r="A776" s="34" t="str">
        <f>Packaging!U60</f>
        <v>Packaging</v>
      </c>
      <c r="B776" s="40">
        <f>Packaging!V60</f>
        <v>2017</v>
      </c>
      <c r="C776" s="34" t="str">
        <f>Packaging!X60</f>
        <v>PVC</v>
      </c>
      <c r="D776" s="793">
        <f>Packaging!Y60</f>
        <v>10.997842892629565</v>
      </c>
      <c r="E776" s="151" t="s">
        <v>117</v>
      </c>
      <c r="F776" s="29">
        <v>1</v>
      </c>
      <c r="G776" s="9">
        <v>1</v>
      </c>
      <c r="H776" s="9">
        <v>2</v>
      </c>
      <c r="I776" s="9">
        <v>1</v>
      </c>
      <c r="J776" s="43">
        <v>2</v>
      </c>
      <c r="K776" s="262">
        <f t="shared" si="12"/>
        <v>0.35859414261160716</v>
      </c>
      <c r="L776" s="163"/>
    </row>
    <row r="777" spans="1:12" hidden="1">
      <c r="A777" s="34" t="s">
        <v>39</v>
      </c>
      <c r="B777" s="40">
        <v>2020</v>
      </c>
      <c r="C777" s="34" t="s">
        <v>89</v>
      </c>
      <c r="D777" s="793">
        <f>Packaging!E23</f>
        <v>7.4683391591176429</v>
      </c>
      <c r="E777" s="151" t="s">
        <v>117</v>
      </c>
      <c r="F777" s="29">
        <v>1</v>
      </c>
      <c r="G777" s="9">
        <v>1</v>
      </c>
      <c r="H777" s="9">
        <v>2</v>
      </c>
      <c r="I777" s="9">
        <v>1</v>
      </c>
      <c r="J777" s="43">
        <v>2</v>
      </c>
      <c r="K777" s="262">
        <f t="shared" si="12"/>
        <v>0.35859414261160716</v>
      </c>
      <c r="L777" s="163"/>
    </row>
    <row r="778" spans="1:12" hidden="1">
      <c r="A778" s="34" t="str">
        <f>Packaging!U27</f>
        <v>Packaging</v>
      </c>
      <c r="B778" s="40">
        <f>Packaging!V27</f>
        <v>2021</v>
      </c>
      <c r="C778" s="34" t="str">
        <f>Packaging!X27</f>
        <v>EPS</v>
      </c>
      <c r="D778" s="793">
        <f>Packaging!Y27</f>
        <v>7.3581744161423543</v>
      </c>
      <c r="E778" s="151" t="s">
        <v>117</v>
      </c>
      <c r="F778" s="29">
        <v>1</v>
      </c>
      <c r="G778" s="9">
        <v>1</v>
      </c>
      <c r="H778" s="9">
        <v>2</v>
      </c>
      <c r="I778" s="9">
        <v>1</v>
      </c>
      <c r="J778" s="43">
        <v>2</v>
      </c>
      <c r="K778" s="262">
        <f t="shared" si="12"/>
        <v>0.35859414261160716</v>
      </c>
      <c r="L778" s="163"/>
    </row>
    <row r="779" spans="1:12" hidden="1">
      <c r="A779" s="34" t="str">
        <f>Packaging!U43</f>
        <v>Packaging</v>
      </c>
      <c r="B779" s="40">
        <f>Packaging!V43</f>
        <v>2019</v>
      </c>
      <c r="C779" s="34" t="str">
        <f>Packaging!X43</f>
        <v>EPS</v>
      </c>
      <c r="D779" s="793">
        <f>Packaging!Y43</f>
        <v>7.0504357043655723</v>
      </c>
      <c r="E779" s="151" t="s">
        <v>117</v>
      </c>
      <c r="F779" s="29">
        <v>1</v>
      </c>
      <c r="G779" s="9">
        <v>1</v>
      </c>
      <c r="H779" s="9">
        <v>2</v>
      </c>
      <c r="I779" s="9">
        <v>1</v>
      </c>
      <c r="J779" s="43">
        <v>2</v>
      </c>
      <c r="K779" s="262">
        <f t="shared" si="12"/>
        <v>0.35859414261160716</v>
      </c>
      <c r="L779" s="163"/>
    </row>
    <row r="780" spans="1:12" hidden="1">
      <c r="A780" s="34" t="str">
        <f>Packaging!U51</f>
        <v>Packaging</v>
      </c>
      <c r="B780" s="40">
        <f>Packaging!V51</f>
        <v>2018</v>
      </c>
      <c r="C780" s="34" t="str">
        <f>Packaging!X51</f>
        <v>EPS</v>
      </c>
      <c r="D780" s="793">
        <f>Packaging!Y51</f>
        <v>7.0504357043655723</v>
      </c>
      <c r="E780" s="151" t="s">
        <v>117</v>
      </c>
      <c r="F780" s="29">
        <v>1</v>
      </c>
      <c r="G780" s="9">
        <v>1</v>
      </c>
      <c r="H780" s="9">
        <v>2</v>
      </c>
      <c r="I780" s="9">
        <v>1</v>
      </c>
      <c r="J780" s="43">
        <v>2</v>
      </c>
      <c r="K780" s="262">
        <f t="shared" si="12"/>
        <v>0.35859414261160716</v>
      </c>
      <c r="L780" s="163"/>
    </row>
    <row r="781" spans="1:12" hidden="1">
      <c r="A781" s="149" t="str">
        <f>Packaging!U59</f>
        <v>Packaging</v>
      </c>
      <c r="B781" s="153">
        <f>Packaging!V59</f>
        <v>2017</v>
      </c>
      <c r="C781" s="149" t="str">
        <f>Packaging!X59</f>
        <v>EPS</v>
      </c>
      <c r="D781" s="798">
        <f>Packaging!Y59</f>
        <v>6.9021473817116119</v>
      </c>
      <c r="E781" s="227" t="s">
        <v>117</v>
      </c>
      <c r="F781" s="154">
        <v>1</v>
      </c>
      <c r="G781" s="119">
        <v>1</v>
      </c>
      <c r="H781" s="119">
        <v>2</v>
      </c>
      <c r="I781" s="119">
        <v>1</v>
      </c>
      <c r="J781" s="155">
        <v>2</v>
      </c>
      <c r="K781" s="290">
        <f t="shared" si="12"/>
        <v>0.35859414261160716</v>
      </c>
      <c r="L781" s="799"/>
    </row>
    <row r="782" spans="1:12" hidden="1">
      <c r="A782" s="433" t="s">
        <v>118</v>
      </c>
      <c r="B782" s="39">
        <v>2015</v>
      </c>
      <c r="C782" s="33" t="s">
        <v>99</v>
      </c>
      <c r="D782" s="792">
        <v>66.732831428571416</v>
      </c>
      <c r="E782" s="150" t="s">
        <v>119</v>
      </c>
      <c r="F782" s="28">
        <v>1</v>
      </c>
      <c r="G782" s="11">
        <v>1</v>
      </c>
      <c r="H782" s="11">
        <v>3</v>
      </c>
      <c r="I782" s="11">
        <v>1</v>
      </c>
      <c r="J782" s="42">
        <v>2</v>
      </c>
      <c r="K782" s="261">
        <f t="shared" ref="K782:K789" si="13">IF( OR( ISBLANK(F782),ISBLANK(G782), ISBLANK(H782), ISBLANK(I782), ISBLANK(J782) ), "", 1.5*SQRT(   EXP(2.21*(F782-1)) + EXP(2.21*(G782-1)) + EXP(2.21*(H782-1)) + EXP(2.21*(I782-1)) + EXP(2.21*J782)   )/100*2.45 )</f>
        <v>0.47802211380704585</v>
      </c>
      <c r="L782" s="800" t="s">
        <v>120</v>
      </c>
    </row>
    <row r="783" spans="1:12" hidden="1">
      <c r="A783" s="364" t="s">
        <v>118</v>
      </c>
      <c r="B783" s="40">
        <v>2020</v>
      </c>
      <c r="C783" s="34" t="s">
        <v>99</v>
      </c>
      <c r="D783" s="793">
        <v>54.081600000000002</v>
      </c>
      <c r="E783" s="151" t="s">
        <v>119</v>
      </c>
      <c r="F783" s="29">
        <v>1</v>
      </c>
      <c r="G783" s="9">
        <v>1</v>
      </c>
      <c r="H783" s="9">
        <v>3</v>
      </c>
      <c r="I783" s="9">
        <v>1</v>
      </c>
      <c r="J783" s="43">
        <v>2</v>
      </c>
      <c r="K783" s="262">
        <f t="shared" si="13"/>
        <v>0.47802211380704585</v>
      </c>
      <c r="L783" s="314" t="s">
        <v>120</v>
      </c>
    </row>
    <row r="784" spans="1:12" hidden="1">
      <c r="A784" s="364" t="s">
        <v>118</v>
      </c>
      <c r="B784" s="40">
        <v>2016</v>
      </c>
      <c r="C784" s="34" t="s">
        <v>99</v>
      </c>
      <c r="D784" s="793">
        <v>53.115857142857152</v>
      </c>
      <c r="E784" s="151" t="s">
        <v>119</v>
      </c>
      <c r="F784" s="29">
        <v>1</v>
      </c>
      <c r="G784" s="9">
        <v>1</v>
      </c>
      <c r="H784" s="9">
        <v>3</v>
      </c>
      <c r="I784" s="9">
        <v>1</v>
      </c>
      <c r="J784" s="43">
        <v>2</v>
      </c>
      <c r="K784" s="262">
        <f t="shared" si="13"/>
        <v>0.47802211380704585</v>
      </c>
      <c r="L784" s="314" t="s">
        <v>120</v>
      </c>
    </row>
    <row r="785" spans="1:12" hidden="1">
      <c r="A785" s="364" t="s">
        <v>118</v>
      </c>
      <c r="B785" s="40">
        <v>2021</v>
      </c>
      <c r="C785" s="34" t="s">
        <v>99</v>
      </c>
      <c r="D785" s="793">
        <v>52.874421428571424</v>
      </c>
      <c r="E785" s="151" t="s">
        <v>119</v>
      </c>
      <c r="F785" s="29">
        <v>1</v>
      </c>
      <c r="G785" s="9">
        <v>1</v>
      </c>
      <c r="H785" s="9">
        <v>3</v>
      </c>
      <c r="I785" s="9">
        <v>1</v>
      </c>
      <c r="J785" s="43">
        <v>2</v>
      </c>
      <c r="K785" s="262">
        <f t="shared" si="13"/>
        <v>0.47802211380704585</v>
      </c>
      <c r="L785" s="314" t="s">
        <v>120</v>
      </c>
    </row>
    <row r="786" spans="1:12" hidden="1">
      <c r="A786" s="364" t="s">
        <v>118</v>
      </c>
      <c r="B786" s="40">
        <v>2017</v>
      </c>
      <c r="C786" s="34" t="s">
        <v>99</v>
      </c>
      <c r="D786" s="793">
        <v>52.681272857142851</v>
      </c>
      <c r="E786" s="151" t="s">
        <v>119</v>
      </c>
      <c r="F786" s="29">
        <v>1</v>
      </c>
      <c r="G786" s="9">
        <v>1</v>
      </c>
      <c r="H786" s="9">
        <v>3</v>
      </c>
      <c r="I786" s="9">
        <v>1</v>
      </c>
      <c r="J786" s="43">
        <v>2</v>
      </c>
      <c r="K786" s="262">
        <f t="shared" si="13"/>
        <v>0.47802211380704585</v>
      </c>
      <c r="L786" s="314" t="s">
        <v>120</v>
      </c>
    </row>
    <row r="787" spans="1:12" hidden="1">
      <c r="A787" s="364" t="s">
        <v>118</v>
      </c>
      <c r="B787" s="40">
        <v>2018</v>
      </c>
      <c r="C787" s="34" t="s">
        <v>99</v>
      </c>
      <c r="D787" s="793">
        <v>52.246688571428557</v>
      </c>
      <c r="E787" s="151" t="s">
        <v>119</v>
      </c>
      <c r="F787" s="29">
        <v>1</v>
      </c>
      <c r="G787" s="9">
        <v>1</v>
      </c>
      <c r="H787" s="9">
        <v>3</v>
      </c>
      <c r="I787" s="9">
        <v>1</v>
      </c>
      <c r="J787" s="43">
        <v>2</v>
      </c>
      <c r="K787" s="262">
        <f t="shared" si="13"/>
        <v>0.47802211380704585</v>
      </c>
      <c r="L787" s="314" t="s">
        <v>120</v>
      </c>
    </row>
    <row r="788" spans="1:12" hidden="1">
      <c r="A788" s="364" t="s">
        <v>118</v>
      </c>
      <c r="B788" s="40">
        <v>2019</v>
      </c>
      <c r="C788" s="34" t="s">
        <v>99</v>
      </c>
      <c r="D788" s="793">
        <v>51.232658571428573</v>
      </c>
      <c r="E788" s="151" t="s">
        <v>119</v>
      </c>
      <c r="F788" s="29">
        <v>1</v>
      </c>
      <c r="G788" s="9">
        <v>1</v>
      </c>
      <c r="H788" s="9">
        <v>3</v>
      </c>
      <c r="I788" s="9">
        <v>1</v>
      </c>
      <c r="J788" s="43">
        <v>2</v>
      </c>
      <c r="K788" s="262">
        <f t="shared" si="13"/>
        <v>0.47802211380704585</v>
      </c>
      <c r="L788" s="314" t="s">
        <v>120</v>
      </c>
    </row>
    <row r="789" spans="1:12" ht="15.75" hidden="1" thickBot="1">
      <c r="A789" s="434" t="s">
        <v>118</v>
      </c>
      <c r="B789" s="41">
        <v>2022</v>
      </c>
      <c r="C789" s="35" t="s">
        <v>99</v>
      </c>
      <c r="D789" s="796">
        <v>47.417974285714294</v>
      </c>
      <c r="E789" s="152" t="s">
        <v>119</v>
      </c>
      <c r="F789" s="30">
        <v>1</v>
      </c>
      <c r="G789" s="12">
        <v>1</v>
      </c>
      <c r="H789" s="12">
        <v>3</v>
      </c>
      <c r="I789" s="12">
        <v>1</v>
      </c>
      <c r="J789" s="44">
        <v>2</v>
      </c>
      <c r="K789" s="263">
        <f t="shared" si="13"/>
        <v>0.47802211380704585</v>
      </c>
      <c r="L789" s="801" t="s">
        <v>120</v>
      </c>
    </row>
    <row r="790" spans="1:12" hidden="1">
      <c r="A790" s="60" t="s">
        <v>121</v>
      </c>
      <c r="B790" s="161">
        <v>2017</v>
      </c>
      <c r="C790" s="60" t="s">
        <v>95</v>
      </c>
      <c r="D790" s="795">
        <v>115.88066666666667</v>
      </c>
      <c r="E790" s="230" t="s">
        <v>122</v>
      </c>
      <c r="F790" s="659">
        <v>1</v>
      </c>
      <c r="G790" s="118">
        <v>1</v>
      </c>
      <c r="H790" s="118">
        <v>2</v>
      </c>
      <c r="I790" s="118">
        <v>3</v>
      </c>
      <c r="J790" s="660">
        <v>2</v>
      </c>
      <c r="K790" s="573">
        <f t="shared" si="12"/>
        <v>0.48935255543384243</v>
      </c>
      <c r="L790" s="652"/>
    </row>
    <row r="791" spans="1:12" hidden="1">
      <c r="A791" s="34" t="s">
        <v>121</v>
      </c>
      <c r="B791" s="40">
        <v>2017</v>
      </c>
      <c r="C791" s="34" t="s">
        <v>87</v>
      </c>
      <c r="D791" s="793">
        <v>93.731666666666669</v>
      </c>
      <c r="E791" s="151" t="s">
        <v>122</v>
      </c>
      <c r="F791" s="29">
        <v>1</v>
      </c>
      <c r="G791" s="9">
        <v>1</v>
      </c>
      <c r="H791" s="9">
        <v>2</v>
      </c>
      <c r="I791" s="9">
        <v>3</v>
      </c>
      <c r="J791" s="43">
        <v>2</v>
      </c>
      <c r="K791" s="262">
        <f t="shared" si="12"/>
        <v>0.48935255543384243</v>
      </c>
      <c r="L791" s="163"/>
    </row>
    <row r="792" spans="1:12" hidden="1">
      <c r="A792" s="34" t="s">
        <v>121</v>
      </c>
      <c r="B792" s="40">
        <v>2017</v>
      </c>
      <c r="C792" s="34" t="s">
        <v>91</v>
      </c>
      <c r="D792" s="793">
        <v>89.234166666666653</v>
      </c>
      <c r="E792" s="151" t="s">
        <v>122</v>
      </c>
      <c r="F792" s="29">
        <v>1</v>
      </c>
      <c r="G792" s="9">
        <v>1</v>
      </c>
      <c r="H792" s="9">
        <v>2</v>
      </c>
      <c r="I792" s="9">
        <v>3</v>
      </c>
      <c r="J792" s="43">
        <v>2</v>
      </c>
      <c r="K792" s="262">
        <f t="shared" si="12"/>
        <v>0.48935255543384243</v>
      </c>
      <c r="L792" s="163"/>
    </row>
    <row r="793" spans="1:12" hidden="1">
      <c r="A793" s="34" t="s">
        <v>121</v>
      </c>
      <c r="B793" s="40">
        <v>2017</v>
      </c>
      <c r="C793" s="34" t="s">
        <v>99</v>
      </c>
      <c r="D793" s="793">
        <v>19.665500000000002</v>
      </c>
      <c r="E793" s="151" t="s">
        <v>122</v>
      </c>
      <c r="F793" s="29">
        <v>1</v>
      </c>
      <c r="G793" s="9">
        <v>1</v>
      </c>
      <c r="H793" s="9">
        <v>2</v>
      </c>
      <c r="I793" s="9">
        <v>3</v>
      </c>
      <c r="J793" s="43">
        <v>2</v>
      </c>
      <c r="K793" s="262">
        <f t="shared" si="12"/>
        <v>0.48935255543384243</v>
      </c>
      <c r="L793" s="163"/>
    </row>
    <row r="794" spans="1:12" hidden="1">
      <c r="A794" s="34" t="s">
        <v>121</v>
      </c>
      <c r="B794" s="40">
        <v>2017</v>
      </c>
      <c r="C794" s="34" t="s">
        <v>90</v>
      </c>
      <c r="D794" s="793">
        <v>10.18</v>
      </c>
      <c r="E794" s="151" t="s">
        <v>122</v>
      </c>
      <c r="F794" s="29">
        <v>1</v>
      </c>
      <c r="G794" s="9">
        <v>1</v>
      </c>
      <c r="H794" s="9">
        <v>2</v>
      </c>
      <c r="I794" s="9">
        <v>3</v>
      </c>
      <c r="J794" s="43">
        <v>2</v>
      </c>
      <c r="K794" s="262">
        <f t="shared" si="12"/>
        <v>0.48935255543384243</v>
      </c>
      <c r="L794" s="163"/>
    </row>
    <row r="795" spans="1:12" hidden="1">
      <c r="A795" s="149" t="s">
        <v>121</v>
      </c>
      <c r="B795" s="153">
        <v>2017</v>
      </c>
      <c r="C795" s="149" t="s">
        <v>86</v>
      </c>
      <c r="D795" s="798">
        <v>0.22800000000000001</v>
      </c>
      <c r="E795" s="227" t="s">
        <v>122</v>
      </c>
      <c r="F795" s="154">
        <v>1</v>
      </c>
      <c r="G795" s="119">
        <v>1</v>
      </c>
      <c r="H795" s="119">
        <v>2</v>
      </c>
      <c r="I795" s="119">
        <v>3</v>
      </c>
      <c r="J795" s="155">
        <v>2</v>
      </c>
      <c r="K795" s="290">
        <f t="shared" si="12"/>
        <v>0.48935255543384243</v>
      </c>
      <c r="L795" s="799"/>
    </row>
    <row r="796" spans="1:12" hidden="1">
      <c r="A796" s="33" t="str">
        <f>'Tyre wear'!B15</f>
        <v>Tyre wear</v>
      </c>
      <c r="B796" s="39">
        <f>'Tyre wear'!C15</f>
        <v>1990</v>
      </c>
      <c r="C796" s="33" t="str">
        <f>'Tyre wear'!D15</f>
        <v>RUBBER</v>
      </c>
      <c r="D796" s="792">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90">
        <f t="shared" si="12"/>
        <v>0.13309242924026707</v>
      </c>
      <c r="L796" s="162"/>
    </row>
    <row r="797" spans="1:12" hidden="1">
      <c r="A797" s="34" t="str">
        <f>'Tyre wear'!B16</f>
        <v>Tyre wear</v>
      </c>
      <c r="B797" s="40">
        <f>'Tyre wear'!C16</f>
        <v>1995</v>
      </c>
      <c r="C797" s="34" t="str">
        <f>'Tyre wear'!D16</f>
        <v>RUBBER</v>
      </c>
      <c r="D797" s="793">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90">
        <f t="shared" si="12"/>
        <v>0.13309242924026707</v>
      </c>
      <c r="L797" s="163"/>
    </row>
    <row r="798" spans="1:12" hidden="1">
      <c r="A798" s="34" t="str">
        <f>'Tyre wear'!B17</f>
        <v>Tyre wear</v>
      </c>
      <c r="B798" s="40">
        <f>'Tyre wear'!C17</f>
        <v>2000</v>
      </c>
      <c r="C798" s="34" t="str">
        <f>'Tyre wear'!D17</f>
        <v>RUBBER</v>
      </c>
      <c r="D798" s="793">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90">
        <f t="shared" si="12"/>
        <v>0.13309242924026707</v>
      </c>
      <c r="L798" s="163"/>
    </row>
    <row r="799" spans="1:12" hidden="1">
      <c r="A799" s="34" t="str">
        <f>'Tyre wear'!B18</f>
        <v>Tyre wear</v>
      </c>
      <c r="B799" s="40">
        <f>'Tyre wear'!C18</f>
        <v>2005</v>
      </c>
      <c r="C799" s="34" t="str">
        <f>'Tyre wear'!D18</f>
        <v>RUBBER</v>
      </c>
      <c r="D799" s="793">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90">
        <f t="shared" si="12"/>
        <v>0.13309242924026707</v>
      </c>
      <c r="L799" s="163"/>
    </row>
    <row r="800" spans="1:12" hidden="1">
      <c r="A800" s="34" t="str">
        <f>'Tyre wear'!B19</f>
        <v>Tyre wear</v>
      </c>
      <c r="B800" s="40">
        <f>'Tyre wear'!C19</f>
        <v>2010</v>
      </c>
      <c r="C800" s="34" t="str">
        <f>'Tyre wear'!D19</f>
        <v>RUBBER</v>
      </c>
      <c r="D800" s="793">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90">
        <f t="shared" si="12"/>
        <v>0.13309242924026707</v>
      </c>
      <c r="L800" s="163"/>
    </row>
    <row r="801" spans="1:12" hidden="1">
      <c r="A801" s="34" t="str">
        <f>'Tyre wear'!B20</f>
        <v>Tyre wear</v>
      </c>
      <c r="B801" s="40">
        <f>'Tyre wear'!C20</f>
        <v>2015</v>
      </c>
      <c r="C801" s="34" t="str">
        <f>'Tyre wear'!D20</f>
        <v>RUBBER</v>
      </c>
      <c r="D801" s="793">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90">
        <f t="shared" si="12"/>
        <v>0.13309242924026707</v>
      </c>
      <c r="L801" s="163"/>
    </row>
    <row r="802" spans="1:12" hidden="1">
      <c r="A802" s="34" t="str">
        <f>'Tyre wear'!B21</f>
        <v>Tyre wear</v>
      </c>
      <c r="B802" s="40">
        <f>'Tyre wear'!C21</f>
        <v>2019</v>
      </c>
      <c r="C802" s="34" t="str">
        <f>'Tyre wear'!D21</f>
        <v>RUBBER</v>
      </c>
      <c r="D802" s="793">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90">
        <f t="shared" si="12"/>
        <v>0.13309242924026707</v>
      </c>
      <c r="L802" s="163"/>
    </row>
    <row r="803" spans="1:12" hidden="1">
      <c r="A803" s="34" t="str">
        <f>'Tyre wear'!B22</f>
        <v>Tyre wear</v>
      </c>
      <c r="B803" s="40">
        <f>'Tyre wear'!C22</f>
        <v>2020</v>
      </c>
      <c r="C803" s="34" t="str">
        <f>'Tyre wear'!D22</f>
        <v>RUBBER</v>
      </c>
      <c r="D803" s="793">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90">
        <f t="shared" si="12"/>
        <v>0.13309242924026707</v>
      </c>
      <c r="L803" s="163"/>
    </row>
    <row r="804" spans="1:12" hidden="1">
      <c r="A804" s="34" t="str">
        <f>'Tyre wear'!B24</f>
        <v>Tyre wear</v>
      </c>
      <c r="B804" s="40">
        <f>'Tyre wear'!C24</f>
        <v>1990</v>
      </c>
      <c r="C804" s="34" t="str">
        <f>'Tyre wear'!D24</f>
        <v>RUBBER</v>
      </c>
      <c r="D804" s="793">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90">
        <f t="shared" si="12"/>
        <v>0.13309242924026707</v>
      </c>
      <c r="L804" s="163"/>
    </row>
    <row r="805" spans="1:12" hidden="1">
      <c r="A805" s="34" t="str">
        <f>'Tyre wear'!B25</f>
        <v>Tyre wear</v>
      </c>
      <c r="B805" s="40">
        <f>'Tyre wear'!C25</f>
        <v>1995</v>
      </c>
      <c r="C805" s="34" t="str">
        <f>'Tyre wear'!D25</f>
        <v>RUBBER</v>
      </c>
      <c r="D805" s="793">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90">
        <f t="shared" si="12"/>
        <v>0.13309242924026707</v>
      </c>
      <c r="L805" s="163"/>
    </row>
    <row r="806" spans="1:12" hidden="1">
      <c r="A806" s="34" t="str">
        <f>'Tyre wear'!B26</f>
        <v>Tyre wear</v>
      </c>
      <c r="B806" s="40">
        <f>'Tyre wear'!C26</f>
        <v>2000</v>
      </c>
      <c r="C806" s="34" t="str">
        <f>'Tyre wear'!D26</f>
        <v>RUBBER</v>
      </c>
      <c r="D806" s="793">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90">
        <f t="shared" si="12"/>
        <v>0.13309242924026707</v>
      </c>
      <c r="L806" s="163"/>
    </row>
    <row r="807" spans="1:12" hidden="1">
      <c r="A807" s="34" t="str">
        <f>'Tyre wear'!B27</f>
        <v>Tyre wear</v>
      </c>
      <c r="B807" s="40">
        <f>'Tyre wear'!C27</f>
        <v>2005</v>
      </c>
      <c r="C807" s="34" t="str">
        <f>'Tyre wear'!D27</f>
        <v>RUBBER</v>
      </c>
      <c r="D807" s="793">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90">
        <f t="shared" si="12"/>
        <v>0.13309242924026707</v>
      </c>
      <c r="L807" s="163"/>
    </row>
    <row r="808" spans="1:12" hidden="1">
      <c r="A808" s="34" t="str">
        <f>'Tyre wear'!B28</f>
        <v>Tyre wear</v>
      </c>
      <c r="B808" s="40">
        <f>'Tyre wear'!C28</f>
        <v>2010</v>
      </c>
      <c r="C808" s="34" t="str">
        <f>'Tyre wear'!D28</f>
        <v>RUBBER</v>
      </c>
      <c r="D808" s="793">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90">
        <f t="shared" si="12"/>
        <v>0.13309242924026707</v>
      </c>
      <c r="L808" s="163"/>
    </row>
    <row r="809" spans="1:12" hidden="1">
      <c r="A809" s="34" t="str">
        <f>'Tyre wear'!B29</f>
        <v>Tyre wear</v>
      </c>
      <c r="B809" s="40">
        <f>'Tyre wear'!C29</f>
        <v>2015</v>
      </c>
      <c r="C809" s="34" t="str">
        <f>'Tyre wear'!D29</f>
        <v>RUBBER</v>
      </c>
      <c r="D809" s="793">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90">
        <f t="shared" si="12"/>
        <v>0.13309242924026707</v>
      </c>
      <c r="L809" s="163"/>
    </row>
    <row r="810" spans="1:12" hidden="1">
      <c r="A810" s="34" t="str">
        <f>'Tyre wear'!B30</f>
        <v>Tyre wear</v>
      </c>
      <c r="B810" s="40">
        <f>'Tyre wear'!C30</f>
        <v>2019</v>
      </c>
      <c r="C810" s="34" t="str">
        <f>'Tyre wear'!D30</f>
        <v>RUBBER</v>
      </c>
      <c r="D810" s="793">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90">
        <f t="shared" si="12"/>
        <v>0.13309242924026707</v>
      </c>
      <c r="L810" s="163"/>
    </row>
    <row r="811" spans="1:12" ht="15.75" hidden="1" thickBot="1">
      <c r="A811" s="35" t="str">
        <f>'Tyre wear'!B31</f>
        <v>Tyre wear</v>
      </c>
      <c r="B811" s="41">
        <f>'Tyre wear'!C31</f>
        <v>2020</v>
      </c>
      <c r="C811" s="35" t="str">
        <f>'Tyre wear'!D31</f>
        <v>RUBBER</v>
      </c>
      <c r="D811" s="796">
        <f>'Tyre wear'!E31</f>
        <v>21.5151739149929</v>
      </c>
      <c r="E811" s="152" t="str">
        <f>'Tyre wear'!F31</f>
        <v>HIGH - Own calculation based on RWS, 2022. Bandenslijtage wegverkeer (No. Versie juli 2022), Emissieschattingen Diffuse bronnen Emissieregistratie.</v>
      </c>
      <c r="F811" s="30">
        <f>'Tyre wear'!G31</f>
        <v>1</v>
      </c>
      <c r="G811" s="12">
        <f>'Tyre wear'!H31</f>
        <v>1</v>
      </c>
      <c r="H811" s="12">
        <f>'Tyre wear'!I31</f>
        <v>1</v>
      </c>
      <c r="I811" s="12">
        <f>'Tyre wear'!J31</f>
        <v>1</v>
      </c>
      <c r="J811" s="44">
        <f>'Tyre wear'!K31</f>
        <v>1</v>
      </c>
      <c r="K811" s="290">
        <f t="shared" si="12"/>
        <v>0.13309242924026707</v>
      </c>
      <c r="L811" s="164"/>
    </row>
    <row r="812" spans="1:12" hidden="1">
      <c r="A812" s="898" t="s">
        <v>2043</v>
      </c>
      <c r="B812" s="898">
        <f>Clothing!B20</f>
        <v>2011</v>
      </c>
      <c r="C812" s="898" t="str">
        <f>Clothing!C20</f>
        <v>Acryl</v>
      </c>
      <c r="D812" s="899">
        <f>Clothing!K20</f>
        <v>1.6237025193158858</v>
      </c>
      <c r="E812" s="900" t="s">
        <v>2044</v>
      </c>
      <c r="F812" s="28">
        <f>Clothing!O20</f>
        <v>1</v>
      </c>
      <c r="G812" s="11">
        <f>Clothing!P20</f>
        <v>1</v>
      </c>
      <c r="H812" s="11">
        <f>Clothing!Q20</f>
        <v>2</v>
      </c>
      <c r="I812" s="11">
        <f>Clothing!R20</f>
        <v>2</v>
      </c>
      <c r="J812" s="42">
        <f>Clothing!S20</f>
        <v>2</v>
      </c>
      <c r="K812" s="290">
        <f t="shared" si="12"/>
        <v>0.37356464144298934</v>
      </c>
    </row>
    <row r="813" spans="1:12" hidden="1">
      <c r="A813" s="898" t="s">
        <v>2043</v>
      </c>
      <c r="B813" s="898">
        <f>Clothing!B21</f>
        <v>2011</v>
      </c>
      <c r="C813" s="898" t="str">
        <f>Clothing!C21</f>
        <v>OTHER</v>
      </c>
      <c r="D813" s="899">
        <f>Clothing!K21</f>
        <v>2.0908059721557302</v>
      </c>
      <c r="E813" s="900" t="s">
        <v>2044</v>
      </c>
      <c r="F813" s="898">
        <f>Clothing!O21</f>
        <v>1</v>
      </c>
      <c r="G813" s="898">
        <f>Clothing!P21</f>
        <v>1</v>
      </c>
      <c r="H813" s="898">
        <f>Clothing!Q21</f>
        <v>2</v>
      </c>
      <c r="I813" s="898">
        <f>Clothing!R21</f>
        <v>2</v>
      </c>
      <c r="J813" s="898">
        <f>Clothing!S21</f>
        <v>2</v>
      </c>
      <c r="K813" s="290">
        <f t="shared" si="12"/>
        <v>0.37356464144298934</v>
      </c>
    </row>
    <row r="814" spans="1:12" hidden="1">
      <c r="A814" s="898" t="s">
        <v>2043</v>
      </c>
      <c r="B814" s="898">
        <f>Clothing!B22</f>
        <v>2011</v>
      </c>
      <c r="C814" s="898" t="str">
        <f>Clothing!C22</f>
        <v>PA</v>
      </c>
      <c r="D814" s="899">
        <f>Clothing!K22</f>
        <v>5.5209911197268395</v>
      </c>
      <c r="E814" s="900" t="s">
        <v>2044</v>
      </c>
      <c r="F814" s="898">
        <f>Clothing!O22</f>
        <v>1</v>
      </c>
      <c r="G814" s="898">
        <f>Clothing!P22</f>
        <v>1</v>
      </c>
      <c r="H814" s="898">
        <f>Clothing!Q22</f>
        <v>2</v>
      </c>
      <c r="I814" s="898">
        <f>Clothing!R22</f>
        <v>2</v>
      </c>
      <c r="J814" s="898">
        <f>Clothing!S22</f>
        <v>2</v>
      </c>
      <c r="K814" s="290">
        <f t="shared" si="12"/>
        <v>0.37356464144298934</v>
      </c>
    </row>
    <row r="815" spans="1:12" hidden="1">
      <c r="A815" s="898" t="s">
        <v>2043</v>
      </c>
      <c r="B815" s="898">
        <f>Clothing!B23</f>
        <v>2011</v>
      </c>
      <c r="C815" s="898" t="str">
        <f>Clothing!C23</f>
        <v>PET</v>
      </c>
      <c r="D815" s="899">
        <f>Clothing!K23</f>
        <v>14.874817120410395</v>
      </c>
      <c r="E815" s="900" t="s">
        <v>2044</v>
      </c>
      <c r="F815" s="898">
        <f>Clothing!O23</f>
        <v>1</v>
      </c>
      <c r="G815" s="898">
        <f>Clothing!P23</f>
        <v>1</v>
      </c>
      <c r="H815" s="898">
        <f>Clothing!Q23</f>
        <v>2</v>
      </c>
      <c r="I815" s="898">
        <f>Clothing!R23</f>
        <v>2</v>
      </c>
      <c r="J815" s="898">
        <f>Clothing!S23</f>
        <v>2</v>
      </c>
      <c r="K815" s="290">
        <f t="shared" si="12"/>
        <v>0.37356464144298934</v>
      </c>
    </row>
    <row r="816" spans="1:12" hidden="1">
      <c r="A816" s="898" t="s">
        <v>2043</v>
      </c>
      <c r="B816" s="898">
        <f>Clothing!B24</f>
        <v>2011</v>
      </c>
      <c r="C816" s="898" t="str">
        <f>Clothing!C24</f>
        <v>PUR</v>
      </c>
      <c r="D816" s="899">
        <f>Clothing!K24</f>
        <v>2.5409901515832356</v>
      </c>
      <c r="E816" s="900" t="s">
        <v>2044</v>
      </c>
      <c r="F816" s="898">
        <f>Clothing!O24</f>
        <v>1</v>
      </c>
      <c r="G816" s="898">
        <f>Clothing!P24</f>
        <v>1</v>
      </c>
      <c r="H816" s="898">
        <f>Clothing!Q24</f>
        <v>2</v>
      </c>
      <c r="I816" s="898">
        <f>Clothing!R24</f>
        <v>2</v>
      </c>
      <c r="J816" s="898">
        <f>Clothing!S24</f>
        <v>2</v>
      </c>
      <c r="K816" s="290">
        <f t="shared" si="12"/>
        <v>0.37356464144298934</v>
      </c>
    </row>
    <row r="817" spans="1:11" hidden="1">
      <c r="A817" s="898" t="s">
        <v>2043</v>
      </c>
      <c r="B817" s="898">
        <f>Clothing!B25</f>
        <v>2011</v>
      </c>
      <c r="C817" s="898" t="str">
        <f>Clothing!C25</f>
        <v>PVC</v>
      </c>
      <c r="D817" s="899">
        <f>Clothing!K25</f>
        <v>1.540249393108625</v>
      </c>
      <c r="E817" s="900" t="s">
        <v>2044</v>
      </c>
      <c r="F817" s="898">
        <f>Clothing!O25</f>
        <v>1</v>
      </c>
      <c r="G817" s="898">
        <f>Clothing!P25</f>
        <v>1</v>
      </c>
      <c r="H817" s="898">
        <f>Clothing!Q25</f>
        <v>2</v>
      </c>
      <c r="I817" s="898">
        <f>Clothing!R25</f>
        <v>2</v>
      </c>
      <c r="J817" s="898">
        <f>Clothing!S25</f>
        <v>2</v>
      </c>
      <c r="K817" s="290">
        <f t="shared" si="12"/>
        <v>0.37356464144298934</v>
      </c>
    </row>
    <row r="818" spans="1:11" hidden="1">
      <c r="A818" s="898" t="s">
        <v>2043</v>
      </c>
      <c r="B818" s="898">
        <f>Clothing!B26</f>
        <v>2011</v>
      </c>
      <c r="C818" s="898" t="str">
        <f>Clothing!C26</f>
        <v>RUBBER</v>
      </c>
      <c r="D818" s="899">
        <f>Clothing!K26</f>
        <v>1.9686961596173094</v>
      </c>
      <c r="E818" s="900" t="s">
        <v>2044</v>
      </c>
      <c r="F818" s="898">
        <f>Clothing!O26</f>
        <v>1</v>
      </c>
      <c r="G818" s="898">
        <f>Clothing!P26</f>
        <v>1</v>
      </c>
      <c r="H818" s="898">
        <f>Clothing!Q26</f>
        <v>2</v>
      </c>
      <c r="I818" s="898">
        <f>Clothing!R26</f>
        <v>2</v>
      </c>
      <c r="J818" s="898">
        <f>Clothing!S26</f>
        <v>2</v>
      </c>
      <c r="K818" s="290">
        <f t="shared" si="12"/>
        <v>0.37356464144298934</v>
      </c>
    </row>
    <row r="819" spans="1:11" hidden="1">
      <c r="A819" s="898" t="s">
        <v>2043</v>
      </c>
      <c r="B819" s="898">
        <f>Clothing!B27</f>
        <v>2012</v>
      </c>
      <c r="C819" s="898" t="str">
        <f>Clothing!C27</f>
        <v>Acryl</v>
      </c>
      <c r="D819" s="899">
        <f>Clothing!K27</f>
        <v>1.6522743598763239</v>
      </c>
      <c r="E819" s="900" t="s">
        <v>2044</v>
      </c>
      <c r="F819" s="898">
        <f>Clothing!O27</f>
        <v>1</v>
      </c>
      <c r="G819" s="898">
        <f>Clothing!P27</f>
        <v>1</v>
      </c>
      <c r="H819" s="898">
        <f>Clothing!Q27</f>
        <v>2</v>
      </c>
      <c r="I819" s="898">
        <f>Clothing!R27</f>
        <v>2</v>
      </c>
      <c r="J819" s="898">
        <f>Clothing!S27</f>
        <v>2</v>
      </c>
      <c r="K819" s="290">
        <f t="shared" si="12"/>
        <v>0.37356464144298934</v>
      </c>
    </row>
    <row r="820" spans="1:11" hidden="1">
      <c r="A820" s="898" t="s">
        <v>2043</v>
      </c>
      <c r="B820" s="898">
        <f>Clothing!B28</f>
        <v>2012</v>
      </c>
      <c r="C820" s="898" t="str">
        <f>Clothing!C28</f>
        <v>OTHER</v>
      </c>
      <c r="D820" s="899">
        <f>Clothing!K28</f>
        <v>1.6515464460146478</v>
      </c>
      <c r="E820" s="900" t="s">
        <v>2044</v>
      </c>
      <c r="F820" s="898">
        <f>Clothing!O28</f>
        <v>1</v>
      </c>
      <c r="G820" s="898">
        <f>Clothing!P28</f>
        <v>1</v>
      </c>
      <c r="H820" s="898">
        <f>Clothing!Q28</f>
        <v>2</v>
      </c>
      <c r="I820" s="898">
        <f>Clothing!R28</f>
        <v>2</v>
      </c>
      <c r="J820" s="898">
        <f>Clothing!S28</f>
        <v>2</v>
      </c>
      <c r="K820" s="290">
        <f t="shared" si="12"/>
        <v>0.37356464144298934</v>
      </c>
    </row>
    <row r="821" spans="1:11" hidden="1">
      <c r="A821" s="898" t="s">
        <v>2043</v>
      </c>
      <c r="B821" s="898">
        <f>Clothing!B29</f>
        <v>2012</v>
      </c>
      <c r="C821" s="898" t="str">
        <f>Clothing!C29</f>
        <v>PA</v>
      </c>
      <c r="D821" s="899">
        <f>Clothing!K29</f>
        <v>4.8447503957320581</v>
      </c>
      <c r="E821" s="900" t="s">
        <v>2044</v>
      </c>
      <c r="F821" s="898">
        <f>Clothing!O29</f>
        <v>1</v>
      </c>
      <c r="G821" s="898">
        <f>Clothing!P29</f>
        <v>1</v>
      </c>
      <c r="H821" s="898">
        <f>Clothing!Q29</f>
        <v>2</v>
      </c>
      <c r="I821" s="898">
        <f>Clothing!R29</f>
        <v>2</v>
      </c>
      <c r="J821" s="898">
        <f>Clothing!S29</f>
        <v>2</v>
      </c>
      <c r="K821" s="290">
        <f t="shared" si="12"/>
        <v>0.37356464144298934</v>
      </c>
    </row>
    <row r="822" spans="1:11" hidden="1">
      <c r="A822" s="898" t="s">
        <v>2043</v>
      </c>
      <c r="B822" s="898">
        <f>Clothing!B30</f>
        <v>2012</v>
      </c>
      <c r="C822" s="898" t="str">
        <f>Clothing!C30</f>
        <v>PET</v>
      </c>
      <c r="D822" s="899">
        <f>Clothing!K30</f>
        <v>15.489528328011447</v>
      </c>
      <c r="E822" s="900" t="s">
        <v>2044</v>
      </c>
      <c r="F822" s="898">
        <f>Clothing!O30</f>
        <v>1</v>
      </c>
      <c r="G822" s="898">
        <f>Clothing!P30</f>
        <v>1</v>
      </c>
      <c r="H822" s="898">
        <f>Clothing!Q30</f>
        <v>2</v>
      </c>
      <c r="I822" s="898">
        <f>Clothing!R30</f>
        <v>2</v>
      </c>
      <c r="J822" s="898">
        <f>Clothing!S30</f>
        <v>2</v>
      </c>
      <c r="K822" s="290">
        <f t="shared" si="12"/>
        <v>0.37356464144298934</v>
      </c>
    </row>
    <row r="823" spans="1:11" hidden="1">
      <c r="A823" s="898" t="s">
        <v>2043</v>
      </c>
      <c r="B823" s="898">
        <f>Clothing!B31</f>
        <v>2012</v>
      </c>
      <c r="C823" s="898" t="str">
        <f>Clothing!C31</f>
        <v>PUR</v>
      </c>
      <c r="D823" s="899">
        <f>Clothing!K31</f>
        <v>2.3548114072756321</v>
      </c>
      <c r="E823" s="900" t="s">
        <v>2044</v>
      </c>
      <c r="F823" s="898">
        <f>Clothing!O31</f>
        <v>1</v>
      </c>
      <c r="G823" s="898">
        <f>Clothing!P31</f>
        <v>1</v>
      </c>
      <c r="H823" s="898">
        <f>Clothing!Q31</f>
        <v>2</v>
      </c>
      <c r="I823" s="898">
        <f>Clothing!R31</f>
        <v>2</v>
      </c>
      <c r="J823" s="898">
        <f>Clothing!S31</f>
        <v>2</v>
      </c>
      <c r="K823" s="290">
        <f t="shared" si="12"/>
        <v>0.37356464144298934</v>
      </c>
    </row>
    <row r="824" spans="1:11" hidden="1">
      <c r="A824" s="898" t="s">
        <v>2043</v>
      </c>
      <c r="B824" s="898">
        <f>Clothing!B32</f>
        <v>2012</v>
      </c>
      <c r="C824" s="898" t="str">
        <f>Clothing!C32</f>
        <v>PVC</v>
      </c>
      <c r="D824" s="899">
        <f>Clothing!K32</f>
        <v>1.4157171669046023</v>
      </c>
      <c r="E824" s="900" t="s">
        <v>2044</v>
      </c>
      <c r="F824" s="898">
        <f>Clothing!O32</f>
        <v>1</v>
      </c>
      <c r="G824" s="898">
        <f>Clothing!P32</f>
        <v>1</v>
      </c>
      <c r="H824" s="898">
        <f>Clothing!Q32</f>
        <v>2</v>
      </c>
      <c r="I824" s="898">
        <f>Clothing!R32</f>
        <v>2</v>
      </c>
      <c r="J824" s="898">
        <f>Clothing!S32</f>
        <v>2</v>
      </c>
      <c r="K824" s="290">
        <f t="shared" si="12"/>
        <v>0.37356464144298934</v>
      </c>
    </row>
    <row r="825" spans="1:11" hidden="1">
      <c r="A825" s="898" t="s">
        <v>2043</v>
      </c>
      <c r="B825" s="898">
        <f>Clothing!B33</f>
        <v>2012</v>
      </c>
      <c r="C825" s="898" t="str">
        <f>Clothing!C33</f>
        <v>RUBBER</v>
      </c>
      <c r="D825" s="899">
        <f>Clothing!K33</f>
        <v>1.7076731562759742</v>
      </c>
      <c r="E825" s="900" t="s">
        <v>2044</v>
      </c>
      <c r="F825" s="898">
        <f>Clothing!O33</f>
        <v>1</v>
      </c>
      <c r="G825" s="898">
        <f>Clothing!P33</f>
        <v>1</v>
      </c>
      <c r="H825" s="898">
        <f>Clothing!Q33</f>
        <v>2</v>
      </c>
      <c r="I825" s="898">
        <f>Clothing!R33</f>
        <v>2</v>
      </c>
      <c r="J825" s="898">
        <f>Clothing!S33</f>
        <v>2</v>
      </c>
      <c r="K825" s="290">
        <f t="shared" si="12"/>
        <v>0.37356464144298934</v>
      </c>
    </row>
    <row r="826" spans="1:11" hidden="1">
      <c r="A826" s="898" t="s">
        <v>2043</v>
      </c>
      <c r="B826" s="898">
        <f>Clothing!B34</f>
        <v>2013</v>
      </c>
      <c r="C826" s="898" t="str">
        <f>Clothing!C34</f>
        <v>Acryl</v>
      </c>
      <c r="D826" s="899">
        <f>Clothing!K34</f>
        <v>1.5954357548732474</v>
      </c>
      <c r="E826" s="900" t="s">
        <v>2044</v>
      </c>
      <c r="F826" s="898">
        <f>Clothing!O34</f>
        <v>1</v>
      </c>
      <c r="G826" s="898">
        <f>Clothing!P34</f>
        <v>1</v>
      </c>
      <c r="H826" s="898">
        <f>Clothing!Q34</f>
        <v>2</v>
      </c>
      <c r="I826" s="898">
        <f>Clothing!R34</f>
        <v>2</v>
      </c>
      <c r="J826" s="898">
        <f>Clothing!S34</f>
        <v>2</v>
      </c>
      <c r="K826" s="290">
        <f t="shared" si="12"/>
        <v>0.37356464144298934</v>
      </c>
    </row>
    <row r="827" spans="1:11" hidden="1">
      <c r="A827" s="898" t="s">
        <v>2043</v>
      </c>
      <c r="B827" s="898">
        <f>Clothing!B35</f>
        <v>2013</v>
      </c>
      <c r="C827" s="898" t="str">
        <f>Clothing!C35</f>
        <v>OTHER</v>
      </c>
      <c r="D827" s="899">
        <f>Clothing!K35</f>
        <v>1.8631700836202618</v>
      </c>
      <c r="E827" s="900" t="s">
        <v>2044</v>
      </c>
      <c r="F827" s="898">
        <f>Clothing!O35</f>
        <v>1</v>
      </c>
      <c r="G827" s="898">
        <f>Clothing!P35</f>
        <v>1</v>
      </c>
      <c r="H827" s="898">
        <f>Clothing!Q35</f>
        <v>2</v>
      </c>
      <c r="I827" s="898">
        <f>Clothing!R35</f>
        <v>2</v>
      </c>
      <c r="J827" s="898">
        <f>Clothing!S35</f>
        <v>2</v>
      </c>
      <c r="K827" s="290">
        <f t="shared" si="12"/>
        <v>0.37356464144298934</v>
      </c>
    </row>
    <row r="828" spans="1:11" hidden="1">
      <c r="A828" s="898" t="s">
        <v>2043</v>
      </c>
      <c r="B828" s="898">
        <f>Clothing!B36</f>
        <v>2013</v>
      </c>
      <c r="C828" s="898" t="str">
        <f>Clothing!C36</f>
        <v>PA</v>
      </c>
      <c r="D828" s="899">
        <f>Clothing!K36</f>
        <v>4.9208912999329382</v>
      </c>
      <c r="E828" s="900" t="s">
        <v>2044</v>
      </c>
      <c r="F828" s="898">
        <f>Clothing!O36</f>
        <v>1</v>
      </c>
      <c r="G828" s="898">
        <f>Clothing!P36</f>
        <v>1</v>
      </c>
      <c r="H828" s="898">
        <f>Clothing!Q36</f>
        <v>2</v>
      </c>
      <c r="I828" s="898">
        <f>Clothing!R36</f>
        <v>2</v>
      </c>
      <c r="J828" s="898">
        <f>Clothing!S36</f>
        <v>2</v>
      </c>
      <c r="K828" s="290">
        <f t="shared" si="12"/>
        <v>0.37356464144298934</v>
      </c>
    </row>
    <row r="829" spans="1:11" hidden="1">
      <c r="A829" s="898" t="s">
        <v>2043</v>
      </c>
      <c r="B829" s="898">
        <f>Clothing!B37</f>
        <v>2013</v>
      </c>
      <c r="C829" s="898" t="str">
        <f>Clothing!C37</f>
        <v>PET</v>
      </c>
      <c r="D829" s="899">
        <f>Clothing!K37</f>
        <v>16.487461578420913</v>
      </c>
      <c r="E829" s="900" t="s">
        <v>2044</v>
      </c>
      <c r="F829" s="898">
        <f>Clothing!O37</f>
        <v>1</v>
      </c>
      <c r="G829" s="898">
        <f>Clothing!P37</f>
        <v>1</v>
      </c>
      <c r="H829" s="898">
        <f>Clothing!Q37</f>
        <v>2</v>
      </c>
      <c r="I829" s="898">
        <f>Clothing!R37</f>
        <v>2</v>
      </c>
      <c r="J829" s="898">
        <f>Clothing!S37</f>
        <v>2</v>
      </c>
      <c r="K829" s="290">
        <f t="shared" ref="K829:K892" si="14">IF( OR( ISBLANK(F829),ISBLANK(G829), ISBLANK(H829), ISBLANK(I829), ISBLANK(J829) ), "", 1.5*SQRT(   EXP(2.21*(F829-1)) + EXP(2.21*(G829-1)) + EXP(2.21*(H829-1)) + EXP(2.21*(I829-1)) + EXP(2.21*J829)   )/100*2.45 )</f>
        <v>0.37356464144298934</v>
      </c>
    </row>
    <row r="830" spans="1:11" hidden="1">
      <c r="A830" s="898" t="s">
        <v>2043</v>
      </c>
      <c r="B830" s="898">
        <f>Clothing!B38</f>
        <v>2013</v>
      </c>
      <c r="C830" s="898" t="str">
        <f>Clothing!C38</f>
        <v>PUR</v>
      </c>
      <c r="D830" s="899">
        <f>Clothing!K38</f>
        <v>2.4115147645971078</v>
      </c>
      <c r="E830" s="900" t="s">
        <v>2044</v>
      </c>
      <c r="F830" s="898">
        <f>Clothing!O38</f>
        <v>1</v>
      </c>
      <c r="G830" s="898">
        <f>Clothing!P38</f>
        <v>1</v>
      </c>
      <c r="H830" s="898">
        <f>Clothing!Q38</f>
        <v>2</v>
      </c>
      <c r="I830" s="898">
        <f>Clothing!R38</f>
        <v>2</v>
      </c>
      <c r="J830" s="898">
        <f>Clothing!S38</f>
        <v>2</v>
      </c>
      <c r="K830" s="290">
        <f t="shared" si="14"/>
        <v>0.37356464144298934</v>
      </c>
    </row>
    <row r="831" spans="1:11" hidden="1">
      <c r="A831" s="898" t="s">
        <v>2043</v>
      </c>
      <c r="B831" s="898">
        <f>Clothing!B39</f>
        <v>2013</v>
      </c>
      <c r="C831" s="898" t="str">
        <f>Clothing!C39</f>
        <v>PVC</v>
      </c>
      <c r="D831" s="899">
        <f>Clothing!K39</f>
        <v>1.4710856157845025</v>
      </c>
      <c r="E831" s="900" t="s">
        <v>2044</v>
      </c>
      <c r="F831" s="898">
        <f>Clothing!O39</f>
        <v>1</v>
      </c>
      <c r="G831" s="898">
        <f>Clothing!P39</f>
        <v>1</v>
      </c>
      <c r="H831" s="898">
        <f>Clothing!Q39</f>
        <v>2</v>
      </c>
      <c r="I831" s="898">
        <f>Clothing!R39</f>
        <v>2</v>
      </c>
      <c r="J831" s="898">
        <f>Clothing!S39</f>
        <v>2</v>
      </c>
      <c r="K831" s="290">
        <f t="shared" si="14"/>
        <v>0.37356464144298934</v>
      </c>
    </row>
    <row r="832" spans="1:11" hidden="1">
      <c r="A832" s="898" t="s">
        <v>2043</v>
      </c>
      <c r="B832" s="898">
        <f>Clothing!B40</f>
        <v>2013</v>
      </c>
      <c r="C832" s="898" t="str">
        <f>Clothing!C40</f>
        <v>RUBBER</v>
      </c>
      <c r="D832" s="899">
        <f>Clothing!K40</f>
        <v>1.9350169436210598</v>
      </c>
      <c r="E832" s="900" t="s">
        <v>2044</v>
      </c>
      <c r="F832" s="898">
        <f>Clothing!O40</f>
        <v>1</v>
      </c>
      <c r="G832" s="898">
        <f>Clothing!P40</f>
        <v>1</v>
      </c>
      <c r="H832" s="898">
        <f>Clothing!Q40</f>
        <v>2</v>
      </c>
      <c r="I832" s="898">
        <f>Clothing!R40</f>
        <v>2</v>
      </c>
      <c r="J832" s="898">
        <f>Clothing!S40</f>
        <v>2</v>
      </c>
      <c r="K832" s="290">
        <f t="shared" si="14"/>
        <v>0.37356464144298934</v>
      </c>
    </row>
    <row r="833" spans="1:11" hidden="1">
      <c r="A833" s="898" t="s">
        <v>2043</v>
      </c>
      <c r="B833" s="898">
        <f>Clothing!B41</f>
        <v>2014</v>
      </c>
      <c r="C833" s="898" t="str">
        <f>Clothing!C41</f>
        <v>Acryl</v>
      </c>
      <c r="D833" s="899">
        <f>Clothing!K41</f>
        <v>1.5404063707319062</v>
      </c>
      <c r="E833" s="900" t="s">
        <v>2044</v>
      </c>
      <c r="F833" s="898">
        <f>Clothing!O41</f>
        <v>1</v>
      </c>
      <c r="G833" s="898">
        <f>Clothing!P41</f>
        <v>1</v>
      </c>
      <c r="H833" s="898">
        <f>Clothing!Q41</f>
        <v>2</v>
      </c>
      <c r="I833" s="898">
        <f>Clothing!R41</f>
        <v>2</v>
      </c>
      <c r="J833" s="898">
        <f>Clothing!S41</f>
        <v>2</v>
      </c>
      <c r="K833" s="290">
        <f t="shared" si="14"/>
        <v>0.37356464144298934</v>
      </c>
    </row>
    <row r="834" spans="1:11" hidden="1">
      <c r="A834" s="898" t="s">
        <v>2043</v>
      </c>
      <c r="B834" s="898">
        <f>Clothing!B42</f>
        <v>2014</v>
      </c>
      <c r="C834" s="898" t="str">
        <f>Clothing!C42</f>
        <v>OTHER</v>
      </c>
      <c r="D834" s="899">
        <f>Clothing!K42</f>
        <v>2.1855108727502697</v>
      </c>
      <c r="E834" s="900" t="s">
        <v>2044</v>
      </c>
      <c r="F834" s="898">
        <f>Clothing!O42</f>
        <v>1</v>
      </c>
      <c r="G834" s="898">
        <f>Clothing!P42</f>
        <v>1</v>
      </c>
      <c r="H834" s="898">
        <f>Clothing!Q42</f>
        <v>2</v>
      </c>
      <c r="I834" s="898">
        <f>Clothing!R42</f>
        <v>2</v>
      </c>
      <c r="J834" s="898">
        <f>Clothing!S42</f>
        <v>2</v>
      </c>
      <c r="K834" s="290">
        <f t="shared" si="14"/>
        <v>0.37356464144298934</v>
      </c>
    </row>
    <row r="835" spans="1:11" hidden="1">
      <c r="A835" s="898" t="s">
        <v>2043</v>
      </c>
      <c r="B835" s="898">
        <f>Clothing!B43</f>
        <v>2014</v>
      </c>
      <c r="C835" s="898" t="str">
        <f>Clothing!C43</f>
        <v>PA</v>
      </c>
      <c r="D835" s="899">
        <f>Clothing!K43</f>
        <v>5.225532798831475</v>
      </c>
      <c r="E835" s="900" t="s">
        <v>2044</v>
      </c>
      <c r="F835" s="898">
        <f>Clothing!O43</f>
        <v>1</v>
      </c>
      <c r="G835" s="898">
        <f>Clothing!P43</f>
        <v>1</v>
      </c>
      <c r="H835" s="898">
        <f>Clothing!Q43</f>
        <v>2</v>
      </c>
      <c r="I835" s="898">
        <f>Clothing!R43</f>
        <v>2</v>
      </c>
      <c r="J835" s="898">
        <f>Clothing!S43</f>
        <v>2</v>
      </c>
      <c r="K835" s="290">
        <f t="shared" si="14"/>
        <v>0.37356464144298934</v>
      </c>
    </row>
    <row r="836" spans="1:11" hidden="1">
      <c r="A836" s="898" t="s">
        <v>2043</v>
      </c>
      <c r="B836" s="898">
        <f>Clothing!B44</f>
        <v>2014</v>
      </c>
      <c r="C836" s="898" t="str">
        <f>Clothing!C44</f>
        <v>PET</v>
      </c>
      <c r="D836" s="899">
        <f>Clothing!K44</f>
        <v>17.39756984603968</v>
      </c>
      <c r="E836" s="900" t="s">
        <v>2044</v>
      </c>
      <c r="F836" s="898">
        <f>Clothing!O44</f>
        <v>1</v>
      </c>
      <c r="G836" s="898">
        <f>Clothing!P44</f>
        <v>1</v>
      </c>
      <c r="H836" s="898">
        <f>Clothing!Q44</f>
        <v>2</v>
      </c>
      <c r="I836" s="898">
        <f>Clothing!R44</f>
        <v>2</v>
      </c>
      <c r="J836" s="898">
        <f>Clothing!S44</f>
        <v>2</v>
      </c>
      <c r="K836" s="290">
        <f t="shared" si="14"/>
        <v>0.37356464144298934</v>
      </c>
    </row>
    <row r="837" spans="1:11" hidden="1">
      <c r="A837" s="898" t="s">
        <v>2043</v>
      </c>
      <c r="B837" s="898">
        <f>Clothing!B45</f>
        <v>2014</v>
      </c>
      <c r="C837" s="898" t="str">
        <f>Clothing!C45</f>
        <v>PUR</v>
      </c>
      <c r="D837" s="899">
        <f>Clothing!K45</f>
        <v>2.8746714381139333</v>
      </c>
      <c r="E837" s="900" t="s">
        <v>2044</v>
      </c>
      <c r="F837" s="898">
        <f>Clothing!O45</f>
        <v>1</v>
      </c>
      <c r="G837" s="898">
        <f>Clothing!P45</f>
        <v>1</v>
      </c>
      <c r="H837" s="898">
        <f>Clothing!Q45</f>
        <v>2</v>
      </c>
      <c r="I837" s="898">
        <f>Clothing!R45</f>
        <v>2</v>
      </c>
      <c r="J837" s="898">
        <f>Clothing!S45</f>
        <v>2</v>
      </c>
      <c r="K837" s="290">
        <f t="shared" si="14"/>
        <v>0.37356464144298934</v>
      </c>
    </row>
    <row r="838" spans="1:11" hidden="1">
      <c r="A838" s="898" t="s">
        <v>2043</v>
      </c>
      <c r="B838" s="898">
        <f>Clothing!B46</f>
        <v>2014</v>
      </c>
      <c r="C838" s="898" t="str">
        <f>Clothing!C46</f>
        <v>PVC</v>
      </c>
      <c r="D838" s="899">
        <f>Clothing!K46</f>
        <v>1.7513242029846792</v>
      </c>
      <c r="E838" s="900" t="s">
        <v>2044</v>
      </c>
      <c r="F838" s="898">
        <f>Clothing!O46</f>
        <v>1</v>
      </c>
      <c r="G838" s="898">
        <f>Clothing!P46</f>
        <v>1</v>
      </c>
      <c r="H838" s="898">
        <f>Clothing!Q46</f>
        <v>2</v>
      </c>
      <c r="I838" s="898">
        <f>Clothing!R46</f>
        <v>2</v>
      </c>
      <c r="J838" s="898">
        <f>Clothing!S46</f>
        <v>2</v>
      </c>
      <c r="K838" s="290">
        <f t="shared" si="14"/>
        <v>0.37356464144298934</v>
      </c>
    </row>
    <row r="839" spans="1:11" hidden="1">
      <c r="A839" s="898" t="s">
        <v>2043</v>
      </c>
      <c r="B839" s="898">
        <f>Clothing!B47</f>
        <v>2014</v>
      </c>
      <c r="C839" s="898" t="str">
        <f>Clothing!C47</f>
        <v>RUBBER</v>
      </c>
      <c r="D839" s="899">
        <f>Clothing!K47</f>
        <v>2.2590988047356144</v>
      </c>
      <c r="E839" s="900" t="s">
        <v>2044</v>
      </c>
      <c r="F839" s="898">
        <f>Clothing!O47</f>
        <v>1</v>
      </c>
      <c r="G839" s="898">
        <f>Clothing!P47</f>
        <v>1</v>
      </c>
      <c r="H839" s="898">
        <f>Clothing!Q47</f>
        <v>2</v>
      </c>
      <c r="I839" s="898">
        <f>Clothing!R47</f>
        <v>2</v>
      </c>
      <c r="J839" s="898">
        <f>Clothing!S47</f>
        <v>2</v>
      </c>
      <c r="K839" s="290">
        <f t="shared" si="14"/>
        <v>0.37356464144298934</v>
      </c>
    </row>
    <row r="840" spans="1:11" hidden="1">
      <c r="A840" s="898" t="s">
        <v>2043</v>
      </c>
      <c r="B840" s="898">
        <f>Clothing!B48</f>
        <v>2015</v>
      </c>
      <c r="C840" s="898" t="str">
        <f>Clothing!C48</f>
        <v>Acryl</v>
      </c>
      <c r="D840" s="899">
        <f>Clothing!K48</f>
        <v>1.5060450062500634</v>
      </c>
      <c r="E840" s="900" t="s">
        <v>2044</v>
      </c>
      <c r="F840" s="898">
        <f>Clothing!O48</f>
        <v>1</v>
      </c>
      <c r="G840" s="898">
        <f>Clothing!P48</f>
        <v>1</v>
      </c>
      <c r="H840" s="898">
        <f>Clothing!Q48</f>
        <v>2</v>
      </c>
      <c r="I840" s="898">
        <f>Clothing!R48</f>
        <v>2</v>
      </c>
      <c r="J840" s="898">
        <f>Clothing!S48</f>
        <v>2</v>
      </c>
      <c r="K840" s="290">
        <f t="shared" si="14"/>
        <v>0.37356464144298934</v>
      </c>
    </row>
    <row r="841" spans="1:11" hidden="1">
      <c r="A841" s="898" t="s">
        <v>2043</v>
      </c>
      <c r="B841" s="898">
        <f>Clothing!B49</f>
        <v>2015</v>
      </c>
      <c r="C841" s="898" t="str">
        <f>Clothing!C49</f>
        <v>OTHER</v>
      </c>
      <c r="D841" s="899">
        <f>Clothing!K49</f>
        <v>2.1164958194173891</v>
      </c>
      <c r="E841" s="900" t="s">
        <v>2044</v>
      </c>
      <c r="F841" s="898">
        <f>Clothing!O49</f>
        <v>1</v>
      </c>
      <c r="G841" s="898">
        <f>Clothing!P49</f>
        <v>1</v>
      </c>
      <c r="H841" s="898">
        <f>Clothing!Q49</f>
        <v>2</v>
      </c>
      <c r="I841" s="898">
        <f>Clothing!R49</f>
        <v>2</v>
      </c>
      <c r="J841" s="898">
        <f>Clothing!S49</f>
        <v>2</v>
      </c>
      <c r="K841" s="290">
        <f t="shared" si="14"/>
        <v>0.37356464144298934</v>
      </c>
    </row>
    <row r="842" spans="1:11" hidden="1">
      <c r="A842" s="898" t="s">
        <v>2043</v>
      </c>
      <c r="B842" s="898">
        <f>Clothing!B50</f>
        <v>2015</v>
      </c>
      <c r="C842" s="898" t="str">
        <f>Clothing!C50</f>
        <v>PA</v>
      </c>
      <c r="D842" s="899">
        <f>Clothing!K50</f>
        <v>4.8648354492299468</v>
      </c>
      <c r="E842" s="900" t="s">
        <v>2044</v>
      </c>
      <c r="F842" s="898">
        <f>Clothing!O50</f>
        <v>1</v>
      </c>
      <c r="G842" s="898">
        <f>Clothing!P50</f>
        <v>1</v>
      </c>
      <c r="H842" s="898">
        <f>Clothing!Q50</f>
        <v>2</v>
      </c>
      <c r="I842" s="898">
        <f>Clothing!R50</f>
        <v>2</v>
      </c>
      <c r="J842" s="898">
        <f>Clothing!S50</f>
        <v>2</v>
      </c>
      <c r="K842" s="290">
        <f t="shared" si="14"/>
        <v>0.37356464144298934</v>
      </c>
    </row>
    <row r="843" spans="1:11" hidden="1">
      <c r="A843" s="898" t="s">
        <v>2043</v>
      </c>
      <c r="B843" s="898">
        <f>Clothing!B51</f>
        <v>2015</v>
      </c>
      <c r="C843" s="898" t="str">
        <f>Clothing!C51</f>
        <v>PET</v>
      </c>
      <c r="D843" s="899">
        <f>Clothing!K51</f>
        <v>16.151045106279835</v>
      </c>
      <c r="E843" s="900" t="s">
        <v>2044</v>
      </c>
      <c r="F843" s="898">
        <f>Clothing!O51</f>
        <v>1</v>
      </c>
      <c r="G843" s="898">
        <f>Clothing!P51</f>
        <v>1</v>
      </c>
      <c r="H843" s="898">
        <f>Clothing!Q51</f>
        <v>2</v>
      </c>
      <c r="I843" s="898">
        <f>Clothing!R51</f>
        <v>2</v>
      </c>
      <c r="J843" s="898">
        <f>Clothing!S51</f>
        <v>2</v>
      </c>
      <c r="K843" s="290">
        <f t="shared" si="14"/>
        <v>0.37356464144298934</v>
      </c>
    </row>
    <row r="844" spans="1:11" hidden="1">
      <c r="A844" s="898" t="s">
        <v>2043</v>
      </c>
      <c r="B844" s="898">
        <f>Clothing!B52</f>
        <v>2015</v>
      </c>
      <c r="C844" s="898" t="str">
        <f>Clothing!C52</f>
        <v>PUR</v>
      </c>
      <c r="D844" s="899">
        <f>Clothing!K52</f>
        <v>3.1354022690406556</v>
      </c>
      <c r="E844" s="900" t="s">
        <v>2044</v>
      </c>
      <c r="F844" s="898">
        <f>Clothing!O52</f>
        <v>1</v>
      </c>
      <c r="G844" s="898">
        <f>Clothing!P52</f>
        <v>1</v>
      </c>
      <c r="H844" s="898">
        <f>Clothing!Q52</f>
        <v>2</v>
      </c>
      <c r="I844" s="898">
        <f>Clothing!R52</f>
        <v>2</v>
      </c>
      <c r="J844" s="898">
        <f>Clothing!S52</f>
        <v>2</v>
      </c>
      <c r="K844" s="290">
        <f t="shared" si="14"/>
        <v>0.37356464144298934</v>
      </c>
    </row>
    <row r="845" spans="1:11" hidden="1">
      <c r="A845" s="898" t="s">
        <v>2043</v>
      </c>
      <c r="B845" s="898">
        <f>Clothing!B53</f>
        <v>2015</v>
      </c>
      <c r="C845" s="898" t="str">
        <f>Clothing!C53</f>
        <v>PVC</v>
      </c>
      <c r="D845" s="899">
        <f>Clothing!K53</f>
        <v>1.9160210368515285</v>
      </c>
      <c r="E845" s="900" t="s">
        <v>2044</v>
      </c>
      <c r="F845" s="898">
        <f>Clothing!O53</f>
        <v>1</v>
      </c>
      <c r="G845" s="898">
        <f>Clothing!P53</f>
        <v>1</v>
      </c>
      <c r="H845" s="898">
        <f>Clothing!Q53</f>
        <v>2</v>
      </c>
      <c r="I845" s="898">
        <f>Clothing!R53</f>
        <v>2</v>
      </c>
      <c r="J845" s="898">
        <f>Clothing!S53</f>
        <v>2</v>
      </c>
      <c r="K845" s="290">
        <f t="shared" si="14"/>
        <v>0.37356464144298934</v>
      </c>
    </row>
    <row r="846" spans="1:11" hidden="1">
      <c r="A846" s="898" t="s">
        <v>2043</v>
      </c>
      <c r="B846" s="898">
        <f>Clothing!B54</f>
        <v>2015</v>
      </c>
      <c r="C846" s="898" t="str">
        <f>Clothing!C54</f>
        <v>RUBBER</v>
      </c>
      <c r="D846" s="899">
        <f>Clothing!K54</f>
        <v>2.5472507864969991</v>
      </c>
      <c r="E846" s="900" t="s">
        <v>2044</v>
      </c>
      <c r="F846" s="898">
        <f>Clothing!O54</f>
        <v>1</v>
      </c>
      <c r="G846" s="898">
        <f>Clothing!P54</f>
        <v>1</v>
      </c>
      <c r="H846" s="898">
        <f>Clothing!Q54</f>
        <v>2</v>
      </c>
      <c r="I846" s="898">
        <f>Clothing!R54</f>
        <v>2</v>
      </c>
      <c r="J846" s="898">
        <f>Clothing!S54</f>
        <v>2</v>
      </c>
      <c r="K846" s="290">
        <f t="shared" si="14"/>
        <v>0.37356464144298934</v>
      </c>
    </row>
    <row r="847" spans="1:11" hidden="1">
      <c r="A847" s="898" t="s">
        <v>2043</v>
      </c>
      <c r="B847" s="898">
        <f>Clothing!B55</f>
        <v>2016</v>
      </c>
      <c r="C847" s="898" t="str">
        <f>Clothing!C55</f>
        <v>Acryl</v>
      </c>
      <c r="D847" s="899">
        <f>Clothing!K55</f>
        <v>1.6982389783782834</v>
      </c>
      <c r="E847" s="900" t="s">
        <v>2044</v>
      </c>
      <c r="F847" s="898">
        <f>Clothing!O55</f>
        <v>1</v>
      </c>
      <c r="G847" s="898">
        <f>Clothing!P55</f>
        <v>1</v>
      </c>
      <c r="H847" s="898">
        <f>Clothing!Q55</f>
        <v>2</v>
      </c>
      <c r="I847" s="898">
        <f>Clothing!R55</f>
        <v>2</v>
      </c>
      <c r="J847" s="898">
        <f>Clothing!S55</f>
        <v>2</v>
      </c>
      <c r="K847" s="290">
        <f t="shared" si="14"/>
        <v>0.37356464144298934</v>
      </c>
    </row>
    <row r="848" spans="1:11" hidden="1">
      <c r="A848" s="898" t="s">
        <v>2043</v>
      </c>
      <c r="B848" s="898">
        <f>Clothing!B56</f>
        <v>2016</v>
      </c>
      <c r="C848" s="898" t="str">
        <f>Clothing!C56</f>
        <v>OTHER</v>
      </c>
      <c r="D848" s="899">
        <f>Clothing!K56</f>
        <v>2.1538443858916123</v>
      </c>
      <c r="E848" s="900" t="s">
        <v>2044</v>
      </c>
      <c r="F848" s="898">
        <f>Clothing!O56</f>
        <v>1</v>
      </c>
      <c r="G848" s="898">
        <f>Clothing!P56</f>
        <v>1</v>
      </c>
      <c r="H848" s="898">
        <f>Clothing!Q56</f>
        <v>2</v>
      </c>
      <c r="I848" s="898">
        <f>Clothing!R56</f>
        <v>2</v>
      </c>
      <c r="J848" s="898">
        <f>Clothing!S56</f>
        <v>2</v>
      </c>
      <c r="K848" s="290">
        <f t="shared" si="14"/>
        <v>0.37356464144298934</v>
      </c>
    </row>
    <row r="849" spans="1:11" hidden="1">
      <c r="A849" s="898" t="s">
        <v>2043</v>
      </c>
      <c r="B849" s="898">
        <f>Clothing!B57</f>
        <v>2016</v>
      </c>
      <c r="C849" s="898" t="str">
        <f>Clothing!C57</f>
        <v>PA</v>
      </c>
      <c r="D849" s="899">
        <f>Clothing!K57</f>
        <v>5.0900620563355403</v>
      </c>
      <c r="E849" s="900" t="s">
        <v>2044</v>
      </c>
      <c r="F849" s="898">
        <f>Clothing!O57</f>
        <v>1</v>
      </c>
      <c r="G849" s="898">
        <f>Clothing!P57</f>
        <v>1</v>
      </c>
      <c r="H849" s="898">
        <f>Clothing!Q57</f>
        <v>2</v>
      </c>
      <c r="I849" s="898">
        <f>Clothing!R57</f>
        <v>2</v>
      </c>
      <c r="J849" s="898">
        <f>Clothing!S57</f>
        <v>2</v>
      </c>
      <c r="K849" s="290">
        <f t="shared" si="14"/>
        <v>0.37356464144298934</v>
      </c>
    </row>
    <row r="850" spans="1:11" hidden="1">
      <c r="A850" s="898" t="s">
        <v>2043</v>
      </c>
      <c r="B850" s="898">
        <f>Clothing!B58</f>
        <v>2016</v>
      </c>
      <c r="C850" s="898" t="str">
        <f>Clothing!C58</f>
        <v>PET</v>
      </c>
      <c r="D850" s="899">
        <f>Clothing!K58</f>
        <v>17.473800975914923</v>
      </c>
      <c r="E850" s="900" t="s">
        <v>2044</v>
      </c>
      <c r="F850" s="898">
        <f>Clothing!O58</f>
        <v>1</v>
      </c>
      <c r="G850" s="898">
        <f>Clothing!P58</f>
        <v>1</v>
      </c>
      <c r="H850" s="898">
        <f>Clothing!Q58</f>
        <v>2</v>
      </c>
      <c r="I850" s="898">
        <f>Clothing!R58</f>
        <v>2</v>
      </c>
      <c r="J850" s="898">
        <f>Clothing!S58</f>
        <v>2</v>
      </c>
      <c r="K850" s="290">
        <f t="shared" si="14"/>
        <v>0.37356464144298934</v>
      </c>
    </row>
    <row r="851" spans="1:11" hidden="1">
      <c r="A851" s="898" t="s">
        <v>2043</v>
      </c>
      <c r="B851" s="898">
        <f>Clothing!B59</f>
        <v>2016</v>
      </c>
      <c r="C851" s="898" t="str">
        <f>Clothing!C59</f>
        <v>PUR</v>
      </c>
      <c r="D851" s="899">
        <f>Clothing!K59</f>
        <v>3.2091331770242211</v>
      </c>
      <c r="E851" s="900" t="s">
        <v>2044</v>
      </c>
      <c r="F851" s="898">
        <f>Clothing!O59</f>
        <v>1</v>
      </c>
      <c r="G851" s="898">
        <f>Clothing!P59</f>
        <v>1</v>
      </c>
      <c r="H851" s="898">
        <f>Clothing!Q59</f>
        <v>2</v>
      </c>
      <c r="I851" s="898">
        <f>Clothing!R59</f>
        <v>2</v>
      </c>
      <c r="J851" s="898">
        <f>Clothing!S59</f>
        <v>2</v>
      </c>
      <c r="K851" s="290">
        <f t="shared" si="14"/>
        <v>0.37356464144298934</v>
      </c>
    </row>
    <row r="852" spans="1:11" hidden="1">
      <c r="A852" s="898" t="s">
        <v>2043</v>
      </c>
      <c r="B852" s="898">
        <f>Clothing!B60</f>
        <v>2016</v>
      </c>
      <c r="C852" s="898" t="str">
        <f>Clothing!C60</f>
        <v>PVC</v>
      </c>
      <c r="D852" s="899">
        <f>Clothing!K60</f>
        <v>1.9418985702840277</v>
      </c>
      <c r="E852" s="900" t="s">
        <v>2044</v>
      </c>
      <c r="F852" s="898">
        <f>Clothing!O60</f>
        <v>1</v>
      </c>
      <c r="G852" s="898">
        <f>Clothing!P60</f>
        <v>1</v>
      </c>
      <c r="H852" s="898">
        <f>Clothing!Q60</f>
        <v>2</v>
      </c>
      <c r="I852" s="898">
        <f>Clothing!R60</f>
        <v>2</v>
      </c>
      <c r="J852" s="898">
        <f>Clothing!S60</f>
        <v>2</v>
      </c>
      <c r="K852" s="290">
        <f t="shared" si="14"/>
        <v>0.37356464144298934</v>
      </c>
    </row>
    <row r="853" spans="1:11" hidden="1">
      <c r="A853" s="898" t="s">
        <v>2043</v>
      </c>
      <c r="B853" s="898">
        <f>Clothing!B61</f>
        <v>2016</v>
      </c>
      <c r="C853" s="898" t="str">
        <f>Clothing!C61</f>
        <v>RUBBER</v>
      </c>
      <c r="D853" s="899">
        <f>Clothing!K61</f>
        <v>2.3864713267876612</v>
      </c>
      <c r="E853" s="900" t="s">
        <v>2044</v>
      </c>
      <c r="F853" s="898">
        <f>Clothing!O61</f>
        <v>1</v>
      </c>
      <c r="G853" s="898">
        <f>Clothing!P61</f>
        <v>1</v>
      </c>
      <c r="H853" s="898">
        <f>Clothing!Q61</f>
        <v>2</v>
      </c>
      <c r="I853" s="898">
        <f>Clothing!R61</f>
        <v>2</v>
      </c>
      <c r="J853" s="898">
        <f>Clothing!S61</f>
        <v>2</v>
      </c>
      <c r="K853" s="290">
        <f t="shared" si="14"/>
        <v>0.37356464144298934</v>
      </c>
    </row>
    <row r="854" spans="1:11" hidden="1">
      <c r="A854" s="898" t="s">
        <v>2043</v>
      </c>
      <c r="B854" s="898">
        <f>Clothing!B62</f>
        <v>2017</v>
      </c>
      <c r="C854" s="898" t="str">
        <f>Clothing!C62</f>
        <v>Acryl</v>
      </c>
      <c r="D854" s="899">
        <f>Clothing!K62</f>
        <v>1.3476085475783106</v>
      </c>
      <c r="E854" s="900" t="s">
        <v>2044</v>
      </c>
      <c r="F854" s="898">
        <f>Clothing!O62</f>
        <v>1</v>
      </c>
      <c r="G854" s="898">
        <f>Clothing!P62</f>
        <v>1</v>
      </c>
      <c r="H854" s="898">
        <f>Clothing!Q62</f>
        <v>2</v>
      </c>
      <c r="I854" s="898">
        <f>Clothing!R62</f>
        <v>2</v>
      </c>
      <c r="J854" s="898">
        <f>Clothing!S62</f>
        <v>2</v>
      </c>
      <c r="K854" s="290">
        <f t="shared" si="14"/>
        <v>0.37356464144298934</v>
      </c>
    </row>
    <row r="855" spans="1:11" hidden="1">
      <c r="A855" s="898" t="s">
        <v>2043</v>
      </c>
      <c r="B855" s="898">
        <f>Clothing!B63</f>
        <v>2017</v>
      </c>
      <c r="C855" s="898" t="str">
        <f>Clothing!C63</f>
        <v>OTHER</v>
      </c>
      <c r="D855" s="899">
        <f>Clothing!K63</f>
        <v>1.7953421644570506</v>
      </c>
      <c r="E855" s="900" t="s">
        <v>2044</v>
      </c>
      <c r="F855" s="898">
        <f>Clothing!O63</f>
        <v>1</v>
      </c>
      <c r="G855" s="898">
        <f>Clothing!P63</f>
        <v>1</v>
      </c>
      <c r="H855" s="898">
        <f>Clothing!Q63</f>
        <v>2</v>
      </c>
      <c r="I855" s="898">
        <f>Clothing!R63</f>
        <v>2</v>
      </c>
      <c r="J855" s="898">
        <f>Clothing!S63</f>
        <v>2</v>
      </c>
      <c r="K855" s="290">
        <f t="shared" si="14"/>
        <v>0.37356464144298934</v>
      </c>
    </row>
    <row r="856" spans="1:11" hidden="1">
      <c r="A856" s="898" t="s">
        <v>2043</v>
      </c>
      <c r="B856" s="898">
        <f>Clothing!B64</f>
        <v>2017</v>
      </c>
      <c r="C856" s="898" t="str">
        <f>Clothing!C64</f>
        <v>PA</v>
      </c>
      <c r="D856" s="899">
        <f>Clothing!K64</f>
        <v>4.1809981198003152</v>
      </c>
      <c r="E856" s="900" t="s">
        <v>2044</v>
      </c>
      <c r="F856" s="898">
        <f>Clothing!O64</f>
        <v>1</v>
      </c>
      <c r="G856" s="898">
        <f>Clothing!P64</f>
        <v>1</v>
      </c>
      <c r="H856" s="898">
        <f>Clothing!Q64</f>
        <v>2</v>
      </c>
      <c r="I856" s="898">
        <f>Clothing!R64</f>
        <v>2</v>
      </c>
      <c r="J856" s="898">
        <f>Clothing!S64</f>
        <v>2</v>
      </c>
      <c r="K856" s="290">
        <f t="shared" si="14"/>
        <v>0.37356464144298934</v>
      </c>
    </row>
    <row r="857" spans="1:11" hidden="1">
      <c r="A857" s="898" t="s">
        <v>2043</v>
      </c>
      <c r="B857" s="898">
        <f>Clothing!B65</f>
        <v>2017</v>
      </c>
      <c r="C857" s="898" t="str">
        <f>Clothing!C65</f>
        <v>PET</v>
      </c>
      <c r="D857" s="899">
        <f>Clothing!K65</f>
        <v>14.005677253863954</v>
      </c>
      <c r="E857" s="900" t="s">
        <v>2044</v>
      </c>
      <c r="F857" s="898">
        <f>Clothing!O65</f>
        <v>1</v>
      </c>
      <c r="G857" s="898">
        <f>Clothing!P65</f>
        <v>1</v>
      </c>
      <c r="H857" s="898">
        <f>Clothing!Q65</f>
        <v>2</v>
      </c>
      <c r="I857" s="898">
        <f>Clothing!R65</f>
        <v>2</v>
      </c>
      <c r="J857" s="898">
        <f>Clothing!S65</f>
        <v>2</v>
      </c>
      <c r="K857" s="290">
        <f t="shared" si="14"/>
        <v>0.37356464144298934</v>
      </c>
    </row>
    <row r="858" spans="1:11" hidden="1">
      <c r="A858" s="898" t="s">
        <v>2043</v>
      </c>
      <c r="B858" s="898">
        <f>Clothing!B66</f>
        <v>2017</v>
      </c>
      <c r="C858" s="898" t="str">
        <f>Clothing!C66</f>
        <v>PUR</v>
      </c>
      <c r="D858" s="899">
        <f>Clothing!K66</f>
        <v>2.6934109604892571</v>
      </c>
      <c r="E858" s="900" t="s">
        <v>2044</v>
      </c>
      <c r="F858" s="898">
        <f>Clothing!O66</f>
        <v>1</v>
      </c>
      <c r="G858" s="898">
        <f>Clothing!P66</f>
        <v>1</v>
      </c>
      <c r="H858" s="898">
        <f>Clothing!Q66</f>
        <v>2</v>
      </c>
      <c r="I858" s="898">
        <f>Clothing!R66</f>
        <v>2</v>
      </c>
      <c r="J858" s="898">
        <f>Clothing!S66</f>
        <v>2</v>
      </c>
      <c r="K858" s="290">
        <f t="shared" si="14"/>
        <v>0.37356464144298934</v>
      </c>
    </row>
    <row r="859" spans="1:11" hidden="1">
      <c r="A859" s="898" t="s">
        <v>2043</v>
      </c>
      <c r="B859" s="898">
        <f>Clothing!B67</f>
        <v>2017</v>
      </c>
      <c r="C859" s="898" t="str">
        <f>Clothing!C67</f>
        <v>PVC</v>
      </c>
      <c r="D859" s="899">
        <f>Clothing!K67</f>
        <v>1.6372265473178207</v>
      </c>
      <c r="E859" s="900" t="s">
        <v>2044</v>
      </c>
      <c r="F859" s="898">
        <f>Clothing!O67</f>
        <v>1</v>
      </c>
      <c r="G859" s="898">
        <f>Clothing!P67</f>
        <v>1</v>
      </c>
      <c r="H859" s="898">
        <f>Clothing!Q67</f>
        <v>2</v>
      </c>
      <c r="I859" s="898">
        <f>Clothing!R67</f>
        <v>2</v>
      </c>
      <c r="J859" s="898">
        <f>Clothing!S67</f>
        <v>2</v>
      </c>
      <c r="K859" s="290">
        <f t="shared" si="14"/>
        <v>0.37356464144298934</v>
      </c>
    </row>
    <row r="860" spans="1:11" hidden="1">
      <c r="A860" s="898" t="s">
        <v>2043</v>
      </c>
      <c r="B860" s="898">
        <f>Clothing!B68</f>
        <v>2017</v>
      </c>
      <c r="C860" s="898" t="str">
        <f>Clothing!C68</f>
        <v>RUBBER</v>
      </c>
      <c r="D860" s="899">
        <f>Clothing!K68</f>
        <v>2.0738727765469465</v>
      </c>
      <c r="E860" s="900" t="s">
        <v>2044</v>
      </c>
      <c r="F860" s="898">
        <f>Clothing!O68</f>
        <v>1</v>
      </c>
      <c r="G860" s="898">
        <f>Clothing!P68</f>
        <v>1</v>
      </c>
      <c r="H860" s="898">
        <f>Clothing!Q68</f>
        <v>2</v>
      </c>
      <c r="I860" s="898">
        <f>Clothing!R68</f>
        <v>2</v>
      </c>
      <c r="J860" s="898">
        <f>Clothing!S68</f>
        <v>2</v>
      </c>
      <c r="K860" s="290">
        <f t="shared" si="14"/>
        <v>0.37356464144298934</v>
      </c>
    </row>
    <row r="861" spans="1:11" hidden="1">
      <c r="A861" s="898" t="s">
        <v>2043</v>
      </c>
      <c r="B861" s="898">
        <f>Clothing!B69</f>
        <v>2018</v>
      </c>
      <c r="C861" s="898" t="str">
        <f>Clothing!C69</f>
        <v>Acryl</v>
      </c>
      <c r="D861" s="899">
        <f>Clothing!K69</f>
        <v>1.5107243308265994</v>
      </c>
      <c r="E861" s="900" t="s">
        <v>2044</v>
      </c>
      <c r="F861" s="898">
        <f>Clothing!O69</f>
        <v>1</v>
      </c>
      <c r="G861" s="898">
        <f>Clothing!P69</f>
        <v>1</v>
      </c>
      <c r="H861" s="898">
        <f>Clothing!Q69</f>
        <v>2</v>
      </c>
      <c r="I861" s="898">
        <f>Clothing!R69</f>
        <v>2</v>
      </c>
      <c r="J861" s="898">
        <f>Clothing!S69</f>
        <v>2</v>
      </c>
      <c r="K861" s="290">
        <f t="shared" si="14"/>
        <v>0.37356464144298934</v>
      </c>
    </row>
    <row r="862" spans="1:11" hidden="1">
      <c r="A862" s="898" t="s">
        <v>2043</v>
      </c>
      <c r="B862" s="898">
        <f>Clothing!B70</f>
        <v>2018</v>
      </c>
      <c r="C862" s="898" t="str">
        <f>Clothing!C70</f>
        <v>OTHER</v>
      </c>
      <c r="D862" s="899">
        <f>Clothing!K70</f>
        <v>2.4191683981692216</v>
      </c>
      <c r="E862" s="900" t="s">
        <v>2044</v>
      </c>
      <c r="F862" s="898">
        <f>Clothing!O70</f>
        <v>1</v>
      </c>
      <c r="G862" s="898">
        <f>Clothing!P70</f>
        <v>1</v>
      </c>
      <c r="H862" s="898">
        <f>Clothing!Q70</f>
        <v>2</v>
      </c>
      <c r="I862" s="898">
        <f>Clothing!R70</f>
        <v>2</v>
      </c>
      <c r="J862" s="898">
        <f>Clothing!S70</f>
        <v>2</v>
      </c>
      <c r="K862" s="290">
        <f t="shared" si="14"/>
        <v>0.37356464144298934</v>
      </c>
    </row>
    <row r="863" spans="1:11" hidden="1">
      <c r="A863" s="898" t="s">
        <v>2043</v>
      </c>
      <c r="B863" s="898">
        <f>Clothing!B71</f>
        <v>2018</v>
      </c>
      <c r="C863" s="898" t="str">
        <f>Clothing!C71</f>
        <v>PA</v>
      </c>
      <c r="D863" s="899">
        <f>Clothing!K71</f>
        <v>4.8427806568226011</v>
      </c>
      <c r="E863" s="900" t="s">
        <v>2044</v>
      </c>
      <c r="F863" s="898">
        <f>Clothing!O71</f>
        <v>1</v>
      </c>
      <c r="G863" s="898">
        <f>Clothing!P71</f>
        <v>1</v>
      </c>
      <c r="H863" s="898">
        <f>Clothing!Q71</f>
        <v>2</v>
      </c>
      <c r="I863" s="898">
        <f>Clothing!R71</f>
        <v>2</v>
      </c>
      <c r="J863" s="898">
        <f>Clothing!S71</f>
        <v>2</v>
      </c>
      <c r="K863" s="290">
        <f t="shared" si="14"/>
        <v>0.37356464144298934</v>
      </c>
    </row>
    <row r="864" spans="1:11" hidden="1">
      <c r="A864" s="898" t="s">
        <v>2043</v>
      </c>
      <c r="B864" s="898">
        <f>Clothing!B72</f>
        <v>2018</v>
      </c>
      <c r="C864" s="898" t="str">
        <f>Clothing!C72</f>
        <v>PET</v>
      </c>
      <c r="D864" s="899">
        <f>Clothing!K72</f>
        <v>17.3813538859233</v>
      </c>
      <c r="E864" s="900" t="s">
        <v>2044</v>
      </c>
      <c r="F864" s="898">
        <f>Clothing!O72</f>
        <v>1</v>
      </c>
      <c r="G864" s="898">
        <f>Clothing!P72</f>
        <v>1</v>
      </c>
      <c r="H864" s="898">
        <f>Clothing!Q72</f>
        <v>2</v>
      </c>
      <c r="I864" s="898">
        <f>Clothing!R72</f>
        <v>2</v>
      </c>
      <c r="J864" s="898">
        <f>Clothing!S72</f>
        <v>2</v>
      </c>
      <c r="K864" s="290">
        <f t="shared" si="14"/>
        <v>0.37356464144298934</v>
      </c>
    </row>
    <row r="865" spans="1:11" hidden="1">
      <c r="A865" s="898" t="s">
        <v>2043</v>
      </c>
      <c r="B865" s="898">
        <f>Clothing!B73</f>
        <v>2018</v>
      </c>
      <c r="C865" s="898" t="str">
        <f>Clothing!C73</f>
        <v>PUR</v>
      </c>
      <c r="D865" s="899">
        <f>Clothing!K73</f>
        <v>2.8042744025472994</v>
      </c>
      <c r="E865" s="900" t="s">
        <v>2044</v>
      </c>
      <c r="F865" s="898">
        <f>Clothing!O73</f>
        <v>1</v>
      </c>
      <c r="G865" s="898">
        <f>Clothing!P73</f>
        <v>1</v>
      </c>
      <c r="H865" s="898">
        <f>Clothing!Q73</f>
        <v>2</v>
      </c>
      <c r="I865" s="898">
        <f>Clothing!R73</f>
        <v>2</v>
      </c>
      <c r="J865" s="898">
        <f>Clothing!S73</f>
        <v>2</v>
      </c>
      <c r="K865" s="290">
        <f t="shared" si="14"/>
        <v>0.37356464144298934</v>
      </c>
    </row>
    <row r="866" spans="1:11" hidden="1">
      <c r="A866" s="898" t="s">
        <v>2043</v>
      </c>
      <c r="B866" s="898">
        <f>Clothing!B74</f>
        <v>2018</v>
      </c>
      <c r="C866" s="898" t="str">
        <f>Clothing!C74</f>
        <v>PVC</v>
      </c>
      <c r="D866" s="899">
        <f>Clothing!K74</f>
        <v>1.7252653723349698</v>
      </c>
      <c r="E866" s="900" t="s">
        <v>2044</v>
      </c>
      <c r="F866" s="898">
        <f>Clothing!O74</f>
        <v>1</v>
      </c>
      <c r="G866" s="898">
        <f>Clothing!P74</f>
        <v>1</v>
      </c>
      <c r="H866" s="898">
        <f>Clothing!Q74</f>
        <v>2</v>
      </c>
      <c r="I866" s="898">
        <f>Clothing!R74</f>
        <v>2</v>
      </c>
      <c r="J866" s="898">
        <f>Clothing!S74</f>
        <v>2</v>
      </c>
      <c r="K866" s="290">
        <f t="shared" si="14"/>
        <v>0.37356464144298934</v>
      </c>
    </row>
    <row r="867" spans="1:11" hidden="1">
      <c r="A867" s="898" t="s">
        <v>2043</v>
      </c>
      <c r="B867" s="898">
        <f>Clothing!B75</f>
        <v>2018</v>
      </c>
      <c r="C867" s="898" t="str">
        <f>Clothing!C75</f>
        <v>RUBBER</v>
      </c>
      <c r="D867" s="899">
        <f>Clothing!K75</f>
        <v>2.5371011303645723</v>
      </c>
      <c r="E867" s="900" t="s">
        <v>2044</v>
      </c>
      <c r="F867" s="898">
        <f>Clothing!O75</f>
        <v>1</v>
      </c>
      <c r="G867" s="898">
        <f>Clothing!P75</f>
        <v>1</v>
      </c>
      <c r="H867" s="898">
        <f>Clothing!Q75</f>
        <v>2</v>
      </c>
      <c r="I867" s="898">
        <f>Clothing!R75</f>
        <v>2</v>
      </c>
      <c r="J867" s="898">
        <f>Clothing!S75</f>
        <v>2</v>
      </c>
      <c r="K867" s="290">
        <f t="shared" si="14"/>
        <v>0.37356464144298934</v>
      </c>
    </row>
    <row r="868" spans="1:11" hidden="1">
      <c r="A868" s="898" t="s">
        <v>2043</v>
      </c>
      <c r="B868" s="898">
        <f>Clothing!B76</f>
        <v>2019</v>
      </c>
      <c r="C868" s="898" t="str">
        <f>Clothing!C76</f>
        <v>Acryl</v>
      </c>
      <c r="D868" s="899">
        <f>Clothing!K76</f>
        <v>1.3447711417853476</v>
      </c>
      <c r="E868" s="900" t="s">
        <v>2044</v>
      </c>
      <c r="F868" s="898">
        <f>Clothing!O76</f>
        <v>1</v>
      </c>
      <c r="G868" s="898">
        <f>Clothing!P76</f>
        <v>1</v>
      </c>
      <c r="H868" s="898">
        <f>Clothing!Q76</f>
        <v>2</v>
      </c>
      <c r="I868" s="898">
        <f>Clothing!R76</f>
        <v>2</v>
      </c>
      <c r="J868" s="898">
        <f>Clothing!S76</f>
        <v>2</v>
      </c>
      <c r="K868" s="290">
        <f t="shared" si="14"/>
        <v>0.37356464144298934</v>
      </c>
    </row>
    <row r="869" spans="1:11" hidden="1">
      <c r="A869" s="898" t="s">
        <v>2043</v>
      </c>
      <c r="B869" s="898">
        <f>Clothing!B77</f>
        <v>2019</v>
      </c>
      <c r="C869" s="898" t="str">
        <f>Clothing!C77</f>
        <v>OTHER</v>
      </c>
      <c r="D869" s="899">
        <f>Clothing!K77</f>
        <v>1.9999050083245817</v>
      </c>
      <c r="E869" s="900" t="s">
        <v>2044</v>
      </c>
      <c r="F869" s="898">
        <f>Clothing!O77</f>
        <v>1</v>
      </c>
      <c r="G869" s="898">
        <f>Clothing!P77</f>
        <v>1</v>
      </c>
      <c r="H869" s="898">
        <f>Clothing!Q77</f>
        <v>2</v>
      </c>
      <c r="I869" s="898">
        <f>Clothing!R77</f>
        <v>2</v>
      </c>
      <c r="J869" s="898">
        <f>Clothing!S77</f>
        <v>2</v>
      </c>
      <c r="K869" s="290">
        <f t="shared" si="14"/>
        <v>0.37356464144298934</v>
      </c>
    </row>
    <row r="870" spans="1:11" hidden="1">
      <c r="A870" s="898" t="s">
        <v>2043</v>
      </c>
      <c r="B870" s="898">
        <f>Clothing!B78</f>
        <v>2019</v>
      </c>
      <c r="C870" s="898" t="str">
        <f>Clothing!C78</f>
        <v>PA</v>
      </c>
      <c r="D870" s="899">
        <f>Clothing!K78</f>
        <v>4.0176389810612312</v>
      </c>
      <c r="E870" s="900" t="s">
        <v>2044</v>
      </c>
      <c r="F870" s="898">
        <f>Clothing!O78</f>
        <v>1</v>
      </c>
      <c r="G870" s="898">
        <f>Clothing!P78</f>
        <v>1</v>
      </c>
      <c r="H870" s="898">
        <f>Clothing!Q78</f>
        <v>2</v>
      </c>
      <c r="I870" s="898">
        <f>Clothing!R78</f>
        <v>2</v>
      </c>
      <c r="J870" s="898">
        <f>Clothing!S78</f>
        <v>2</v>
      </c>
      <c r="K870" s="290">
        <f t="shared" si="14"/>
        <v>0.37356464144298934</v>
      </c>
    </row>
    <row r="871" spans="1:11" hidden="1">
      <c r="A871" s="898" t="s">
        <v>2043</v>
      </c>
      <c r="B871" s="898">
        <f>Clothing!B79</f>
        <v>2019</v>
      </c>
      <c r="C871" s="898" t="str">
        <f>Clothing!C79</f>
        <v>PET</v>
      </c>
      <c r="D871" s="899">
        <f>Clothing!K79</f>
        <v>13.983304081100663</v>
      </c>
      <c r="E871" s="900" t="s">
        <v>2044</v>
      </c>
      <c r="F871" s="898">
        <f>Clothing!O79</f>
        <v>1</v>
      </c>
      <c r="G871" s="898">
        <f>Clothing!P79</f>
        <v>1</v>
      </c>
      <c r="H871" s="898">
        <f>Clothing!Q79</f>
        <v>2</v>
      </c>
      <c r="I871" s="898">
        <f>Clothing!R79</f>
        <v>2</v>
      </c>
      <c r="J871" s="898">
        <f>Clothing!S79</f>
        <v>2</v>
      </c>
      <c r="K871" s="290">
        <f t="shared" si="14"/>
        <v>0.37356464144298934</v>
      </c>
    </row>
    <row r="872" spans="1:11" hidden="1">
      <c r="A872" s="898" t="s">
        <v>2043</v>
      </c>
      <c r="B872" s="898">
        <f>Clothing!B80</f>
        <v>2019</v>
      </c>
      <c r="C872" s="898" t="str">
        <f>Clothing!C80</f>
        <v>PUR</v>
      </c>
      <c r="D872" s="899">
        <f>Clothing!K80</f>
        <v>2.5069411175258973</v>
      </c>
      <c r="E872" s="900" t="s">
        <v>2044</v>
      </c>
      <c r="F872" s="898">
        <f>Clothing!O80</f>
        <v>1</v>
      </c>
      <c r="G872" s="898">
        <f>Clothing!P80</f>
        <v>1</v>
      </c>
      <c r="H872" s="898">
        <f>Clothing!Q80</f>
        <v>2</v>
      </c>
      <c r="I872" s="898">
        <f>Clothing!R80</f>
        <v>2</v>
      </c>
      <c r="J872" s="898">
        <f>Clothing!S80</f>
        <v>2</v>
      </c>
      <c r="K872" s="290">
        <f t="shared" si="14"/>
        <v>0.37356464144298934</v>
      </c>
    </row>
    <row r="873" spans="1:11" hidden="1">
      <c r="A873" s="898" t="s">
        <v>2043</v>
      </c>
      <c r="B873" s="898">
        <f>Clothing!B81</f>
        <v>2019</v>
      </c>
      <c r="C873" s="898" t="str">
        <f>Clothing!C81</f>
        <v>PVC</v>
      </c>
      <c r="D873" s="899">
        <f>Clothing!K81</f>
        <v>1.5229676657207667</v>
      </c>
      <c r="E873" s="900" t="s">
        <v>2044</v>
      </c>
      <c r="F873" s="898">
        <f>Clothing!O81</f>
        <v>1</v>
      </c>
      <c r="G873" s="898">
        <f>Clothing!P81</f>
        <v>1</v>
      </c>
      <c r="H873" s="898">
        <f>Clothing!Q81</f>
        <v>2</v>
      </c>
      <c r="I873" s="898">
        <f>Clothing!R81</f>
        <v>2</v>
      </c>
      <c r="J873" s="898">
        <f>Clothing!S81</f>
        <v>2</v>
      </c>
      <c r="K873" s="290">
        <f t="shared" si="14"/>
        <v>0.37356464144298934</v>
      </c>
    </row>
    <row r="874" spans="1:11" hidden="1">
      <c r="A874" s="898" t="s">
        <v>2043</v>
      </c>
      <c r="B874" s="898">
        <f>Clothing!B82</f>
        <v>2019</v>
      </c>
      <c r="C874" s="898" t="str">
        <f>Clothing!C82</f>
        <v>RUBBER</v>
      </c>
      <c r="D874" s="899">
        <f>Clothing!K82</f>
        <v>1.9873782230630601</v>
      </c>
      <c r="E874" s="900" t="s">
        <v>2044</v>
      </c>
      <c r="F874" s="898">
        <f>Clothing!O82</f>
        <v>1</v>
      </c>
      <c r="G874" s="898">
        <f>Clothing!P82</f>
        <v>1</v>
      </c>
      <c r="H874" s="898">
        <f>Clothing!Q82</f>
        <v>2</v>
      </c>
      <c r="I874" s="898">
        <f>Clothing!R82</f>
        <v>2</v>
      </c>
      <c r="J874" s="898">
        <f>Clothing!S82</f>
        <v>2</v>
      </c>
      <c r="K874" s="290">
        <f t="shared" si="14"/>
        <v>0.37356464144298934</v>
      </c>
    </row>
    <row r="875" spans="1:11" hidden="1">
      <c r="A875" s="898" t="s">
        <v>2043</v>
      </c>
      <c r="B875" s="898">
        <f>Clothing!B83</f>
        <v>2020</v>
      </c>
      <c r="C875" s="898" t="str">
        <f>Clothing!C83</f>
        <v>Acryl</v>
      </c>
      <c r="D875" s="899">
        <f>Clothing!K83</f>
        <v>0.57858596055817468</v>
      </c>
      <c r="E875" s="900" t="s">
        <v>2044</v>
      </c>
      <c r="F875" s="898">
        <f>Clothing!O83</f>
        <v>1</v>
      </c>
      <c r="G875" s="898">
        <f>Clothing!P83</f>
        <v>1</v>
      </c>
      <c r="H875" s="898">
        <f>Clothing!Q83</f>
        <v>2</v>
      </c>
      <c r="I875" s="898">
        <f>Clothing!R83</f>
        <v>2</v>
      </c>
      <c r="J875" s="898">
        <f>Clothing!S83</f>
        <v>2</v>
      </c>
      <c r="K875" s="290">
        <f t="shared" si="14"/>
        <v>0.37356464144298934</v>
      </c>
    </row>
    <row r="876" spans="1:11" hidden="1">
      <c r="A876" s="898" t="s">
        <v>2043</v>
      </c>
      <c r="B876" s="898">
        <f>Clothing!B84</f>
        <v>2020</v>
      </c>
      <c r="C876" s="898" t="str">
        <f>Clothing!C84</f>
        <v>OTHER</v>
      </c>
      <c r="D876" s="899">
        <f>Clothing!K84</f>
        <v>0.77293913678159698</v>
      </c>
      <c r="E876" s="900" t="s">
        <v>2044</v>
      </c>
      <c r="F876" s="898">
        <f>Clothing!O84</f>
        <v>1</v>
      </c>
      <c r="G876" s="898">
        <f>Clothing!P84</f>
        <v>1</v>
      </c>
      <c r="H876" s="898">
        <f>Clothing!Q84</f>
        <v>2</v>
      </c>
      <c r="I876" s="898">
        <f>Clothing!R84</f>
        <v>2</v>
      </c>
      <c r="J876" s="898">
        <f>Clothing!S84</f>
        <v>2</v>
      </c>
      <c r="K876" s="290">
        <f t="shared" si="14"/>
        <v>0.37356464144298934</v>
      </c>
    </row>
    <row r="877" spans="1:11" hidden="1">
      <c r="A877" s="898" t="s">
        <v>2043</v>
      </c>
      <c r="B877" s="898">
        <f>Clothing!B85</f>
        <v>2020</v>
      </c>
      <c r="C877" s="898" t="str">
        <f>Clothing!C85</f>
        <v>PA</v>
      </c>
      <c r="D877" s="899">
        <f>Clothing!K85</f>
        <v>1.608429992653017</v>
      </c>
      <c r="E877" s="900" t="s">
        <v>2044</v>
      </c>
      <c r="F877" s="898">
        <f>Clothing!O85</f>
        <v>1</v>
      </c>
      <c r="G877" s="898">
        <f>Clothing!P85</f>
        <v>1</v>
      </c>
      <c r="H877" s="898">
        <f>Clothing!Q85</f>
        <v>2</v>
      </c>
      <c r="I877" s="898">
        <f>Clothing!R85</f>
        <v>2</v>
      </c>
      <c r="J877" s="898">
        <f>Clothing!S85</f>
        <v>2</v>
      </c>
      <c r="K877" s="290">
        <f t="shared" si="14"/>
        <v>0.37356464144298934</v>
      </c>
    </row>
    <row r="878" spans="1:11" hidden="1">
      <c r="A878" s="898" t="s">
        <v>2043</v>
      </c>
      <c r="B878" s="898">
        <f>Clothing!B86</f>
        <v>2020</v>
      </c>
      <c r="C878" s="898" t="str">
        <f>Clothing!C86</f>
        <v>PET</v>
      </c>
      <c r="D878" s="899">
        <f>Clothing!K86</f>
        <v>5.1184992076113964</v>
      </c>
      <c r="E878" s="900" t="s">
        <v>2044</v>
      </c>
      <c r="F878" s="898">
        <f>Clothing!O86</f>
        <v>1</v>
      </c>
      <c r="G878" s="898">
        <f>Clothing!P86</f>
        <v>1</v>
      </c>
      <c r="H878" s="898">
        <f>Clothing!Q86</f>
        <v>2</v>
      </c>
      <c r="I878" s="898">
        <f>Clothing!R86</f>
        <v>2</v>
      </c>
      <c r="J878" s="898">
        <f>Clothing!S86</f>
        <v>2</v>
      </c>
      <c r="K878" s="290">
        <f t="shared" si="14"/>
        <v>0.37356464144298934</v>
      </c>
    </row>
    <row r="879" spans="1:11" hidden="1">
      <c r="A879" s="898" t="s">
        <v>2043</v>
      </c>
      <c r="B879" s="898">
        <f>Clothing!B87</f>
        <v>2020</v>
      </c>
      <c r="C879" s="898" t="str">
        <f>Clothing!C87</f>
        <v>PUR</v>
      </c>
      <c r="D879" s="899">
        <f>Clothing!K87</f>
        <v>1.7182711116575502</v>
      </c>
      <c r="E879" s="900" t="s">
        <v>2044</v>
      </c>
      <c r="F879" s="898">
        <f>Clothing!O87</f>
        <v>1</v>
      </c>
      <c r="G879" s="898">
        <f>Clothing!P87</f>
        <v>1</v>
      </c>
      <c r="H879" s="898">
        <f>Clothing!Q87</f>
        <v>2</v>
      </c>
      <c r="I879" s="898">
        <f>Clothing!R87</f>
        <v>2</v>
      </c>
      <c r="J879" s="898">
        <f>Clothing!S87</f>
        <v>2</v>
      </c>
      <c r="K879" s="290">
        <f t="shared" si="14"/>
        <v>0.37356464144298934</v>
      </c>
    </row>
    <row r="880" spans="1:11" hidden="1">
      <c r="A880" s="898" t="s">
        <v>2043</v>
      </c>
      <c r="B880" s="898">
        <f>Clothing!B88</f>
        <v>2020</v>
      </c>
      <c r="C880" s="898" t="str">
        <f>Clothing!C88</f>
        <v>PVC</v>
      </c>
      <c r="D880" s="899">
        <f>Clothing!K88</f>
        <v>1.0208136854516581</v>
      </c>
      <c r="E880" s="900" t="s">
        <v>2044</v>
      </c>
      <c r="F880" s="898">
        <f>Clothing!O88</f>
        <v>1</v>
      </c>
      <c r="G880" s="898">
        <f>Clothing!P88</f>
        <v>1</v>
      </c>
      <c r="H880" s="898">
        <f>Clothing!Q88</f>
        <v>2</v>
      </c>
      <c r="I880" s="898">
        <f>Clothing!R88</f>
        <v>2</v>
      </c>
      <c r="J880" s="898">
        <f>Clothing!S88</f>
        <v>2</v>
      </c>
      <c r="K880" s="290">
        <f t="shared" si="14"/>
        <v>0.37356464144298934</v>
      </c>
    </row>
    <row r="881" spans="1:11" hidden="1">
      <c r="A881" s="898" t="s">
        <v>2043</v>
      </c>
      <c r="B881" s="898">
        <f>Clothing!B89</f>
        <v>2020</v>
      </c>
      <c r="C881" s="898" t="str">
        <f>Clothing!C89</f>
        <v>RUBBER</v>
      </c>
      <c r="D881" s="899">
        <f>Clothing!K89</f>
        <v>1.1400132603399793</v>
      </c>
      <c r="E881" s="900" t="s">
        <v>2044</v>
      </c>
      <c r="F881" s="898">
        <f>Clothing!O89</f>
        <v>1</v>
      </c>
      <c r="G881" s="898">
        <f>Clothing!P89</f>
        <v>1</v>
      </c>
      <c r="H881" s="898">
        <f>Clothing!Q89</f>
        <v>2</v>
      </c>
      <c r="I881" s="898">
        <f>Clothing!R89</f>
        <v>2</v>
      </c>
      <c r="J881" s="898">
        <f>Clothing!S89</f>
        <v>2</v>
      </c>
      <c r="K881" s="290">
        <f t="shared" si="14"/>
        <v>0.37356464144298934</v>
      </c>
    </row>
    <row r="882" spans="1:11" hidden="1">
      <c r="A882" s="898" t="s">
        <v>2043</v>
      </c>
      <c r="B882" s="898">
        <f>Clothing!B90</f>
        <v>2021</v>
      </c>
      <c r="C882" s="898" t="str">
        <f>Clothing!C90</f>
        <v>Acryl</v>
      </c>
      <c r="D882" s="899">
        <f>Clothing!K90</f>
        <v>0.65518473748996497</v>
      </c>
      <c r="E882" s="900" t="s">
        <v>2044</v>
      </c>
      <c r="F882" s="898">
        <f>Clothing!O90</f>
        <v>1</v>
      </c>
      <c r="G882" s="898">
        <f>Clothing!P90</f>
        <v>1</v>
      </c>
      <c r="H882" s="898">
        <f>Clothing!Q90</f>
        <v>2</v>
      </c>
      <c r="I882" s="898">
        <f>Clothing!R90</f>
        <v>2</v>
      </c>
      <c r="J882" s="898">
        <f>Clothing!S90</f>
        <v>2</v>
      </c>
      <c r="K882" s="290">
        <f t="shared" si="14"/>
        <v>0.37356464144298934</v>
      </c>
    </row>
    <row r="883" spans="1:11" hidden="1">
      <c r="A883" s="898" t="s">
        <v>2043</v>
      </c>
      <c r="B883" s="898">
        <f>Clothing!B91</f>
        <v>2021</v>
      </c>
      <c r="C883" s="898" t="str">
        <f>Clothing!C91</f>
        <v>OTHER</v>
      </c>
      <c r="D883" s="899">
        <f>Clothing!K91</f>
        <v>0.7774650612248083</v>
      </c>
      <c r="E883" s="900" t="s">
        <v>2044</v>
      </c>
      <c r="F883" s="898">
        <f>Clothing!O91</f>
        <v>1</v>
      </c>
      <c r="G883" s="898">
        <f>Clothing!P91</f>
        <v>1</v>
      </c>
      <c r="H883" s="898">
        <f>Clothing!Q91</f>
        <v>2</v>
      </c>
      <c r="I883" s="898">
        <f>Clothing!R91</f>
        <v>2</v>
      </c>
      <c r="J883" s="898">
        <f>Clothing!S91</f>
        <v>2</v>
      </c>
      <c r="K883" s="290">
        <f t="shared" si="14"/>
        <v>0.37356464144298934</v>
      </c>
    </row>
    <row r="884" spans="1:11" hidden="1">
      <c r="A884" s="898" t="s">
        <v>2043</v>
      </c>
      <c r="B884" s="898">
        <f>Clothing!B92</f>
        <v>2021</v>
      </c>
      <c r="C884" s="898" t="str">
        <f>Clothing!C92</f>
        <v>PA</v>
      </c>
      <c r="D884" s="899">
        <f>Clothing!K92</f>
        <v>1.4966883397981259</v>
      </c>
      <c r="E884" s="900" t="s">
        <v>2044</v>
      </c>
      <c r="F884" s="898">
        <f>Clothing!O92</f>
        <v>1</v>
      </c>
      <c r="G884" s="898">
        <f>Clothing!P92</f>
        <v>1</v>
      </c>
      <c r="H884" s="898">
        <f>Clothing!Q92</f>
        <v>2</v>
      </c>
      <c r="I884" s="898">
        <f>Clothing!R92</f>
        <v>2</v>
      </c>
      <c r="J884" s="898">
        <f>Clothing!S92</f>
        <v>2</v>
      </c>
      <c r="K884" s="290">
        <f t="shared" si="14"/>
        <v>0.37356464144298934</v>
      </c>
    </row>
    <row r="885" spans="1:11" hidden="1">
      <c r="A885" s="898" t="s">
        <v>2043</v>
      </c>
      <c r="B885" s="898">
        <f>Clothing!B93</f>
        <v>2021</v>
      </c>
      <c r="C885" s="898" t="str">
        <f>Clothing!C93</f>
        <v>PET</v>
      </c>
      <c r="D885" s="899">
        <f>Clothing!K93</f>
        <v>5.617100830561192</v>
      </c>
      <c r="E885" s="900" t="s">
        <v>2044</v>
      </c>
      <c r="F885" s="898">
        <f>Clothing!O93</f>
        <v>1</v>
      </c>
      <c r="G885" s="898">
        <f>Clothing!P93</f>
        <v>1</v>
      </c>
      <c r="H885" s="898">
        <f>Clothing!Q93</f>
        <v>2</v>
      </c>
      <c r="I885" s="898">
        <f>Clothing!R93</f>
        <v>2</v>
      </c>
      <c r="J885" s="898">
        <f>Clothing!S93</f>
        <v>2</v>
      </c>
      <c r="K885" s="290">
        <f t="shared" si="14"/>
        <v>0.37356464144298934</v>
      </c>
    </row>
    <row r="886" spans="1:11" hidden="1">
      <c r="A886" s="898" t="s">
        <v>2043</v>
      </c>
      <c r="B886" s="898">
        <f>Clothing!B94</f>
        <v>2021</v>
      </c>
      <c r="C886" s="898" t="str">
        <f>Clothing!C94</f>
        <v>PUR</v>
      </c>
      <c r="D886" s="899">
        <f>Clothing!K94</f>
        <v>2.1694329689042839</v>
      </c>
      <c r="E886" s="900" t="s">
        <v>2044</v>
      </c>
      <c r="F886" s="898">
        <f>Clothing!O94</f>
        <v>1</v>
      </c>
      <c r="G886" s="898">
        <f>Clothing!P94</f>
        <v>1</v>
      </c>
      <c r="H886" s="898">
        <f>Clothing!Q94</f>
        <v>2</v>
      </c>
      <c r="I886" s="898">
        <f>Clothing!R94</f>
        <v>2</v>
      </c>
      <c r="J886" s="898">
        <f>Clothing!S94</f>
        <v>2</v>
      </c>
      <c r="K886" s="290">
        <f t="shared" si="14"/>
        <v>0.37356464144298934</v>
      </c>
    </row>
    <row r="887" spans="1:11" hidden="1">
      <c r="A887" s="898" t="s">
        <v>2043</v>
      </c>
      <c r="B887" s="898">
        <f>Clothing!B95</f>
        <v>2021</v>
      </c>
      <c r="C887" s="898" t="str">
        <f>Clothing!C95</f>
        <v>PVC</v>
      </c>
      <c r="D887" s="899">
        <f>Clothing!K95</f>
        <v>1.2924775325611118</v>
      </c>
      <c r="E887" s="900" t="s">
        <v>2044</v>
      </c>
      <c r="F887" s="898">
        <f>Clothing!O95</f>
        <v>1</v>
      </c>
      <c r="G887" s="898">
        <f>Clothing!P95</f>
        <v>1</v>
      </c>
      <c r="H887" s="898">
        <f>Clothing!Q95</f>
        <v>2</v>
      </c>
      <c r="I887" s="898">
        <f>Clothing!R95</f>
        <v>2</v>
      </c>
      <c r="J887" s="898">
        <f>Clothing!S95</f>
        <v>2</v>
      </c>
      <c r="K887" s="290">
        <f t="shared" si="14"/>
        <v>0.37356464144298934</v>
      </c>
    </row>
    <row r="888" spans="1:11" hidden="1">
      <c r="A888" s="898" t="s">
        <v>2043</v>
      </c>
      <c r="B888" s="898">
        <f>Clothing!B96</f>
        <v>2021</v>
      </c>
      <c r="C888" s="898" t="str">
        <f>Clothing!C96</f>
        <v>RUBBER</v>
      </c>
      <c r="D888" s="899">
        <f>Clothing!K96</f>
        <v>1.468102924447648</v>
      </c>
      <c r="E888" s="900" t="s">
        <v>2044</v>
      </c>
      <c r="F888" s="898">
        <f>Clothing!O96</f>
        <v>1</v>
      </c>
      <c r="G888" s="898">
        <f>Clothing!P96</f>
        <v>1</v>
      </c>
      <c r="H888" s="898">
        <f>Clothing!Q96</f>
        <v>2</v>
      </c>
      <c r="I888" s="898">
        <f>Clothing!R96</f>
        <v>2</v>
      </c>
      <c r="J888" s="898">
        <f>Clothing!S96</f>
        <v>2</v>
      </c>
      <c r="K888" s="290">
        <f t="shared" si="14"/>
        <v>0.37356464144298934</v>
      </c>
    </row>
    <row r="889" spans="1:11" hidden="1">
      <c r="A889" s="898" t="s">
        <v>2043</v>
      </c>
      <c r="B889" s="898">
        <f>Clothing!B97</f>
        <v>2022</v>
      </c>
      <c r="C889" s="898" t="str">
        <f>Clothing!C97</f>
        <v>Acryl</v>
      </c>
      <c r="D889" s="899">
        <f>Clothing!K97</f>
        <v>0.99075859509354114</v>
      </c>
      <c r="E889" s="900" t="s">
        <v>2044</v>
      </c>
      <c r="F889" s="898">
        <f>Clothing!O97</f>
        <v>1</v>
      </c>
      <c r="G889" s="898">
        <f>Clothing!P97</f>
        <v>1</v>
      </c>
      <c r="H889" s="898">
        <f>Clothing!Q97</f>
        <v>2</v>
      </c>
      <c r="I889" s="898">
        <f>Clothing!R97</f>
        <v>2</v>
      </c>
      <c r="J889" s="898">
        <f>Clothing!S97</f>
        <v>2</v>
      </c>
      <c r="K889" s="290">
        <f t="shared" si="14"/>
        <v>0.37356464144298934</v>
      </c>
    </row>
    <row r="890" spans="1:11" hidden="1">
      <c r="A890" s="898" t="s">
        <v>2043</v>
      </c>
      <c r="B890" s="898">
        <f>Clothing!B98</f>
        <v>2022</v>
      </c>
      <c r="C890" s="898" t="str">
        <f>Clothing!C98</f>
        <v>OTHER</v>
      </c>
      <c r="D890" s="899">
        <f>Clothing!K98</f>
        <v>1.6065030509265252</v>
      </c>
      <c r="E890" s="900" t="s">
        <v>2044</v>
      </c>
      <c r="F890" s="898">
        <f>Clothing!O98</f>
        <v>1</v>
      </c>
      <c r="G890" s="898">
        <f>Clothing!P98</f>
        <v>1</v>
      </c>
      <c r="H890" s="898">
        <f>Clothing!Q98</f>
        <v>2</v>
      </c>
      <c r="I890" s="898">
        <f>Clothing!R98</f>
        <v>2</v>
      </c>
      <c r="J890" s="898">
        <f>Clothing!S98</f>
        <v>2</v>
      </c>
      <c r="K890" s="290">
        <f t="shared" si="14"/>
        <v>0.37356464144298934</v>
      </c>
    </row>
    <row r="891" spans="1:11" hidden="1">
      <c r="A891" s="898" t="s">
        <v>2043</v>
      </c>
      <c r="B891" s="898">
        <f>Clothing!B99</f>
        <v>2022</v>
      </c>
      <c r="C891" s="898" t="str">
        <f>Clothing!C99</f>
        <v>PA</v>
      </c>
      <c r="D891" s="899">
        <f>Clothing!K99</f>
        <v>2.5935270031614568</v>
      </c>
      <c r="E891" s="900" t="s">
        <v>2044</v>
      </c>
      <c r="F891" s="898">
        <f>Clothing!O99</f>
        <v>1</v>
      </c>
      <c r="G891" s="898">
        <f>Clothing!P99</f>
        <v>1</v>
      </c>
      <c r="H891" s="898">
        <f>Clothing!Q99</f>
        <v>2</v>
      </c>
      <c r="I891" s="898">
        <f>Clothing!R99</f>
        <v>2</v>
      </c>
      <c r="J891" s="898">
        <f>Clothing!S99</f>
        <v>2</v>
      </c>
      <c r="K891" s="290">
        <f t="shared" si="14"/>
        <v>0.37356464144298934</v>
      </c>
    </row>
    <row r="892" spans="1:11" hidden="1">
      <c r="A892" s="898" t="s">
        <v>2043</v>
      </c>
      <c r="B892" s="898">
        <f>Clothing!B100</f>
        <v>2022</v>
      </c>
      <c r="C892" s="898" t="str">
        <f>Clothing!C100</f>
        <v>PET</v>
      </c>
      <c r="D892" s="899">
        <f>Clothing!K100</f>
        <v>9.1422902607617065</v>
      </c>
      <c r="E892" s="900" t="s">
        <v>2044</v>
      </c>
      <c r="F892" s="898">
        <f>Clothing!O100</f>
        <v>1</v>
      </c>
      <c r="G892" s="898">
        <f>Clothing!P100</f>
        <v>1</v>
      </c>
      <c r="H892" s="898">
        <f>Clothing!Q100</f>
        <v>2</v>
      </c>
      <c r="I892" s="898">
        <f>Clothing!R100</f>
        <v>2</v>
      </c>
      <c r="J892" s="898">
        <f>Clothing!S100</f>
        <v>2</v>
      </c>
      <c r="K892" s="290">
        <f t="shared" si="14"/>
        <v>0.37356464144298934</v>
      </c>
    </row>
    <row r="893" spans="1:11" hidden="1">
      <c r="A893" s="898" t="s">
        <v>2043</v>
      </c>
      <c r="B893" s="898">
        <f>Clothing!B101</f>
        <v>2022</v>
      </c>
      <c r="C893" s="898" t="str">
        <f>Clothing!C101</f>
        <v>PUR</v>
      </c>
      <c r="D893" s="899">
        <f>Clothing!K101</f>
        <v>2.2275685225261483</v>
      </c>
      <c r="E893" s="900" t="s">
        <v>2044</v>
      </c>
      <c r="F893" s="898">
        <f>Clothing!O101</f>
        <v>1</v>
      </c>
      <c r="G893" s="898">
        <f>Clothing!P101</f>
        <v>1</v>
      </c>
      <c r="H893" s="898">
        <f>Clothing!Q101</f>
        <v>2</v>
      </c>
      <c r="I893" s="898">
        <f>Clothing!R101</f>
        <v>2</v>
      </c>
      <c r="J893" s="898">
        <f>Clothing!S101</f>
        <v>2</v>
      </c>
      <c r="K893" s="290">
        <f t="shared" ref="K893:K956" si="15">IF( OR( ISBLANK(F893),ISBLANK(G893), ISBLANK(H893), ISBLANK(I893), ISBLANK(J893) ), "", 1.5*SQRT(   EXP(2.21*(F893-1)) + EXP(2.21*(G893-1)) + EXP(2.21*(H893-1)) + EXP(2.21*(I893-1)) + EXP(2.21*J893)   )/100*2.45 )</f>
        <v>0.37356464144298934</v>
      </c>
    </row>
    <row r="894" spans="1:11" hidden="1">
      <c r="A894" s="898" t="s">
        <v>2043</v>
      </c>
      <c r="B894" s="898">
        <f>Clothing!B102</f>
        <v>2022</v>
      </c>
      <c r="C894" s="898" t="str">
        <f>Clothing!C102</f>
        <v>PVC</v>
      </c>
      <c r="D894" s="899">
        <f>Clothing!K102</f>
        <v>1.3615167263339654</v>
      </c>
      <c r="E894" s="900" t="s">
        <v>2044</v>
      </c>
      <c r="F894" s="898">
        <f>Clothing!O102</f>
        <v>1</v>
      </c>
      <c r="G894" s="898">
        <f>Clothing!P102</f>
        <v>1</v>
      </c>
      <c r="H894" s="898">
        <f>Clothing!Q102</f>
        <v>2</v>
      </c>
      <c r="I894" s="898">
        <f>Clothing!R102</f>
        <v>2</v>
      </c>
      <c r="J894" s="898">
        <f>Clothing!S102</f>
        <v>2</v>
      </c>
      <c r="K894" s="290">
        <f t="shared" si="15"/>
        <v>0.37356464144298934</v>
      </c>
    </row>
    <row r="895" spans="1:11" hidden="1">
      <c r="A895" s="898" t="s">
        <v>2043</v>
      </c>
      <c r="B895" s="898">
        <f>Clothing!B103</f>
        <v>2022</v>
      </c>
      <c r="C895" s="898" t="str">
        <f>Clothing!C103</f>
        <v>RUBBER</v>
      </c>
      <c r="D895" s="899">
        <f>Clothing!K103</f>
        <v>1.8388419351528162</v>
      </c>
      <c r="E895" s="900" t="s">
        <v>2044</v>
      </c>
      <c r="F895" s="898">
        <f>Clothing!O103</f>
        <v>1</v>
      </c>
      <c r="G895" s="898">
        <f>Clothing!P103</f>
        <v>1</v>
      </c>
      <c r="H895" s="898">
        <f>Clothing!Q103</f>
        <v>2</v>
      </c>
      <c r="I895" s="898">
        <f>Clothing!R103</f>
        <v>2</v>
      </c>
      <c r="J895" s="898">
        <f>Clothing!S103</f>
        <v>2</v>
      </c>
      <c r="K895" s="290">
        <f t="shared" si="15"/>
        <v>0.37356464144298934</v>
      </c>
    </row>
    <row r="896" spans="1:11" hidden="1">
      <c r="A896" s="898" t="s">
        <v>2043</v>
      </c>
      <c r="B896" s="898">
        <f>Clothing!B20</f>
        <v>2011</v>
      </c>
      <c r="C896" s="898" t="str">
        <f>Clothing!C20</f>
        <v>Acryl</v>
      </c>
      <c r="D896" s="898">
        <f>Clothing!L20</f>
        <v>1.9845253013860829</v>
      </c>
      <c r="E896" s="900" t="s">
        <v>2045</v>
      </c>
      <c r="F896" s="898">
        <f>Clothing!O20</f>
        <v>1</v>
      </c>
      <c r="G896" s="898">
        <f>Clothing!P20</f>
        <v>1</v>
      </c>
      <c r="H896" s="898">
        <f>Clothing!Q20</f>
        <v>2</v>
      </c>
      <c r="I896" s="898">
        <f>Clothing!R20</f>
        <v>2</v>
      </c>
      <c r="J896" s="898">
        <f>Clothing!S20</f>
        <v>2</v>
      </c>
      <c r="K896" s="290">
        <f t="shared" si="15"/>
        <v>0.37356464144298934</v>
      </c>
    </row>
    <row r="897" spans="1:11" hidden="1">
      <c r="A897" s="898" t="s">
        <v>2043</v>
      </c>
      <c r="B897" s="898">
        <f>Clothing!B21</f>
        <v>2011</v>
      </c>
      <c r="C897" s="898" t="str">
        <f>Clothing!C21</f>
        <v>OTHER</v>
      </c>
      <c r="D897" s="898">
        <f>Clothing!L21</f>
        <v>2.5554295215236702</v>
      </c>
      <c r="E897" s="900" t="s">
        <v>2045</v>
      </c>
      <c r="F897" s="898">
        <f>Clothing!O21</f>
        <v>1</v>
      </c>
      <c r="G897" s="898">
        <f>Clothing!P21</f>
        <v>1</v>
      </c>
      <c r="H897" s="898">
        <f>Clothing!Q21</f>
        <v>2</v>
      </c>
      <c r="I897" s="898">
        <f>Clothing!R21</f>
        <v>2</v>
      </c>
      <c r="J897" s="898">
        <f>Clothing!S21</f>
        <v>2</v>
      </c>
      <c r="K897" s="290">
        <f t="shared" si="15"/>
        <v>0.37356464144298934</v>
      </c>
    </row>
    <row r="898" spans="1:11" hidden="1">
      <c r="A898" s="898" t="s">
        <v>2043</v>
      </c>
      <c r="B898" s="898">
        <f>Clothing!B22</f>
        <v>2011</v>
      </c>
      <c r="C898" s="898" t="str">
        <f>Clothing!C22</f>
        <v>PA</v>
      </c>
      <c r="D898" s="898">
        <f>Clothing!L22</f>
        <v>6.7478780352216932</v>
      </c>
      <c r="E898" s="900" t="s">
        <v>2045</v>
      </c>
      <c r="F898" s="898">
        <f>Clothing!O22</f>
        <v>1</v>
      </c>
      <c r="G898" s="898">
        <f>Clothing!P22</f>
        <v>1</v>
      </c>
      <c r="H898" s="898">
        <f>Clothing!Q22</f>
        <v>2</v>
      </c>
      <c r="I898" s="898">
        <f>Clothing!R22</f>
        <v>2</v>
      </c>
      <c r="J898" s="898">
        <f>Clothing!S22</f>
        <v>2</v>
      </c>
      <c r="K898" s="290">
        <f t="shared" si="15"/>
        <v>0.37356464144298934</v>
      </c>
    </row>
    <row r="899" spans="1:11" hidden="1">
      <c r="A899" s="898" t="s">
        <v>2043</v>
      </c>
      <c r="B899" s="898">
        <f>Clothing!B23</f>
        <v>2011</v>
      </c>
      <c r="C899" s="898" t="str">
        <f>Clothing!C23</f>
        <v>PET</v>
      </c>
      <c r="D899" s="898">
        <f>Clothing!L23</f>
        <v>18.180332036057152</v>
      </c>
      <c r="E899" s="900" t="s">
        <v>2045</v>
      </c>
      <c r="F899" s="898">
        <f>Clothing!O23</f>
        <v>1</v>
      </c>
      <c r="G899" s="898">
        <f>Clothing!P23</f>
        <v>1</v>
      </c>
      <c r="H899" s="898">
        <f>Clothing!Q23</f>
        <v>2</v>
      </c>
      <c r="I899" s="898">
        <f>Clothing!R23</f>
        <v>2</v>
      </c>
      <c r="J899" s="898">
        <f>Clothing!S23</f>
        <v>2</v>
      </c>
      <c r="K899" s="290">
        <f t="shared" si="15"/>
        <v>0.37356464144298934</v>
      </c>
    </row>
    <row r="900" spans="1:11" hidden="1">
      <c r="A900" s="898" t="s">
        <v>2043</v>
      </c>
      <c r="B900" s="898">
        <f>Clothing!B24</f>
        <v>2011</v>
      </c>
      <c r="C900" s="898" t="str">
        <f>Clothing!C24</f>
        <v>PUR</v>
      </c>
      <c r="D900" s="898">
        <f>Clothing!L24</f>
        <v>3.1056546297128436</v>
      </c>
      <c r="E900" s="900" t="s">
        <v>2045</v>
      </c>
      <c r="F900" s="898">
        <f>Clothing!O24</f>
        <v>1</v>
      </c>
      <c r="G900" s="898">
        <f>Clothing!P24</f>
        <v>1</v>
      </c>
      <c r="H900" s="898">
        <f>Clothing!Q24</f>
        <v>2</v>
      </c>
      <c r="I900" s="898">
        <f>Clothing!R24</f>
        <v>2</v>
      </c>
      <c r="J900" s="898">
        <f>Clothing!S24</f>
        <v>2</v>
      </c>
      <c r="K900" s="290">
        <f t="shared" si="15"/>
        <v>0.37356464144298934</v>
      </c>
    </row>
    <row r="901" spans="1:11" hidden="1">
      <c r="A901" s="898" t="s">
        <v>2043</v>
      </c>
      <c r="B901" s="898">
        <f>Clothing!B25</f>
        <v>2011</v>
      </c>
      <c r="C901" s="898" t="str">
        <f>Clothing!C25</f>
        <v>PVC</v>
      </c>
      <c r="D901" s="898">
        <f>Clothing!L25</f>
        <v>1.8825270360216528</v>
      </c>
      <c r="E901" s="900" t="s">
        <v>2045</v>
      </c>
      <c r="F901" s="898">
        <f>Clothing!O25</f>
        <v>1</v>
      </c>
      <c r="G901" s="898">
        <f>Clothing!P25</f>
        <v>1</v>
      </c>
      <c r="H901" s="898">
        <f>Clothing!Q25</f>
        <v>2</v>
      </c>
      <c r="I901" s="898">
        <f>Clothing!R25</f>
        <v>2</v>
      </c>
      <c r="J901" s="898">
        <f>Clothing!S25</f>
        <v>2</v>
      </c>
      <c r="K901" s="290">
        <f t="shared" si="15"/>
        <v>0.37356464144298934</v>
      </c>
    </row>
    <row r="902" spans="1:11" hidden="1">
      <c r="A902" s="898" t="s">
        <v>2043</v>
      </c>
      <c r="B902" s="898">
        <f>Clothing!B26</f>
        <v>2011</v>
      </c>
      <c r="C902" s="898" t="str">
        <f>Clothing!C26</f>
        <v>RUBBER</v>
      </c>
      <c r="D902" s="898">
        <f>Clothing!L26</f>
        <v>2.4061841950878229</v>
      </c>
      <c r="E902" s="900" t="s">
        <v>2045</v>
      </c>
      <c r="F902" s="898">
        <f>Clothing!O26</f>
        <v>1</v>
      </c>
      <c r="G902" s="898">
        <f>Clothing!P26</f>
        <v>1</v>
      </c>
      <c r="H902" s="898">
        <f>Clothing!Q26</f>
        <v>2</v>
      </c>
      <c r="I902" s="898">
        <f>Clothing!R26</f>
        <v>2</v>
      </c>
      <c r="J902" s="898">
        <f>Clothing!S26</f>
        <v>2</v>
      </c>
      <c r="K902" s="290">
        <f t="shared" si="15"/>
        <v>0.37356464144298934</v>
      </c>
    </row>
    <row r="903" spans="1:11" hidden="1">
      <c r="A903" s="898" t="s">
        <v>2043</v>
      </c>
      <c r="B903" s="898">
        <f>Clothing!B27</f>
        <v>2012</v>
      </c>
      <c r="C903" s="898" t="str">
        <f>Clothing!C27</f>
        <v>Acryl</v>
      </c>
      <c r="D903" s="898">
        <f>Clothing!L27</f>
        <v>2.0194464398488403</v>
      </c>
      <c r="E903" s="900" t="s">
        <v>2045</v>
      </c>
      <c r="F903" s="898">
        <f>Clothing!O27</f>
        <v>1</v>
      </c>
      <c r="G903" s="898">
        <f>Clothing!P27</f>
        <v>1</v>
      </c>
      <c r="H903" s="898">
        <f>Clothing!Q27</f>
        <v>2</v>
      </c>
      <c r="I903" s="898">
        <f>Clothing!R27</f>
        <v>2</v>
      </c>
      <c r="J903" s="898">
        <f>Clothing!S27</f>
        <v>2</v>
      </c>
      <c r="K903" s="290">
        <f t="shared" si="15"/>
        <v>0.37356464144298934</v>
      </c>
    </row>
    <row r="904" spans="1:11" hidden="1">
      <c r="A904" s="898" t="s">
        <v>2043</v>
      </c>
      <c r="B904" s="898">
        <f>Clothing!B28</f>
        <v>2012</v>
      </c>
      <c r="C904" s="898" t="str">
        <f>Clothing!C28</f>
        <v>OTHER</v>
      </c>
      <c r="D904" s="898">
        <f>Clothing!L28</f>
        <v>2.0185567673512366</v>
      </c>
      <c r="E904" s="900" t="s">
        <v>2045</v>
      </c>
      <c r="F904" s="898">
        <f>Clothing!O28</f>
        <v>1</v>
      </c>
      <c r="G904" s="898">
        <f>Clothing!P28</f>
        <v>1</v>
      </c>
      <c r="H904" s="898">
        <f>Clothing!Q28</f>
        <v>2</v>
      </c>
      <c r="I904" s="898">
        <f>Clothing!R28</f>
        <v>2</v>
      </c>
      <c r="J904" s="898">
        <f>Clothing!S28</f>
        <v>2</v>
      </c>
      <c r="K904" s="290">
        <f t="shared" si="15"/>
        <v>0.37356464144298934</v>
      </c>
    </row>
    <row r="905" spans="1:11" hidden="1">
      <c r="A905" s="898" t="s">
        <v>2043</v>
      </c>
      <c r="B905" s="898">
        <f>Clothing!B29</f>
        <v>2012</v>
      </c>
      <c r="C905" s="898" t="str">
        <f>Clothing!C29</f>
        <v>PA</v>
      </c>
      <c r="D905" s="898">
        <f>Clothing!L29</f>
        <v>5.9213615947836269</v>
      </c>
      <c r="E905" s="900" t="s">
        <v>2045</v>
      </c>
      <c r="F905" s="898">
        <f>Clothing!O29</f>
        <v>1</v>
      </c>
      <c r="G905" s="898">
        <f>Clothing!P29</f>
        <v>1</v>
      </c>
      <c r="H905" s="898">
        <f>Clothing!Q29</f>
        <v>2</v>
      </c>
      <c r="I905" s="898">
        <f>Clothing!R29</f>
        <v>2</v>
      </c>
      <c r="J905" s="898">
        <f>Clothing!S29</f>
        <v>2</v>
      </c>
      <c r="K905" s="290">
        <f t="shared" si="15"/>
        <v>0.37356464144298934</v>
      </c>
    </row>
    <row r="906" spans="1:11" hidden="1">
      <c r="A906" s="898" t="s">
        <v>2043</v>
      </c>
      <c r="B906" s="898">
        <f>Clothing!B30</f>
        <v>2012</v>
      </c>
      <c r="C906" s="898" t="str">
        <f>Clothing!C30</f>
        <v>PET</v>
      </c>
      <c r="D906" s="898">
        <f>Clothing!L30</f>
        <v>18.931645734236213</v>
      </c>
      <c r="E906" s="900" t="s">
        <v>2045</v>
      </c>
      <c r="F906" s="898">
        <f>Clothing!O30</f>
        <v>1</v>
      </c>
      <c r="G906" s="898">
        <f>Clothing!P30</f>
        <v>1</v>
      </c>
      <c r="H906" s="898">
        <f>Clothing!Q30</f>
        <v>2</v>
      </c>
      <c r="I906" s="898">
        <f>Clothing!R30</f>
        <v>2</v>
      </c>
      <c r="J906" s="898">
        <f>Clothing!S30</f>
        <v>2</v>
      </c>
      <c r="K906" s="290">
        <f t="shared" si="15"/>
        <v>0.37356464144298934</v>
      </c>
    </row>
    <row r="907" spans="1:11" hidden="1">
      <c r="A907" s="898" t="s">
        <v>2043</v>
      </c>
      <c r="B907" s="898">
        <f>Clothing!B31</f>
        <v>2012</v>
      </c>
      <c r="C907" s="898" t="str">
        <f>Clothing!C31</f>
        <v>PUR</v>
      </c>
      <c r="D907" s="898">
        <f>Clothing!L31</f>
        <v>2.8781028311146617</v>
      </c>
      <c r="E907" s="900" t="s">
        <v>2045</v>
      </c>
      <c r="F907" s="898">
        <f>Clothing!O31</f>
        <v>1</v>
      </c>
      <c r="G907" s="898">
        <f>Clothing!P31</f>
        <v>1</v>
      </c>
      <c r="H907" s="898">
        <f>Clothing!Q31</f>
        <v>2</v>
      </c>
      <c r="I907" s="898">
        <f>Clothing!R31</f>
        <v>2</v>
      </c>
      <c r="J907" s="898">
        <f>Clothing!S31</f>
        <v>2</v>
      </c>
      <c r="K907" s="290">
        <f t="shared" si="15"/>
        <v>0.37356464144298934</v>
      </c>
    </row>
    <row r="908" spans="1:11" hidden="1">
      <c r="A908" s="898" t="s">
        <v>2043</v>
      </c>
      <c r="B908" s="898">
        <f>Clothing!B32</f>
        <v>2012</v>
      </c>
      <c r="C908" s="898" t="str">
        <f>Clothing!C32</f>
        <v>PVC</v>
      </c>
      <c r="D908" s="898">
        <f>Clothing!L32</f>
        <v>1.7303209817722918</v>
      </c>
      <c r="E908" s="900" t="s">
        <v>2045</v>
      </c>
      <c r="F908" s="898">
        <f>Clothing!O32</f>
        <v>1</v>
      </c>
      <c r="G908" s="898">
        <f>Clothing!P32</f>
        <v>1</v>
      </c>
      <c r="H908" s="898">
        <f>Clothing!Q32</f>
        <v>2</v>
      </c>
      <c r="I908" s="898">
        <f>Clothing!R32</f>
        <v>2</v>
      </c>
      <c r="J908" s="898">
        <f>Clothing!S32</f>
        <v>2</v>
      </c>
      <c r="K908" s="290">
        <f t="shared" si="15"/>
        <v>0.37356464144298934</v>
      </c>
    </row>
    <row r="909" spans="1:11" hidden="1">
      <c r="A909" s="898" t="s">
        <v>2043</v>
      </c>
      <c r="B909" s="898">
        <f>Clothing!B33</f>
        <v>2012</v>
      </c>
      <c r="C909" s="898" t="str">
        <f>Clothing!C33</f>
        <v>RUBBER</v>
      </c>
      <c r="D909" s="898">
        <f>Clothing!L33</f>
        <v>2.0871560798928575</v>
      </c>
      <c r="E909" s="900" t="s">
        <v>2045</v>
      </c>
      <c r="F909" s="898">
        <f>Clothing!O33</f>
        <v>1</v>
      </c>
      <c r="G909" s="898">
        <f>Clothing!P33</f>
        <v>1</v>
      </c>
      <c r="H909" s="898">
        <f>Clothing!Q33</f>
        <v>2</v>
      </c>
      <c r="I909" s="898">
        <f>Clothing!R33</f>
        <v>2</v>
      </c>
      <c r="J909" s="898">
        <f>Clothing!S33</f>
        <v>2</v>
      </c>
      <c r="K909" s="290">
        <f t="shared" si="15"/>
        <v>0.37356464144298934</v>
      </c>
    </row>
    <row r="910" spans="1:11" hidden="1">
      <c r="A910" s="898" t="s">
        <v>2043</v>
      </c>
      <c r="B910" s="898">
        <f>Clothing!B34</f>
        <v>2013</v>
      </c>
      <c r="C910" s="898" t="str">
        <f>Clothing!C34</f>
        <v>Acryl</v>
      </c>
      <c r="D910" s="898">
        <f>Clothing!L34</f>
        <v>1.949977033733969</v>
      </c>
      <c r="E910" s="900" t="s">
        <v>2045</v>
      </c>
      <c r="F910" s="898">
        <f>Clothing!O34</f>
        <v>1</v>
      </c>
      <c r="G910" s="898">
        <f>Clothing!P34</f>
        <v>1</v>
      </c>
      <c r="H910" s="898">
        <f>Clothing!Q34</f>
        <v>2</v>
      </c>
      <c r="I910" s="898">
        <f>Clothing!R34</f>
        <v>2</v>
      </c>
      <c r="J910" s="898">
        <f>Clothing!S34</f>
        <v>2</v>
      </c>
      <c r="K910" s="290">
        <f t="shared" si="15"/>
        <v>0.37356464144298934</v>
      </c>
    </row>
    <row r="911" spans="1:11" hidden="1">
      <c r="A911" s="898" t="s">
        <v>2043</v>
      </c>
      <c r="B911" s="898">
        <f>Clothing!B35</f>
        <v>2013</v>
      </c>
      <c r="C911" s="898" t="str">
        <f>Clothing!C35</f>
        <v>OTHER</v>
      </c>
      <c r="D911" s="898">
        <f>Clothing!L35</f>
        <v>2.2772078799803199</v>
      </c>
      <c r="E911" s="900" t="s">
        <v>2045</v>
      </c>
      <c r="F911" s="898">
        <f>Clothing!O35</f>
        <v>1</v>
      </c>
      <c r="G911" s="898">
        <f>Clothing!P35</f>
        <v>1</v>
      </c>
      <c r="H911" s="898">
        <f>Clothing!Q35</f>
        <v>2</v>
      </c>
      <c r="I911" s="898">
        <f>Clothing!R35</f>
        <v>2</v>
      </c>
      <c r="J911" s="898">
        <f>Clothing!S35</f>
        <v>2</v>
      </c>
      <c r="K911" s="290">
        <f t="shared" si="15"/>
        <v>0.37356464144298934</v>
      </c>
    </row>
    <row r="912" spans="1:11" hidden="1">
      <c r="A912" s="898" t="s">
        <v>2043</v>
      </c>
      <c r="B912" s="898">
        <f>Clothing!B36</f>
        <v>2013</v>
      </c>
      <c r="C912" s="898" t="str">
        <f>Clothing!C36</f>
        <v>PA</v>
      </c>
      <c r="D912" s="898">
        <f>Clothing!L36</f>
        <v>6.0144226999180352</v>
      </c>
      <c r="E912" s="900" t="s">
        <v>2045</v>
      </c>
      <c r="F912" s="898">
        <f>Clothing!O36</f>
        <v>1</v>
      </c>
      <c r="G912" s="898">
        <f>Clothing!P36</f>
        <v>1</v>
      </c>
      <c r="H912" s="898">
        <f>Clothing!Q36</f>
        <v>2</v>
      </c>
      <c r="I912" s="898">
        <f>Clothing!R36</f>
        <v>2</v>
      </c>
      <c r="J912" s="898">
        <f>Clothing!S36</f>
        <v>2</v>
      </c>
      <c r="K912" s="290">
        <f t="shared" si="15"/>
        <v>0.37356464144298934</v>
      </c>
    </row>
    <row r="913" spans="1:11" hidden="1">
      <c r="A913" s="898" t="s">
        <v>2043</v>
      </c>
      <c r="B913" s="898">
        <f>Clothing!B37</f>
        <v>2013</v>
      </c>
      <c r="C913" s="898" t="str">
        <f>Clothing!C37</f>
        <v>PET</v>
      </c>
      <c r="D913" s="898">
        <f>Clothing!L37</f>
        <v>20.151341929181118</v>
      </c>
      <c r="E913" s="900" t="s">
        <v>2045</v>
      </c>
      <c r="F913" s="898">
        <f>Clothing!O37</f>
        <v>1</v>
      </c>
      <c r="G913" s="898">
        <f>Clothing!P37</f>
        <v>1</v>
      </c>
      <c r="H913" s="898">
        <f>Clothing!Q37</f>
        <v>2</v>
      </c>
      <c r="I913" s="898">
        <f>Clothing!R37</f>
        <v>2</v>
      </c>
      <c r="J913" s="898">
        <f>Clothing!S37</f>
        <v>2</v>
      </c>
      <c r="K913" s="290">
        <f t="shared" si="15"/>
        <v>0.37356464144298934</v>
      </c>
    </row>
    <row r="914" spans="1:11" hidden="1">
      <c r="A914" s="898" t="s">
        <v>2043</v>
      </c>
      <c r="B914" s="898">
        <f>Clothing!B38</f>
        <v>2013</v>
      </c>
      <c r="C914" s="898" t="str">
        <f>Clothing!C38</f>
        <v>PUR</v>
      </c>
      <c r="D914" s="898">
        <f>Clothing!L38</f>
        <v>2.9474069345075766</v>
      </c>
      <c r="E914" s="900" t="s">
        <v>2045</v>
      </c>
      <c r="F914" s="898">
        <f>Clothing!O38</f>
        <v>1</v>
      </c>
      <c r="G914" s="898">
        <f>Clothing!P38</f>
        <v>1</v>
      </c>
      <c r="H914" s="898">
        <f>Clothing!Q38</f>
        <v>2</v>
      </c>
      <c r="I914" s="898">
        <f>Clothing!R38</f>
        <v>2</v>
      </c>
      <c r="J914" s="898">
        <f>Clothing!S38</f>
        <v>2</v>
      </c>
      <c r="K914" s="290">
        <f t="shared" si="15"/>
        <v>0.37356464144298934</v>
      </c>
    </row>
    <row r="915" spans="1:11" hidden="1">
      <c r="A915" s="898" t="s">
        <v>2043</v>
      </c>
      <c r="B915" s="898">
        <f>Clothing!B39</f>
        <v>2013</v>
      </c>
      <c r="C915" s="898" t="str">
        <f>Clothing!C39</f>
        <v>PVC</v>
      </c>
      <c r="D915" s="898">
        <f>Clothing!L39</f>
        <v>1.797993530403281</v>
      </c>
      <c r="E915" s="900" t="s">
        <v>2045</v>
      </c>
      <c r="F915" s="898">
        <f>Clothing!O39</f>
        <v>1</v>
      </c>
      <c r="G915" s="898">
        <f>Clothing!P39</f>
        <v>1</v>
      </c>
      <c r="H915" s="898">
        <f>Clothing!Q39</f>
        <v>2</v>
      </c>
      <c r="I915" s="898">
        <f>Clothing!R39</f>
        <v>2</v>
      </c>
      <c r="J915" s="898">
        <f>Clothing!S39</f>
        <v>2</v>
      </c>
      <c r="K915" s="290">
        <f t="shared" si="15"/>
        <v>0.37356464144298934</v>
      </c>
    </row>
    <row r="916" spans="1:11" hidden="1">
      <c r="A916" s="898" t="s">
        <v>2043</v>
      </c>
      <c r="B916" s="898">
        <f>Clothing!B40</f>
        <v>2013</v>
      </c>
      <c r="C916" s="898" t="str">
        <f>Clothing!C40</f>
        <v>RUBBER</v>
      </c>
      <c r="D916" s="898">
        <f>Clothing!L40</f>
        <v>2.3650207088701842</v>
      </c>
      <c r="E916" s="900" t="s">
        <v>2045</v>
      </c>
      <c r="F916" s="898">
        <f>Clothing!O40</f>
        <v>1</v>
      </c>
      <c r="G916" s="898">
        <f>Clothing!P40</f>
        <v>1</v>
      </c>
      <c r="H916" s="898">
        <f>Clothing!Q40</f>
        <v>2</v>
      </c>
      <c r="I916" s="898">
        <f>Clothing!R40</f>
        <v>2</v>
      </c>
      <c r="J916" s="898">
        <f>Clothing!S40</f>
        <v>2</v>
      </c>
      <c r="K916" s="290">
        <f t="shared" si="15"/>
        <v>0.37356464144298934</v>
      </c>
    </row>
    <row r="917" spans="1:11" hidden="1">
      <c r="A917" s="898" t="s">
        <v>2043</v>
      </c>
      <c r="B917" s="898">
        <f>Clothing!B41</f>
        <v>2014</v>
      </c>
      <c r="C917" s="898" t="str">
        <f>Clothing!C41</f>
        <v>Acryl</v>
      </c>
      <c r="D917" s="898">
        <f>Clothing!L41</f>
        <v>1.8827188975612188</v>
      </c>
      <c r="E917" s="900" t="s">
        <v>2045</v>
      </c>
      <c r="F917" s="898">
        <f>Clothing!O41</f>
        <v>1</v>
      </c>
      <c r="G917" s="898">
        <f>Clothing!P41</f>
        <v>1</v>
      </c>
      <c r="H917" s="898">
        <f>Clothing!Q41</f>
        <v>2</v>
      </c>
      <c r="I917" s="898">
        <f>Clothing!R41</f>
        <v>2</v>
      </c>
      <c r="J917" s="898">
        <f>Clothing!S41</f>
        <v>2</v>
      </c>
      <c r="K917" s="290">
        <f t="shared" si="15"/>
        <v>0.37356464144298934</v>
      </c>
    </row>
    <row r="918" spans="1:11" hidden="1">
      <c r="A918" s="898" t="s">
        <v>2043</v>
      </c>
      <c r="B918" s="898">
        <f>Clothing!B42</f>
        <v>2014</v>
      </c>
      <c r="C918" s="898" t="str">
        <f>Clothing!C42</f>
        <v>OTHER</v>
      </c>
      <c r="D918" s="898">
        <f>Clothing!L42</f>
        <v>2.6711799555836633</v>
      </c>
      <c r="E918" s="900" t="s">
        <v>2045</v>
      </c>
      <c r="F918" s="898">
        <f>Clothing!O42</f>
        <v>1</v>
      </c>
      <c r="G918" s="898">
        <f>Clothing!P42</f>
        <v>1</v>
      </c>
      <c r="H918" s="898">
        <f>Clothing!Q42</f>
        <v>2</v>
      </c>
      <c r="I918" s="898">
        <f>Clothing!R42</f>
        <v>2</v>
      </c>
      <c r="J918" s="898">
        <f>Clothing!S42</f>
        <v>2</v>
      </c>
      <c r="K918" s="290">
        <f t="shared" si="15"/>
        <v>0.37356464144298934</v>
      </c>
    </row>
    <row r="919" spans="1:11" hidden="1">
      <c r="A919" s="898" t="s">
        <v>2043</v>
      </c>
      <c r="B919" s="898">
        <f>Clothing!B43</f>
        <v>2014</v>
      </c>
      <c r="C919" s="898" t="str">
        <f>Clothing!C43</f>
        <v>PA</v>
      </c>
      <c r="D919" s="898">
        <f>Clothing!L43</f>
        <v>6.386762309682914</v>
      </c>
      <c r="E919" s="900" t="s">
        <v>2045</v>
      </c>
      <c r="F919" s="898">
        <f>Clothing!O43</f>
        <v>1</v>
      </c>
      <c r="G919" s="898">
        <f>Clothing!P43</f>
        <v>1</v>
      </c>
      <c r="H919" s="898">
        <f>Clothing!Q43</f>
        <v>2</v>
      </c>
      <c r="I919" s="898">
        <f>Clothing!R43</f>
        <v>2</v>
      </c>
      <c r="J919" s="898">
        <f>Clothing!S43</f>
        <v>2</v>
      </c>
      <c r="K919" s="290">
        <f t="shared" si="15"/>
        <v>0.37356464144298934</v>
      </c>
    </row>
    <row r="920" spans="1:11" hidden="1">
      <c r="A920" s="898" t="s">
        <v>2043</v>
      </c>
      <c r="B920" s="898">
        <f>Clothing!B44</f>
        <v>2014</v>
      </c>
      <c r="C920" s="898" t="str">
        <f>Clothing!C44</f>
        <v>PET</v>
      </c>
      <c r="D920" s="898">
        <f>Clothing!L44</f>
        <v>21.263696478492943</v>
      </c>
      <c r="E920" s="900" t="s">
        <v>2045</v>
      </c>
      <c r="F920" s="898">
        <f>Clothing!O44</f>
        <v>1</v>
      </c>
      <c r="G920" s="898">
        <f>Clothing!P44</f>
        <v>1</v>
      </c>
      <c r="H920" s="898">
        <f>Clothing!Q44</f>
        <v>2</v>
      </c>
      <c r="I920" s="898">
        <f>Clothing!R44</f>
        <v>2</v>
      </c>
      <c r="J920" s="898">
        <f>Clothing!S44</f>
        <v>2</v>
      </c>
      <c r="K920" s="290">
        <f t="shared" si="15"/>
        <v>0.37356464144298934</v>
      </c>
    </row>
    <row r="921" spans="1:11" hidden="1">
      <c r="A921" s="898" t="s">
        <v>2043</v>
      </c>
      <c r="B921" s="898">
        <f>Clothing!B45</f>
        <v>2014</v>
      </c>
      <c r="C921" s="898" t="str">
        <f>Clothing!C45</f>
        <v>PUR</v>
      </c>
      <c r="D921" s="898">
        <f>Clothing!L45</f>
        <v>3.513487313250363</v>
      </c>
      <c r="E921" s="900" t="s">
        <v>2045</v>
      </c>
      <c r="F921" s="898">
        <f>Clothing!O45</f>
        <v>1</v>
      </c>
      <c r="G921" s="898">
        <f>Clothing!P45</f>
        <v>1</v>
      </c>
      <c r="H921" s="898">
        <f>Clothing!Q45</f>
        <v>2</v>
      </c>
      <c r="I921" s="898">
        <f>Clothing!R45</f>
        <v>2</v>
      </c>
      <c r="J921" s="898">
        <f>Clothing!S45</f>
        <v>2</v>
      </c>
      <c r="K921" s="290">
        <f t="shared" si="15"/>
        <v>0.37356464144298934</v>
      </c>
    </row>
    <row r="922" spans="1:11" hidden="1">
      <c r="A922" s="898" t="s">
        <v>2043</v>
      </c>
      <c r="B922" s="898">
        <f>Clothing!B46</f>
        <v>2014</v>
      </c>
      <c r="C922" s="898" t="str">
        <f>Clothing!C46</f>
        <v>PVC</v>
      </c>
      <c r="D922" s="898">
        <f>Clothing!L46</f>
        <v>2.1405073592034967</v>
      </c>
      <c r="E922" s="900" t="s">
        <v>2045</v>
      </c>
      <c r="F922" s="898">
        <f>Clothing!O46</f>
        <v>1</v>
      </c>
      <c r="G922" s="898">
        <f>Clothing!P46</f>
        <v>1</v>
      </c>
      <c r="H922" s="898">
        <f>Clothing!Q46</f>
        <v>2</v>
      </c>
      <c r="I922" s="898">
        <f>Clothing!R46</f>
        <v>2</v>
      </c>
      <c r="J922" s="898">
        <f>Clothing!S46</f>
        <v>2</v>
      </c>
      <c r="K922" s="290">
        <f t="shared" si="15"/>
        <v>0.37356464144298934</v>
      </c>
    </row>
    <row r="923" spans="1:11" hidden="1">
      <c r="A923" s="898" t="s">
        <v>2043</v>
      </c>
      <c r="B923" s="898">
        <f>Clothing!B47</f>
        <v>2014</v>
      </c>
      <c r="C923" s="898" t="str">
        <f>Clothing!C47</f>
        <v>RUBBER</v>
      </c>
      <c r="D923" s="898">
        <f>Clothing!L47</f>
        <v>2.7611207613435287</v>
      </c>
      <c r="E923" s="900" t="s">
        <v>2045</v>
      </c>
      <c r="F923" s="898">
        <f>Clothing!O47</f>
        <v>1</v>
      </c>
      <c r="G923" s="898">
        <f>Clothing!P47</f>
        <v>1</v>
      </c>
      <c r="H923" s="898">
        <f>Clothing!Q47</f>
        <v>2</v>
      </c>
      <c r="I923" s="898">
        <f>Clothing!R47</f>
        <v>2</v>
      </c>
      <c r="J923" s="898">
        <f>Clothing!S47</f>
        <v>2</v>
      </c>
      <c r="K923" s="290">
        <f t="shared" si="15"/>
        <v>0.37356464144298934</v>
      </c>
    </row>
    <row r="924" spans="1:11" hidden="1">
      <c r="A924" s="898" t="s">
        <v>2043</v>
      </c>
      <c r="B924" s="898">
        <f>Clothing!B48</f>
        <v>2015</v>
      </c>
      <c r="C924" s="898" t="str">
        <f>Clothing!C48</f>
        <v>Acryl</v>
      </c>
      <c r="D924" s="898">
        <f>Clothing!L48</f>
        <v>1.8407216743056332</v>
      </c>
      <c r="E924" s="900" t="s">
        <v>2045</v>
      </c>
      <c r="F924" s="898">
        <f>Clothing!O48</f>
        <v>1</v>
      </c>
      <c r="G924" s="898">
        <f>Clothing!P48</f>
        <v>1</v>
      </c>
      <c r="H924" s="898">
        <f>Clothing!Q48</f>
        <v>2</v>
      </c>
      <c r="I924" s="898">
        <f>Clothing!R48</f>
        <v>2</v>
      </c>
      <c r="J924" s="898">
        <f>Clothing!S48</f>
        <v>2</v>
      </c>
      <c r="K924" s="290">
        <f t="shared" si="15"/>
        <v>0.37356464144298934</v>
      </c>
    </row>
    <row r="925" spans="1:11" hidden="1">
      <c r="A925" s="898" t="s">
        <v>2043</v>
      </c>
      <c r="B925" s="898">
        <f>Clothing!B49</f>
        <v>2015</v>
      </c>
      <c r="C925" s="898" t="str">
        <f>Clothing!C49</f>
        <v>OTHER</v>
      </c>
      <c r="D925" s="898">
        <f>Clothing!L49</f>
        <v>2.5868282237323648</v>
      </c>
      <c r="E925" s="900" t="s">
        <v>2045</v>
      </c>
      <c r="F925" s="898">
        <f>Clothing!O49</f>
        <v>1</v>
      </c>
      <c r="G925" s="898">
        <f>Clothing!P49</f>
        <v>1</v>
      </c>
      <c r="H925" s="898">
        <f>Clothing!Q49</f>
        <v>2</v>
      </c>
      <c r="I925" s="898">
        <f>Clothing!R49</f>
        <v>2</v>
      </c>
      <c r="J925" s="898">
        <f>Clothing!S49</f>
        <v>2</v>
      </c>
      <c r="K925" s="290">
        <f t="shared" si="15"/>
        <v>0.37356464144298934</v>
      </c>
    </row>
    <row r="926" spans="1:11" hidden="1">
      <c r="A926" s="898" t="s">
        <v>2043</v>
      </c>
      <c r="B926" s="898">
        <f>Clothing!B50</f>
        <v>2015</v>
      </c>
      <c r="C926" s="898" t="str">
        <f>Clothing!C50</f>
        <v>PA</v>
      </c>
      <c r="D926" s="898">
        <f>Clothing!L50</f>
        <v>5.9459099935032684</v>
      </c>
      <c r="E926" s="900" t="s">
        <v>2045</v>
      </c>
      <c r="F926" s="898">
        <f>Clothing!O50</f>
        <v>1</v>
      </c>
      <c r="G926" s="898">
        <f>Clothing!P50</f>
        <v>1</v>
      </c>
      <c r="H926" s="898">
        <f>Clothing!Q50</f>
        <v>2</v>
      </c>
      <c r="I926" s="898">
        <f>Clothing!R50</f>
        <v>2</v>
      </c>
      <c r="J926" s="898">
        <f>Clothing!S50</f>
        <v>2</v>
      </c>
      <c r="K926" s="290">
        <f t="shared" si="15"/>
        <v>0.37356464144298934</v>
      </c>
    </row>
    <row r="927" spans="1:11" hidden="1">
      <c r="A927" s="898" t="s">
        <v>2043</v>
      </c>
      <c r="B927" s="898">
        <f>Clothing!B51</f>
        <v>2015</v>
      </c>
      <c r="C927" s="898" t="str">
        <f>Clothing!C51</f>
        <v>PET</v>
      </c>
      <c r="D927" s="898">
        <f>Clothing!L51</f>
        <v>19.740166241008687</v>
      </c>
      <c r="E927" s="900" t="s">
        <v>2045</v>
      </c>
      <c r="F927" s="898">
        <f>Clothing!O51</f>
        <v>1</v>
      </c>
      <c r="G927" s="898">
        <f>Clothing!P51</f>
        <v>1</v>
      </c>
      <c r="H927" s="898">
        <f>Clothing!Q51</f>
        <v>2</v>
      </c>
      <c r="I927" s="898">
        <f>Clothing!R51</f>
        <v>2</v>
      </c>
      <c r="J927" s="898">
        <f>Clothing!S51</f>
        <v>2</v>
      </c>
      <c r="K927" s="290">
        <f t="shared" si="15"/>
        <v>0.37356464144298934</v>
      </c>
    </row>
    <row r="928" spans="1:11" hidden="1">
      <c r="A928" s="898" t="s">
        <v>2043</v>
      </c>
      <c r="B928" s="898">
        <f>Clothing!B52</f>
        <v>2015</v>
      </c>
      <c r="C928" s="898" t="str">
        <f>Clothing!C52</f>
        <v>PUR</v>
      </c>
      <c r="D928" s="898">
        <f>Clothing!L52</f>
        <v>3.8321583288274681</v>
      </c>
      <c r="E928" s="900" t="s">
        <v>2045</v>
      </c>
      <c r="F928" s="898">
        <f>Clothing!O52</f>
        <v>1</v>
      </c>
      <c r="G928" s="898">
        <f>Clothing!P52</f>
        <v>1</v>
      </c>
      <c r="H928" s="898">
        <f>Clothing!Q52</f>
        <v>2</v>
      </c>
      <c r="I928" s="898">
        <f>Clothing!R52</f>
        <v>2</v>
      </c>
      <c r="J928" s="898">
        <f>Clothing!S52</f>
        <v>2</v>
      </c>
      <c r="K928" s="290">
        <f t="shared" si="15"/>
        <v>0.37356464144298934</v>
      </c>
    </row>
    <row r="929" spans="1:11" hidden="1">
      <c r="A929" s="898" t="s">
        <v>2043</v>
      </c>
      <c r="B929" s="898">
        <f>Clothing!B53</f>
        <v>2015</v>
      </c>
      <c r="C929" s="898" t="str">
        <f>Clothing!C53</f>
        <v>PVC</v>
      </c>
      <c r="D929" s="898">
        <f>Clothing!L53</f>
        <v>2.3418034894852018</v>
      </c>
      <c r="E929" s="900" t="s">
        <v>2045</v>
      </c>
      <c r="F929" s="898">
        <f>Clothing!O53</f>
        <v>1</v>
      </c>
      <c r="G929" s="898">
        <f>Clothing!P53</f>
        <v>1</v>
      </c>
      <c r="H929" s="898">
        <f>Clothing!Q53</f>
        <v>2</v>
      </c>
      <c r="I929" s="898">
        <f>Clothing!R53</f>
        <v>2</v>
      </c>
      <c r="J929" s="898">
        <f>Clothing!S53</f>
        <v>2</v>
      </c>
      <c r="K929" s="290">
        <f t="shared" si="15"/>
        <v>0.37356464144298934</v>
      </c>
    </row>
    <row r="930" spans="1:11" hidden="1">
      <c r="A930" s="898" t="s">
        <v>2043</v>
      </c>
      <c r="B930" s="898">
        <f>Clothing!B54</f>
        <v>2015</v>
      </c>
      <c r="C930" s="898" t="str">
        <f>Clothing!C54</f>
        <v>RUBBER</v>
      </c>
      <c r="D930" s="898">
        <f>Clothing!L54</f>
        <v>3.1133065168296654</v>
      </c>
      <c r="E930" s="900" t="s">
        <v>2045</v>
      </c>
      <c r="F930" s="898">
        <f>Clothing!O54</f>
        <v>1</v>
      </c>
      <c r="G930" s="898">
        <f>Clothing!P54</f>
        <v>1</v>
      </c>
      <c r="H930" s="898">
        <f>Clothing!Q54</f>
        <v>2</v>
      </c>
      <c r="I930" s="898">
        <f>Clothing!R54</f>
        <v>2</v>
      </c>
      <c r="J930" s="898">
        <f>Clothing!S54</f>
        <v>2</v>
      </c>
      <c r="K930" s="290">
        <f t="shared" si="15"/>
        <v>0.37356464144298934</v>
      </c>
    </row>
    <row r="931" spans="1:11" hidden="1">
      <c r="A931" s="898" t="s">
        <v>2043</v>
      </c>
      <c r="B931" s="898">
        <f>Clothing!B55</f>
        <v>2016</v>
      </c>
      <c r="C931" s="898" t="str">
        <f>Clothing!C55</f>
        <v>Acryl</v>
      </c>
      <c r="D931" s="898">
        <f>Clothing!L55</f>
        <v>2.0756254180179021</v>
      </c>
      <c r="E931" s="900" t="s">
        <v>2045</v>
      </c>
      <c r="F931" s="898">
        <f>Clothing!O55</f>
        <v>1</v>
      </c>
      <c r="G931" s="898">
        <f>Clothing!P55</f>
        <v>1</v>
      </c>
      <c r="H931" s="898">
        <f>Clothing!Q55</f>
        <v>2</v>
      </c>
      <c r="I931" s="898">
        <f>Clothing!R55</f>
        <v>2</v>
      </c>
      <c r="J931" s="898">
        <f>Clothing!S55</f>
        <v>2</v>
      </c>
      <c r="K931" s="290">
        <f t="shared" si="15"/>
        <v>0.37356464144298934</v>
      </c>
    </row>
    <row r="932" spans="1:11" hidden="1">
      <c r="A932" s="898" t="s">
        <v>2043</v>
      </c>
      <c r="B932" s="898">
        <f>Clothing!B56</f>
        <v>2016</v>
      </c>
      <c r="C932" s="898" t="str">
        <f>Clothing!C56</f>
        <v>OTHER</v>
      </c>
      <c r="D932" s="898">
        <f>Clothing!L56</f>
        <v>2.6324764716453042</v>
      </c>
      <c r="E932" s="900" t="s">
        <v>2045</v>
      </c>
      <c r="F932" s="898">
        <f>Clothing!O56</f>
        <v>1</v>
      </c>
      <c r="G932" s="898">
        <f>Clothing!P56</f>
        <v>1</v>
      </c>
      <c r="H932" s="898">
        <f>Clothing!Q56</f>
        <v>2</v>
      </c>
      <c r="I932" s="898">
        <f>Clothing!R56</f>
        <v>2</v>
      </c>
      <c r="J932" s="898">
        <f>Clothing!S56</f>
        <v>2</v>
      </c>
      <c r="K932" s="290">
        <f t="shared" si="15"/>
        <v>0.37356464144298934</v>
      </c>
    </row>
    <row r="933" spans="1:11" hidden="1">
      <c r="A933" s="898" t="s">
        <v>2043</v>
      </c>
      <c r="B933" s="898">
        <f>Clothing!B57</f>
        <v>2016</v>
      </c>
      <c r="C933" s="898" t="str">
        <f>Clothing!C57</f>
        <v>PA</v>
      </c>
      <c r="D933" s="898">
        <f>Clothing!L57</f>
        <v>6.2211869577434387</v>
      </c>
      <c r="E933" s="900" t="s">
        <v>2045</v>
      </c>
      <c r="F933" s="898">
        <f>Clothing!O57</f>
        <v>1</v>
      </c>
      <c r="G933" s="898">
        <f>Clothing!P57</f>
        <v>1</v>
      </c>
      <c r="H933" s="898">
        <f>Clothing!Q57</f>
        <v>2</v>
      </c>
      <c r="I933" s="898">
        <f>Clothing!R57</f>
        <v>2</v>
      </c>
      <c r="J933" s="898">
        <f>Clothing!S57</f>
        <v>2</v>
      </c>
      <c r="K933" s="290">
        <f t="shared" si="15"/>
        <v>0.37356464144298934</v>
      </c>
    </row>
    <row r="934" spans="1:11" hidden="1">
      <c r="A934" s="898" t="s">
        <v>2043</v>
      </c>
      <c r="B934" s="898">
        <f>Clothing!B58</f>
        <v>2016</v>
      </c>
      <c r="C934" s="898" t="str">
        <f>Clothing!C58</f>
        <v>PET</v>
      </c>
      <c r="D934" s="898">
        <f>Clothing!L58</f>
        <v>21.356867859451572</v>
      </c>
      <c r="E934" s="900" t="s">
        <v>2045</v>
      </c>
      <c r="F934" s="898">
        <f>Clothing!O58</f>
        <v>1</v>
      </c>
      <c r="G934" s="898">
        <f>Clothing!P58</f>
        <v>1</v>
      </c>
      <c r="H934" s="898">
        <f>Clothing!Q58</f>
        <v>2</v>
      </c>
      <c r="I934" s="898">
        <f>Clothing!R58</f>
        <v>2</v>
      </c>
      <c r="J934" s="898">
        <f>Clothing!S58</f>
        <v>2</v>
      </c>
      <c r="K934" s="290">
        <f t="shared" si="15"/>
        <v>0.37356464144298934</v>
      </c>
    </row>
    <row r="935" spans="1:11" hidden="1">
      <c r="A935" s="898" t="s">
        <v>2043</v>
      </c>
      <c r="B935" s="898">
        <f>Clothing!B59</f>
        <v>2016</v>
      </c>
      <c r="C935" s="898" t="str">
        <f>Clothing!C59</f>
        <v>PUR</v>
      </c>
      <c r="D935" s="898">
        <f>Clothing!L59</f>
        <v>3.9222738830296038</v>
      </c>
      <c r="E935" s="900" t="s">
        <v>2045</v>
      </c>
      <c r="F935" s="898">
        <f>Clothing!O59</f>
        <v>1</v>
      </c>
      <c r="G935" s="898">
        <f>Clothing!P59</f>
        <v>1</v>
      </c>
      <c r="H935" s="898">
        <f>Clothing!Q59</f>
        <v>2</v>
      </c>
      <c r="I935" s="898">
        <f>Clothing!R59</f>
        <v>2</v>
      </c>
      <c r="J935" s="898">
        <f>Clothing!S59</f>
        <v>2</v>
      </c>
      <c r="K935" s="290">
        <f t="shared" si="15"/>
        <v>0.37356464144298934</v>
      </c>
    </row>
    <row r="936" spans="1:11" hidden="1">
      <c r="A936" s="898" t="s">
        <v>2043</v>
      </c>
      <c r="B936" s="898">
        <f>Clothing!B60</f>
        <v>2016</v>
      </c>
      <c r="C936" s="898" t="str">
        <f>Clothing!C60</f>
        <v>PVC</v>
      </c>
      <c r="D936" s="898">
        <f>Clothing!L60</f>
        <v>2.3734315859027006</v>
      </c>
      <c r="E936" s="900" t="s">
        <v>2045</v>
      </c>
      <c r="F936" s="898">
        <f>Clothing!O60</f>
        <v>1</v>
      </c>
      <c r="G936" s="898">
        <f>Clothing!P60</f>
        <v>1</v>
      </c>
      <c r="H936" s="898">
        <f>Clothing!Q60</f>
        <v>2</v>
      </c>
      <c r="I936" s="898">
        <f>Clothing!R60</f>
        <v>2</v>
      </c>
      <c r="J936" s="898">
        <f>Clothing!S60</f>
        <v>2</v>
      </c>
      <c r="K936" s="290">
        <f t="shared" si="15"/>
        <v>0.37356464144298934</v>
      </c>
    </row>
    <row r="937" spans="1:11" hidden="1">
      <c r="A937" s="898" t="s">
        <v>2043</v>
      </c>
      <c r="B937" s="898">
        <f>Clothing!B61</f>
        <v>2016</v>
      </c>
      <c r="C937" s="898" t="str">
        <f>Clothing!C61</f>
        <v>RUBBER</v>
      </c>
      <c r="D937" s="898">
        <f>Clothing!L61</f>
        <v>2.9167982882960306</v>
      </c>
      <c r="E937" s="900" t="s">
        <v>2045</v>
      </c>
      <c r="F937" s="898">
        <f>Clothing!O61</f>
        <v>1</v>
      </c>
      <c r="G937" s="898">
        <f>Clothing!P61</f>
        <v>1</v>
      </c>
      <c r="H937" s="898">
        <f>Clothing!Q61</f>
        <v>2</v>
      </c>
      <c r="I937" s="898">
        <f>Clothing!R61</f>
        <v>2</v>
      </c>
      <c r="J937" s="898">
        <f>Clothing!S61</f>
        <v>2</v>
      </c>
      <c r="K937" s="290">
        <f t="shared" si="15"/>
        <v>0.37356464144298934</v>
      </c>
    </row>
    <row r="938" spans="1:11" hidden="1">
      <c r="A938" s="898" t="s">
        <v>2043</v>
      </c>
      <c r="B938" s="898">
        <f>Clothing!B62</f>
        <v>2017</v>
      </c>
      <c r="C938" s="898" t="str">
        <f>Clothing!C62</f>
        <v>Acryl</v>
      </c>
      <c r="D938" s="898">
        <f>Clothing!L62</f>
        <v>1.6470771137068243</v>
      </c>
      <c r="E938" s="900" t="s">
        <v>2045</v>
      </c>
      <c r="F938" s="898">
        <f>Clothing!O62</f>
        <v>1</v>
      </c>
      <c r="G938" s="898">
        <f>Clothing!P62</f>
        <v>1</v>
      </c>
      <c r="H938" s="898">
        <f>Clothing!Q62</f>
        <v>2</v>
      </c>
      <c r="I938" s="898">
        <f>Clothing!R62</f>
        <v>2</v>
      </c>
      <c r="J938" s="898">
        <f>Clothing!S62</f>
        <v>2</v>
      </c>
      <c r="K938" s="290">
        <f t="shared" si="15"/>
        <v>0.37356464144298934</v>
      </c>
    </row>
    <row r="939" spans="1:11" hidden="1">
      <c r="A939" s="898" t="s">
        <v>2043</v>
      </c>
      <c r="B939" s="898">
        <f>Clothing!B63</f>
        <v>2017</v>
      </c>
      <c r="C939" s="898" t="str">
        <f>Clothing!C63</f>
        <v>OTHER</v>
      </c>
      <c r="D939" s="898">
        <f>Clothing!L63</f>
        <v>2.194307089891951</v>
      </c>
      <c r="E939" s="900" t="s">
        <v>2045</v>
      </c>
      <c r="F939" s="898">
        <f>Clothing!O63</f>
        <v>1</v>
      </c>
      <c r="G939" s="898">
        <f>Clothing!P63</f>
        <v>1</v>
      </c>
      <c r="H939" s="898">
        <f>Clothing!Q63</f>
        <v>2</v>
      </c>
      <c r="I939" s="898">
        <f>Clothing!R63</f>
        <v>2</v>
      </c>
      <c r="J939" s="898">
        <f>Clothing!S63</f>
        <v>2</v>
      </c>
      <c r="K939" s="290">
        <f t="shared" si="15"/>
        <v>0.37356464144298934</v>
      </c>
    </row>
    <row r="940" spans="1:11" hidden="1">
      <c r="A940" s="898" t="s">
        <v>2043</v>
      </c>
      <c r="B940" s="898">
        <f>Clothing!B64</f>
        <v>2017</v>
      </c>
      <c r="C940" s="898" t="str">
        <f>Clothing!C64</f>
        <v>PA</v>
      </c>
      <c r="D940" s="898">
        <f>Clothing!L64</f>
        <v>5.1101088130892744</v>
      </c>
      <c r="E940" s="900" t="s">
        <v>2045</v>
      </c>
      <c r="F940" s="898">
        <f>Clothing!O64</f>
        <v>1</v>
      </c>
      <c r="G940" s="898">
        <f>Clothing!P64</f>
        <v>1</v>
      </c>
      <c r="H940" s="898">
        <f>Clothing!Q64</f>
        <v>2</v>
      </c>
      <c r="I940" s="898">
        <f>Clothing!R64</f>
        <v>2</v>
      </c>
      <c r="J940" s="898">
        <f>Clothing!S64</f>
        <v>2</v>
      </c>
      <c r="K940" s="290">
        <f t="shared" si="15"/>
        <v>0.37356464144298934</v>
      </c>
    </row>
    <row r="941" spans="1:11" hidden="1">
      <c r="A941" s="898" t="s">
        <v>2043</v>
      </c>
      <c r="B941" s="898">
        <f>Clothing!B65</f>
        <v>2017</v>
      </c>
      <c r="C941" s="898" t="str">
        <f>Clothing!C65</f>
        <v>PET</v>
      </c>
      <c r="D941" s="898">
        <f>Clothing!L65</f>
        <v>17.118049976944835</v>
      </c>
      <c r="E941" s="900" t="s">
        <v>2045</v>
      </c>
      <c r="F941" s="898">
        <f>Clothing!O65</f>
        <v>1</v>
      </c>
      <c r="G941" s="898">
        <f>Clothing!P65</f>
        <v>1</v>
      </c>
      <c r="H941" s="898">
        <f>Clothing!Q65</f>
        <v>2</v>
      </c>
      <c r="I941" s="898">
        <f>Clothing!R65</f>
        <v>2</v>
      </c>
      <c r="J941" s="898">
        <f>Clothing!S65</f>
        <v>2</v>
      </c>
      <c r="K941" s="290">
        <f t="shared" si="15"/>
        <v>0.37356464144298934</v>
      </c>
    </row>
    <row r="942" spans="1:11" hidden="1">
      <c r="A942" s="898" t="s">
        <v>2043</v>
      </c>
      <c r="B942" s="898">
        <f>Clothing!B66</f>
        <v>2017</v>
      </c>
      <c r="C942" s="898" t="str">
        <f>Clothing!C66</f>
        <v>PUR</v>
      </c>
      <c r="D942" s="898">
        <f>Clothing!L66</f>
        <v>3.2919467294868698</v>
      </c>
      <c r="E942" s="900" t="s">
        <v>2045</v>
      </c>
      <c r="F942" s="898">
        <f>Clothing!O66</f>
        <v>1</v>
      </c>
      <c r="G942" s="898">
        <f>Clothing!P66</f>
        <v>1</v>
      </c>
      <c r="H942" s="898">
        <f>Clothing!Q66</f>
        <v>2</v>
      </c>
      <c r="I942" s="898">
        <f>Clothing!R66</f>
        <v>2</v>
      </c>
      <c r="J942" s="898">
        <f>Clothing!S66</f>
        <v>2</v>
      </c>
      <c r="K942" s="290">
        <f t="shared" si="15"/>
        <v>0.37356464144298934</v>
      </c>
    </row>
    <row r="943" spans="1:11" hidden="1">
      <c r="A943" s="898" t="s">
        <v>2043</v>
      </c>
      <c r="B943" s="898">
        <f>Clothing!B67</f>
        <v>2017</v>
      </c>
      <c r="C943" s="898" t="str">
        <f>Clothing!C67</f>
        <v>PVC</v>
      </c>
      <c r="D943" s="898">
        <f>Clothing!L67</f>
        <v>2.0010546689440032</v>
      </c>
      <c r="E943" s="900" t="s">
        <v>2045</v>
      </c>
      <c r="F943" s="898">
        <f>Clothing!O67</f>
        <v>1</v>
      </c>
      <c r="G943" s="898">
        <f>Clothing!P67</f>
        <v>1</v>
      </c>
      <c r="H943" s="898">
        <f>Clothing!Q67</f>
        <v>2</v>
      </c>
      <c r="I943" s="898">
        <f>Clothing!R67</f>
        <v>2</v>
      </c>
      <c r="J943" s="898">
        <f>Clothing!S67</f>
        <v>2</v>
      </c>
      <c r="K943" s="290">
        <f t="shared" si="15"/>
        <v>0.37356464144298934</v>
      </c>
    </row>
    <row r="944" spans="1:11" hidden="1">
      <c r="A944" s="898" t="s">
        <v>2043</v>
      </c>
      <c r="B944" s="898">
        <f>Clothing!B68</f>
        <v>2017</v>
      </c>
      <c r="C944" s="898" t="str">
        <f>Clothing!C68</f>
        <v>RUBBER</v>
      </c>
      <c r="D944" s="898">
        <f>Clothing!L68</f>
        <v>2.5347333935573793</v>
      </c>
      <c r="E944" s="900" t="s">
        <v>2045</v>
      </c>
      <c r="F944" s="898">
        <f>Clothing!O68</f>
        <v>1</v>
      </c>
      <c r="G944" s="898">
        <f>Clothing!P68</f>
        <v>1</v>
      </c>
      <c r="H944" s="898">
        <f>Clothing!Q68</f>
        <v>2</v>
      </c>
      <c r="I944" s="898">
        <f>Clothing!R68</f>
        <v>2</v>
      </c>
      <c r="J944" s="898">
        <f>Clothing!S68</f>
        <v>2</v>
      </c>
      <c r="K944" s="290">
        <f t="shared" si="15"/>
        <v>0.37356464144298934</v>
      </c>
    </row>
    <row r="945" spans="1:11" hidden="1">
      <c r="A945" s="898" t="s">
        <v>2043</v>
      </c>
      <c r="B945" s="898">
        <f>Clothing!B69</f>
        <v>2018</v>
      </c>
      <c r="C945" s="898" t="str">
        <f>Clothing!C69</f>
        <v>Acryl</v>
      </c>
      <c r="D945" s="898">
        <f>Clothing!L69</f>
        <v>1.8464408487880659</v>
      </c>
      <c r="E945" s="900" t="s">
        <v>2045</v>
      </c>
      <c r="F945" s="898">
        <f>Clothing!O69</f>
        <v>1</v>
      </c>
      <c r="G945" s="898">
        <f>Clothing!P69</f>
        <v>1</v>
      </c>
      <c r="H945" s="898">
        <f>Clothing!Q69</f>
        <v>2</v>
      </c>
      <c r="I945" s="898">
        <f>Clothing!R69</f>
        <v>2</v>
      </c>
      <c r="J945" s="898">
        <f>Clothing!S69</f>
        <v>2</v>
      </c>
      <c r="K945" s="290">
        <f t="shared" si="15"/>
        <v>0.37356464144298934</v>
      </c>
    </row>
    <row r="946" spans="1:11" hidden="1">
      <c r="A946" s="898" t="s">
        <v>2043</v>
      </c>
      <c r="B946" s="898">
        <f>Clothing!B70</f>
        <v>2018</v>
      </c>
      <c r="C946" s="898" t="str">
        <f>Clothing!C70</f>
        <v>OTHER</v>
      </c>
      <c r="D946" s="898">
        <f>Clothing!L70</f>
        <v>2.9567613755401601</v>
      </c>
      <c r="E946" s="900" t="s">
        <v>2045</v>
      </c>
      <c r="F946" s="898">
        <f>Clothing!O70</f>
        <v>1</v>
      </c>
      <c r="G946" s="898">
        <f>Clothing!P70</f>
        <v>1</v>
      </c>
      <c r="H946" s="898">
        <f>Clothing!Q70</f>
        <v>2</v>
      </c>
      <c r="I946" s="898">
        <f>Clothing!R70</f>
        <v>2</v>
      </c>
      <c r="J946" s="898">
        <f>Clothing!S70</f>
        <v>2</v>
      </c>
      <c r="K946" s="290">
        <f t="shared" si="15"/>
        <v>0.37356464144298934</v>
      </c>
    </row>
    <row r="947" spans="1:11" hidden="1">
      <c r="A947" s="898" t="s">
        <v>2043</v>
      </c>
      <c r="B947" s="898">
        <f>Clothing!B71</f>
        <v>2018</v>
      </c>
      <c r="C947" s="898" t="str">
        <f>Clothing!C71</f>
        <v>PA</v>
      </c>
      <c r="D947" s="898">
        <f>Clothing!L71</f>
        <v>5.918954136116513</v>
      </c>
      <c r="E947" s="900" t="s">
        <v>2045</v>
      </c>
      <c r="F947" s="898">
        <f>Clothing!O71</f>
        <v>1</v>
      </c>
      <c r="G947" s="898">
        <f>Clothing!P71</f>
        <v>1</v>
      </c>
      <c r="H947" s="898">
        <f>Clothing!Q71</f>
        <v>2</v>
      </c>
      <c r="I947" s="898">
        <f>Clothing!R71</f>
        <v>2</v>
      </c>
      <c r="J947" s="898">
        <f>Clothing!S71</f>
        <v>2</v>
      </c>
      <c r="K947" s="290">
        <f t="shared" si="15"/>
        <v>0.37356464144298934</v>
      </c>
    </row>
    <row r="948" spans="1:11" hidden="1">
      <c r="A948" s="898" t="s">
        <v>2043</v>
      </c>
      <c r="B948" s="898">
        <f>Clothing!B72</f>
        <v>2018</v>
      </c>
      <c r="C948" s="898" t="str">
        <f>Clothing!C72</f>
        <v>PET</v>
      </c>
      <c r="D948" s="898">
        <f>Clothing!L72</f>
        <v>21.243876971684035</v>
      </c>
      <c r="E948" s="900" t="s">
        <v>2045</v>
      </c>
      <c r="F948" s="898">
        <f>Clothing!O72</f>
        <v>1</v>
      </c>
      <c r="G948" s="898">
        <f>Clothing!P72</f>
        <v>1</v>
      </c>
      <c r="H948" s="898">
        <f>Clothing!Q72</f>
        <v>2</v>
      </c>
      <c r="I948" s="898">
        <f>Clothing!R72</f>
        <v>2</v>
      </c>
      <c r="J948" s="898">
        <f>Clothing!S72</f>
        <v>2</v>
      </c>
      <c r="K948" s="290">
        <f t="shared" si="15"/>
        <v>0.37356464144298934</v>
      </c>
    </row>
    <row r="949" spans="1:11" hidden="1">
      <c r="A949" s="898" t="s">
        <v>2043</v>
      </c>
      <c r="B949" s="898">
        <f>Clothing!B73</f>
        <v>2018</v>
      </c>
      <c r="C949" s="898" t="str">
        <f>Clothing!C73</f>
        <v>PUR</v>
      </c>
      <c r="D949" s="898">
        <f>Clothing!L73</f>
        <v>3.4274464920022547</v>
      </c>
      <c r="E949" s="900" t="s">
        <v>2045</v>
      </c>
      <c r="F949" s="898">
        <f>Clothing!O73</f>
        <v>1</v>
      </c>
      <c r="G949" s="898">
        <f>Clothing!P73</f>
        <v>1</v>
      </c>
      <c r="H949" s="898">
        <f>Clothing!Q73</f>
        <v>2</v>
      </c>
      <c r="I949" s="898">
        <f>Clothing!R73</f>
        <v>2</v>
      </c>
      <c r="J949" s="898">
        <f>Clothing!S73</f>
        <v>2</v>
      </c>
      <c r="K949" s="290">
        <f t="shared" si="15"/>
        <v>0.37356464144298934</v>
      </c>
    </row>
    <row r="950" spans="1:11" hidden="1">
      <c r="A950" s="898" t="s">
        <v>2043</v>
      </c>
      <c r="B950" s="898">
        <f>Clothing!B74</f>
        <v>2018</v>
      </c>
      <c r="C950" s="898" t="str">
        <f>Clothing!C74</f>
        <v>PVC</v>
      </c>
      <c r="D950" s="898">
        <f>Clothing!L74</f>
        <v>2.1086576772982966</v>
      </c>
      <c r="E950" s="900" t="s">
        <v>2045</v>
      </c>
      <c r="F950" s="898">
        <f>Clothing!O74</f>
        <v>1</v>
      </c>
      <c r="G950" s="898">
        <f>Clothing!P74</f>
        <v>1</v>
      </c>
      <c r="H950" s="898">
        <f>Clothing!Q74</f>
        <v>2</v>
      </c>
      <c r="I950" s="898">
        <f>Clothing!R74</f>
        <v>2</v>
      </c>
      <c r="J950" s="898">
        <f>Clothing!S74</f>
        <v>2</v>
      </c>
      <c r="K950" s="290">
        <f t="shared" si="15"/>
        <v>0.37356464144298934</v>
      </c>
    </row>
    <row r="951" spans="1:11" hidden="1">
      <c r="A951" s="898" t="s">
        <v>2043</v>
      </c>
      <c r="B951" s="898">
        <f>Clothing!B75</f>
        <v>2018</v>
      </c>
      <c r="C951" s="898" t="str">
        <f>Clothing!C75</f>
        <v>RUBBER</v>
      </c>
      <c r="D951" s="898">
        <f>Clothing!L75</f>
        <v>3.1009013815566999</v>
      </c>
      <c r="E951" s="900" t="s">
        <v>2045</v>
      </c>
      <c r="F951" s="898">
        <f>Clothing!O75</f>
        <v>1</v>
      </c>
      <c r="G951" s="898">
        <f>Clothing!P75</f>
        <v>1</v>
      </c>
      <c r="H951" s="898">
        <f>Clothing!Q75</f>
        <v>2</v>
      </c>
      <c r="I951" s="898">
        <f>Clothing!R75</f>
        <v>2</v>
      </c>
      <c r="J951" s="898">
        <f>Clothing!S75</f>
        <v>2</v>
      </c>
      <c r="K951" s="290">
        <f t="shared" si="15"/>
        <v>0.37356464144298934</v>
      </c>
    </row>
    <row r="952" spans="1:11" hidden="1">
      <c r="A952" s="898" t="s">
        <v>2043</v>
      </c>
      <c r="B952" s="898">
        <f>Clothing!B76</f>
        <v>2019</v>
      </c>
      <c r="C952" s="898" t="str">
        <f>Clothing!C76</f>
        <v>Acryl</v>
      </c>
      <c r="D952" s="898">
        <f>Clothing!L76</f>
        <v>1.6436091732932028</v>
      </c>
      <c r="E952" s="900" t="s">
        <v>2045</v>
      </c>
      <c r="F952" s="898">
        <f>Clothing!O76</f>
        <v>1</v>
      </c>
      <c r="G952" s="898">
        <f>Clothing!P76</f>
        <v>1</v>
      </c>
      <c r="H952" s="898">
        <f>Clothing!Q76</f>
        <v>2</v>
      </c>
      <c r="I952" s="898">
        <f>Clothing!R76</f>
        <v>2</v>
      </c>
      <c r="J952" s="898">
        <f>Clothing!S76</f>
        <v>2</v>
      </c>
      <c r="K952" s="290">
        <f t="shared" si="15"/>
        <v>0.37356464144298934</v>
      </c>
    </row>
    <row r="953" spans="1:11" hidden="1">
      <c r="A953" s="898" t="s">
        <v>2043</v>
      </c>
      <c r="B953" s="898">
        <f>Clothing!B77</f>
        <v>2019</v>
      </c>
      <c r="C953" s="898" t="str">
        <f>Clothing!C77</f>
        <v>OTHER</v>
      </c>
      <c r="D953" s="898">
        <f>Clothing!L77</f>
        <v>2.4443283435078222</v>
      </c>
      <c r="E953" s="900" t="s">
        <v>2045</v>
      </c>
      <c r="F953" s="898">
        <f>Clothing!O77</f>
        <v>1</v>
      </c>
      <c r="G953" s="898">
        <f>Clothing!P77</f>
        <v>1</v>
      </c>
      <c r="H953" s="898">
        <f>Clothing!Q77</f>
        <v>2</v>
      </c>
      <c r="I953" s="898">
        <f>Clothing!R77</f>
        <v>2</v>
      </c>
      <c r="J953" s="898">
        <f>Clothing!S77</f>
        <v>2</v>
      </c>
      <c r="K953" s="290">
        <f t="shared" si="15"/>
        <v>0.37356464144298934</v>
      </c>
    </row>
    <row r="954" spans="1:11" hidden="1">
      <c r="A954" s="898" t="s">
        <v>2043</v>
      </c>
      <c r="B954" s="898">
        <f>Clothing!B78</f>
        <v>2019</v>
      </c>
      <c r="C954" s="898" t="str">
        <f>Clothing!C78</f>
        <v>PA</v>
      </c>
      <c r="D954" s="898">
        <f>Clothing!L78</f>
        <v>4.9104476435192828</v>
      </c>
      <c r="E954" s="900" t="s">
        <v>2045</v>
      </c>
      <c r="F954" s="898">
        <f>Clothing!O78</f>
        <v>1</v>
      </c>
      <c r="G954" s="898">
        <f>Clothing!P78</f>
        <v>1</v>
      </c>
      <c r="H954" s="898">
        <f>Clothing!Q78</f>
        <v>2</v>
      </c>
      <c r="I954" s="898">
        <f>Clothing!R78</f>
        <v>2</v>
      </c>
      <c r="J954" s="898">
        <f>Clothing!S78</f>
        <v>2</v>
      </c>
      <c r="K954" s="290">
        <f t="shared" si="15"/>
        <v>0.37356464144298934</v>
      </c>
    </row>
    <row r="955" spans="1:11" hidden="1">
      <c r="A955" s="898" t="s">
        <v>2043</v>
      </c>
      <c r="B955" s="898">
        <f>Clothing!B79</f>
        <v>2019</v>
      </c>
      <c r="C955" s="898" t="str">
        <f>Clothing!C79</f>
        <v>PET</v>
      </c>
      <c r="D955" s="898">
        <f>Clothing!L79</f>
        <v>17.090704988011922</v>
      </c>
      <c r="E955" s="900" t="s">
        <v>2045</v>
      </c>
      <c r="F955" s="898">
        <f>Clothing!O79</f>
        <v>1</v>
      </c>
      <c r="G955" s="898">
        <f>Clothing!P79</f>
        <v>1</v>
      </c>
      <c r="H955" s="898">
        <f>Clothing!Q79</f>
        <v>2</v>
      </c>
      <c r="I955" s="898">
        <f>Clothing!R79</f>
        <v>2</v>
      </c>
      <c r="J955" s="898">
        <f>Clothing!S79</f>
        <v>2</v>
      </c>
      <c r="K955" s="290">
        <f t="shared" si="15"/>
        <v>0.37356464144298934</v>
      </c>
    </row>
    <row r="956" spans="1:11" hidden="1">
      <c r="A956" s="898" t="s">
        <v>2043</v>
      </c>
      <c r="B956" s="898">
        <f>Clothing!B80</f>
        <v>2019</v>
      </c>
      <c r="C956" s="898" t="str">
        <f>Clothing!C80</f>
        <v>PUR</v>
      </c>
      <c r="D956" s="898">
        <f>Clothing!L80</f>
        <v>3.0640391436427636</v>
      </c>
      <c r="E956" s="900" t="s">
        <v>2045</v>
      </c>
      <c r="F956" s="898">
        <f>Clothing!O80</f>
        <v>1</v>
      </c>
      <c r="G956" s="898">
        <f>Clothing!P80</f>
        <v>1</v>
      </c>
      <c r="H956" s="898">
        <f>Clothing!Q80</f>
        <v>2</v>
      </c>
      <c r="I956" s="898">
        <f>Clothing!R80</f>
        <v>2</v>
      </c>
      <c r="J956" s="898">
        <f>Clothing!S80</f>
        <v>2</v>
      </c>
      <c r="K956" s="290">
        <f t="shared" si="15"/>
        <v>0.37356464144298934</v>
      </c>
    </row>
    <row r="957" spans="1:11" hidden="1">
      <c r="A957" s="898" t="s">
        <v>2043</v>
      </c>
      <c r="B957" s="898">
        <f>Clothing!B81</f>
        <v>2019</v>
      </c>
      <c r="C957" s="898" t="str">
        <f>Clothing!C81</f>
        <v>PVC</v>
      </c>
      <c r="D957" s="898">
        <f>Clothing!L81</f>
        <v>1.8614049247698259</v>
      </c>
      <c r="E957" s="900" t="s">
        <v>2045</v>
      </c>
      <c r="F957" s="898">
        <f>Clothing!O81</f>
        <v>1</v>
      </c>
      <c r="G957" s="898">
        <f>Clothing!P81</f>
        <v>1</v>
      </c>
      <c r="H957" s="898">
        <f>Clothing!Q81</f>
        <v>2</v>
      </c>
      <c r="I957" s="898">
        <f>Clothing!R81</f>
        <v>2</v>
      </c>
      <c r="J957" s="898">
        <f>Clothing!S81</f>
        <v>2</v>
      </c>
      <c r="K957" s="290">
        <f t="shared" ref="K957:K1020" si="16">IF( OR( ISBLANK(F957),ISBLANK(G957), ISBLANK(H957), ISBLANK(I957), ISBLANK(J957) ), "", 1.5*SQRT(   EXP(2.21*(F957-1)) + EXP(2.21*(G957-1)) + EXP(2.21*(H957-1)) + EXP(2.21*(I957-1)) + EXP(2.21*J957)   )/100*2.45 )</f>
        <v>0.37356464144298934</v>
      </c>
    </row>
    <row r="958" spans="1:11" hidden="1">
      <c r="A958" s="898" t="s">
        <v>2043</v>
      </c>
      <c r="B958" s="898">
        <f>Clothing!B82</f>
        <v>2019</v>
      </c>
      <c r="C958" s="898" t="str">
        <f>Clothing!C82</f>
        <v>RUBBER</v>
      </c>
      <c r="D958" s="898">
        <f>Clothing!L82</f>
        <v>2.4290178281881847</v>
      </c>
      <c r="E958" s="900" t="s">
        <v>2045</v>
      </c>
      <c r="F958" s="898">
        <f>Clothing!O82</f>
        <v>1</v>
      </c>
      <c r="G958" s="898">
        <f>Clothing!P82</f>
        <v>1</v>
      </c>
      <c r="H958" s="898">
        <f>Clothing!Q82</f>
        <v>2</v>
      </c>
      <c r="I958" s="898">
        <f>Clothing!R82</f>
        <v>2</v>
      </c>
      <c r="J958" s="898">
        <f>Clothing!S82</f>
        <v>2</v>
      </c>
      <c r="K958" s="290">
        <f t="shared" si="16"/>
        <v>0.37356464144298934</v>
      </c>
    </row>
    <row r="959" spans="1:11" hidden="1">
      <c r="A959" s="898" t="s">
        <v>2043</v>
      </c>
      <c r="B959" s="898">
        <f>Clothing!B83</f>
        <v>2020</v>
      </c>
      <c r="C959" s="898" t="str">
        <f>Clothing!C83</f>
        <v>Acryl</v>
      </c>
      <c r="D959" s="898">
        <f>Clothing!L83</f>
        <v>0.70716061845999134</v>
      </c>
      <c r="E959" s="900" t="s">
        <v>2045</v>
      </c>
      <c r="F959" s="898">
        <f>Clothing!O83</f>
        <v>1</v>
      </c>
      <c r="G959" s="898">
        <f>Clothing!P83</f>
        <v>1</v>
      </c>
      <c r="H959" s="898">
        <f>Clothing!Q83</f>
        <v>2</v>
      </c>
      <c r="I959" s="898">
        <f>Clothing!R83</f>
        <v>2</v>
      </c>
      <c r="J959" s="898">
        <f>Clothing!S83</f>
        <v>2</v>
      </c>
      <c r="K959" s="290">
        <f t="shared" si="16"/>
        <v>0.37356464144298934</v>
      </c>
    </row>
    <row r="960" spans="1:11" hidden="1">
      <c r="A960" s="898" t="s">
        <v>2043</v>
      </c>
      <c r="B960" s="898">
        <f>Clothing!B84</f>
        <v>2020</v>
      </c>
      <c r="C960" s="898" t="str">
        <f>Clothing!C84</f>
        <v>OTHER</v>
      </c>
      <c r="D960" s="898">
        <f>Clothing!L84</f>
        <v>0.94470338939972975</v>
      </c>
      <c r="E960" s="900" t="s">
        <v>2045</v>
      </c>
      <c r="F960" s="898">
        <f>Clothing!O84</f>
        <v>1</v>
      </c>
      <c r="G960" s="898">
        <f>Clothing!P84</f>
        <v>1</v>
      </c>
      <c r="H960" s="898">
        <f>Clothing!Q84</f>
        <v>2</v>
      </c>
      <c r="I960" s="898">
        <f>Clothing!R84</f>
        <v>2</v>
      </c>
      <c r="J960" s="898">
        <f>Clothing!S84</f>
        <v>2</v>
      </c>
      <c r="K960" s="290">
        <f t="shared" si="16"/>
        <v>0.37356464144298934</v>
      </c>
    </row>
    <row r="961" spans="1:11" hidden="1">
      <c r="A961" s="898" t="s">
        <v>2043</v>
      </c>
      <c r="B961" s="898">
        <f>Clothing!B85</f>
        <v>2020</v>
      </c>
      <c r="C961" s="898" t="str">
        <f>Clothing!C85</f>
        <v>PA</v>
      </c>
      <c r="D961" s="898">
        <f>Clothing!L85</f>
        <v>1.9658588799092431</v>
      </c>
      <c r="E961" s="900" t="s">
        <v>2045</v>
      </c>
      <c r="F961" s="898">
        <f>Clothing!O85</f>
        <v>1</v>
      </c>
      <c r="G961" s="898">
        <f>Clothing!P85</f>
        <v>1</v>
      </c>
      <c r="H961" s="898">
        <f>Clothing!Q85</f>
        <v>2</v>
      </c>
      <c r="I961" s="898">
        <f>Clothing!R85</f>
        <v>2</v>
      </c>
      <c r="J961" s="898">
        <f>Clothing!S85</f>
        <v>2</v>
      </c>
      <c r="K961" s="290">
        <f t="shared" si="16"/>
        <v>0.37356464144298934</v>
      </c>
    </row>
    <row r="962" spans="1:11" hidden="1">
      <c r="A962" s="898" t="s">
        <v>2043</v>
      </c>
      <c r="B962" s="898">
        <f>Clothing!B86</f>
        <v>2020</v>
      </c>
      <c r="C962" s="898" t="str">
        <f>Clothing!C86</f>
        <v>PET</v>
      </c>
      <c r="D962" s="898">
        <f>Clothing!L86</f>
        <v>6.2559434759694854</v>
      </c>
      <c r="E962" s="900" t="s">
        <v>2045</v>
      </c>
      <c r="F962" s="898">
        <f>Clothing!O86</f>
        <v>1</v>
      </c>
      <c r="G962" s="898">
        <f>Clothing!P86</f>
        <v>1</v>
      </c>
      <c r="H962" s="898">
        <f>Clothing!Q86</f>
        <v>2</v>
      </c>
      <c r="I962" s="898">
        <f>Clothing!R86</f>
        <v>2</v>
      </c>
      <c r="J962" s="898">
        <f>Clothing!S86</f>
        <v>2</v>
      </c>
      <c r="K962" s="290">
        <f t="shared" si="16"/>
        <v>0.37356464144298934</v>
      </c>
    </row>
    <row r="963" spans="1:11" hidden="1">
      <c r="A963" s="898" t="s">
        <v>2043</v>
      </c>
      <c r="B963" s="898">
        <f>Clothing!B87</f>
        <v>2020</v>
      </c>
      <c r="C963" s="898" t="str">
        <f>Clothing!C87</f>
        <v>PUR</v>
      </c>
      <c r="D963" s="898">
        <f>Clothing!L87</f>
        <v>2.1001091364703393</v>
      </c>
      <c r="E963" s="900" t="s">
        <v>2045</v>
      </c>
      <c r="F963" s="898">
        <f>Clothing!O87</f>
        <v>1</v>
      </c>
      <c r="G963" s="898">
        <f>Clothing!P87</f>
        <v>1</v>
      </c>
      <c r="H963" s="898">
        <f>Clothing!Q87</f>
        <v>2</v>
      </c>
      <c r="I963" s="898">
        <f>Clothing!R87</f>
        <v>2</v>
      </c>
      <c r="J963" s="898">
        <f>Clothing!S87</f>
        <v>2</v>
      </c>
      <c r="K963" s="290">
        <f t="shared" si="16"/>
        <v>0.37356464144298934</v>
      </c>
    </row>
    <row r="964" spans="1:11" hidden="1">
      <c r="A964" s="898" t="s">
        <v>2043</v>
      </c>
      <c r="B964" s="898">
        <f>Clothing!B88</f>
        <v>2020</v>
      </c>
      <c r="C964" s="898" t="str">
        <f>Clothing!C88</f>
        <v>PVC</v>
      </c>
      <c r="D964" s="898">
        <f>Clothing!L88</f>
        <v>1.247661171107582</v>
      </c>
      <c r="E964" s="900" t="s">
        <v>2045</v>
      </c>
      <c r="F964" s="898">
        <f>Clothing!O88</f>
        <v>1</v>
      </c>
      <c r="G964" s="898">
        <f>Clothing!P88</f>
        <v>1</v>
      </c>
      <c r="H964" s="898">
        <f>Clothing!Q88</f>
        <v>2</v>
      </c>
      <c r="I964" s="898">
        <f>Clothing!R88</f>
        <v>2</v>
      </c>
      <c r="J964" s="898">
        <f>Clothing!S88</f>
        <v>2</v>
      </c>
      <c r="K964" s="290">
        <f t="shared" si="16"/>
        <v>0.37356464144298934</v>
      </c>
    </row>
    <row r="965" spans="1:11" hidden="1">
      <c r="A965" s="898" t="s">
        <v>2043</v>
      </c>
      <c r="B965" s="898">
        <f>Clothing!B89</f>
        <v>2020</v>
      </c>
      <c r="C965" s="898" t="str">
        <f>Clothing!C89</f>
        <v>RUBBER</v>
      </c>
      <c r="D965" s="898">
        <f>Clothing!L89</f>
        <v>1.3933495404155303</v>
      </c>
      <c r="E965" s="900" t="s">
        <v>2045</v>
      </c>
      <c r="F965" s="898">
        <f>Clothing!O89</f>
        <v>1</v>
      </c>
      <c r="G965" s="898">
        <f>Clothing!P89</f>
        <v>1</v>
      </c>
      <c r="H965" s="898">
        <f>Clothing!Q89</f>
        <v>2</v>
      </c>
      <c r="I965" s="898">
        <f>Clothing!R89</f>
        <v>2</v>
      </c>
      <c r="J965" s="898">
        <f>Clothing!S89</f>
        <v>2</v>
      </c>
      <c r="K965" s="290">
        <f t="shared" si="16"/>
        <v>0.37356464144298934</v>
      </c>
    </row>
    <row r="966" spans="1:11" hidden="1">
      <c r="A966" s="898" t="s">
        <v>2043</v>
      </c>
      <c r="B966" s="898">
        <f>Clothing!B90</f>
        <v>2021</v>
      </c>
      <c r="C966" s="898" t="str">
        <f>Clothing!C90</f>
        <v>Acryl</v>
      </c>
      <c r="D966" s="898">
        <f>Clothing!L90</f>
        <v>0.80078134582106841</v>
      </c>
      <c r="E966" s="900" t="s">
        <v>2045</v>
      </c>
      <c r="F966" s="898">
        <f>Clothing!O90</f>
        <v>1</v>
      </c>
      <c r="G966" s="898">
        <f>Clothing!P90</f>
        <v>1</v>
      </c>
      <c r="H966" s="898">
        <f>Clothing!Q90</f>
        <v>2</v>
      </c>
      <c r="I966" s="898">
        <f>Clothing!R90</f>
        <v>2</v>
      </c>
      <c r="J966" s="898">
        <f>Clothing!S90</f>
        <v>2</v>
      </c>
      <c r="K966" s="290">
        <f t="shared" si="16"/>
        <v>0.37356464144298934</v>
      </c>
    </row>
    <row r="967" spans="1:11" hidden="1">
      <c r="A967" s="898" t="s">
        <v>2043</v>
      </c>
      <c r="B967" s="898">
        <f>Clothing!B91</f>
        <v>2021</v>
      </c>
      <c r="C967" s="898" t="str">
        <f>Clothing!C91</f>
        <v>OTHER</v>
      </c>
      <c r="D967" s="898">
        <f>Clothing!L91</f>
        <v>0.95023507483032121</v>
      </c>
      <c r="E967" s="900" t="s">
        <v>2045</v>
      </c>
      <c r="F967" s="898">
        <f>Clothing!O91</f>
        <v>1</v>
      </c>
      <c r="G967" s="898">
        <f>Clothing!P91</f>
        <v>1</v>
      </c>
      <c r="H967" s="898">
        <f>Clothing!Q91</f>
        <v>2</v>
      </c>
      <c r="I967" s="898">
        <f>Clothing!R91</f>
        <v>2</v>
      </c>
      <c r="J967" s="898">
        <f>Clothing!S91</f>
        <v>2</v>
      </c>
      <c r="K967" s="290">
        <f t="shared" si="16"/>
        <v>0.37356464144298934</v>
      </c>
    </row>
    <row r="968" spans="1:11" hidden="1">
      <c r="A968" s="898" t="s">
        <v>2043</v>
      </c>
      <c r="B968" s="898">
        <f>Clothing!B92</f>
        <v>2021</v>
      </c>
      <c r="C968" s="898" t="str">
        <f>Clothing!C92</f>
        <v>PA</v>
      </c>
      <c r="D968" s="898">
        <f>Clothing!L92</f>
        <v>1.8292857486421539</v>
      </c>
      <c r="E968" s="900" t="s">
        <v>2045</v>
      </c>
      <c r="F968" s="898">
        <f>Clothing!O92</f>
        <v>1</v>
      </c>
      <c r="G968" s="898">
        <f>Clothing!P92</f>
        <v>1</v>
      </c>
      <c r="H968" s="898">
        <f>Clothing!Q92</f>
        <v>2</v>
      </c>
      <c r="I968" s="898">
        <f>Clothing!R92</f>
        <v>2</v>
      </c>
      <c r="J968" s="898">
        <f>Clothing!S92</f>
        <v>2</v>
      </c>
      <c r="K968" s="290">
        <f t="shared" si="16"/>
        <v>0.37356464144298934</v>
      </c>
    </row>
    <row r="969" spans="1:11" hidden="1">
      <c r="A969" s="898" t="s">
        <v>2043</v>
      </c>
      <c r="B969" s="898">
        <f>Clothing!B93</f>
        <v>2021</v>
      </c>
      <c r="C969" s="898" t="str">
        <f>Clothing!C93</f>
        <v>PET</v>
      </c>
      <c r="D969" s="898">
        <f>Clothing!L93</f>
        <v>6.8653454595747911</v>
      </c>
      <c r="E969" s="900" t="s">
        <v>2045</v>
      </c>
      <c r="F969" s="898">
        <f>Clothing!O93</f>
        <v>1</v>
      </c>
      <c r="G969" s="898">
        <f>Clothing!P93</f>
        <v>1</v>
      </c>
      <c r="H969" s="898">
        <f>Clothing!Q93</f>
        <v>2</v>
      </c>
      <c r="I969" s="898">
        <f>Clothing!R93</f>
        <v>2</v>
      </c>
      <c r="J969" s="898">
        <f>Clothing!S93</f>
        <v>2</v>
      </c>
      <c r="K969" s="290">
        <f t="shared" si="16"/>
        <v>0.37356464144298934</v>
      </c>
    </row>
    <row r="970" spans="1:11" hidden="1">
      <c r="A970" s="898" t="s">
        <v>2043</v>
      </c>
      <c r="B970" s="898">
        <f>Clothing!B94</f>
        <v>2021</v>
      </c>
      <c r="C970" s="898" t="str">
        <f>Clothing!C94</f>
        <v>PUR</v>
      </c>
      <c r="D970" s="898">
        <f>Clothing!L94</f>
        <v>2.6515291842163471</v>
      </c>
      <c r="E970" s="900" t="s">
        <v>2045</v>
      </c>
      <c r="F970" s="898">
        <f>Clothing!O94</f>
        <v>1</v>
      </c>
      <c r="G970" s="898">
        <f>Clothing!P94</f>
        <v>1</v>
      </c>
      <c r="H970" s="898">
        <f>Clothing!Q94</f>
        <v>2</v>
      </c>
      <c r="I970" s="898">
        <f>Clothing!R94</f>
        <v>2</v>
      </c>
      <c r="J970" s="898">
        <f>Clothing!S94</f>
        <v>2</v>
      </c>
      <c r="K970" s="290">
        <f t="shared" si="16"/>
        <v>0.37356464144298934</v>
      </c>
    </row>
    <row r="971" spans="1:11" hidden="1">
      <c r="A971" s="898" t="s">
        <v>2043</v>
      </c>
      <c r="B971" s="898">
        <f>Clothing!B95</f>
        <v>2021</v>
      </c>
      <c r="C971" s="898" t="str">
        <f>Clothing!C95</f>
        <v>PVC</v>
      </c>
      <c r="D971" s="898">
        <f>Clothing!L95</f>
        <v>1.5796947620191366</v>
      </c>
      <c r="E971" s="900" t="s">
        <v>2045</v>
      </c>
      <c r="F971" s="898">
        <f>Clothing!O95</f>
        <v>1</v>
      </c>
      <c r="G971" s="898">
        <f>Clothing!P95</f>
        <v>1</v>
      </c>
      <c r="H971" s="898">
        <f>Clothing!Q95</f>
        <v>2</v>
      </c>
      <c r="I971" s="898">
        <f>Clothing!R95</f>
        <v>2</v>
      </c>
      <c r="J971" s="898">
        <f>Clothing!S95</f>
        <v>2</v>
      </c>
      <c r="K971" s="290">
        <f t="shared" si="16"/>
        <v>0.37356464144298934</v>
      </c>
    </row>
    <row r="972" spans="1:11" hidden="1">
      <c r="A972" s="898" t="s">
        <v>2043</v>
      </c>
      <c r="B972" s="898">
        <f>Clothing!B96</f>
        <v>2021</v>
      </c>
      <c r="C972" s="898" t="str">
        <f>Clothing!C96</f>
        <v>RUBBER</v>
      </c>
      <c r="D972" s="898">
        <f>Clothing!L96</f>
        <v>1.7943480187693477</v>
      </c>
      <c r="E972" s="900" t="s">
        <v>2045</v>
      </c>
      <c r="F972" s="898">
        <f>Clothing!O96</f>
        <v>1</v>
      </c>
      <c r="G972" s="898">
        <f>Clothing!P96</f>
        <v>1</v>
      </c>
      <c r="H972" s="898">
        <f>Clothing!Q96</f>
        <v>2</v>
      </c>
      <c r="I972" s="898">
        <f>Clothing!R96</f>
        <v>2</v>
      </c>
      <c r="J972" s="898">
        <f>Clothing!S96</f>
        <v>2</v>
      </c>
      <c r="K972" s="290">
        <f t="shared" si="16"/>
        <v>0.37356464144298934</v>
      </c>
    </row>
    <row r="973" spans="1:11" hidden="1">
      <c r="A973" s="898" t="s">
        <v>2043</v>
      </c>
      <c r="B973" s="898">
        <f>Clothing!B97</f>
        <v>2022</v>
      </c>
      <c r="C973" s="898" t="str">
        <f>Clothing!C97</f>
        <v>Acryl</v>
      </c>
      <c r="D973" s="898">
        <f>Clothing!L97</f>
        <v>1.2109271717809948</v>
      </c>
      <c r="E973" s="900" t="s">
        <v>2045</v>
      </c>
      <c r="F973" s="898">
        <f>Clothing!O97</f>
        <v>1</v>
      </c>
      <c r="G973" s="898">
        <f>Clothing!P97</f>
        <v>1</v>
      </c>
      <c r="H973" s="898">
        <f>Clothing!Q97</f>
        <v>2</v>
      </c>
      <c r="I973" s="898">
        <f>Clothing!R97</f>
        <v>2</v>
      </c>
      <c r="J973" s="898">
        <f>Clothing!S97</f>
        <v>2</v>
      </c>
      <c r="K973" s="290">
        <f t="shared" si="16"/>
        <v>0.37356464144298934</v>
      </c>
    </row>
    <row r="974" spans="1:11" hidden="1">
      <c r="A974" s="898" t="s">
        <v>2043</v>
      </c>
      <c r="B974" s="898">
        <f>Clothing!B98</f>
        <v>2022</v>
      </c>
      <c r="C974" s="898" t="str">
        <f>Clothing!C98</f>
        <v>OTHER</v>
      </c>
      <c r="D974" s="898">
        <f>Clothing!L98</f>
        <v>1.9635037289101975</v>
      </c>
      <c r="E974" s="900" t="s">
        <v>2045</v>
      </c>
      <c r="F974" s="898">
        <f>Clothing!O98</f>
        <v>1</v>
      </c>
      <c r="G974" s="898">
        <f>Clothing!P98</f>
        <v>1</v>
      </c>
      <c r="H974" s="898">
        <f>Clothing!Q98</f>
        <v>2</v>
      </c>
      <c r="I974" s="898">
        <f>Clothing!R98</f>
        <v>2</v>
      </c>
      <c r="J974" s="898">
        <f>Clothing!S98</f>
        <v>2</v>
      </c>
      <c r="K974" s="290">
        <f t="shared" si="16"/>
        <v>0.37356464144298934</v>
      </c>
    </row>
    <row r="975" spans="1:11" hidden="1">
      <c r="A975" s="898" t="s">
        <v>2043</v>
      </c>
      <c r="B975" s="898">
        <f>Clothing!B99</f>
        <v>2022</v>
      </c>
      <c r="C975" s="898" t="str">
        <f>Clothing!C99</f>
        <v>PA</v>
      </c>
      <c r="D975" s="898">
        <f>Clothing!L99</f>
        <v>3.1698663371973361</v>
      </c>
      <c r="E975" s="900" t="s">
        <v>2045</v>
      </c>
      <c r="F975" s="898">
        <f>Clothing!O99</f>
        <v>1</v>
      </c>
      <c r="G975" s="898">
        <f>Clothing!P99</f>
        <v>1</v>
      </c>
      <c r="H975" s="898">
        <f>Clothing!Q99</f>
        <v>2</v>
      </c>
      <c r="I975" s="898">
        <f>Clothing!R99</f>
        <v>2</v>
      </c>
      <c r="J975" s="898">
        <f>Clothing!S99</f>
        <v>2</v>
      </c>
      <c r="K975" s="290">
        <f t="shared" si="16"/>
        <v>0.37356464144298934</v>
      </c>
    </row>
    <row r="976" spans="1:11" hidden="1">
      <c r="A976" s="898" t="s">
        <v>2043</v>
      </c>
      <c r="B976" s="898">
        <f>Clothing!B100</f>
        <v>2022</v>
      </c>
      <c r="C976" s="898" t="str">
        <f>Clothing!C100</f>
        <v>PET</v>
      </c>
      <c r="D976" s="898">
        <f>Clothing!L100</f>
        <v>11.173910318708753</v>
      </c>
      <c r="E976" s="900" t="s">
        <v>2045</v>
      </c>
      <c r="F976" s="898">
        <f>Clothing!O100</f>
        <v>1</v>
      </c>
      <c r="G976" s="898">
        <f>Clothing!P100</f>
        <v>1</v>
      </c>
      <c r="H976" s="898">
        <f>Clothing!Q100</f>
        <v>2</v>
      </c>
      <c r="I976" s="898">
        <f>Clothing!R100</f>
        <v>2</v>
      </c>
      <c r="J976" s="898">
        <f>Clothing!S100</f>
        <v>2</v>
      </c>
      <c r="K976" s="290">
        <f t="shared" si="16"/>
        <v>0.37356464144298934</v>
      </c>
    </row>
    <row r="977" spans="1:11" hidden="1">
      <c r="A977" s="898" t="s">
        <v>2043</v>
      </c>
      <c r="B977" s="898">
        <f>Clothing!B101</f>
        <v>2022</v>
      </c>
      <c r="C977" s="898" t="str">
        <f>Clothing!C101</f>
        <v>PUR</v>
      </c>
      <c r="D977" s="898">
        <f>Clothing!L101</f>
        <v>2.7225837497541812</v>
      </c>
      <c r="E977" s="900" t="s">
        <v>2045</v>
      </c>
      <c r="F977" s="898">
        <f>Clothing!O101</f>
        <v>1</v>
      </c>
      <c r="G977" s="898">
        <f>Clothing!P101</f>
        <v>1</v>
      </c>
      <c r="H977" s="898">
        <f>Clothing!Q101</f>
        <v>2</v>
      </c>
      <c r="I977" s="898">
        <f>Clothing!R101</f>
        <v>2</v>
      </c>
      <c r="J977" s="898">
        <f>Clothing!S101</f>
        <v>2</v>
      </c>
      <c r="K977" s="290">
        <f t="shared" si="16"/>
        <v>0.37356464144298934</v>
      </c>
    </row>
    <row r="978" spans="1:11" hidden="1">
      <c r="A978" s="898" t="s">
        <v>2043</v>
      </c>
      <c r="B978" s="898">
        <f>Clothing!B102</f>
        <v>2022</v>
      </c>
      <c r="C978" s="898" t="str">
        <f>Clothing!C102</f>
        <v>PVC</v>
      </c>
      <c r="D978" s="898">
        <f>Clothing!L102</f>
        <v>1.6640759988526244</v>
      </c>
      <c r="E978" s="900" t="s">
        <v>2045</v>
      </c>
      <c r="F978" s="898">
        <f>Clothing!O102</f>
        <v>1</v>
      </c>
      <c r="G978" s="898">
        <f>Clothing!P102</f>
        <v>1</v>
      </c>
      <c r="H978" s="898">
        <f>Clothing!Q102</f>
        <v>2</v>
      </c>
      <c r="I978" s="898">
        <f>Clothing!R102</f>
        <v>2</v>
      </c>
      <c r="J978" s="898">
        <f>Clothing!S102</f>
        <v>2</v>
      </c>
      <c r="K978" s="290">
        <f t="shared" si="16"/>
        <v>0.37356464144298934</v>
      </c>
    </row>
    <row r="979" spans="1:11" hidden="1">
      <c r="A979" s="898" t="s">
        <v>2043</v>
      </c>
      <c r="B979" s="898">
        <f>Clothing!B103</f>
        <v>2022</v>
      </c>
      <c r="C979" s="898" t="str">
        <f>Clothing!C103</f>
        <v>RUBBER</v>
      </c>
      <c r="D979" s="898">
        <f>Clothing!L103</f>
        <v>2.2474734762978867</v>
      </c>
      <c r="E979" s="900" t="s">
        <v>2045</v>
      </c>
      <c r="F979" s="898">
        <f>Clothing!O103</f>
        <v>1</v>
      </c>
      <c r="G979" s="898">
        <f>Clothing!P103</f>
        <v>1</v>
      </c>
      <c r="H979" s="898">
        <f>Clothing!Q103</f>
        <v>2</v>
      </c>
      <c r="I979" s="898">
        <f>Clothing!R103</f>
        <v>2</v>
      </c>
      <c r="J979" s="898">
        <f>Clothing!S103</f>
        <v>2</v>
      </c>
      <c r="K979" s="290">
        <f t="shared" si="16"/>
        <v>0.37356464144298934</v>
      </c>
    </row>
    <row r="980" spans="1:11" hidden="1">
      <c r="A980" s="898" t="s">
        <v>2046</v>
      </c>
      <c r="B980" s="898">
        <f>Clothing!B20</f>
        <v>2011</v>
      </c>
      <c r="C980" s="898" t="str">
        <f>Clothing!C20</f>
        <v>Acryl</v>
      </c>
      <c r="D980" s="898">
        <f>Clothing!M20</f>
        <v>8.0971786218140984</v>
      </c>
      <c r="E980" s="900" t="s">
        <v>2044</v>
      </c>
      <c r="F980" s="898">
        <f>Clothing!O20</f>
        <v>1</v>
      </c>
      <c r="G980" s="898">
        <f>Clothing!P20</f>
        <v>1</v>
      </c>
      <c r="H980" s="898">
        <f>Clothing!Q20</f>
        <v>2</v>
      </c>
      <c r="I980" s="898">
        <f>Clothing!R20</f>
        <v>2</v>
      </c>
      <c r="J980" s="898">
        <f>Clothing!S20</f>
        <v>2</v>
      </c>
      <c r="K980" s="290">
        <f t="shared" si="16"/>
        <v>0.37356464144298934</v>
      </c>
    </row>
    <row r="981" spans="1:11" hidden="1">
      <c r="A981" s="898" t="s">
        <v>2046</v>
      </c>
      <c r="B981" s="898">
        <f>Clothing!B21</f>
        <v>2011</v>
      </c>
      <c r="C981" s="898" t="str">
        <f>Clothing!C21</f>
        <v>OTHER</v>
      </c>
      <c r="D981" s="898">
        <f>Clothing!M21</f>
        <v>10.67793727163426</v>
      </c>
      <c r="E981" s="900" t="s">
        <v>2044</v>
      </c>
      <c r="F981" s="898">
        <f>Clothing!O21</f>
        <v>1</v>
      </c>
      <c r="G981" s="898">
        <f>Clothing!P21</f>
        <v>1</v>
      </c>
      <c r="H981" s="898">
        <f>Clothing!Q21</f>
        <v>2</v>
      </c>
      <c r="I981" s="898">
        <f>Clothing!R21</f>
        <v>2</v>
      </c>
      <c r="J981" s="898">
        <f>Clothing!S21</f>
        <v>2</v>
      </c>
      <c r="K981" s="290">
        <f t="shared" si="16"/>
        <v>0.37356464144298934</v>
      </c>
    </row>
    <row r="982" spans="1:11" hidden="1">
      <c r="A982" s="898" t="s">
        <v>2046</v>
      </c>
      <c r="B982" s="898">
        <f>Clothing!B22</f>
        <v>2011</v>
      </c>
      <c r="C982" s="898" t="str">
        <f>Clothing!C22</f>
        <v>PA</v>
      </c>
      <c r="D982" s="898">
        <f>Clothing!M22</f>
        <v>19.004506227203162</v>
      </c>
      <c r="E982" s="900" t="s">
        <v>2044</v>
      </c>
      <c r="F982" s="898">
        <f>Clothing!O22</f>
        <v>1</v>
      </c>
      <c r="G982" s="898">
        <f>Clothing!P22</f>
        <v>1</v>
      </c>
      <c r="H982" s="898">
        <f>Clothing!Q22</f>
        <v>2</v>
      </c>
      <c r="I982" s="898">
        <f>Clothing!R22</f>
        <v>2</v>
      </c>
      <c r="J982" s="898">
        <f>Clothing!S22</f>
        <v>2</v>
      </c>
      <c r="K982" s="290">
        <f t="shared" si="16"/>
        <v>0.37356464144298934</v>
      </c>
    </row>
    <row r="983" spans="1:11" hidden="1">
      <c r="A983" s="898" t="s">
        <v>2046</v>
      </c>
      <c r="B983" s="898">
        <f>Clothing!B23</f>
        <v>2011</v>
      </c>
      <c r="C983" s="898" t="str">
        <f>Clothing!C23</f>
        <v>PET</v>
      </c>
      <c r="D983" s="898">
        <f>Clothing!M23</f>
        <v>87.497967056018595</v>
      </c>
      <c r="E983" s="900" t="s">
        <v>2044</v>
      </c>
      <c r="F983" s="898">
        <f>Clothing!O23</f>
        <v>1</v>
      </c>
      <c r="G983" s="898">
        <f>Clothing!P23</f>
        <v>1</v>
      </c>
      <c r="H983" s="898">
        <f>Clothing!Q23</f>
        <v>2</v>
      </c>
      <c r="I983" s="898">
        <f>Clothing!R23</f>
        <v>2</v>
      </c>
      <c r="J983" s="898">
        <f>Clothing!S23</f>
        <v>2</v>
      </c>
      <c r="K983" s="290">
        <f t="shared" si="16"/>
        <v>0.37356464144298934</v>
      </c>
    </row>
    <row r="984" spans="1:11" hidden="1">
      <c r="A984" s="898" t="s">
        <v>2046</v>
      </c>
      <c r="B984" s="898">
        <f>Clothing!B24</f>
        <v>2011</v>
      </c>
      <c r="C984" s="898" t="str">
        <f>Clothing!C24</f>
        <v>PUR</v>
      </c>
      <c r="D984" s="898">
        <f>Clothing!M24</f>
        <v>6.5098815105167631</v>
      </c>
      <c r="E984" s="900" t="s">
        <v>2044</v>
      </c>
      <c r="F984" s="898">
        <f>Clothing!O24</f>
        <v>1</v>
      </c>
      <c r="G984" s="898">
        <f>Clothing!P24</f>
        <v>1</v>
      </c>
      <c r="H984" s="898">
        <f>Clothing!Q24</f>
        <v>2</v>
      </c>
      <c r="I984" s="898">
        <f>Clothing!R24</f>
        <v>2</v>
      </c>
      <c r="J984" s="898">
        <f>Clothing!S24</f>
        <v>2</v>
      </c>
      <c r="K984" s="290">
        <f t="shared" si="16"/>
        <v>0.37356464144298934</v>
      </c>
    </row>
    <row r="985" spans="1:11" hidden="1">
      <c r="A985" s="898" t="s">
        <v>2046</v>
      </c>
      <c r="B985" s="898">
        <f>Clothing!B25</f>
        <v>2011</v>
      </c>
      <c r="C985" s="898" t="str">
        <f>Clothing!C25</f>
        <v>PVC</v>
      </c>
      <c r="D985" s="898">
        <f>Clothing!M25</f>
        <v>4.2273729381913476</v>
      </c>
      <c r="E985" s="900" t="s">
        <v>2044</v>
      </c>
      <c r="F985" s="898">
        <f>Clothing!O25</f>
        <v>1</v>
      </c>
      <c r="G985" s="898">
        <f>Clothing!P25</f>
        <v>1</v>
      </c>
      <c r="H985" s="898">
        <f>Clothing!Q25</f>
        <v>2</v>
      </c>
      <c r="I985" s="898">
        <f>Clothing!R25</f>
        <v>2</v>
      </c>
      <c r="J985" s="898">
        <f>Clothing!S25</f>
        <v>2</v>
      </c>
      <c r="K985" s="290">
        <f t="shared" si="16"/>
        <v>0.37356464144298934</v>
      </c>
    </row>
    <row r="986" spans="1:11" hidden="1">
      <c r="A986" s="898" t="s">
        <v>2046</v>
      </c>
      <c r="B986" s="898">
        <f>Clothing!B26</f>
        <v>2011</v>
      </c>
      <c r="C986" s="898" t="str">
        <f>Clothing!C26</f>
        <v>RUBBER</v>
      </c>
      <c r="D986" s="898">
        <f>Clothing!M26</f>
        <v>9.4365910657326459</v>
      </c>
      <c r="E986" s="900" t="s">
        <v>2044</v>
      </c>
      <c r="F986" s="898">
        <f>Clothing!O26</f>
        <v>1</v>
      </c>
      <c r="G986" s="898">
        <f>Clothing!P26</f>
        <v>1</v>
      </c>
      <c r="H986" s="898">
        <f>Clothing!Q26</f>
        <v>2</v>
      </c>
      <c r="I986" s="898">
        <f>Clothing!R26</f>
        <v>2</v>
      </c>
      <c r="J986" s="898">
        <f>Clothing!S26</f>
        <v>2</v>
      </c>
      <c r="K986" s="290">
        <f t="shared" si="16"/>
        <v>0.37356464144298934</v>
      </c>
    </row>
    <row r="987" spans="1:11" hidden="1">
      <c r="A987" s="898" t="s">
        <v>2046</v>
      </c>
      <c r="B987" s="898">
        <f>Clothing!B27</f>
        <v>2012</v>
      </c>
      <c r="C987" s="898" t="str">
        <f>Clothing!C27</f>
        <v>Acryl</v>
      </c>
      <c r="D987" s="898">
        <f>Clothing!M27</f>
        <v>6.6662778815436852</v>
      </c>
      <c r="E987" s="900" t="s">
        <v>2044</v>
      </c>
      <c r="F987" s="898">
        <f>Clothing!O27</f>
        <v>1</v>
      </c>
      <c r="G987" s="898">
        <f>Clothing!P27</f>
        <v>1</v>
      </c>
      <c r="H987" s="898">
        <f>Clothing!Q27</f>
        <v>2</v>
      </c>
      <c r="I987" s="898">
        <f>Clothing!R27</f>
        <v>2</v>
      </c>
      <c r="J987" s="898">
        <f>Clothing!S27</f>
        <v>2</v>
      </c>
      <c r="K987" s="290">
        <f t="shared" si="16"/>
        <v>0.37356464144298934</v>
      </c>
    </row>
    <row r="988" spans="1:11" hidden="1">
      <c r="A988" s="898" t="s">
        <v>2046</v>
      </c>
      <c r="B988" s="898">
        <f>Clothing!B28</f>
        <v>2012</v>
      </c>
      <c r="C988" s="898" t="str">
        <f>Clothing!C28</f>
        <v>OTHER</v>
      </c>
      <c r="D988" s="898">
        <f>Clothing!M28</f>
        <v>7.9583892442353079</v>
      </c>
      <c r="E988" s="900" t="s">
        <v>2044</v>
      </c>
      <c r="F988" s="898">
        <f>Clothing!O28</f>
        <v>1</v>
      </c>
      <c r="G988" s="898">
        <f>Clothing!P28</f>
        <v>1</v>
      </c>
      <c r="H988" s="898">
        <f>Clothing!Q28</f>
        <v>2</v>
      </c>
      <c r="I988" s="898">
        <f>Clothing!R28</f>
        <v>2</v>
      </c>
      <c r="J988" s="898">
        <f>Clothing!S28</f>
        <v>2</v>
      </c>
      <c r="K988" s="290">
        <f t="shared" si="16"/>
        <v>0.37356464144298934</v>
      </c>
    </row>
    <row r="989" spans="1:11" hidden="1">
      <c r="A989" s="898" t="s">
        <v>2046</v>
      </c>
      <c r="B989" s="898">
        <f>Clothing!B29</f>
        <v>2012</v>
      </c>
      <c r="C989" s="898" t="str">
        <f>Clothing!C29</f>
        <v>PA</v>
      </c>
      <c r="D989" s="898">
        <f>Clothing!M29</f>
        <v>14.238529677937962</v>
      </c>
      <c r="E989" s="900" t="s">
        <v>2044</v>
      </c>
      <c r="F989" s="898">
        <f>Clothing!O29</f>
        <v>1</v>
      </c>
      <c r="G989" s="898">
        <f>Clothing!P29</f>
        <v>1</v>
      </c>
      <c r="H989" s="898">
        <f>Clothing!Q29</f>
        <v>2</v>
      </c>
      <c r="I989" s="898">
        <f>Clothing!R29</f>
        <v>2</v>
      </c>
      <c r="J989" s="898">
        <f>Clothing!S29</f>
        <v>2</v>
      </c>
      <c r="K989" s="290">
        <f t="shared" si="16"/>
        <v>0.37356464144298934</v>
      </c>
    </row>
    <row r="990" spans="1:11" hidden="1">
      <c r="A990" s="898" t="s">
        <v>2046</v>
      </c>
      <c r="B990" s="898">
        <f>Clothing!B30</f>
        <v>2012</v>
      </c>
      <c r="C990" s="898" t="str">
        <f>Clothing!C30</f>
        <v>PET</v>
      </c>
      <c r="D990" s="898">
        <f>Clothing!M30</f>
        <v>81.10459188503647</v>
      </c>
      <c r="E990" s="900" t="s">
        <v>2044</v>
      </c>
      <c r="F990" s="898">
        <f>Clothing!O30</f>
        <v>1</v>
      </c>
      <c r="G990" s="898">
        <f>Clothing!P30</f>
        <v>1</v>
      </c>
      <c r="H990" s="898">
        <f>Clothing!Q30</f>
        <v>2</v>
      </c>
      <c r="I990" s="898">
        <f>Clothing!R30</f>
        <v>2</v>
      </c>
      <c r="J990" s="898">
        <f>Clothing!S30</f>
        <v>2</v>
      </c>
      <c r="K990" s="290">
        <f t="shared" si="16"/>
        <v>0.37356464144298934</v>
      </c>
    </row>
    <row r="991" spans="1:11" hidden="1">
      <c r="A991" s="898" t="s">
        <v>2046</v>
      </c>
      <c r="B991" s="898">
        <f>Clothing!B31</f>
        <v>2012</v>
      </c>
      <c r="C991" s="898" t="str">
        <f>Clothing!C31</f>
        <v>PUR</v>
      </c>
      <c r="D991" s="898">
        <f>Clothing!M31</f>
        <v>5.5714724683243739</v>
      </c>
      <c r="E991" s="900" t="s">
        <v>2044</v>
      </c>
      <c r="F991" s="898">
        <f>Clothing!O31</f>
        <v>1</v>
      </c>
      <c r="G991" s="898">
        <f>Clothing!P31</f>
        <v>1</v>
      </c>
      <c r="H991" s="898">
        <f>Clothing!Q31</f>
        <v>2</v>
      </c>
      <c r="I991" s="898">
        <f>Clothing!R31</f>
        <v>2</v>
      </c>
      <c r="J991" s="898">
        <f>Clothing!S31</f>
        <v>2</v>
      </c>
      <c r="K991" s="290">
        <f t="shared" si="16"/>
        <v>0.37356464144298934</v>
      </c>
    </row>
    <row r="992" spans="1:11" hidden="1">
      <c r="A992" s="898" t="s">
        <v>2046</v>
      </c>
      <c r="B992" s="898">
        <f>Clothing!B32</f>
        <v>2012</v>
      </c>
      <c r="C992" s="898" t="str">
        <f>Clothing!C32</f>
        <v>PVC</v>
      </c>
      <c r="D992" s="898">
        <f>Clothing!M32</f>
        <v>3.578973032395397</v>
      </c>
      <c r="E992" s="900" t="s">
        <v>2044</v>
      </c>
      <c r="F992" s="898">
        <f>Clothing!O32</f>
        <v>1</v>
      </c>
      <c r="G992" s="898">
        <f>Clothing!P32</f>
        <v>1</v>
      </c>
      <c r="H992" s="898">
        <f>Clothing!Q32</f>
        <v>2</v>
      </c>
      <c r="I992" s="898">
        <f>Clothing!R32</f>
        <v>2</v>
      </c>
      <c r="J992" s="898">
        <f>Clothing!S32</f>
        <v>2</v>
      </c>
      <c r="K992" s="290">
        <f t="shared" si="16"/>
        <v>0.37356464144298934</v>
      </c>
    </row>
    <row r="993" spans="1:11" hidden="1">
      <c r="A993" s="898" t="s">
        <v>2046</v>
      </c>
      <c r="B993" s="898">
        <f>Clothing!B33</f>
        <v>2012</v>
      </c>
      <c r="C993" s="898" t="str">
        <f>Clothing!C33</f>
        <v>RUBBER</v>
      </c>
      <c r="D993" s="898">
        <f>Clothing!M33</f>
        <v>7.5338368689740687</v>
      </c>
      <c r="E993" s="900" t="s">
        <v>2044</v>
      </c>
      <c r="F993" s="898">
        <f>Clothing!O33</f>
        <v>1</v>
      </c>
      <c r="G993" s="898">
        <f>Clothing!P33</f>
        <v>1</v>
      </c>
      <c r="H993" s="898">
        <f>Clothing!Q33</f>
        <v>2</v>
      </c>
      <c r="I993" s="898">
        <f>Clothing!R33</f>
        <v>2</v>
      </c>
      <c r="J993" s="898">
        <f>Clothing!S33</f>
        <v>2</v>
      </c>
      <c r="K993" s="290">
        <f t="shared" si="16"/>
        <v>0.37356464144298934</v>
      </c>
    </row>
    <row r="994" spans="1:11" hidden="1">
      <c r="A994" s="898" t="s">
        <v>2046</v>
      </c>
      <c r="B994" s="898">
        <f>Clothing!B34</f>
        <v>2013</v>
      </c>
      <c r="C994" s="898" t="str">
        <f>Clothing!C34</f>
        <v>Acryl</v>
      </c>
      <c r="D994" s="898">
        <f>Clothing!M34</f>
        <v>7.1681837929167882</v>
      </c>
      <c r="E994" s="900" t="s">
        <v>2044</v>
      </c>
      <c r="F994" s="898">
        <f>Clothing!O34</f>
        <v>1</v>
      </c>
      <c r="G994" s="898">
        <f>Clothing!P34</f>
        <v>1</v>
      </c>
      <c r="H994" s="898">
        <f>Clothing!Q34</f>
        <v>2</v>
      </c>
      <c r="I994" s="898">
        <f>Clothing!R34</f>
        <v>2</v>
      </c>
      <c r="J994" s="898">
        <f>Clothing!S34</f>
        <v>2</v>
      </c>
      <c r="K994" s="290">
        <f t="shared" si="16"/>
        <v>0.37356464144298934</v>
      </c>
    </row>
    <row r="995" spans="1:11" hidden="1">
      <c r="A995" s="898" t="s">
        <v>2046</v>
      </c>
      <c r="B995" s="898">
        <f>Clothing!B35</f>
        <v>2013</v>
      </c>
      <c r="C995" s="898" t="str">
        <f>Clothing!C35</f>
        <v>OTHER</v>
      </c>
      <c r="D995" s="898">
        <f>Clothing!M35</f>
        <v>10.088094767039719</v>
      </c>
      <c r="E995" s="900" t="s">
        <v>2044</v>
      </c>
      <c r="F995" s="898">
        <f>Clothing!O35</f>
        <v>1</v>
      </c>
      <c r="G995" s="898">
        <f>Clothing!P35</f>
        <v>1</v>
      </c>
      <c r="H995" s="898">
        <f>Clothing!Q35</f>
        <v>2</v>
      </c>
      <c r="I995" s="898">
        <f>Clothing!R35</f>
        <v>2</v>
      </c>
      <c r="J995" s="898">
        <f>Clothing!S35</f>
        <v>2</v>
      </c>
      <c r="K995" s="290">
        <f t="shared" si="16"/>
        <v>0.37356464144298934</v>
      </c>
    </row>
    <row r="996" spans="1:11" hidden="1">
      <c r="A996" s="898" t="s">
        <v>2046</v>
      </c>
      <c r="B996" s="898">
        <f>Clothing!B36</f>
        <v>2013</v>
      </c>
      <c r="C996" s="898" t="str">
        <f>Clothing!C36</f>
        <v>PA</v>
      </c>
      <c r="D996" s="898">
        <f>Clothing!M36</f>
        <v>15.859928214337062</v>
      </c>
      <c r="E996" s="900" t="s">
        <v>2044</v>
      </c>
      <c r="F996" s="898">
        <f>Clothing!O36</f>
        <v>1</v>
      </c>
      <c r="G996" s="898">
        <f>Clothing!P36</f>
        <v>1</v>
      </c>
      <c r="H996" s="898">
        <f>Clothing!Q36</f>
        <v>2</v>
      </c>
      <c r="I996" s="898">
        <f>Clothing!R36</f>
        <v>2</v>
      </c>
      <c r="J996" s="898">
        <f>Clothing!S36</f>
        <v>2</v>
      </c>
      <c r="K996" s="290">
        <f t="shared" si="16"/>
        <v>0.37356464144298934</v>
      </c>
    </row>
    <row r="997" spans="1:11" hidden="1">
      <c r="A997" s="898" t="s">
        <v>2046</v>
      </c>
      <c r="B997" s="898">
        <f>Clothing!B37</f>
        <v>2013</v>
      </c>
      <c r="C997" s="898" t="str">
        <f>Clothing!C37</f>
        <v>PET</v>
      </c>
      <c r="D997" s="898">
        <f>Clothing!M37</f>
        <v>90.993858042626286</v>
      </c>
      <c r="E997" s="900" t="s">
        <v>2044</v>
      </c>
      <c r="F997" s="898">
        <f>Clothing!O37</f>
        <v>1</v>
      </c>
      <c r="G997" s="898">
        <f>Clothing!P37</f>
        <v>1</v>
      </c>
      <c r="H997" s="898">
        <f>Clothing!Q37</f>
        <v>2</v>
      </c>
      <c r="I997" s="898">
        <f>Clothing!R37</f>
        <v>2</v>
      </c>
      <c r="J997" s="898">
        <f>Clothing!S37</f>
        <v>2</v>
      </c>
      <c r="K997" s="290">
        <f t="shared" si="16"/>
        <v>0.37356464144298934</v>
      </c>
    </row>
    <row r="998" spans="1:11" hidden="1">
      <c r="A998" s="898" t="s">
        <v>2046</v>
      </c>
      <c r="B998" s="898">
        <f>Clothing!B38</f>
        <v>2013</v>
      </c>
      <c r="C998" s="898" t="str">
        <f>Clothing!C38</f>
        <v>PUR</v>
      </c>
      <c r="D998" s="898">
        <f>Clothing!M38</f>
        <v>5.8005302602028657</v>
      </c>
      <c r="E998" s="900" t="s">
        <v>2044</v>
      </c>
      <c r="F998" s="898">
        <f>Clothing!O38</f>
        <v>1</v>
      </c>
      <c r="G998" s="898">
        <f>Clothing!P38</f>
        <v>1</v>
      </c>
      <c r="H998" s="898">
        <f>Clothing!Q38</f>
        <v>2</v>
      </c>
      <c r="I998" s="898">
        <f>Clothing!R38</f>
        <v>2</v>
      </c>
      <c r="J998" s="898">
        <f>Clothing!S38</f>
        <v>2</v>
      </c>
      <c r="K998" s="290">
        <f t="shared" si="16"/>
        <v>0.37356464144298934</v>
      </c>
    </row>
    <row r="999" spans="1:11" hidden="1">
      <c r="A999" s="898" t="s">
        <v>2046</v>
      </c>
      <c r="B999" s="898">
        <f>Clothing!B39</f>
        <v>2013</v>
      </c>
      <c r="C999" s="898" t="str">
        <f>Clothing!C39</f>
        <v>PVC</v>
      </c>
      <c r="D999" s="898">
        <f>Clothing!M39</f>
        <v>3.7874725784155165</v>
      </c>
      <c r="E999" s="900" t="s">
        <v>2044</v>
      </c>
      <c r="F999" s="898">
        <f>Clothing!O39</f>
        <v>1</v>
      </c>
      <c r="G999" s="898">
        <f>Clothing!P39</f>
        <v>1</v>
      </c>
      <c r="H999" s="898">
        <f>Clothing!Q39</f>
        <v>2</v>
      </c>
      <c r="I999" s="898">
        <f>Clothing!R39</f>
        <v>2</v>
      </c>
      <c r="J999" s="898">
        <f>Clothing!S39</f>
        <v>2</v>
      </c>
      <c r="K999" s="290">
        <f t="shared" si="16"/>
        <v>0.37356464144298934</v>
      </c>
    </row>
    <row r="1000" spans="1:11" hidden="1">
      <c r="A1000" s="898" t="s">
        <v>2046</v>
      </c>
      <c r="B1000" s="898">
        <f>Clothing!B40</f>
        <v>2013</v>
      </c>
      <c r="C1000" s="898" t="str">
        <f>Clothing!C40</f>
        <v>RUBBER</v>
      </c>
      <c r="D1000" s="898">
        <f>Clothing!M40</f>
        <v>8.7750319938789705</v>
      </c>
      <c r="E1000" s="900" t="s">
        <v>2044</v>
      </c>
      <c r="F1000" s="898">
        <f>Clothing!O40</f>
        <v>1</v>
      </c>
      <c r="G1000" s="898">
        <f>Clothing!P40</f>
        <v>1</v>
      </c>
      <c r="H1000" s="898">
        <f>Clothing!Q40</f>
        <v>2</v>
      </c>
      <c r="I1000" s="898">
        <f>Clothing!R40</f>
        <v>2</v>
      </c>
      <c r="J1000" s="898">
        <f>Clothing!S40</f>
        <v>2</v>
      </c>
      <c r="K1000" s="290">
        <f t="shared" si="16"/>
        <v>0.37356464144298934</v>
      </c>
    </row>
    <row r="1001" spans="1:11" hidden="1">
      <c r="A1001" s="898" t="s">
        <v>2046</v>
      </c>
      <c r="B1001" s="898">
        <f>Clothing!B41</f>
        <v>2014</v>
      </c>
      <c r="C1001" s="898" t="str">
        <f>Clothing!C41</f>
        <v>Acryl</v>
      </c>
      <c r="D1001" s="898">
        <f>Clothing!M41</f>
        <v>8.0284961730181141</v>
      </c>
      <c r="E1001" s="900" t="s">
        <v>2044</v>
      </c>
      <c r="F1001" s="898">
        <f>Clothing!O41</f>
        <v>1</v>
      </c>
      <c r="G1001" s="898">
        <f>Clothing!P41</f>
        <v>1</v>
      </c>
      <c r="H1001" s="898">
        <f>Clothing!Q41</f>
        <v>2</v>
      </c>
      <c r="I1001" s="898">
        <f>Clothing!R41</f>
        <v>2</v>
      </c>
      <c r="J1001" s="898">
        <f>Clothing!S41</f>
        <v>2</v>
      </c>
      <c r="K1001" s="290">
        <f t="shared" si="16"/>
        <v>0.37356464144298934</v>
      </c>
    </row>
    <row r="1002" spans="1:11" hidden="1">
      <c r="A1002" s="898" t="s">
        <v>2046</v>
      </c>
      <c r="B1002" s="898">
        <f>Clothing!B42</f>
        <v>2014</v>
      </c>
      <c r="C1002" s="898" t="str">
        <f>Clothing!C42</f>
        <v>OTHER</v>
      </c>
      <c r="D1002" s="898">
        <f>Clothing!M42</f>
        <v>12.342726294419705</v>
      </c>
      <c r="E1002" s="900" t="s">
        <v>2044</v>
      </c>
      <c r="F1002" s="898">
        <f>Clothing!O42</f>
        <v>1</v>
      </c>
      <c r="G1002" s="898">
        <f>Clothing!P42</f>
        <v>1</v>
      </c>
      <c r="H1002" s="898">
        <f>Clothing!Q42</f>
        <v>2</v>
      </c>
      <c r="I1002" s="898">
        <f>Clothing!R42</f>
        <v>2</v>
      </c>
      <c r="J1002" s="898">
        <f>Clothing!S42</f>
        <v>2</v>
      </c>
      <c r="K1002" s="290">
        <f t="shared" si="16"/>
        <v>0.37356464144298934</v>
      </c>
    </row>
    <row r="1003" spans="1:11" hidden="1">
      <c r="A1003" s="898" t="s">
        <v>2046</v>
      </c>
      <c r="B1003" s="898">
        <f>Clothing!B43</f>
        <v>2014</v>
      </c>
      <c r="C1003" s="898" t="str">
        <f>Clothing!C43</f>
        <v>PA</v>
      </c>
      <c r="D1003" s="898">
        <f>Clothing!M43</f>
        <v>18.667814658248528</v>
      </c>
      <c r="E1003" s="900" t="s">
        <v>2044</v>
      </c>
      <c r="F1003" s="898">
        <f>Clothing!O43</f>
        <v>1</v>
      </c>
      <c r="G1003" s="898">
        <f>Clothing!P43</f>
        <v>1</v>
      </c>
      <c r="H1003" s="898">
        <f>Clothing!Q43</f>
        <v>2</v>
      </c>
      <c r="I1003" s="898">
        <f>Clothing!R43</f>
        <v>2</v>
      </c>
      <c r="J1003" s="898">
        <f>Clothing!S43</f>
        <v>2</v>
      </c>
      <c r="K1003" s="290">
        <f t="shared" si="16"/>
        <v>0.37356464144298934</v>
      </c>
    </row>
    <row r="1004" spans="1:11" hidden="1">
      <c r="A1004" s="898" t="s">
        <v>2046</v>
      </c>
      <c r="B1004" s="898">
        <f>Clothing!B44</f>
        <v>2014</v>
      </c>
      <c r="C1004" s="898" t="str">
        <f>Clothing!C44</f>
        <v>PET</v>
      </c>
      <c r="D1004" s="898">
        <f>Clothing!M44</f>
        <v>105.10646133426668</v>
      </c>
      <c r="E1004" s="900" t="s">
        <v>2044</v>
      </c>
      <c r="F1004" s="898">
        <f>Clothing!O44</f>
        <v>1</v>
      </c>
      <c r="G1004" s="898">
        <f>Clothing!P44</f>
        <v>1</v>
      </c>
      <c r="H1004" s="898">
        <f>Clothing!Q44</f>
        <v>2</v>
      </c>
      <c r="I1004" s="898">
        <f>Clothing!R44</f>
        <v>2</v>
      </c>
      <c r="J1004" s="898">
        <f>Clothing!S44</f>
        <v>2</v>
      </c>
      <c r="K1004" s="290">
        <f t="shared" si="16"/>
        <v>0.37356464144298934</v>
      </c>
    </row>
    <row r="1005" spans="1:11" hidden="1">
      <c r="A1005" s="898" t="s">
        <v>2046</v>
      </c>
      <c r="B1005" s="898">
        <f>Clothing!B45</f>
        <v>2014</v>
      </c>
      <c r="C1005" s="898" t="str">
        <f>Clothing!C45</f>
        <v>PUR</v>
      </c>
      <c r="D1005" s="898">
        <f>Clothing!M45</f>
        <v>6.8613608135860948</v>
      </c>
      <c r="E1005" s="900" t="s">
        <v>2044</v>
      </c>
      <c r="F1005" s="898">
        <f>Clothing!O45</f>
        <v>1</v>
      </c>
      <c r="G1005" s="898">
        <f>Clothing!P45</f>
        <v>1</v>
      </c>
      <c r="H1005" s="898">
        <f>Clothing!Q45</f>
        <v>2</v>
      </c>
      <c r="I1005" s="898">
        <f>Clothing!R45</f>
        <v>2</v>
      </c>
      <c r="J1005" s="898">
        <f>Clothing!S45</f>
        <v>2</v>
      </c>
      <c r="K1005" s="290">
        <f t="shared" si="16"/>
        <v>0.37356464144298934</v>
      </c>
    </row>
    <row r="1006" spans="1:11" hidden="1">
      <c r="A1006" s="898" t="s">
        <v>2046</v>
      </c>
      <c r="B1006" s="898">
        <f>Clothing!B46</f>
        <v>2014</v>
      </c>
      <c r="C1006" s="898" t="str">
        <f>Clothing!C46</f>
        <v>PVC</v>
      </c>
      <c r="D1006" s="898">
        <f>Clothing!M46</f>
        <v>4.4767629782153566</v>
      </c>
      <c r="E1006" s="900" t="s">
        <v>2044</v>
      </c>
      <c r="F1006" s="898">
        <f>Clothing!O46</f>
        <v>1</v>
      </c>
      <c r="G1006" s="898">
        <f>Clothing!P46</f>
        <v>1</v>
      </c>
      <c r="H1006" s="898">
        <f>Clothing!Q46</f>
        <v>2</v>
      </c>
      <c r="I1006" s="898">
        <f>Clothing!R46</f>
        <v>2</v>
      </c>
      <c r="J1006" s="898">
        <f>Clothing!S46</f>
        <v>2</v>
      </c>
      <c r="K1006" s="290">
        <f t="shared" si="16"/>
        <v>0.37356464144298934</v>
      </c>
    </row>
    <row r="1007" spans="1:11" hidden="1">
      <c r="A1007" s="898" t="s">
        <v>2046</v>
      </c>
      <c r="B1007" s="898">
        <f>Clothing!B47</f>
        <v>2014</v>
      </c>
      <c r="C1007" s="898" t="str">
        <f>Clothing!C47</f>
        <v>RUBBER</v>
      </c>
      <c r="D1007" s="898">
        <f>Clothing!M47</f>
        <v>10.191405959964353</v>
      </c>
      <c r="E1007" s="900" t="s">
        <v>2044</v>
      </c>
      <c r="F1007" s="898">
        <f>Clothing!O47</f>
        <v>1</v>
      </c>
      <c r="G1007" s="898">
        <f>Clothing!P47</f>
        <v>1</v>
      </c>
      <c r="H1007" s="898">
        <f>Clothing!Q47</f>
        <v>2</v>
      </c>
      <c r="I1007" s="898">
        <f>Clothing!R47</f>
        <v>2</v>
      </c>
      <c r="J1007" s="898">
        <f>Clothing!S47</f>
        <v>2</v>
      </c>
      <c r="K1007" s="290">
        <f t="shared" si="16"/>
        <v>0.37356464144298934</v>
      </c>
    </row>
    <row r="1008" spans="1:11" hidden="1">
      <c r="A1008" s="898" t="s">
        <v>2046</v>
      </c>
      <c r="B1008" s="898">
        <f>Clothing!B48</f>
        <v>2015</v>
      </c>
      <c r="C1008" s="898" t="str">
        <f>Clothing!C48</f>
        <v>Acryl</v>
      </c>
      <c r="D1008" s="898">
        <f>Clothing!M48</f>
        <v>8.1486761220199107</v>
      </c>
      <c r="E1008" s="900" t="s">
        <v>2044</v>
      </c>
      <c r="F1008" s="898">
        <f>Clothing!O48</f>
        <v>1</v>
      </c>
      <c r="G1008" s="898">
        <f>Clothing!P48</f>
        <v>1</v>
      </c>
      <c r="H1008" s="898">
        <f>Clothing!Q48</f>
        <v>2</v>
      </c>
      <c r="I1008" s="898">
        <f>Clothing!R48</f>
        <v>2</v>
      </c>
      <c r="J1008" s="898">
        <f>Clothing!S48</f>
        <v>2</v>
      </c>
      <c r="K1008" s="290">
        <f t="shared" si="16"/>
        <v>0.37356464144298934</v>
      </c>
    </row>
    <row r="1009" spans="1:11" hidden="1">
      <c r="A1009" s="898" t="s">
        <v>2046</v>
      </c>
      <c r="B1009" s="898">
        <f>Clothing!B49</f>
        <v>2015</v>
      </c>
      <c r="C1009" s="898" t="str">
        <f>Clothing!C49</f>
        <v>OTHER</v>
      </c>
      <c r="D1009" s="898">
        <f>Clothing!M49</f>
        <v>11.952721747282585</v>
      </c>
      <c r="E1009" s="900" t="s">
        <v>2044</v>
      </c>
      <c r="F1009" s="898">
        <f>Clothing!O49</f>
        <v>1</v>
      </c>
      <c r="G1009" s="898">
        <f>Clothing!P49</f>
        <v>1</v>
      </c>
      <c r="H1009" s="898">
        <f>Clothing!Q49</f>
        <v>2</v>
      </c>
      <c r="I1009" s="898">
        <f>Clothing!R49</f>
        <v>2</v>
      </c>
      <c r="J1009" s="898">
        <f>Clothing!S49</f>
        <v>2</v>
      </c>
      <c r="K1009" s="290">
        <f t="shared" si="16"/>
        <v>0.37356464144298934</v>
      </c>
    </row>
    <row r="1010" spans="1:11" hidden="1">
      <c r="A1010" s="898" t="s">
        <v>2046</v>
      </c>
      <c r="B1010" s="898">
        <f>Clothing!B50</f>
        <v>2015</v>
      </c>
      <c r="C1010" s="898" t="str">
        <f>Clothing!C50</f>
        <v>PA</v>
      </c>
      <c r="D1010" s="898">
        <f>Clothing!M50</f>
        <v>18.006179998890094</v>
      </c>
      <c r="E1010" s="900" t="s">
        <v>2044</v>
      </c>
      <c r="F1010" s="898">
        <f>Clothing!O50</f>
        <v>1</v>
      </c>
      <c r="G1010" s="898">
        <f>Clothing!P50</f>
        <v>1</v>
      </c>
      <c r="H1010" s="898">
        <f>Clothing!Q50</f>
        <v>2</v>
      </c>
      <c r="I1010" s="898">
        <f>Clothing!R50</f>
        <v>2</v>
      </c>
      <c r="J1010" s="898">
        <f>Clothing!S50</f>
        <v>2</v>
      </c>
      <c r="K1010" s="290">
        <f t="shared" si="16"/>
        <v>0.37356464144298934</v>
      </c>
    </row>
    <row r="1011" spans="1:11" hidden="1">
      <c r="A1011" s="898" t="s">
        <v>2046</v>
      </c>
      <c r="B1011" s="898">
        <f>Clothing!B51</f>
        <v>2015</v>
      </c>
      <c r="C1011" s="898" t="str">
        <f>Clothing!C51</f>
        <v>PET</v>
      </c>
      <c r="D1011" s="898">
        <f>Clothing!M51</f>
        <v>102.88146584213662</v>
      </c>
      <c r="E1011" s="900" t="s">
        <v>2044</v>
      </c>
      <c r="F1011" s="898">
        <f>Clothing!O51</f>
        <v>1</v>
      </c>
      <c r="G1011" s="898">
        <f>Clothing!P51</f>
        <v>1</v>
      </c>
      <c r="H1011" s="898">
        <f>Clothing!Q51</f>
        <v>2</v>
      </c>
      <c r="I1011" s="898">
        <f>Clothing!R51</f>
        <v>2</v>
      </c>
      <c r="J1011" s="898">
        <f>Clothing!S51</f>
        <v>2</v>
      </c>
      <c r="K1011" s="290">
        <f t="shared" si="16"/>
        <v>0.37356464144298934</v>
      </c>
    </row>
    <row r="1012" spans="1:11" hidden="1">
      <c r="A1012" s="898" t="s">
        <v>2046</v>
      </c>
      <c r="B1012" s="898">
        <f>Clothing!B52</f>
        <v>2015</v>
      </c>
      <c r="C1012" s="898" t="str">
        <f>Clothing!C52</f>
        <v>PUR</v>
      </c>
      <c r="D1012" s="898">
        <f>Clothing!M52</f>
        <v>7.4214999900593179</v>
      </c>
      <c r="E1012" s="900" t="s">
        <v>2044</v>
      </c>
      <c r="F1012" s="898">
        <f>Clothing!O52</f>
        <v>1</v>
      </c>
      <c r="G1012" s="898">
        <f>Clothing!P52</f>
        <v>1</v>
      </c>
      <c r="H1012" s="898">
        <f>Clothing!Q52</f>
        <v>2</v>
      </c>
      <c r="I1012" s="898">
        <f>Clothing!R52</f>
        <v>2</v>
      </c>
      <c r="J1012" s="898">
        <f>Clothing!S52</f>
        <v>2</v>
      </c>
      <c r="K1012" s="290">
        <f t="shared" si="16"/>
        <v>0.37356464144298934</v>
      </c>
    </row>
    <row r="1013" spans="1:11" hidden="1">
      <c r="A1013" s="898" t="s">
        <v>2046</v>
      </c>
      <c r="B1013" s="898">
        <f>Clothing!B53</f>
        <v>2015</v>
      </c>
      <c r="C1013" s="898" t="str">
        <f>Clothing!C53</f>
        <v>PVC</v>
      </c>
      <c r="D1013" s="898">
        <f>Clothing!M53</f>
        <v>4.8384839023484529</v>
      </c>
      <c r="E1013" s="900" t="s">
        <v>2044</v>
      </c>
      <c r="F1013" s="898">
        <f>Clothing!O53</f>
        <v>1</v>
      </c>
      <c r="G1013" s="898">
        <f>Clothing!P53</f>
        <v>1</v>
      </c>
      <c r="H1013" s="898">
        <f>Clothing!Q53</f>
        <v>2</v>
      </c>
      <c r="I1013" s="898">
        <f>Clothing!R53</f>
        <v>2</v>
      </c>
      <c r="J1013" s="898">
        <f>Clothing!S53</f>
        <v>2</v>
      </c>
      <c r="K1013" s="290">
        <f t="shared" si="16"/>
        <v>0.37356464144298934</v>
      </c>
    </row>
    <row r="1014" spans="1:11" hidden="1">
      <c r="A1014" s="898" t="s">
        <v>2046</v>
      </c>
      <c r="B1014" s="898">
        <f>Clothing!B54</f>
        <v>2015</v>
      </c>
      <c r="C1014" s="898" t="str">
        <f>Clothing!C54</f>
        <v>RUBBER</v>
      </c>
      <c r="D1014" s="898">
        <f>Clothing!M54</f>
        <v>11.134685749802991</v>
      </c>
      <c r="E1014" s="900" t="s">
        <v>2044</v>
      </c>
      <c r="F1014" s="898">
        <f>Clothing!O54</f>
        <v>1</v>
      </c>
      <c r="G1014" s="898">
        <f>Clothing!P54</f>
        <v>1</v>
      </c>
      <c r="H1014" s="898">
        <f>Clothing!Q54</f>
        <v>2</v>
      </c>
      <c r="I1014" s="898">
        <f>Clothing!R54</f>
        <v>2</v>
      </c>
      <c r="J1014" s="898">
        <f>Clothing!S54</f>
        <v>2</v>
      </c>
      <c r="K1014" s="290">
        <f t="shared" si="16"/>
        <v>0.37356464144298934</v>
      </c>
    </row>
    <row r="1015" spans="1:11" hidden="1">
      <c r="A1015" s="898" t="s">
        <v>2046</v>
      </c>
      <c r="B1015" s="898">
        <f>Clothing!B55</f>
        <v>2016</v>
      </c>
      <c r="C1015" s="898" t="str">
        <f>Clothing!C55</f>
        <v>Acryl</v>
      </c>
      <c r="D1015" s="898">
        <f>Clothing!M55</f>
        <v>8.4094244635517441</v>
      </c>
      <c r="E1015" s="900" t="s">
        <v>2044</v>
      </c>
      <c r="F1015" s="898">
        <f>Clothing!O55</f>
        <v>1</v>
      </c>
      <c r="G1015" s="898">
        <f>Clothing!P55</f>
        <v>1</v>
      </c>
      <c r="H1015" s="898">
        <f>Clothing!Q55</f>
        <v>2</v>
      </c>
      <c r="I1015" s="898">
        <f>Clothing!R55</f>
        <v>2</v>
      </c>
      <c r="J1015" s="898">
        <f>Clothing!S55</f>
        <v>2</v>
      </c>
      <c r="K1015" s="290">
        <f t="shared" si="16"/>
        <v>0.37356464144298934</v>
      </c>
    </row>
    <row r="1016" spans="1:11" hidden="1">
      <c r="A1016" s="898" t="s">
        <v>2046</v>
      </c>
      <c r="B1016" s="898">
        <f>Clothing!B56</f>
        <v>2016</v>
      </c>
      <c r="C1016" s="898" t="str">
        <f>Clothing!C56</f>
        <v>OTHER</v>
      </c>
      <c r="D1016" s="898">
        <f>Clothing!M56</f>
        <v>12.485833931548353</v>
      </c>
      <c r="E1016" s="900" t="s">
        <v>2044</v>
      </c>
      <c r="F1016" s="898">
        <f>Clothing!O56</f>
        <v>1</v>
      </c>
      <c r="G1016" s="898">
        <f>Clothing!P56</f>
        <v>1</v>
      </c>
      <c r="H1016" s="898">
        <f>Clothing!Q56</f>
        <v>2</v>
      </c>
      <c r="I1016" s="898">
        <f>Clothing!R56</f>
        <v>2</v>
      </c>
      <c r="J1016" s="898">
        <f>Clothing!S56</f>
        <v>2</v>
      </c>
      <c r="K1016" s="290">
        <f t="shared" si="16"/>
        <v>0.37356464144298934</v>
      </c>
    </row>
    <row r="1017" spans="1:11" hidden="1">
      <c r="A1017" s="898" t="s">
        <v>2046</v>
      </c>
      <c r="B1017" s="898">
        <f>Clothing!B57</f>
        <v>2016</v>
      </c>
      <c r="C1017" s="898" t="str">
        <f>Clothing!C57</f>
        <v>PA</v>
      </c>
      <c r="D1017" s="898">
        <f>Clothing!M57</f>
        <v>19.84777054070446</v>
      </c>
      <c r="E1017" s="900" t="s">
        <v>2044</v>
      </c>
      <c r="F1017" s="898">
        <f>Clothing!O57</f>
        <v>1</v>
      </c>
      <c r="G1017" s="898">
        <f>Clothing!P57</f>
        <v>1</v>
      </c>
      <c r="H1017" s="898">
        <f>Clothing!Q57</f>
        <v>2</v>
      </c>
      <c r="I1017" s="898">
        <f>Clothing!R57</f>
        <v>2</v>
      </c>
      <c r="J1017" s="898">
        <f>Clothing!S57</f>
        <v>2</v>
      </c>
      <c r="K1017" s="290">
        <f t="shared" si="16"/>
        <v>0.37356464144298934</v>
      </c>
    </row>
    <row r="1018" spans="1:11" hidden="1">
      <c r="A1018" s="898" t="s">
        <v>2046</v>
      </c>
      <c r="B1018" s="898">
        <f>Clothing!B58</f>
        <v>2016</v>
      </c>
      <c r="C1018" s="898" t="str">
        <f>Clothing!C58</f>
        <v>PET</v>
      </c>
      <c r="D1018" s="898">
        <f>Clothing!M58</f>
        <v>110.16416300050552</v>
      </c>
      <c r="E1018" s="900" t="s">
        <v>2044</v>
      </c>
      <c r="F1018" s="898">
        <f>Clothing!O58</f>
        <v>1</v>
      </c>
      <c r="G1018" s="898">
        <f>Clothing!P58</f>
        <v>1</v>
      </c>
      <c r="H1018" s="898">
        <f>Clothing!Q58</f>
        <v>2</v>
      </c>
      <c r="I1018" s="898">
        <f>Clothing!R58</f>
        <v>2</v>
      </c>
      <c r="J1018" s="898">
        <f>Clothing!S58</f>
        <v>2</v>
      </c>
      <c r="K1018" s="290">
        <f t="shared" si="16"/>
        <v>0.37356464144298934</v>
      </c>
    </row>
    <row r="1019" spans="1:11" hidden="1">
      <c r="A1019" s="898" t="s">
        <v>2046</v>
      </c>
      <c r="B1019" s="898">
        <f>Clothing!B59</f>
        <v>2016</v>
      </c>
      <c r="C1019" s="898" t="str">
        <f>Clothing!C59</f>
        <v>PUR</v>
      </c>
      <c r="D1019" s="898">
        <f>Clothing!M59</f>
        <v>7.5337332812757429</v>
      </c>
      <c r="E1019" s="900" t="s">
        <v>2044</v>
      </c>
      <c r="F1019" s="898">
        <f>Clothing!O59</f>
        <v>1</v>
      </c>
      <c r="G1019" s="898">
        <f>Clothing!P59</f>
        <v>1</v>
      </c>
      <c r="H1019" s="898">
        <f>Clothing!Q59</f>
        <v>2</v>
      </c>
      <c r="I1019" s="898">
        <f>Clothing!R59</f>
        <v>2</v>
      </c>
      <c r="J1019" s="898">
        <f>Clothing!S59</f>
        <v>2</v>
      </c>
      <c r="K1019" s="290">
        <f t="shared" si="16"/>
        <v>0.37356464144298934</v>
      </c>
    </row>
    <row r="1020" spans="1:11" hidden="1">
      <c r="A1020" s="898" t="s">
        <v>2046</v>
      </c>
      <c r="B1020" s="898">
        <f>Clothing!B60</f>
        <v>2016</v>
      </c>
      <c r="C1020" s="898" t="str">
        <f>Clothing!C60</f>
        <v>PVC</v>
      </c>
      <c r="D1020" s="898">
        <f>Clothing!M60</f>
        <v>4.8659867486159998</v>
      </c>
      <c r="E1020" s="900" t="s">
        <v>2044</v>
      </c>
      <c r="F1020" s="898">
        <f>Clothing!O60</f>
        <v>1</v>
      </c>
      <c r="G1020" s="898">
        <f>Clothing!P60</f>
        <v>1</v>
      </c>
      <c r="H1020" s="898">
        <f>Clothing!Q60</f>
        <v>2</v>
      </c>
      <c r="I1020" s="898">
        <f>Clothing!R60</f>
        <v>2</v>
      </c>
      <c r="J1020" s="898">
        <f>Clothing!S60</f>
        <v>2</v>
      </c>
      <c r="K1020" s="290">
        <f t="shared" si="16"/>
        <v>0.37356464144298934</v>
      </c>
    </row>
    <row r="1021" spans="1:11" hidden="1">
      <c r="A1021" s="898" t="s">
        <v>2046</v>
      </c>
      <c r="B1021" s="898">
        <f>Clothing!B61</f>
        <v>2016</v>
      </c>
      <c r="C1021" s="898" t="str">
        <f>Clothing!C61</f>
        <v>RUBBER</v>
      </c>
      <c r="D1021" s="898">
        <f>Clothing!M61</f>
        <v>10.423785907762305</v>
      </c>
      <c r="E1021" s="900" t="s">
        <v>2044</v>
      </c>
      <c r="F1021" s="898">
        <f>Clothing!O61</f>
        <v>1</v>
      </c>
      <c r="G1021" s="898">
        <f>Clothing!P61</f>
        <v>1</v>
      </c>
      <c r="H1021" s="898">
        <f>Clothing!Q61</f>
        <v>2</v>
      </c>
      <c r="I1021" s="898">
        <f>Clothing!R61</f>
        <v>2</v>
      </c>
      <c r="J1021" s="898">
        <f>Clothing!S61</f>
        <v>2</v>
      </c>
      <c r="K1021" s="290">
        <f t="shared" ref="K1021:K1084" si="17">IF( OR( ISBLANK(F1021),ISBLANK(G1021), ISBLANK(H1021), ISBLANK(I1021), ISBLANK(J1021) ), "", 1.5*SQRT(   EXP(2.21*(F1021-1)) + EXP(2.21*(G1021-1)) + EXP(2.21*(H1021-1)) + EXP(2.21*(I1021-1)) + EXP(2.21*J1021)   )/100*2.45 )</f>
        <v>0.37356464144298934</v>
      </c>
    </row>
    <row r="1022" spans="1:11" hidden="1">
      <c r="A1022" s="898" t="s">
        <v>2046</v>
      </c>
      <c r="B1022" s="898">
        <f>Clothing!B62</f>
        <v>2017</v>
      </c>
      <c r="C1022" s="898" t="str">
        <f>Clothing!C62</f>
        <v>Acryl</v>
      </c>
      <c r="D1022" s="898">
        <f>Clothing!M62</f>
        <v>8.4464366611116972</v>
      </c>
      <c r="E1022" s="900" t="s">
        <v>2044</v>
      </c>
      <c r="F1022" s="898">
        <f>Clothing!O62</f>
        <v>1</v>
      </c>
      <c r="G1022" s="898">
        <f>Clothing!P62</f>
        <v>1</v>
      </c>
      <c r="H1022" s="898">
        <f>Clothing!Q62</f>
        <v>2</v>
      </c>
      <c r="I1022" s="898">
        <f>Clothing!R62</f>
        <v>2</v>
      </c>
      <c r="J1022" s="898">
        <f>Clothing!S62</f>
        <v>2</v>
      </c>
      <c r="K1022" s="290">
        <f t="shared" si="17"/>
        <v>0.37356464144298934</v>
      </c>
    </row>
    <row r="1023" spans="1:11" hidden="1">
      <c r="A1023" s="898" t="s">
        <v>2046</v>
      </c>
      <c r="B1023" s="898">
        <f>Clothing!B63</f>
        <v>2017</v>
      </c>
      <c r="C1023" s="898" t="str">
        <f>Clothing!C63</f>
        <v>OTHER</v>
      </c>
      <c r="D1023" s="898">
        <f>Clothing!M63</f>
        <v>11.349137969752906</v>
      </c>
      <c r="E1023" s="900" t="s">
        <v>2044</v>
      </c>
      <c r="F1023" s="898">
        <f>Clothing!O63</f>
        <v>1</v>
      </c>
      <c r="G1023" s="898">
        <f>Clothing!P63</f>
        <v>1</v>
      </c>
      <c r="H1023" s="898">
        <f>Clothing!Q63</f>
        <v>2</v>
      </c>
      <c r="I1023" s="898">
        <f>Clothing!R63</f>
        <v>2</v>
      </c>
      <c r="J1023" s="898">
        <f>Clothing!S63</f>
        <v>2</v>
      </c>
      <c r="K1023" s="290">
        <f t="shared" si="17"/>
        <v>0.37356464144298934</v>
      </c>
    </row>
    <row r="1024" spans="1:11" hidden="1">
      <c r="A1024" s="898" t="s">
        <v>2046</v>
      </c>
      <c r="B1024" s="898">
        <f>Clothing!B64</f>
        <v>2017</v>
      </c>
      <c r="C1024" s="898" t="str">
        <f>Clothing!C64</f>
        <v>PA</v>
      </c>
      <c r="D1024" s="898">
        <f>Clothing!M64</f>
        <v>18.275176441759665</v>
      </c>
      <c r="E1024" s="900" t="s">
        <v>2044</v>
      </c>
      <c r="F1024" s="898">
        <f>Clothing!O64</f>
        <v>1</v>
      </c>
      <c r="G1024" s="898">
        <f>Clothing!P64</f>
        <v>1</v>
      </c>
      <c r="H1024" s="898">
        <f>Clothing!Q64</f>
        <v>2</v>
      </c>
      <c r="I1024" s="898">
        <f>Clothing!R64</f>
        <v>2</v>
      </c>
      <c r="J1024" s="898">
        <f>Clothing!S64</f>
        <v>2</v>
      </c>
      <c r="K1024" s="290">
        <f t="shared" si="17"/>
        <v>0.37356464144298934</v>
      </c>
    </row>
    <row r="1025" spans="1:11" hidden="1">
      <c r="A1025" s="898" t="s">
        <v>2046</v>
      </c>
      <c r="B1025" s="898">
        <f>Clothing!B65</f>
        <v>2017</v>
      </c>
      <c r="C1025" s="898" t="str">
        <f>Clothing!C65</f>
        <v>PET</v>
      </c>
      <c r="D1025" s="898">
        <f>Clothing!M65</f>
        <v>95.706920443432793</v>
      </c>
      <c r="E1025" s="900" t="s">
        <v>2044</v>
      </c>
      <c r="F1025" s="898">
        <f>Clothing!O65</f>
        <v>1</v>
      </c>
      <c r="G1025" s="898">
        <f>Clothing!P65</f>
        <v>1</v>
      </c>
      <c r="H1025" s="898">
        <f>Clothing!Q65</f>
        <v>2</v>
      </c>
      <c r="I1025" s="898">
        <f>Clothing!R65</f>
        <v>2</v>
      </c>
      <c r="J1025" s="898">
        <f>Clothing!S65</f>
        <v>2</v>
      </c>
      <c r="K1025" s="290">
        <f t="shared" si="17"/>
        <v>0.37356464144298934</v>
      </c>
    </row>
    <row r="1026" spans="1:11" hidden="1">
      <c r="A1026" s="898" t="s">
        <v>2046</v>
      </c>
      <c r="B1026" s="898">
        <f>Clothing!B66</f>
        <v>2017</v>
      </c>
      <c r="C1026" s="898" t="str">
        <f>Clothing!C66</f>
        <v>PUR</v>
      </c>
      <c r="D1026" s="898">
        <f>Clothing!M66</f>
        <v>6.3956952360107158</v>
      </c>
      <c r="E1026" s="900" t="s">
        <v>2044</v>
      </c>
      <c r="F1026" s="898">
        <f>Clothing!O66</f>
        <v>1</v>
      </c>
      <c r="G1026" s="898">
        <f>Clothing!P66</f>
        <v>1</v>
      </c>
      <c r="H1026" s="898">
        <f>Clothing!Q66</f>
        <v>2</v>
      </c>
      <c r="I1026" s="898">
        <f>Clothing!R66</f>
        <v>2</v>
      </c>
      <c r="J1026" s="898">
        <f>Clothing!S66</f>
        <v>2</v>
      </c>
      <c r="K1026" s="290">
        <f t="shared" si="17"/>
        <v>0.37356464144298934</v>
      </c>
    </row>
    <row r="1027" spans="1:11" hidden="1">
      <c r="A1027" s="898" t="s">
        <v>2046</v>
      </c>
      <c r="B1027" s="898">
        <f>Clothing!B67</f>
        <v>2017</v>
      </c>
      <c r="C1027" s="898" t="str">
        <f>Clothing!C67</f>
        <v>PVC</v>
      </c>
      <c r="D1027" s="898">
        <f>Clothing!M67</f>
        <v>4.1543291914821792</v>
      </c>
      <c r="E1027" s="900" t="s">
        <v>2044</v>
      </c>
      <c r="F1027" s="898">
        <f>Clothing!O67</f>
        <v>1</v>
      </c>
      <c r="G1027" s="898">
        <f>Clothing!P67</f>
        <v>1</v>
      </c>
      <c r="H1027" s="898">
        <f>Clothing!Q67</f>
        <v>2</v>
      </c>
      <c r="I1027" s="898">
        <f>Clothing!R67</f>
        <v>2</v>
      </c>
      <c r="J1027" s="898">
        <f>Clothing!S67</f>
        <v>2</v>
      </c>
      <c r="K1027" s="290">
        <f t="shared" si="17"/>
        <v>0.37356464144298934</v>
      </c>
    </row>
    <row r="1028" spans="1:11" hidden="1">
      <c r="A1028" s="898" t="s">
        <v>2046</v>
      </c>
      <c r="B1028" s="898">
        <f>Clothing!B68</f>
        <v>2017</v>
      </c>
      <c r="C1028" s="898" t="str">
        <f>Clothing!C68</f>
        <v>RUBBER</v>
      </c>
      <c r="D1028" s="898">
        <f>Clothing!M68</f>
        <v>9.1955171897530512</v>
      </c>
      <c r="E1028" s="900" t="s">
        <v>2044</v>
      </c>
      <c r="F1028" s="898">
        <f>Clothing!O68</f>
        <v>1</v>
      </c>
      <c r="G1028" s="898">
        <f>Clothing!P68</f>
        <v>1</v>
      </c>
      <c r="H1028" s="898">
        <f>Clothing!Q68</f>
        <v>2</v>
      </c>
      <c r="I1028" s="898">
        <f>Clothing!R68</f>
        <v>2</v>
      </c>
      <c r="J1028" s="898">
        <f>Clothing!S68</f>
        <v>2</v>
      </c>
      <c r="K1028" s="290">
        <f t="shared" si="17"/>
        <v>0.37356464144298934</v>
      </c>
    </row>
    <row r="1029" spans="1:11" hidden="1">
      <c r="A1029" s="898" t="s">
        <v>2046</v>
      </c>
      <c r="B1029" s="898">
        <f>Clothing!B69</f>
        <v>2018</v>
      </c>
      <c r="C1029" s="898" t="str">
        <f>Clothing!C69</f>
        <v>Acryl</v>
      </c>
      <c r="D1029" s="898">
        <f>Clothing!M69</f>
        <v>9.1757064335334206</v>
      </c>
      <c r="E1029" s="900" t="s">
        <v>2044</v>
      </c>
      <c r="F1029" s="898">
        <f>Clothing!O69</f>
        <v>1</v>
      </c>
      <c r="G1029" s="898">
        <f>Clothing!P69</f>
        <v>1</v>
      </c>
      <c r="H1029" s="898">
        <f>Clothing!Q69</f>
        <v>2</v>
      </c>
      <c r="I1029" s="898">
        <f>Clothing!R69</f>
        <v>2</v>
      </c>
      <c r="J1029" s="898">
        <f>Clothing!S69</f>
        <v>2</v>
      </c>
      <c r="K1029" s="290">
        <f t="shared" si="17"/>
        <v>0.37356464144298934</v>
      </c>
    </row>
    <row r="1030" spans="1:11" hidden="1">
      <c r="A1030" s="898" t="s">
        <v>2046</v>
      </c>
      <c r="B1030" s="898">
        <f>Clothing!B70</f>
        <v>2018</v>
      </c>
      <c r="C1030" s="898" t="str">
        <f>Clothing!C70</f>
        <v>OTHER</v>
      </c>
      <c r="D1030" s="898">
        <f>Clothing!M70</f>
        <v>12.773490067750753</v>
      </c>
      <c r="E1030" s="900" t="s">
        <v>2044</v>
      </c>
      <c r="F1030" s="898">
        <f>Clothing!O70</f>
        <v>1</v>
      </c>
      <c r="G1030" s="898">
        <f>Clothing!P70</f>
        <v>1</v>
      </c>
      <c r="H1030" s="898">
        <f>Clothing!Q70</f>
        <v>2</v>
      </c>
      <c r="I1030" s="898">
        <f>Clothing!R70</f>
        <v>2</v>
      </c>
      <c r="J1030" s="898">
        <f>Clothing!S70</f>
        <v>2</v>
      </c>
      <c r="K1030" s="290">
        <f t="shared" si="17"/>
        <v>0.37356464144298934</v>
      </c>
    </row>
    <row r="1031" spans="1:11" hidden="1">
      <c r="A1031" s="898" t="s">
        <v>2046</v>
      </c>
      <c r="B1031" s="898">
        <f>Clothing!B71</f>
        <v>2018</v>
      </c>
      <c r="C1031" s="898" t="str">
        <f>Clothing!C71</f>
        <v>PA</v>
      </c>
      <c r="D1031" s="898">
        <f>Clothing!M71</f>
        <v>21.210498605187396</v>
      </c>
      <c r="E1031" s="900" t="s">
        <v>2044</v>
      </c>
      <c r="F1031" s="898">
        <f>Clothing!O71</f>
        <v>1</v>
      </c>
      <c r="G1031" s="898">
        <f>Clothing!P71</f>
        <v>1</v>
      </c>
      <c r="H1031" s="898">
        <f>Clothing!Q71</f>
        <v>2</v>
      </c>
      <c r="I1031" s="898">
        <f>Clothing!R71</f>
        <v>2</v>
      </c>
      <c r="J1031" s="898">
        <f>Clothing!S71</f>
        <v>2</v>
      </c>
      <c r="K1031" s="290">
        <f t="shared" si="17"/>
        <v>0.37356464144298934</v>
      </c>
    </row>
    <row r="1032" spans="1:11" hidden="1">
      <c r="A1032" s="898" t="s">
        <v>2046</v>
      </c>
      <c r="B1032" s="898">
        <f>Clothing!B72</f>
        <v>2018</v>
      </c>
      <c r="C1032" s="898" t="str">
        <f>Clothing!C72</f>
        <v>PET</v>
      </c>
      <c r="D1032" s="898">
        <f>Clothing!M72</f>
        <v>109.96385218029589</v>
      </c>
      <c r="E1032" s="900" t="s">
        <v>2044</v>
      </c>
      <c r="F1032" s="898">
        <f>Clothing!O72</f>
        <v>1</v>
      </c>
      <c r="G1032" s="898">
        <f>Clothing!P72</f>
        <v>1</v>
      </c>
      <c r="H1032" s="898">
        <f>Clothing!Q72</f>
        <v>2</v>
      </c>
      <c r="I1032" s="898">
        <f>Clothing!R72</f>
        <v>2</v>
      </c>
      <c r="J1032" s="898">
        <f>Clothing!S72</f>
        <v>2</v>
      </c>
      <c r="K1032" s="290">
        <f t="shared" si="17"/>
        <v>0.37356464144298934</v>
      </c>
    </row>
    <row r="1033" spans="1:11" hidden="1">
      <c r="A1033" s="898" t="s">
        <v>2046</v>
      </c>
      <c r="B1033" s="898">
        <f>Clothing!B73</f>
        <v>2018</v>
      </c>
      <c r="C1033" s="898" t="str">
        <f>Clothing!C73</f>
        <v>PUR</v>
      </c>
      <c r="D1033" s="898">
        <f>Clothing!M73</f>
        <v>7.1976662214526916</v>
      </c>
      <c r="E1033" s="900" t="s">
        <v>2044</v>
      </c>
      <c r="F1033" s="898">
        <f>Clothing!O73</f>
        <v>1</v>
      </c>
      <c r="G1033" s="898">
        <f>Clothing!P73</f>
        <v>1</v>
      </c>
      <c r="H1033" s="898">
        <f>Clothing!Q73</f>
        <v>2</v>
      </c>
      <c r="I1033" s="898">
        <f>Clothing!R73</f>
        <v>2</v>
      </c>
      <c r="J1033" s="898">
        <f>Clothing!S73</f>
        <v>2</v>
      </c>
      <c r="K1033" s="290">
        <f t="shared" si="17"/>
        <v>0.37356464144298934</v>
      </c>
    </row>
    <row r="1034" spans="1:11" hidden="1">
      <c r="A1034" s="898" t="s">
        <v>2046</v>
      </c>
      <c r="B1034" s="898">
        <f>Clothing!B74</f>
        <v>2018</v>
      </c>
      <c r="C1034" s="898" t="str">
        <f>Clothing!C74</f>
        <v>PVC</v>
      </c>
      <c r="D1034" s="898">
        <f>Clothing!M74</f>
        <v>4.6695417544650306</v>
      </c>
      <c r="E1034" s="900" t="s">
        <v>2044</v>
      </c>
      <c r="F1034" s="898">
        <f>Clothing!O74</f>
        <v>1</v>
      </c>
      <c r="G1034" s="898">
        <f>Clothing!P74</f>
        <v>1</v>
      </c>
      <c r="H1034" s="898">
        <f>Clothing!Q74</f>
        <v>2</v>
      </c>
      <c r="I1034" s="898">
        <f>Clothing!R74</f>
        <v>2</v>
      </c>
      <c r="J1034" s="898">
        <f>Clothing!S74</f>
        <v>2</v>
      </c>
      <c r="K1034" s="290">
        <f t="shared" si="17"/>
        <v>0.37356464144298934</v>
      </c>
    </row>
    <row r="1035" spans="1:11" hidden="1">
      <c r="A1035" s="898" t="s">
        <v>2046</v>
      </c>
      <c r="B1035" s="898">
        <f>Clothing!B75</f>
        <v>2018</v>
      </c>
      <c r="C1035" s="898" t="str">
        <f>Clothing!C75</f>
        <v>RUBBER</v>
      </c>
      <c r="D1035" s="898">
        <f>Clothing!M75</f>
        <v>10.233896236235465</v>
      </c>
      <c r="E1035" s="900" t="s">
        <v>2044</v>
      </c>
      <c r="F1035" s="898">
        <f>Clothing!O75</f>
        <v>1</v>
      </c>
      <c r="G1035" s="898">
        <f>Clothing!P75</f>
        <v>1</v>
      </c>
      <c r="H1035" s="898">
        <f>Clothing!Q75</f>
        <v>2</v>
      </c>
      <c r="I1035" s="898">
        <f>Clothing!R75</f>
        <v>2</v>
      </c>
      <c r="J1035" s="898">
        <f>Clothing!S75</f>
        <v>2</v>
      </c>
      <c r="K1035" s="290">
        <f t="shared" si="17"/>
        <v>0.37356464144298934</v>
      </c>
    </row>
    <row r="1036" spans="1:11" hidden="1">
      <c r="A1036" s="898" t="s">
        <v>2046</v>
      </c>
      <c r="B1036" s="898">
        <f>Clothing!B76</f>
        <v>2019</v>
      </c>
      <c r="C1036" s="898" t="str">
        <f>Clothing!C76</f>
        <v>Acryl</v>
      </c>
      <c r="D1036" s="898">
        <f>Clothing!M76</f>
        <v>8.0538126793746354</v>
      </c>
      <c r="E1036" s="900" t="s">
        <v>2044</v>
      </c>
      <c r="F1036" s="898">
        <f>Clothing!O76</f>
        <v>1</v>
      </c>
      <c r="G1036" s="898">
        <f>Clothing!P76</f>
        <v>1</v>
      </c>
      <c r="H1036" s="898">
        <f>Clothing!Q76</f>
        <v>2</v>
      </c>
      <c r="I1036" s="898">
        <f>Clothing!R76</f>
        <v>2</v>
      </c>
      <c r="J1036" s="898">
        <f>Clothing!S76</f>
        <v>2</v>
      </c>
      <c r="K1036" s="290">
        <f t="shared" si="17"/>
        <v>0.37356464144298934</v>
      </c>
    </row>
    <row r="1037" spans="1:11" hidden="1">
      <c r="A1037" s="898" t="s">
        <v>2046</v>
      </c>
      <c r="B1037" s="898">
        <f>Clothing!B77</f>
        <v>2019</v>
      </c>
      <c r="C1037" s="898" t="str">
        <f>Clothing!C77</f>
        <v>OTHER</v>
      </c>
      <c r="D1037" s="898">
        <f>Clothing!M77</f>
        <v>11.661615903675463</v>
      </c>
      <c r="E1037" s="900" t="s">
        <v>2044</v>
      </c>
      <c r="F1037" s="898">
        <f>Clothing!O77</f>
        <v>1</v>
      </c>
      <c r="G1037" s="898">
        <f>Clothing!P77</f>
        <v>1</v>
      </c>
      <c r="H1037" s="898">
        <f>Clothing!Q77</f>
        <v>2</v>
      </c>
      <c r="I1037" s="898">
        <f>Clothing!R77</f>
        <v>2</v>
      </c>
      <c r="J1037" s="898">
        <f>Clothing!S77</f>
        <v>2</v>
      </c>
      <c r="K1037" s="290">
        <f t="shared" si="17"/>
        <v>0.37356464144298934</v>
      </c>
    </row>
    <row r="1038" spans="1:11" hidden="1">
      <c r="A1038" s="898" t="s">
        <v>2046</v>
      </c>
      <c r="B1038" s="898">
        <f>Clothing!B78</f>
        <v>2019</v>
      </c>
      <c r="C1038" s="898" t="str">
        <f>Clothing!C78</f>
        <v>PA</v>
      </c>
      <c r="D1038" s="898">
        <f>Clothing!M78</f>
        <v>19.193328592208804</v>
      </c>
      <c r="E1038" s="900" t="s">
        <v>2044</v>
      </c>
      <c r="F1038" s="898">
        <f>Clothing!O78</f>
        <v>1</v>
      </c>
      <c r="G1038" s="898">
        <f>Clothing!P78</f>
        <v>1</v>
      </c>
      <c r="H1038" s="898">
        <f>Clothing!Q78</f>
        <v>2</v>
      </c>
      <c r="I1038" s="898">
        <f>Clothing!R78</f>
        <v>2</v>
      </c>
      <c r="J1038" s="898">
        <f>Clothing!S78</f>
        <v>2</v>
      </c>
      <c r="K1038" s="290">
        <f t="shared" si="17"/>
        <v>0.37356464144298934</v>
      </c>
    </row>
    <row r="1039" spans="1:11" hidden="1">
      <c r="A1039" s="898" t="s">
        <v>2046</v>
      </c>
      <c r="B1039" s="898">
        <f>Clothing!B79</f>
        <v>2019</v>
      </c>
      <c r="C1039" s="898" t="str">
        <f>Clothing!C79</f>
        <v>PET</v>
      </c>
      <c r="D1039" s="898">
        <f>Clothing!M79</f>
        <v>100.90308475864207</v>
      </c>
      <c r="E1039" s="900" t="s">
        <v>2044</v>
      </c>
      <c r="F1039" s="898">
        <f>Clothing!O79</f>
        <v>1</v>
      </c>
      <c r="G1039" s="898">
        <f>Clothing!P79</f>
        <v>1</v>
      </c>
      <c r="H1039" s="898">
        <f>Clothing!Q79</f>
        <v>2</v>
      </c>
      <c r="I1039" s="898">
        <f>Clothing!R79</f>
        <v>2</v>
      </c>
      <c r="J1039" s="898">
        <f>Clothing!S79</f>
        <v>2</v>
      </c>
      <c r="K1039" s="290">
        <f t="shared" si="17"/>
        <v>0.37356464144298934</v>
      </c>
    </row>
    <row r="1040" spans="1:11" hidden="1">
      <c r="A1040" s="898" t="s">
        <v>2046</v>
      </c>
      <c r="B1040" s="898">
        <f>Clothing!B80</f>
        <v>2019</v>
      </c>
      <c r="C1040" s="898" t="str">
        <f>Clothing!C80</f>
        <v>PUR</v>
      </c>
      <c r="D1040" s="898">
        <f>Clothing!M80</f>
        <v>7.2072958098741378</v>
      </c>
      <c r="E1040" s="900" t="s">
        <v>2044</v>
      </c>
      <c r="F1040" s="898">
        <f>Clothing!O80</f>
        <v>1</v>
      </c>
      <c r="G1040" s="898">
        <f>Clothing!P80</f>
        <v>1</v>
      </c>
      <c r="H1040" s="898">
        <f>Clothing!Q80</f>
        <v>2</v>
      </c>
      <c r="I1040" s="898">
        <f>Clothing!R80</f>
        <v>2</v>
      </c>
      <c r="J1040" s="898">
        <f>Clothing!S80</f>
        <v>2</v>
      </c>
      <c r="K1040" s="290">
        <f t="shared" si="17"/>
        <v>0.37356464144298934</v>
      </c>
    </row>
    <row r="1041" spans="1:11" hidden="1">
      <c r="A1041" s="898" t="s">
        <v>2046</v>
      </c>
      <c r="B1041" s="898">
        <f>Clothing!B81</f>
        <v>2019</v>
      </c>
      <c r="C1041" s="898" t="str">
        <f>Clothing!C81</f>
        <v>PVC</v>
      </c>
      <c r="D1041" s="898">
        <f>Clothing!M81</f>
        <v>4.6319001054792697</v>
      </c>
      <c r="E1041" s="900" t="s">
        <v>2044</v>
      </c>
      <c r="F1041" s="898">
        <f>Clothing!O81</f>
        <v>1</v>
      </c>
      <c r="G1041" s="898">
        <f>Clothing!P81</f>
        <v>1</v>
      </c>
      <c r="H1041" s="898">
        <f>Clothing!Q81</f>
        <v>2</v>
      </c>
      <c r="I1041" s="898">
        <f>Clothing!R81</f>
        <v>2</v>
      </c>
      <c r="J1041" s="898">
        <f>Clothing!S81</f>
        <v>2</v>
      </c>
      <c r="K1041" s="290">
        <f t="shared" si="17"/>
        <v>0.37356464144298934</v>
      </c>
    </row>
    <row r="1042" spans="1:11" hidden="1">
      <c r="A1042" s="898" t="s">
        <v>2046</v>
      </c>
      <c r="B1042" s="898">
        <f>Clothing!B82</f>
        <v>2019</v>
      </c>
      <c r="C1042" s="898" t="str">
        <f>Clothing!C82</f>
        <v>RUBBER</v>
      </c>
      <c r="D1042" s="898">
        <f>Clothing!M82</f>
        <v>9.4920099339369663</v>
      </c>
      <c r="E1042" s="900" t="s">
        <v>2044</v>
      </c>
      <c r="F1042" s="898">
        <f>Clothing!O82</f>
        <v>1</v>
      </c>
      <c r="G1042" s="898">
        <f>Clothing!P82</f>
        <v>1</v>
      </c>
      <c r="H1042" s="898">
        <f>Clothing!Q82</f>
        <v>2</v>
      </c>
      <c r="I1042" s="898">
        <f>Clothing!R82</f>
        <v>2</v>
      </c>
      <c r="J1042" s="898">
        <f>Clothing!S82</f>
        <v>2</v>
      </c>
      <c r="K1042" s="290">
        <f t="shared" si="17"/>
        <v>0.37356464144298934</v>
      </c>
    </row>
    <row r="1043" spans="1:11" hidden="1">
      <c r="A1043" s="898" t="s">
        <v>2046</v>
      </c>
      <c r="B1043" s="898">
        <f>Clothing!B83</f>
        <v>2020</v>
      </c>
      <c r="C1043" s="898" t="str">
        <f>Clothing!C83</f>
        <v>Acryl</v>
      </c>
      <c r="D1043" s="898">
        <f>Clothing!M83</f>
        <v>3.7521662036318162</v>
      </c>
      <c r="E1043" s="900" t="s">
        <v>2044</v>
      </c>
      <c r="F1043" s="898">
        <f>Clothing!O83</f>
        <v>1</v>
      </c>
      <c r="G1043" s="898">
        <f>Clothing!P83</f>
        <v>1</v>
      </c>
      <c r="H1043" s="898">
        <f>Clothing!Q83</f>
        <v>2</v>
      </c>
      <c r="I1043" s="898">
        <f>Clothing!R83</f>
        <v>2</v>
      </c>
      <c r="J1043" s="898">
        <f>Clothing!S83</f>
        <v>2</v>
      </c>
      <c r="K1043" s="290">
        <f t="shared" si="17"/>
        <v>0.37356464144298934</v>
      </c>
    </row>
    <row r="1044" spans="1:11" hidden="1">
      <c r="A1044" s="898" t="s">
        <v>2046</v>
      </c>
      <c r="B1044" s="898">
        <f>Clothing!B84</f>
        <v>2020</v>
      </c>
      <c r="C1044" s="898" t="str">
        <f>Clothing!C84</f>
        <v>OTHER</v>
      </c>
      <c r="D1044" s="898">
        <f>Clothing!M84</f>
        <v>4.6126415520983945</v>
      </c>
      <c r="E1044" s="900" t="s">
        <v>2044</v>
      </c>
      <c r="F1044" s="898">
        <f>Clothing!O84</f>
        <v>1</v>
      </c>
      <c r="G1044" s="898">
        <f>Clothing!P84</f>
        <v>1</v>
      </c>
      <c r="H1044" s="898">
        <f>Clothing!Q84</f>
        <v>2</v>
      </c>
      <c r="I1044" s="898">
        <f>Clothing!R84</f>
        <v>2</v>
      </c>
      <c r="J1044" s="898">
        <f>Clothing!S84</f>
        <v>2</v>
      </c>
      <c r="K1044" s="290">
        <f t="shared" si="17"/>
        <v>0.37356464144298934</v>
      </c>
    </row>
    <row r="1045" spans="1:11" hidden="1">
      <c r="A1045" s="898" t="s">
        <v>2046</v>
      </c>
      <c r="B1045" s="898">
        <f>Clothing!B85</f>
        <v>2020</v>
      </c>
      <c r="C1045" s="898" t="str">
        <f>Clothing!C85</f>
        <v>PA</v>
      </c>
      <c r="D1045" s="898">
        <f>Clothing!M85</f>
        <v>7.4280881391469924</v>
      </c>
      <c r="E1045" s="900" t="s">
        <v>2044</v>
      </c>
      <c r="F1045" s="898">
        <f>Clothing!O85</f>
        <v>1</v>
      </c>
      <c r="G1045" s="898">
        <f>Clothing!P85</f>
        <v>1</v>
      </c>
      <c r="H1045" s="898">
        <f>Clothing!Q85</f>
        <v>2</v>
      </c>
      <c r="I1045" s="898">
        <f>Clothing!R85</f>
        <v>2</v>
      </c>
      <c r="J1045" s="898">
        <f>Clothing!S85</f>
        <v>2</v>
      </c>
      <c r="K1045" s="290">
        <f t="shared" si="17"/>
        <v>0.37356464144298934</v>
      </c>
    </row>
    <row r="1046" spans="1:11" hidden="1">
      <c r="A1046" s="898" t="s">
        <v>2046</v>
      </c>
      <c r="B1046" s="898">
        <f>Clothing!B86</f>
        <v>2020</v>
      </c>
      <c r="C1046" s="898" t="str">
        <f>Clothing!C86</f>
        <v>PET</v>
      </c>
      <c r="D1046" s="898">
        <f>Clothing!M86</f>
        <v>38.70673923101333</v>
      </c>
      <c r="E1046" s="900" t="s">
        <v>2044</v>
      </c>
      <c r="F1046" s="898">
        <f>Clothing!O86</f>
        <v>1</v>
      </c>
      <c r="G1046" s="898">
        <f>Clothing!P86</f>
        <v>1</v>
      </c>
      <c r="H1046" s="898">
        <f>Clothing!Q86</f>
        <v>2</v>
      </c>
      <c r="I1046" s="898">
        <f>Clothing!R86</f>
        <v>2</v>
      </c>
      <c r="J1046" s="898">
        <f>Clothing!S86</f>
        <v>2</v>
      </c>
      <c r="K1046" s="290">
        <f t="shared" si="17"/>
        <v>0.37356464144298934</v>
      </c>
    </row>
    <row r="1047" spans="1:11" hidden="1">
      <c r="A1047" s="898" t="s">
        <v>2046</v>
      </c>
      <c r="B1047" s="898">
        <f>Clothing!B87</f>
        <v>2020</v>
      </c>
      <c r="C1047" s="898" t="str">
        <f>Clothing!C87</f>
        <v>PUR</v>
      </c>
      <c r="D1047" s="898">
        <f>Clothing!M87</f>
        <v>5.0258956967424755</v>
      </c>
      <c r="E1047" s="900" t="s">
        <v>2044</v>
      </c>
      <c r="F1047" s="898">
        <f>Clothing!O87</f>
        <v>1</v>
      </c>
      <c r="G1047" s="898">
        <f>Clothing!P87</f>
        <v>1</v>
      </c>
      <c r="H1047" s="898">
        <f>Clothing!Q87</f>
        <v>2</v>
      </c>
      <c r="I1047" s="898">
        <f>Clothing!R87</f>
        <v>2</v>
      </c>
      <c r="J1047" s="898">
        <f>Clothing!S87</f>
        <v>2</v>
      </c>
      <c r="K1047" s="290">
        <f t="shared" si="17"/>
        <v>0.37356464144298934</v>
      </c>
    </row>
    <row r="1048" spans="1:11" hidden="1">
      <c r="A1048" s="898" t="s">
        <v>2046</v>
      </c>
      <c r="B1048" s="898">
        <f>Clothing!B88</f>
        <v>2020</v>
      </c>
      <c r="C1048" s="898" t="str">
        <f>Clothing!C88</f>
        <v>PVC</v>
      </c>
      <c r="D1048" s="898">
        <f>Clothing!M88</f>
        <v>3.1547157621483239</v>
      </c>
      <c r="E1048" s="900" t="s">
        <v>2044</v>
      </c>
      <c r="F1048" s="898">
        <f>Clothing!O88</f>
        <v>1</v>
      </c>
      <c r="G1048" s="898">
        <f>Clothing!P88</f>
        <v>1</v>
      </c>
      <c r="H1048" s="898">
        <f>Clothing!Q88</f>
        <v>2</v>
      </c>
      <c r="I1048" s="898">
        <f>Clothing!R88</f>
        <v>2</v>
      </c>
      <c r="J1048" s="898">
        <f>Clothing!S88</f>
        <v>2</v>
      </c>
      <c r="K1048" s="290">
        <f t="shared" si="17"/>
        <v>0.37356464144298934</v>
      </c>
    </row>
    <row r="1049" spans="1:11" hidden="1">
      <c r="A1049" s="898" t="s">
        <v>2046</v>
      </c>
      <c r="B1049" s="898">
        <f>Clothing!B89</f>
        <v>2020</v>
      </c>
      <c r="C1049" s="898" t="str">
        <f>Clothing!C89</f>
        <v>RUBBER</v>
      </c>
      <c r="D1049" s="898">
        <f>Clothing!M89</f>
        <v>5.4691001870599729</v>
      </c>
      <c r="E1049" s="900" t="s">
        <v>2044</v>
      </c>
      <c r="F1049" s="898">
        <f>Clothing!O89</f>
        <v>1</v>
      </c>
      <c r="G1049" s="898">
        <f>Clothing!P89</f>
        <v>1</v>
      </c>
      <c r="H1049" s="898">
        <f>Clothing!Q89</f>
        <v>2</v>
      </c>
      <c r="I1049" s="898">
        <f>Clothing!R89</f>
        <v>2</v>
      </c>
      <c r="J1049" s="898">
        <f>Clothing!S89</f>
        <v>2</v>
      </c>
      <c r="K1049" s="290">
        <f t="shared" si="17"/>
        <v>0.37356464144298934</v>
      </c>
    </row>
    <row r="1050" spans="1:11" hidden="1">
      <c r="A1050" s="898" t="s">
        <v>2046</v>
      </c>
      <c r="B1050" s="898">
        <f>Clothing!B90</f>
        <v>2021</v>
      </c>
      <c r="C1050" s="898" t="str">
        <f>Clothing!C90</f>
        <v>Acryl</v>
      </c>
      <c r="D1050" s="898">
        <f>Clothing!M90</f>
        <v>4.5949979136100714</v>
      </c>
      <c r="E1050" s="900" t="s">
        <v>2044</v>
      </c>
      <c r="F1050" s="898">
        <f>Clothing!O90</f>
        <v>1</v>
      </c>
      <c r="G1050" s="898">
        <f>Clothing!P90</f>
        <v>1</v>
      </c>
      <c r="H1050" s="898">
        <f>Clothing!Q90</f>
        <v>2</v>
      </c>
      <c r="I1050" s="898">
        <f>Clothing!R90</f>
        <v>2</v>
      </c>
      <c r="J1050" s="898">
        <f>Clothing!S90</f>
        <v>2</v>
      </c>
      <c r="K1050" s="290">
        <f t="shared" si="17"/>
        <v>0.37356464144298934</v>
      </c>
    </row>
    <row r="1051" spans="1:11" hidden="1">
      <c r="A1051" s="898" t="s">
        <v>2046</v>
      </c>
      <c r="B1051" s="898">
        <f>Clothing!B91</f>
        <v>2021</v>
      </c>
      <c r="C1051" s="898" t="str">
        <f>Clothing!C91</f>
        <v>OTHER</v>
      </c>
      <c r="D1051" s="898">
        <f>Clothing!M91</f>
        <v>4.5728819799952216</v>
      </c>
      <c r="E1051" s="900" t="s">
        <v>2044</v>
      </c>
      <c r="F1051" s="898">
        <f>Clothing!O91</f>
        <v>1</v>
      </c>
      <c r="G1051" s="898">
        <f>Clothing!P91</f>
        <v>1</v>
      </c>
      <c r="H1051" s="898">
        <f>Clothing!Q91</f>
        <v>2</v>
      </c>
      <c r="I1051" s="898">
        <f>Clothing!R91</f>
        <v>2</v>
      </c>
      <c r="J1051" s="898">
        <f>Clothing!S91</f>
        <v>2</v>
      </c>
      <c r="K1051" s="290">
        <f t="shared" si="17"/>
        <v>0.37356464144298934</v>
      </c>
    </row>
    <row r="1052" spans="1:11" hidden="1">
      <c r="A1052" s="898" t="s">
        <v>2046</v>
      </c>
      <c r="B1052" s="898">
        <f>Clothing!B92</f>
        <v>2021</v>
      </c>
      <c r="C1052" s="898" t="str">
        <f>Clothing!C92</f>
        <v>PA</v>
      </c>
      <c r="D1052" s="898">
        <f>Clothing!M92</f>
        <v>7.5051773782918563</v>
      </c>
      <c r="E1052" s="900" t="s">
        <v>2044</v>
      </c>
      <c r="F1052" s="898">
        <f>Clothing!O92</f>
        <v>1</v>
      </c>
      <c r="G1052" s="898">
        <f>Clothing!P92</f>
        <v>1</v>
      </c>
      <c r="H1052" s="898">
        <f>Clothing!Q92</f>
        <v>2</v>
      </c>
      <c r="I1052" s="898">
        <f>Clothing!R92</f>
        <v>2</v>
      </c>
      <c r="J1052" s="898">
        <f>Clothing!S92</f>
        <v>2</v>
      </c>
      <c r="K1052" s="290">
        <f t="shared" si="17"/>
        <v>0.37356464144298934</v>
      </c>
    </row>
    <row r="1053" spans="1:11" hidden="1">
      <c r="A1053" s="898" t="s">
        <v>2046</v>
      </c>
      <c r="B1053" s="898">
        <f>Clothing!B93</f>
        <v>2021</v>
      </c>
      <c r="C1053" s="898" t="str">
        <f>Clothing!C93</f>
        <v>PET</v>
      </c>
      <c r="D1053" s="898">
        <f>Clothing!M93</f>
        <v>40.813211163475813</v>
      </c>
      <c r="E1053" s="900" t="s">
        <v>2044</v>
      </c>
      <c r="F1053" s="898">
        <f>Clothing!O93</f>
        <v>1</v>
      </c>
      <c r="G1053" s="898">
        <f>Clothing!P93</f>
        <v>1</v>
      </c>
      <c r="H1053" s="898">
        <f>Clothing!Q93</f>
        <v>2</v>
      </c>
      <c r="I1053" s="898">
        <f>Clothing!R93</f>
        <v>2</v>
      </c>
      <c r="J1053" s="898">
        <f>Clothing!S93</f>
        <v>2</v>
      </c>
      <c r="K1053" s="290">
        <f t="shared" si="17"/>
        <v>0.37356464144298934</v>
      </c>
    </row>
    <row r="1054" spans="1:11" hidden="1">
      <c r="A1054" s="898" t="s">
        <v>2046</v>
      </c>
      <c r="B1054" s="898">
        <f>Clothing!B94</f>
        <v>2021</v>
      </c>
      <c r="C1054" s="898" t="str">
        <f>Clothing!C94</f>
        <v>PUR</v>
      </c>
      <c r="D1054" s="898">
        <f>Clothing!M94</f>
        <v>4.8643447710956771</v>
      </c>
      <c r="E1054" s="900" t="s">
        <v>2044</v>
      </c>
      <c r="F1054" s="898">
        <f>Clothing!O94</f>
        <v>1</v>
      </c>
      <c r="G1054" s="898">
        <f>Clothing!P94</f>
        <v>1</v>
      </c>
      <c r="H1054" s="898">
        <f>Clothing!Q94</f>
        <v>2</v>
      </c>
      <c r="I1054" s="898">
        <f>Clothing!R94</f>
        <v>2</v>
      </c>
      <c r="J1054" s="898">
        <f>Clothing!S94</f>
        <v>2</v>
      </c>
      <c r="K1054" s="290">
        <f t="shared" si="17"/>
        <v>0.37356464144298934</v>
      </c>
    </row>
    <row r="1055" spans="1:11" hidden="1">
      <c r="A1055" s="898" t="s">
        <v>2046</v>
      </c>
      <c r="B1055" s="898">
        <f>Clothing!B95</f>
        <v>2021</v>
      </c>
      <c r="C1055" s="898" t="str">
        <f>Clothing!C95</f>
        <v>PVC</v>
      </c>
      <c r="D1055" s="898">
        <f>Clothing!M95</f>
        <v>3.0900292710389059</v>
      </c>
      <c r="E1055" s="900" t="s">
        <v>2044</v>
      </c>
      <c r="F1055" s="898">
        <f>Clothing!O95</f>
        <v>1</v>
      </c>
      <c r="G1055" s="898">
        <f>Clothing!P95</f>
        <v>1</v>
      </c>
      <c r="H1055" s="898">
        <f>Clothing!Q95</f>
        <v>2</v>
      </c>
      <c r="I1055" s="898">
        <f>Clothing!R95</f>
        <v>2</v>
      </c>
      <c r="J1055" s="898">
        <f>Clothing!S95</f>
        <v>2</v>
      </c>
      <c r="K1055" s="290">
        <f t="shared" si="17"/>
        <v>0.37356464144298934</v>
      </c>
    </row>
    <row r="1056" spans="1:11" hidden="1">
      <c r="A1056" s="898" t="s">
        <v>2046</v>
      </c>
      <c r="B1056" s="898">
        <f>Clothing!B96</f>
        <v>2021</v>
      </c>
      <c r="C1056" s="898" t="str">
        <f>Clothing!C96</f>
        <v>RUBBER</v>
      </c>
      <c r="D1056" s="898">
        <f>Clothing!M96</f>
        <v>5.9061444285523779</v>
      </c>
      <c r="E1056" s="900" t="s">
        <v>2044</v>
      </c>
      <c r="F1056" s="898">
        <f>Clothing!O96</f>
        <v>1</v>
      </c>
      <c r="G1056" s="898">
        <f>Clothing!P96</f>
        <v>1</v>
      </c>
      <c r="H1056" s="898">
        <f>Clothing!Q96</f>
        <v>2</v>
      </c>
      <c r="I1056" s="898">
        <f>Clothing!R96</f>
        <v>2</v>
      </c>
      <c r="J1056" s="898">
        <f>Clothing!S96</f>
        <v>2</v>
      </c>
      <c r="K1056" s="290">
        <f t="shared" si="17"/>
        <v>0.37356464144298934</v>
      </c>
    </row>
    <row r="1057" spans="1:11" hidden="1">
      <c r="A1057" s="898" t="s">
        <v>2046</v>
      </c>
      <c r="B1057" s="898">
        <f>Clothing!B97</f>
        <v>2022</v>
      </c>
      <c r="C1057" s="898" t="str">
        <f>Clothing!C97</f>
        <v>Acryl</v>
      </c>
      <c r="D1057" s="898">
        <f>Clothing!M97</f>
        <v>7.9868050362564231</v>
      </c>
      <c r="E1057" s="900" t="s">
        <v>2044</v>
      </c>
      <c r="F1057" s="898">
        <f>Clothing!O97</f>
        <v>1</v>
      </c>
      <c r="G1057" s="898">
        <f>Clothing!P97</f>
        <v>1</v>
      </c>
      <c r="H1057" s="898">
        <f>Clothing!Q97</f>
        <v>2</v>
      </c>
      <c r="I1057" s="898">
        <f>Clothing!R97</f>
        <v>2</v>
      </c>
      <c r="J1057" s="898">
        <f>Clothing!S97</f>
        <v>2</v>
      </c>
      <c r="K1057" s="290">
        <f t="shared" si="17"/>
        <v>0.37356464144298934</v>
      </c>
    </row>
    <row r="1058" spans="1:11" hidden="1">
      <c r="A1058" s="898" t="s">
        <v>2046</v>
      </c>
      <c r="B1058" s="898">
        <f>Clothing!B98</f>
        <v>2022</v>
      </c>
      <c r="C1058" s="898" t="str">
        <f>Clothing!C98</f>
        <v>OTHER</v>
      </c>
      <c r="D1058" s="898">
        <f>Clothing!M98</f>
        <v>10.952124338053503</v>
      </c>
      <c r="E1058" s="900" t="s">
        <v>2044</v>
      </c>
      <c r="F1058" s="898">
        <f>Clothing!O98</f>
        <v>1</v>
      </c>
      <c r="G1058" s="898">
        <f>Clothing!P98</f>
        <v>1</v>
      </c>
      <c r="H1058" s="898">
        <f>Clothing!Q98</f>
        <v>2</v>
      </c>
      <c r="I1058" s="898">
        <f>Clothing!R98</f>
        <v>2</v>
      </c>
      <c r="J1058" s="898">
        <f>Clothing!S98</f>
        <v>2</v>
      </c>
      <c r="K1058" s="290">
        <f t="shared" si="17"/>
        <v>0.37356464144298934</v>
      </c>
    </row>
    <row r="1059" spans="1:11" hidden="1">
      <c r="A1059" s="898" t="s">
        <v>2046</v>
      </c>
      <c r="B1059" s="898">
        <f>Clothing!B99</f>
        <v>2022</v>
      </c>
      <c r="C1059" s="898" t="str">
        <f>Clothing!C99</f>
        <v>PA</v>
      </c>
      <c r="D1059" s="898">
        <f>Clothing!M99</f>
        <v>16.398798523938595</v>
      </c>
      <c r="E1059" s="900" t="s">
        <v>2044</v>
      </c>
      <c r="F1059" s="898">
        <f>Clothing!O99</f>
        <v>1</v>
      </c>
      <c r="G1059" s="898">
        <f>Clothing!P99</f>
        <v>1</v>
      </c>
      <c r="H1059" s="898">
        <f>Clothing!Q99</f>
        <v>2</v>
      </c>
      <c r="I1059" s="898">
        <f>Clothing!R99</f>
        <v>2</v>
      </c>
      <c r="J1059" s="898">
        <f>Clothing!S99</f>
        <v>2</v>
      </c>
      <c r="K1059" s="290">
        <f t="shared" si="17"/>
        <v>0.37356464144298934</v>
      </c>
    </row>
    <row r="1060" spans="1:11" hidden="1">
      <c r="A1060" s="898" t="s">
        <v>2046</v>
      </c>
      <c r="B1060" s="898">
        <f>Clothing!B100</f>
        <v>2022</v>
      </c>
      <c r="C1060" s="898" t="str">
        <f>Clothing!C100</f>
        <v>PET</v>
      </c>
      <c r="D1060" s="898">
        <f>Clothing!M100</f>
        <v>83.171217644977304</v>
      </c>
      <c r="E1060" s="900" t="s">
        <v>2044</v>
      </c>
      <c r="F1060" s="898">
        <f>Clothing!O100</f>
        <v>1</v>
      </c>
      <c r="G1060" s="898">
        <f>Clothing!P100</f>
        <v>1</v>
      </c>
      <c r="H1060" s="898">
        <f>Clothing!Q100</f>
        <v>2</v>
      </c>
      <c r="I1060" s="898">
        <f>Clothing!R100</f>
        <v>2</v>
      </c>
      <c r="J1060" s="898">
        <f>Clothing!S100</f>
        <v>2</v>
      </c>
      <c r="K1060" s="290">
        <f t="shared" si="17"/>
        <v>0.37356464144298934</v>
      </c>
    </row>
    <row r="1061" spans="1:11" hidden="1">
      <c r="A1061" s="898" t="s">
        <v>2046</v>
      </c>
      <c r="B1061" s="898">
        <f>Clothing!B101</f>
        <v>2022</v>
      </c>
      <c r="C1061" s="898" t="str">
        <f>Clothing!C101</f>
        <v>PUR</v>
      </c>
      <c r="D1061" s="898">
        <f>Clothing!M101</f>
        <v>7.4218751215738896</v>
      </c>
      <c r="E1061" s="900" t="s">
        <v>2044</v>
      </c>
      <c r="F1061" s="898">
        <f>Clothing!O101</f>
        <v>1</v>
      </c>
      <c r="G1061" s="898">
        <f>Clothing!P101</f>
        <v>1</v>
      </c>
      <c r="H1061" s="898">
        <f>Clothing!Q101</f>
        <v>2</v>
      </c>
      <c r="I1061" s="898">
        <f>Clothing!R101</f>
        <v>2</v>
      </c>
      <c r="J1061" s="898">
        <f>Clothing!S101</f>
        <v>2</v>
      </c>
      <c r="K1061" s="290">
        <f t="shared" si="17"/>
        <v>0.37356464144298934</v>
      </c>
    </row>
    <row r="1062" spans="1:11" hidden="1">
      <c r="A1062" s="898" t="s">
        <v>2046</v>
      </c>
      <c r="B1062" s="898">
        <f>Clothing!B102</f>
        <v>2022</v>
      </c>
      <c r="C1062" s="898" t="str">
        <f>Clothing!C102</f>
        <v>PVC</v>
      </c>
      <c r="D1062" s="898">
        <f>Clothing!M102</f>
        <v>4.7925539049660166</v>
      </c>
      <c r="E1062" s="900" t="s">
        <v>2044</v>
      </c>
      <c r="F1062" s="898">
        <f>Clothing!O102</f>
        <v>1</v>
      </c>
      <c r="G1062" s="898">
        <f>Clothing!P102</f>
        <v>1</v>
      </c>
      <c r="H1062" s="898">
        <f>Clothing!Q102</f>
        <v>2</v>
      </c>
      <c r="I1062" s="898">
        <f>Clothing!R102</f>
        <v>2</v>
      </c>
      <c r="J1062" s="898">
        <f>Clothing!S102</f>
        <v>2</v>
      </c>
      <c r="K1062" s="290">
        <f t="shared" si="17"/>
        <v>0.37356464144298934</v>
      </c>
    </row>
    <row r="1063" spans="1:11" hidden="1">
      <c r="A1063" s="898" t="s">
        <v>2046</v>
      </c>
      <c r="B1063" s="898">
        <f>Clothing!B103</f>
        <v>2022</v>
      </c>
      <c r="C1063" s="898" t="str">
        <f>Clothing!C103</f>
        <v>RUBBER</v>
      </c>
      <c r="D1063" s="898">
        <f>Clothing!M103</f>
        <v>10.065696958597194</v>
      </c>
      <c r="E1063" s="900" t="s">
        <v>2044</v>
      </c>
      <c r="F1063" s="898">
        <f>Clothing!O103</f>
        <v>1</v>
      </c>
      <c r="G1063" s="898">
        <f>Clothing!P103</f>
        <v>1</v>
      </c>
      <c r="H1063" s="898">
        <f>Clothing!Q103</f>
        <v>2</v>
      </c>
      <c r="I1063" s="898">
        <f>Clothing!R103</f>
        <v>2</v>
      </c>
      <c r="J1063" s="898">
        <f>Clothing!S103</f>
        <v>2</v>
      </c>
      <c r="K1063" s="290">
        <f t="shared" si="17"/>
        <v>0.37356464144298934</v>
      </c>
    </row>
    <row r="1064" spans="1:11" hidden="1">
      <c r="A1064" s="898" t="s">
        <v>2046</v>
      </c>
      <c r="B1064" s="898">
        <f>Clothing!B20</f>
        <v>2011</v>
      </c>
      <c r="C1064" s="898" t="str">
        <f>Clothing!C20</f>
        <v>Acryl</v>
      </c>
      <c r="D1064" s="898">
        <f>Clothing!N20</f>
        <v>9.8965516488838983</v>
      </c>
      <c r="E1064" s="900" t="s">
        <v>2045</v>
      </c>
      <c r="F1064" s="898">
        <f>Clothing!O20</f>
        <v>1</v>
      </c>
      <c r="G1064" s="898">
        <f>Clothing!P20</f>
        <v>1</v>
      </c>
      <c r="H1064" s="898">
        <f>Clothing!Q20</f>
        <v>2</v>
      </c>
      <c r="I1064" s="898">
        <f>Clothing!R20</f>
        <v>2</v>
      </c>
      <c r="J1064" s="898">
        <f>Clothing!S20</f>
        <v>2</v>
      </c>
      <c r="K1064" s="290">
        <f t="shared" si="17"/>
        <v>0.37356464144298934</v>
      </c>
    </row>
    <row r="1065" spans="1:11" hidden="1">
      <c r="A1065" s="898" t="s">
        <v>2046</v>
      </c>
      <c r="B1065" s="898">
        <f>Clothing!B21</f>
        <v>2011</v>
      </c>
      <c r="C1065" s="898" t="str">
        <f>Clothing!C21</f>
        <v>OTHER</v>
      </c>
      <c r="D1065" s="898">
        <f>Clothing!N21</f>
        <v>13.05081222088632</v>
      </c>
      <c r="E1065" s="900" t="s">
        <v>2045</v>
      </c>
      <c r="F1065" s="898">
        <f>Clothing!O21</f>
        <v>1</v>
      </c>
      <c r="G1065" s="898">
        <f>Clothing!P21</f>
        <v>1</v>
      </c>
      <c r="H1065" s="898">
        <f>Clothing!Q21</f>
        <v>2</v>
      </c>
      <c r="I1065" s="898">
        <f>Clothing!R21</f>
        <v>2</v>
      </c>
      <c r="J1065" s="898">
        <f>Clothing!S21</f>
        <v>2</v>
      </c>
      <c r="K1065" s="290">
        <f t="shared" si="17"/>
        <v>0.37356464144298934</v>
      </c>
    </row>
    <row r="1066" spans="1:11" hidden="1">
      <c r="A1066" s="898" t="s">
        <v>2046</v>
      </c>
      <c r="B1066" s="898">
        <f>Clothing!B22</f>
        <v>2011</v>
      </c>
      <c r="C1066" s="898" t="str">
        <f>Clothing!C22</f>
        <v>PA</v>
      </c>
      <c r="D1066" s="898">
        <f>Clothing!N22</f>
        <v>23.227729833248311</v>
      </c>
      <c r="E1066" s="900" t="s">
        <v>2045</v>
      </c>
      <c r="F1066" s="898">
        <f>Clothing!O22</f>
        <v>1</v>
      </c>
      <c r="G1066" s="898">
        <f>Clothing!P22</f>
        <v>1</v>
      </c>
      <c r="H1066" s="898">
        <f>Clothing!Q22</f>
        <v>2</v>
      </c>
      <c r="I1066" s="898">
        <f>Clothing!R22</f>
        <v>2</v>
      </c>
      <c r="J1066" s="898">
        <f>Clothing!S22</f>
        <v>2</v>
      </c>
      <c r="K1066" s="290">
        <f t="shared" si="17"/>
        <v>0.37356464144298934</v>
      </c>
    </row>
    <row r="1067" spans="1:11" hidden="1">
      <c r="A1067" s="898" t="s">
        <v>2046</v>
      </c>
      <c r="B1067" s="898">
        <f>Clothing!B23</f>
        <v>2011</v>
      </c>
      <c r="C1067" s="898" t="str">
        <f>Clothing!C23</f>
        <v>PET</v>
      </c>
      <c r="D1067" s="898">
        <f>Clothing!N23</f>
        <v>106.94195973513385</v>
      </c>
      <c r="E1067" s="900" t="s">
        <v>2045</v>
      </c>
      <c r="F1067" s="898">
        <f>Clothing!O23</f>
        <v>1</v>
      </c>
      <c r="G1067" s="898">
        <f>Clothing!P23</f>
        <v>1</v>
      </c>
      <c r="H1067" s="898">
        <f>Clothing!Q23</f>
        <v>2</v>
      </c>
      <c r="I1067" s="898">
        <f>Clothing!R23</f>
        <v>2</v>
      </c>
      <c r="J1067" s="898">
        <f>Clothing!S23</f>
        <v>2</v>
      </c>
      <c r="K1067" s="290">
        <f t="shared" si="17"/>
        <v>0.37356464144298934</v>
      </c>
    </row>
    <row r="1068" spans="1:11" hidden="1">
      <c r="A1068" s="898" t="s">
        <v>2046</v>
      </c>
      <c r="B1068" s="898">
        <f>Clothing!B24</f>
        <v>2011</v>
      </c>
      <c r="C1068" s="898" t="str">
        <f>Clothing!C24</f>
        <v>PUR</v>
      </c>
      <c r="D1068" s="898">
        <f>Clothing!N24</f>
        <v>7.9565218461871554</v>
      </c>
      <c r="E1068" s="900" t="s">
        <v>2045</v>
      </c>
      <c r="F1068" s="898">
        <f>Clothing!O24</f>
        <v>1</v>
      </c>
      <c r="G1068" s="898">
        <f>Clothing!P24</f>
        <v>1</v>
      </c>
      <c r="H1068" s="898">
        <f>Clothing!Q24</f>
        <v>2</v>
      </c>
      <c r="I1068" s="898">
        <f>Clothing!R24</f>
        <v>2</v>
      </c>
      <c r="J1068" s="898">
        <f>Clothing!S24</f>
        <v>2</v>
      </c>
      <c r="K1068" s="290">
        <f t="shared" si="17"/>
        <v>0.37356464144298934</v>
      </c>
    </row>
    <row r="1069" spans="1:11" hidden="1">
      <c r="A1069" s="898" t="s">
        <v>2046</v>
      </c>
      <c r="B1069" s="898">
        <f>Clothing!B25</f>
        <v>2011</v>
      </c>
      <c r="C1069" s="898" t="str">
        <f>Clothing!C25</f>
        <v>PVC</v>
      </c>
      <c r="D1069" s="898">
        <f>Clothing!N25</f>
        <v>5.1667891466783145</v>
      </c>
      <c r="E1069" s="900" t="s">
        <v>2045</v>
      </c>
      <c r="F1069" s="898">
        <f>Clothing!O25</f>
        <v>1</v>
      </c>
      <c r="G1069" s="898">
        <f>Clothing!P25</f>
        <v>1</v>
      </c>
      <c r="H1069" s="898">
        <f>Clothing!Q25</f>
        <v>2</v>
      </c>
      <c r="I1069" s="898">
        <f>Clothing!R25</f>
        <v>2</v>
      </c>
      <c r="J1069" s="898">
        <f>Clothing!S25</f>
        <v>2</v>
      </c>
      <c r="K1069" s="290">
        <f t="shared" si="17"/>
        <v>0.37356464144298934</v>
      </c>
    </row>
    <row r="1070" spans="1:11" hidden="1">
      <c r="A1070" s="898" t="s">
        <v>2046</v>
      </c>
      <c r="B1070" s="898">
        <f>Clothing!B26</f>
        <v>2011</v>
      </c>
      <c r="C1070" s="898" t="str">
        <f>Clothing!C26</f>
        <v>RUBBER</v>
      </c>
      <c r="D1070" s="898">
        <f>Clothing!N26</f>
        <v>11.533611302562123</v>
      </c>
      <c r="E1070" s="900" t="s">
        <v>2045</v>
      </c>
      <c r="F1070" s="898">
        <f>Clothing!O26</f>
        <v>1</v>
      </c>
      <c r="G1070" s="898">
        <f>Clothing!P26</f>
        <v>1</v>
      </c>
      <c r="H1070" s="898">
        <f>Clothing!Q26</f>
        <v>2</v>
      </c>
      <c r="I1070" s="898">
        <f>Clothing!R26</f>
        <v>2</v>
      </c>
      <c r="J1070" s="898">
        <f>Clothing!S26</f>
        <v>2</v>
      </c>
      <c r="K1070" s="290">
        <f t="shared" si="17"/>
        <v>0.37356464144298934</v>
      </c>
    </row>
    <row r="1071" spans="1:11" hidden="1">
      <c r="A1071" s="898" t="s">
        <v>2046</v>
      </c>
      <c r="B1071" s="898">
        <f>Clothing!B27</f>
        <v>2012</v>
      </c>
      <c r="C1071" s="898" t="str">
        <f>Clothing!C27</f>
        <v>Acryl</v>
      </c>
      <c r="D1071" s="898">
        <f>Clothing!N27</f>
        <v>8.1476729663311716</v>
      </c>
      <c r="E1071" s="900" t="s">
        <v>2045</v>
      </c>
      <c r="F1071" s="898">
        <f>Clothing!O27</f>
        <v>1</v>
      </c>
      <c r="G1071" s="898">
        <f>Clothing!P27</f>
        <v>1</v>
      </c>
      <c r="H1071" s="898">
        <f>Clothing!Q27</f>
        <v>2</v>
      </c>
      <c r="I1071" s="898">
        <f>Clothing!R27</f>
        <v>2</v>
      </c>
      <c r="J1071" s="898">
        <f>Clothing!S27</f>
        <v>2</v>
      </c>
      <c r="K1071" s="290">
        <f t="shared" si="17"/>
        <v>0.37356464144298934</v>
      </c>
    </row>
    <row r="1072" spans="1:11" hidden="1">
      <c r="A1072" s="898" t="s">
        <v>2046</v>
      </c>
      <c r="B1072" s="898">
        <f>Clothing!B28</f>
        <v>2012</v>
      </c>
      <c r="C1072" s="898" t="str">
        <f>Clothing!C28</f>
        <v>OTHER</v>
      </c>
      <c r="D1072" s="898">
        <f>Clothing!N28</f>
        <v>9.7269201873987097</v>
      </c>
      <c r="E1072" s="900" t="s">
        <v>2045</v>
      </c>
      <c r="F1072" s="898">
        <f>Clothing!O28</f>
        <v>1</v>
      </c>
      <c r="G1072" s="898">
        <f>Clothing!P28</f>
        <v>1</v>
      </c>
      <c r="H1072" s="898">
        <f>Clothing!Q28</f>
        <v>2</v>
      </c>
      <c r="I1072" s="898">
        <f>Clothing!R28</f>
        <v>2</v>
      </c>
      <c r="J1072" s="898">
        <f>Clothing!S28</f>
        <v>2</v>
      </c>
      <c r="K1072" s="290">
        <f t="shared" si="17"/>
        <v>0.37356464144298934</v>
      </c>
    </row>
    <row r="1073" spans="1:11" hidden="1">
      <c r="A1073" s="898" t="s">
        <v>2046</v>
      </c>
      <c r="B1073" s="898">
        <f>Clothing!B29</f>
        <v>2012</v>
      </c>
      <c r="C1073" s="898" t="str">
        <f>Clothing!C29</f>
        <v>PA</v>
      </c>
      <c r="D1073" s="898">
        <f>Clothing!N29</f>
        <v>17.402647384146398</v>
      </c>
      <c r="E1073" s="900" t="s">
        <v>2045</v>
      </c>
      <c r="F1073" s="898">
        <f>Clothing!O29</f>
        <v>1</v>
      </c>
      <c r="G1073" s="898">
        <f>Clothing!P29</f>
        <v>1</v>
      </c>
      <c r="H1073" s="898">
        <f>Clothing!Q29</f>
        <v>2</v>
      </c>
      <c r="I1073" s="898">
        <f>Clothing!R29</f>
        <v>2</v>
      </c>
      <c r="J1073" s="898">
        <f>Clothing!S29</f>
        <v>2</v>
      </c>
      <c r="K1073" s="290">
        <f t="shared" si="17"/>
        <v>0.37356464144298934</v>
      </c>
    </row>
    <row r="1074" spans="1:11" hidden="1">
      <c r="A1074" s="898" t="s">
        <v>2046</v>
      </c>
      <c r="B1074" s="898">
        <f>Clothing!B30</f>
        <v>2012</v>
      </c>
      <c r="C1074" s="898" t="str">
        <f>Clothing!C30</f>
        <v>PET</v>
      </c>
      <c r="D1074" s="898">
        <f>Clothing!N30</f>
        <v>99.127834526155681</v>
      </c>
      <c r="E1074" s="900" t="s">
        <v>2045</v>
      </c>
      <c r="F1074" s="898">
        <f>Clothing!O30</f>
        <v>1</v>
      </c>
      <c r="G1074" s="898">
        <f>Clothing!P30</f>
        <v>1</v>
      </c>
      <c r="H1074" s="898">
        <f>Clothing!Q30</f>
        <v>2</v>
      </c>
      <c r="I1074" s="898">
        <f>Clothing!R30</f>
        <v>2</v>
      </c>
      <c r="J1074" s="898">
        <f>Clothing!S30</f>
        <v>2</v>
      </c>
      <c r="K1074" s="290">
        <f t="shared" si="17"/>
        <v>0.37356464144298934</v>
      </c>
    </row>
    <row r="1075" spans="1:11" hidden="1">
      <c r="A1075" s="898" t="s">
        <v>2046</v>
      </c>
      <c r="B1075" s="898">
        <f>Clothing!B31</f>
        <v>2012</v>
      </c>
      <c r="C1075" s="898" t="str">
        <f>Clothing!C31</f>
        <v>PUR</v>
      </c>
      <c r="D1075" s="898">
        <f>Clothing!N31</f>
        <v>6.8095774612853468</v>
      </c>
      <c r="E1075" s="900" t="s">
        <v>2045</v>
      </c>
      <c r="F1075" s="898">
        <f>Clothing!O31</f>
        <v>1</v>
      </c>
      <c r="G1075" s="898">
        <f>Clothing!P31</f>
        <v>1</v>
      </c>
      <c r="H1075" s="898">
        <f>Clothing!Q31</f>
        <v>2</v>
      </c>
      <c r="I1075" s="898">
        <f>Clothing!R31</f>
        <v>2</v>
      </c>
      <c r="J1075" s="898">
        <f>Clothing!S31</f>
        <v>2</v>
      </c>
      <c r="K1075" s="290">
        <f t="shared" si="17"/>
        <v>0.37356464144298934</v>
      </c>
    </row>
    <row r="1076" spans="1:11" hidden="1">
      <c r="A1076" s="898" t="s">
        <v>2046</v>
      </c>
      <c r="B1076" s="898">
        <f>Clothing!B32</f>
        <v>2012</v>
      </c>
      <c r="C1076" s="898" t="str">
        <f>Clothing!C32</f>
        <v>PVC</v>
      </c>
      <c r="D1076" s="898">
        <f>Clothing!N32</f>
        <v>4.3743003729277072</v>
      </c>
      <c r="E1076" s="900" t="s">
        <v>2045</v>
      </c>
      <c r="F1076" s="898">
        <f>Clothing!O32</f>
        <v>1</v>
      </c>
      <c r="G1076" s="898">
        <f>Clothing!P32</f>
        <v>1</v>
      </c>
      <c r="H1076" s="898">
        <f>Clothing!Q32</f>
        <v>2</v>
      </c>
      <c r="I1076" s="898">
        <f>Clothing!R32</f>
        <v>2</v>
      </c>
      <c r="J1076" s="898">
        <f>Clothing!S32</f>
        <v>2</v>
      </c>
      <c r="K1076" s="290">
        <f t="shared" si="17"/>
        <v>0.37356464144298934</v>
      </c>
    </row>
    <row r="1077" spans="1:11" hidden="1">
      <c r="A1077" s="898" t="s">
        <v>2046</v>
      </c>
      <c r="B1077" s="898">
        <f>Clothing!B33</f>
        <v>2012</v>
      </c>
      <c r="C1077" s="898" t="str">
        <f>Clothing!C33</f>
        <v>RUBBER</v>
      </c>
      <c r="D1077" s="898">
        <f>Clothing!N33</f>
        <v>9.2080228398571951</v>
      </c>
      <c r="E1077" s="900" t="s">
        <v>2045</v>
      </c>
      <c r="F1077" s="898">
        <f>Clothing!O33</f>
        <v>1</v>
      </c>
      <c r="G1077" s="898">
        <f>Clothing!P33</f>
        <v>1</v>
      </c>
      <c r="H1077" s="898">
        <f>Clothing!Q33</f>
        <v>2</v>
      </c>
      <c r="I1077" s="898">
        <f>Clothing!R33</f>
        <v>2</v>
      </c>
      <c r="J1077" s="898">
        <f>Clothing!S33</f>
        <v>2</v>
      </c>
      <c r="K1077" s="290">
        <f t="shared" si="17"/>
        <v>0.37356464144298934</v>
      </c>
    </row>
    <row r="1078" spans="1:11" hidden="1">
      <c r="A1078" s="898" t="s">
        <v>2046</v>
      </c>
      <c r="B1078" s="898">
        <f>Clothing!B34</f>
        <v>2013</v>
      </c>
      <c r="C1078" s="898" t="str">
        <f>Clothing!C34</f>
        <v>Acryl</v>
      </c>
      <c r="D1078" s="898">
        <f>Clothing!N34</f>
        <v>8.761113524676075</v>
      </c>
      <c r="E1078" s="900" t="s">
        <v>2045</v>
      </c>
      <c r="F1078" s="898">
        <f>Clothing!O34</f>
        <v>1</v>
      </c>
      <c r="G1078" s="898">
        <f>Clothing!P34</f>
        <v>1</v>
      </c>
      <c r="H1078" s="898">
        <f>Clothing!Q34</f>
        <v>2</v>
      </c>
      <c r="I1078" s="898">
        <f>Clothing!R34</f>
        <v>2</v>
      </c>
      <c r="J1078" s="898">
        <f>Clothing!S34</f>
        <v>2</v>
      </c>
      <c r="K1078" s="290">
        <f t="shared" si="17"/>
        <v>0.37356464144298934</v>
      </c>
    </row>
    <row r="1079" spans="1:11" hidden="1">
      <c r="A1079" s="898" t="s">
        <v>2046</v>
      </c>
      <c r="B1079" s="898">
        <f>Clothing!B35</f>
        <v>2013</v>
      </c>
      <c r="C1079" s="898" t="str">
        <f>Clothing!C35</f>
        <v>OTHER</v>
      </c>
      <c r="D1079" s="898">
        <f>Clothing!N35</f>
        <v>12.329893604159658</v>
      </c>
      <c r="E1079" s="900" t="s">
        <v>2045</v>
      </c>
      <c r="F1079" s="898">
        <f>Clothing!O35</f>
        <v>1</v>
      </c>
      <c r="G1079" s="898">
        <f>Clothing!P35</f>
        <v>1</v>
      </c>
      <c r="H1079" s="898">
        <f>Clothing!Q35</f>
        <v>2</v>
      </c>
      <c r="I1079" s="898">
        <f>Clothing!R35</f>
        <v>2</v>
      </c>
      <c r="J1079" s="898">
        <f>Clothing!S35</f>
        <v>2</v>
      </c>
      <c r="K1079" s="290">
        <f t="shared" si="17"/>
        <v>0.37356464144298934</v>
      </c>
    </row>
    <row r="1080" spans="1:11" hidden="1">
      <c r="A1080" s="898" t="s">
        <v>2046</v>
      </c>
      <c r="B1080" s="898">
        <f>Clothing!B36</f>
        <v>2013</v>
      </c>
      <c r="C1080" s="898" t="str">
        <f>Clothing!C36</f>
        <v>PA</v>
      </c>
      <c r="D1080" s="898">
        <f>Clothing!N36</f>
        <v>19.384356706411964</v>
      </c>
      <c r="E1080" s="900" t="s">
        <v>2045</v>
      </c>
      <c r="F1080" s="898">
        <f>Clothing!O36</f>
        <v>1</v>
      </c>
      <c r="G1080" s="898">
        <f>Clothing!P36</f>
        <v>1</v>
      </c>
      <c r="H1080" s="898">
        <f>Clothing!Q36</f>
        <v>2</v>
      </c>
      <c r="I1080" s="898">
        <f>Clothing!R36</f>
        <v>2</v>
      </c>
      <c r="J1080" s="898">
        <f>Clothing!S36</f>
        <v>2</v>
      </c>
      <c r="K1080" s="290">
        <f t="shared" si="17"/>
        <v>0.37356464144298934</v>
      </c>
    </row>
    <row r="1081" spans="1:11" hidden="1">
      <c r="A1081" s="898" t="s">
        <v>2046</v>
      </c>
      <c r="B1081" s="898">
        <f>Clothing!B37</f>
        <v>2013</v>
      </c>
      <c r="C1081" s="898" t="str">
        <f>Clothing!C37</f>
        <v>PET</v>
      </c>
      <c r="D1081" s="898">
        <f>Clothing!N37</f>
        <v>111.21471538543213</v>
      </c>
      <c r="E1081" s="900" t="s">
        <v>2045</v>
      </c>
      <c r="F1081" s="898">
        <f>Clothing!O37</f>
        <v>1</v>
      </c>
      <c r="G1081" s="898">
        <f>Clothing!P37</f>
        <v>1</v>
      </c>
      <c r="H1081" s="898">
        <f>Clothing!Q37</f>
        <v>2</v>
      </c>
      <c r="I1081" s="898">
        <f>Clothing!R37</f>
        <v>2</v>
      </c>
      <c r="J1081" s="898">
        <f>Clothing!S37</f>
        <v>2</v>
      </c>
      <c r="K1081" s="290">
        <f t="shared" si="17"/>
        <v>0.37356464144298934</v>
      </c>
    </row>
    <row r="1082" spans="1:11" hidden="1">
      <c r="A1082" s="898" t="s">
        <v>2046</v>
      </c>
      <c r="B1082" s="898">
        <f>Clothing!B38</f>
        <v>2013</v>
      </c>
      <c r="C1082" s="898" t="str">
        <f>Clothing!C38</f>
        <v>PUR</v>
      </c>
      <c r="D1082" s="898">
        <f>Clothing!N38</f>
        <v>7.0895369846923915</v>
      </c>
      <c r="E1082" s="900" t="s">
        <v>2045</v>
      </c>
      <c r="F1082" s="898">
        <f>Clothing!O38</f>
        <v>1</v>
      </c>
      <c r="G1082" s="898">
        <f>Clothing!P38</f>
        <v>1</v>
      </c>
      <c r="H1082" s="898">
        <f>Clothing!Q38</f>
        <v>2</v>
      </c>
      <c r="I1082" s="898">
        <f>Clothing!R38</f>
        <v>2</v>
      </c>
      <c r="J1082" s="898">
        <f>Clothing!S38</f>
        <v>2</v>
      </c>
      <c r="K1082" s="290">
        <f t="shared" si="17"/>
        <v>0.37356464144298934</v>
      </c>
    </row>
    <row r="1083" spans="1:11" hidden="1">
      <c r="A1083" s="898" t="s">
        <v>2046</v>
      </c>
      <c r="B1083" s="898">
        <f>Clothing!B39</f>
        <v>2013</v>
      </c>
      <c r="C1083" s="898" t="str">
        <f>Clothing!C39</f>
        <v>PVC</v>
      </c>
      <c r="D1083" s="898">
        <f>Clothing!N39</f>
        <v>4.6291331513967426</v>
      </c>
      <c r="E1083" s="900" t="s">
        <v>2045</v>
      </c>
      <c r="F1083" s="898">
        <f>Clothing!O39</f>
        <v>1</v>
      </c>
      <c r="G1083" s="898">
        <f>Clothing!P39</f>
        <v>1</v>
      </c>
      <c r="H1083" s="898">
        <f>Clothing!Q39</f>
        <v>2</v>
      </c>
      <c r="I1083" s="898">
        <f>Clothing!R39</f>
        <v>2</v>
      </c>
      <c r="J1083" s="898">
        <f>Clothing!S39</f>
        <v>2</v>
      </c>
      <c r="K1083" s="290">
        <f t="shared" si="17"/>
        <v>0.37356464144298934</v>
      </c>
    </row>
    <row r="1084" spans="1:11" hidden="1">
      <c r="A1084" s="898" t="s">
        <v>2046</v>
      </c>
      <c r="B1084" s="898">
        <f>Clothing!B40</f>
        <v>2013</v>
      </c>
      <c r="C1084" s="898" t="str">
        <f>Clothing!C40</f>
        <v>RUBBER</v>
      </c>
      <c r="D1084" s="898">
        <f>Clothing!N40</f>
        <v>10.725039103629854</v>
      </c>
      <c r="E1084" s="900" t="s">
        <v>2045</v>
      </c>
      <c r="F1084" s="898">
        <f>Clothing!O40</f>
        <v>1</v>
      </c>
      <c r="G1084" s="898">
        <f>Clothing!P40</f>
        <v>1</v>
      </c>
      <c r="H1084" s="898">
        <f>Clothing!Q40</f>
        <v>2</v>
      </c>
      <c r="I1084" s="898">
        <f>Clothing!R40</f>
        <v>2</v>
      </c>
      <c r="J1084" s="898">
        <f>Clothing!S40</f>
        <v>2</v>
      </c>
      <c r="K1084" s="290">
        <f t="shared" si="17"/>
        <v>0.37356464144298934</v>
      </c>
    </row>
    <row r="1085" spans="1:11" hidden="1">
      <c r="A1085" s="898" t="s">
        <v>2046</v>
      </c>
      <c r="B1085" s="898">
        <f>Clothing!B41</f>
        <v>2014</v>
      </c>
      <c r="C1085" s="898" t="str">
        <f>Clothing!C41</f>
        <v>Acryl</v>
      </c>
      <c r="D1085" s="898">
        <f>Clothing!N41</f>
        <v>9.8126064336888064</v>
      </c>
      <c r="E1085" s="900" t="s">
        <v>2045</v>
      </c>
      <c r="F1085" s="898">
        <f>Clothing!O41</f>
        <v>1</v>
      </c>
      <c r="G1085" s="898">
        <f>Clothing!P41</f>
        <v>1</v>
      </c>
      <c r="H1085" s="898">
        <f>Clothing!Q41</f>
        <v>2</v>
      </c>
      <c r="I1085" s="898">
        <f>Clothing!R41</f>
        <v>2</v>
      </c>
      <c r="J1085" s="898">
        <f>Clothing!S41</f>
        <v>2</v>
      </c>
      <c r="K1085" s="290">
        <f t="shared" ref="K1085:K1147" si="18">IF( OR( ISBLANK(F1085),ISBLANK(G1085), ISBLANK(H1085), ISBLANK(I1085), ISBLANK(J1085) ), "", 1.5*SQRT(   EXP(2.21*(F1085-1)) + EXP(2.21*(G1085-1)) + EXP(2.21*(H1085-1)) + EXP(2.21*(I1085-1)) + EXP(2.21*J1085)   )/100*2.45 )</f>
        <v>0.37356464144298934</v>
      </c>
    </row>
    <row r="1086" spans="1:11" hidden="1">
      <c r="A1086" s="898" t="s">
        <v>2046</v>
      </c>
      <c r="B1086" s="898">
        <f>Clothing!B42</f>
        <v>2014</v>
      </c>
      <c r="C1086" s="898" t="str">
        <f>Clothing!C42</f>
        <v>OTHER</v>
      </c>
      <c r="D1086" s="898">
        <f>Clothing!N42</f>
        <v>15.085554359846308</v>
      </c>
      <c r="E1086" s="900" t="s">
        <v>2045</v>
      </c>
      <c r="F1086" s="898">
        <f>Clothing!O42</f>
        <v>1</v>
      </c>
      <c r="G1086" s="898">
        <f>Clothing!P42</f>
        <v>1</v>
      </c>
      <c r="H1086" s="898">
        <f>Clothing!Q42</f>
        <v>2</v>
      </c>
      <c r="I1086" s="898">
        <f>Clothing!R42</f>
        <v>2</v>
      </c>
      <c r="J1086" s="898">
        <f>Clothing!S42</f>
        <v>2</v>
      </c>
      <c r="K1086" s="290">
        <f t="shared" si="18"/>
        <v>0.37356464144298934</v>
      </c>
    </row>
    <row r="1087" spans="1:11" hidden="1">
      <c r="A1087" s="898" t="s">
        <v>2046</v>
      </c>
      <c r="B1087" s="898">
        <f>Clothing!B43</f>
        <v>2014</v>
      </c>
      <c r="C1087" s="898" t="str">
        <f>Clothing!C43</f>
        <v>PA</v>
      </c>
      <c r="D1087" s="898">
        <f>Clothing!N43</f>
        <v>22.81621791563709</v>
      </c>
      <c r="E1087" s="900" t="s">
        <v>2045</v>
      </c>
      <c r="F1087" s="898">
        <f>Clothing!O43</f>
        <v>1</v>
      </c>
      <c r="G1087" s="898">
        <f>Clothing!P43</f>
        <v>1</v>
      </c>
      <c r="H1087" s="898">
        <f>Clothing!Q43</f>
        <v>2</v>
      </c>
      <c r="I1087" s="898">
        <f>Clothing!R43</f>
        <v>2</v>
      </c>
      <c r="J1087" s="898">
        <f>Clothing!S43</f>
        <v>2</v>
      </c>
      <c r="K1087" s="290">
        <f t="shared" si="18"/>
        <v>0.37356464144298934</v>
      </c>
    </row>
    <row r="1088" spans="1:11" hidden="1">
      <c r="A1088" s="898" t="s">
        <v>2046</v>
      </c>
      <c r="B1088" s="898">
        <f>Clothing!B44</f>
        <v>2014</v>
      </c>
      <c r="C1088" s="898" t="str">
        <f>Clothing!C44</f>
        <v>PET</v>
      </c>
      <c r="D1088" s="898">
        <f>Clothing!N44</f>
        <v>128.46345274188153</v>
      </c>
      <c r="E1088" s="900" t="s">
        <v>2045</v>
      </c>
      <c r="F1088" s="898">
        <f>Clothing!O44</f>
        <v>1</v>
      </c>
      <c r="G1088" s="898">
        <f>Clothing!P44</f>
        <v>1</v>
      </c>
      <c r="H1088" s="898">
        <f>Clothing!Q44</f>
        <v>2</v>
      </c>
      <c r="I1088" s="898">
        <f>Clothing!R44</f>
        <v>2</v>
      </c>
      <c r="J1088" s="898">
        <f>Clothing!S44</f>
        <v>2</v>
      </c>
      <c r="K1088" s="290">
        <f t="shared" si="18"/>
        <v>0.37356464144298934</v>
      </c>
    </row>
    <row r="1089" spans="1:11" hidden="1">
      <c r="A1089" s="898" t="s">
        <v>2046</v>
      </c>
      <c r="B1089" s="898">
        <f>Clothing!B45</f>
        <v>2014</v>
      </c>
      <c r="C1089" s="898" t="str">
        <f>Clothing!C45</f>
        <v>PUR</v>
      </c>
      <c r="D1089" s="898">
        <f>Clothing!N45</f>
        <v>8.3861076610496728</v>
      </c>
      <c r="E1089" s="900" t="s">
        <v>2045</v>
      </c>
      <c r="F1089" s="898">
        <f>Clothing!O45</f>
        <v>1</v>
      </c>
      <c r="G1089" s="898">
        <f>Clothing!P45</f>
        <v>1</v>
      </c>
      <c r="H1089" s="898">
        <f>Clothing!Q45</f>
        <v>2</v>
      </c>
      <c r="I1089" s="898">
        <f>Clothing!R45</f>
        <v>2</v>
      </c>
      <c r="J1089" s="898">
        <f>Clothing!S45</f>
        <v>2</v>
      </c>
      <c r="K1089" s="290">
        <f t="shared" si="18"/>
        <v>0.37356464144298934</v>
      </c>
    </row>
    <row r="1090" spans="1:11" hidden="1">
      <c r="A1090" s="898" t="s">
        <v>2046</v>
      </c>
      <c r="B1090" s="898">
        <f>Clothing!B46</f>
        <v>2014</v>
      </c>
      <c r="C1090" s="898" t="str">
        <f>Clothing!C46</f>
        <v>PVC</v>
      </c>
      <c r="D1090" s="898">
        <f>Clothing!N46</f>
        <v>5.4715991955965473</v>
      </c>
      <c r="E1090" s="900" t="s">
        <v>2045</v>
      </c>
      <c r="F1090" s="898">
        <f>Clothing!O46</f>
        <v>1</v>
      </c>
      <c r="G1090" s="898">
        <f>Clothing!P46</f>
        <v>1</v>
      </c>
      <c r="H1090" s="898">
        <f>Clothing!Q46</f>
        <v>2</v>
      </c>
      <c r="I1090" s="898">
        <f>Clothing!R46</f>
        <v>2</v>
      </c>
      <c r="J1090" s="898">
        <f>Clothing!S46</f>
        <v>2</v>
      </c>
      <c r="K1090" s="290">
        <f t="shared" si="18"/>
        <v>0.37356464144298934</v>
      </c>
    </row>
    <row r="1091" spans="1:11" hidden="1">
      <c r="A1091" s="898" t="s">
        <v>2046</v>
      </c>
      <c r="B1091" s="898">
        <f>Clothing!B47</f>
        <v>2014</v>
      </c>
      <c r="C1091" s="898" t="str">
        <f>Clothing!C47</f>
        <v>RUBBER</v>
      </c>
      <c r="D1091" s="898">
        <f>Clothing!N47</f>
        <v>12.456162839956432</v>
      </c>
      <c r="E1091" s="900" t="s">
        <v>2045</v>
      </c>
      <c r="F1091" s="898">
        <f>Clothing!O47</f>
        <v>1</v>
      </c>
      <c r="G1091" s="898">
        <f>Clothing!P47</f>
        <v>1</v>
      </c>
      <c r="H1091" s="898">
        <f>Clothing!Q47</f>
        <v>2</v>
      </c>
      <c r="I1091" s="898">
        <f>Clothing!R47</f>
        <v>2</v>
      </c>
      <c r="J1091" s="898">
        <f>Clothing!S47</f>
        <v>2</v>
      </c>
      <c r="K1091" s="290">
        <f t="shared" si="18"/>
        <v>0.37356464144298934</v>
      </c>
    </row>
    <row r="1092" spans="1:11" hidden="1">
      <c r="A1092" s="898" t="s">
        <v>2046</v>
      </c>
      <c r="B1092" s="898">
        <f>Clothing!B48</f>
        <v>2015</v>
      </c>
      <c r="C1092" s="898" t="str">
        <f>Clothing!C48</f>
        <v>Acryl</v>
      </c>
      <c r="D1092" s="898">
        <f>Clothing!N48</f>
        <v>9.9594930380243358</v>
      </c>
      <c r="E1092" s="900" t="s">
        <v>2045</v>
      </c>
      <c r="F1092" s="898">
        <f>Clothing!O48</f>
        <v>1</v>
      </c>
      <c r="G1092" s="898">
        <f>Clothing!P48</f>
        <v>1</v>
      </c>
      <c r="H1092" s="898">
        <f>Clothing!Q48</f>
        <v>2</v>
      </c>
      <c r="I1092" s="898">
        <f>Clothing!R48</f>
        <v>2</v>
      </c>
      <c r="J1092" s="898">
        <f>Clothing!S48</f>
        <v>2</v>
      </c>
      <c r="K1092" s="290">
        <f t="shared" si="18"/>
        <v>0.37356464144298934</v>
      </c>
    </row>
    <row r="1093" spans="1:11" hidden="1">
      <c r="A1093" s="898" t="s">
        <v>2046</v>
      </c>
      <c r="B1093" s="898">
        <f>Clothing!B49</f>
        <v>2015</v>
      </c>
      <c r="C1093" s="898" t="str">
        <f>Clothing!C49</f>
        <v>OTHER</v>
      </c>
      <c r="D1093" s="898">
        <f>Clothing!N49</f>
        <v>14.608882135567603</v>
      </c>
      <c r="E1093" s="900" t="s">
        <v>2045</v>
      </c>
      <c r="F1093" s="898">
        <f>Clothing!O49</f>
        <v>1</v>
      </c>
      <c r="G1093" s="898">
        <f>Clothing!P49</f>
        <v>1</v>
      </c>
      <c r="H1093" s="898">
        <f>Clothing!Q49</f>
        <v>2</v>
      </c>
      <c r="I1093" s="898">
        <f>Clothing!R49</f>
        <v>2</v>
      </c>
      <c r="J1093" s="898">
        <f>Clothing!S49</f>
        <v>2</v>
      </c>
      <c r="K1093" s="290">
        <f t="shared" si="18"/>
        <v>0.37356464144298934</v>
      </c>
    </row>
    <row r="1094" spans="1:11" hidden="1">
      <c r="A1094" s="898" t="s">
        <v>2046</v>
      </c>
      <c r="B1094" s="898">
        <f>Clothing!B50</f>
        <v>2015</v>
      </c>
      <c r="C1094" s="898" t="str">
        <f>Clothing!C50</f>
        <v>PA</v>
      </c>
      <c r="D1094" s="898">
        <f>Clothing!N50</f>
        <v>22.00755333197678</v>
      </c>
      <c r="E1094" s="900" t="s">
        <v>2045</v>
      </c>
      <c r="F1094" s="898">
        <f>Clothing!O50</f>
        <v>1</v>
      </c>
      <c r="G1094" s="898">
        <f>Clothing!P50</f>
        <v>1</v>
      </c>
      <c r="H1094" s="898">
        <f>Clothing!Q50</f>
        <v>2</v>
      </c>
      <c r="I1094" s="898">
        <f>Clothing!R50</f>
        <v>2</v>
      </c>
      <c r="J1094" s="898">
        <f>Clothing!S50</f>
        <v>2</v>
      </c>
      <c r="K1094" s="290">
        <f t="shared" si="18"/>
        <v>0.37356464144298934</v>
      </c>
    </row>
    <row r="1095" spans="1:11" hidden="1">
      <c r="A1095" s="898" t="s">
        <v>2046</v>
      </c>
      <c r="B1095" s="898">
        <f>Clothing!B51</f>
        <v>2015</v>
      </c>
      <c r="C1095" s="898" t="str">
        <f>Clothing!C51</f>
        <v>PET</v>
      </c>
      <c r="D1095" s="898">
        <f>Clothing!N51</f>
        <v>125.74401380705586</v>
      </c>
      <c r="E1095" s="900" t="s">
        <v>2045</v>
      </c>
      <c r="F1095" s="898">
        <f>Clothing!O51</f>
        <v>1</v>
      </c>
      <c r="G1095" s="898">
        <f>Clothing!P51</f>
        <v>1</v>
      </c>
      <c r="H1095" s="898">
        <f>Clothing!Q51</f>
        <v>2</v>
      </c>
      <c r="I1095" s="898">
        <f>Clothing!R51</f>
        <v>2</v>
      </c>
      <c r="J1095" s="898">
        <f>Clothing!S51</f>
        <v>2</v>
      </c>
      <c r="K1095" s="290">
        <f t="shared" si="18"/>
        <v>0.37356464144298934</v>
      </c>
    </row>
    <row r="1096" spans="1:11" hidden="1">
      <c r="A1096" s="898" t="s">
        <v>2046</v>
      </c>
      <c r="B1096" s="898">
        <f>Clothing!B52</f>
        <v>2015</v>
      </c>
      <c r="C1096" s="898" t="str">
        <f>Clothing!C52</f>
        <v>PUR</v>
      </c>
      <c r="D1096" s="898">
        <f>Clothing!N52</f>
        <v>9.0707222100724998</v>
      </c>
      <c r="E1096" s="900" t="s">
        <v>2045</v>
      </c>
      <c r="F1096" s="898">
        <f>Clothing!O52</f>
        <v>1</v>
      </c>
      <c r="G1096" s="898">
        <f>Clothing!P52</f>
        <v>1</v>
      </c>
      <c r="H1096" s="898">
        <f>Clothing!Q52</f>
        <v>2</v>
      </c>
      <c r="I1096" s="898">
        <f>Clothing!R52</f>
        <v>2</v>
      </c>
      <c r="J1096" s="898">
        <f>Clothing!S52</f>
        <v>2</v>
      </c>
      <c r="K1096" s="290">
        <f t="shared" si="18"/>
        <v>0.37356464144298934</v>
      </c>
    </row>
    <row r="1097" spans="1:11" hidden="1">
      <c r="A1097" s="898" t="s">
        <v>2046</v>
      </c>
      <c r="B1097" s="898">
        <f>Clothing!B53</f>
        <v>2015</v>
      </c>
      <c r="C1097" s="898" t="str">
        <f>Clothing!C53</f>
        <v>PVC</v>
      </c>
      <c r="D1097" s="898">
        <f>Clothing!N53</f>
        <v>5.9137025473147764</v>
      </c>
      <c r="E1097" s="900" t="s">
        <v>2045</v>
      </c>
      <c r="F1097" s="898">
        <f>Clothing!O53</f>
        <v>1</v>
      </c>
      <c r="G1097" s="898">
        <f>Clothing!P53</f>
        <v>1</v>
      </c>
      <c r="H1097" s="898">
        <f>Clothing!Q53</f>
        <v>2</v>
      </c>
      <c r="I1097" s="898">
        <f>Clothing!R53</f>
        <v>2</v>
      </c>
      <c r="J1097" s="898">
        <f>Clothing!S53</f>
        <v>2</v>
      </c>
      <c r="K1097" s="290">
        <f t="shared" si="18"/>
        <v>0.37356464144298934</v>
      </c>
    </row>
    <row r="1098" spans="1:11" hidden="1">
      <c r="A1098" s="898" t="s">
        <v>2046</v>
      </c>
      <c r="B1098" s="898">
        <f>Clothing!B54</f>
        <v>2015</v>
      </c>
      <c r="C1098" s="898" t="str">
        <f>Clothing!C54</f>
        <v>RUBBER</v>
      </c>
      <c r="D1098" s="898">
        <f>Clothing!N54</f>
        <v>13.609060360870322</v>
      </c>
      <c r="E1098" s="900" t="s">
        <v>2045</v>
      </c>
      <c r="F1098" s="898">
        <f>Clothing!O54</f>
        <v>1</v>
      </c>
      <c r="G1098" s="898">
        <f>Clothing!P54</f>
        <v>1</v>
      </c>
      <c r="H1098" s="898">
        <f>Clothing!Q54</f>
        <v>2</v>
      </c>
      <c r="I1098" s="898">
        <f>Clothing!R54</f>
        <v>2</v>
      </c>
      <c r="J1098" s="898">
        <f>Clothing!S54</f>
        <v>2</v>
      </c>
      <c r="K1098" s="290">
        <f t="shared" si="18"/>
        <v>0.37356464144298934</v>
      </c>
    </row>
    <row r="1099" spans="1:11" hidden="1">
      <c r="A1099" s="898" t="s">
        <v>2046</v>
      </c>
      <c r="B1099" s="898">
        <f>Clothing!B55</f>
        <v>2016</v>
      </c>
      <c r="C1099" s="898" t="str">
        <f>Clothing!C55</f>
        <v>Acryl</v>
      </c>
      <c r="D1099" s="898">
        <f>Clothing!N55</f>
        <v>10.278185455452132</v>
      </c>
      <c r="E1099" s="900" t="s">
        <v>2045</v>
      </c>
      <c r="F1099" s="898">
        <f>Clothing!O55</f>
        <v>1</v>
      </c>
      <c r="G1099" s="898">
        <f>Clothing!P55</f>
        <v>1</v>
      </c>
      <c r="H1099" s="898">
        <f>Clothing!Q55</f>
        <v>2</v>
      </c>
      <c r="I1099" s="898">
        <f>Clothing!R55</f>
        <v>2</v>
      </c>
      <c r="J1099" s="898">
        <f>Clothing!S55</f>
        <v>2</v>
      </c>
      <c r="K1099" s="290">
        <f t="shared" si="18"/>
        <v>0.37356464144298934</v>
      </c>
    </row>
    <row r="1100" spans="1:11" hidden="1">
      <c r="A1100" s="898" t="s">
        <v>2046</v>
      </c>
      <c r="B1100" s="898">
        <f>Clothing!B56</f>
        <v>2016</v>
      </c>
      <c r="C1100" s="898" t="str">
        <f>Clothing!C56</f>
        <v>OTHER</v>
      </c>
      <c r="D1100" s="898">
        <f>Clothing!N56</f>
        <v>15.260463694114653</v>
      </c>
      <c r="E1100" s="900" t="s">
        <v>2045</v>
      </c>
      <c r="F1100" s="898">
        <f>Clothing!O56</f>
        <v>1</v>
      </c>
      <c r="G1100" s="898">
        <f>Clothing!P56</f>
        <v>1</v>
      </c>
      <c r="H1100" s="898">
        <f>Clothing!Q56</f>
        <v>2</v>
      </c>
      <c r="I1100" s="898">
        <f>Clothing!R56</f>
        <v>2</v>
      </c>
      <c r="J1100" s="898">
        <f>Clothing!S56</f>
        <v>2</v>
      </c>
      <c r="K1100" s="290">
        <f t="shared" si="18"/>
        <v>0.37356464144298934</v>
      </c>
    </row>
    <row r="1101" spans="1:11" hidden="1">
      <c r="A1101" s="898" t="s">
        <v>2046</v>
      </c>
      <c r="B1101" s="898">
        <f>Clothing!B57</f>
        <v>2016</v>
      </c>
      <c r="C1101" s="898" t="str">
        <f>Clothing!C57</f>
        <v>PA</v>
      </c>
      <c r="D1101" s="898">
        <f>Clothing!N57</f>
        <v>24.258386216416564</v>
      </c>
      <c r="E1101" s="900" t="s">
        <v>2045</v>
      </c>
      <c r="F1101" s="898">
        <f>Clothing!O57</f>
        <v>1</v>
      </c>
      <c r="G1101" s="898">
        <f>Clothing!P57</f>
        <v>1</v>
      </c>
      <c r="H1101" s="898">
        <f>Clothing!Q57</f>
        <v>2</v>
      </c>
      <c r="I1101" s="898">
        <f>Clothing!R57</f>
        <v>2</v>
      </c>
      <c r="J1101" s="898">
        <f>Clothing!S57</f>
        <v>2</v>
      </c>
      <c r="K1101" s="290">
        <f t="shared" si="18"/>
        <v>0.37356464144298934</v>
      </c>
    </row>
    <row r="1102" spans="1:11" hidden="1">
      <c r="A1102" s="898" t="s">
        <v>2046</v>
      </c>
      <c r="B1102" s="898">
        <f>Clothing!B58</f>
        <v>2016</v>
      </c>
      <c r="C1102" s="898" t="str">
        <f>Clothing!C58</f>
        <v>PET</v>
      </c>
      <c r="D1102" s="898">
        <f>Clothing!N58</f>
        <v>134.645088111729</v>
      </c>
      <c r="E1102" s="900" t="s">
        <v>2045</v>
      </c>
      <c r="F1102" s="898">
        <f>Clothing!O58</f>
        <v>1</v>
      </c>
      <c r="G1102" s="898">
        <f>Clothing!P58</f>
        <v>1</v>
      </c>
      <c r="H1102" s="898">
        <f>Clothing!Q58</f>
        <v>2</v>
      </c>
      <c r="I1102" s="898">
        <f>Clothing!R58</f>
        <v>2</v>
      </c>
      <c r="J1102" s="898">
        <f>Clothing!S58</f>
        <v>2</v>
      </c>
      <c r="K1102" s="290">
        <f t="shared" si="18"/>
        <v>0.37356464144298934</v>
      </c>
    </row>
    <row r="1103" spans="1:11" hidden="1">
      <c r="A1103" s="898" t="s">
        <v>2046</v>
      </c>
      <c r="B1103" s="898">
        <f>Clothing!B59</f>
        <v>2016</v>
      </c>
      <c r="C1103" s="898" t="str">
        <f>Clothing!C59</f>
        <v>PUR</v>
      </c>
      <c r="D1103" s="898">
        <f>Clothing!N59</f>
        <v>9.2078962326703522</v>
      </c>
      <c r="E1103" s="900" t="s">
        <v>2045</v>
      </c>
      <c r="F1103" s="898">
        <f>Clothing!O59</f>
        <v>1</v>
      </c>
      <c r="G1103" s="898">
        <f>Clothing!P59</f>
        <v>1</v>
      </c>
      <c r="H1103" s="898">
        <f>Clothing!Q59</f>
        <v>2</v>
      </c>
      <c r="I1103" s="898">
        <f>Clothing!R59</f>
        <v>2</v>
      </c>
      <c r="J1103" s="898">
        <f>Clothing!S59</f>
        <v>2</v>
      </c>
      <c r="K1103" s="290">
        <f t="shared" si="18"/>
        <v>0.37356464144298934</v>
      </c>
    </row>
    <row r="1104" spans="1:11" hidden="1">
      <c r="A1104" s="898" t="s">
        <v>2046</v>
      </c>
      <c r="B1104" s="898">
        <f>Clothing!B60</f>
        <v>2016</v>
      </c>
      <c r="C1104" s="898" t="str">
        <f>Clothing!C60</f>
        <v>PVC</v>
      </c>
      <c r="D1104" s="898">
        <f>Clothing!N60</f>
        <v>5.9473171371973335</v>
      </c>
      <c r="E1104" s="900" t="s">
        <v>2045</v>
      </c>
      <c r="F1104" s="898">
        <f>Clothing!O60</f>
        <v>1</v>
      </c>
      <c r="G1104" s="898">
        <f>Clothing!P60</f>
        <v>1</v>
      </c>
      <c r="H1104" s="898">
        <f>Clothing!Q60</f>
        <v>2</v>
      </c>
      <c r="I1104" s="898">
        <f>Clothing!R60</f>
        <v>2</v>
      </c>
      <c r="J1104" s="898">
        <f>Clothing!S60</f>
        <v>2</v>
      </c>
      <c r="K1104" s="290">
        <f t="shared" si="18"/>
        <v>0.37356464144298934</v>
      </c>
    </row>
    <row r="1105" spans="1:11" hidden="1">
      <c r="A1105" s="898" t="s">
        <v>2046</v>
      </c>
      <c r="B1105" s="898">
        <f>Clothing!B61</f>
        <v>2016</v>
      </c>
      <c r="C1105" s="898" t="str">
        <f>Clothing!C61</f>
        <v>RUBBER</v>
      </c>
      <c r="D1105" s="898">
        <f>Clothing!N61</f>
        <v>12.740182776153928</v>
      </c>
      <c r="E1105" s="900" t="s">
        <v>2045</v>
      </c>
      <c r="F1105" s="898">
        <f>Clothing!O61</f>
        <v>1</v>
      </c>
      <c r="G1105" s="898">
        <f>Clothing!P61</f>
        <v>1</v>
      </c>
      <c r="H1105" s="898">
        <f>Clothing!Q61</f>
        <v>2</v>
      </c>
      <c r="I1105" s="898">
        <f>Clothing!R61</f>
        <v>2</v>
      </c>
      <c r="J1105" s="898">
        <f>Clothing!S61</f>
        <v>2</v>
      </c>
      <c r="K1105" s="290">
        <f t="shared" si="18"/>
        <v>0.37356464144298934</v>
      </c>
    </row>
    <row r="1106" spans="1:11" hidden="1">
      <c r="A1106" s="898" t="s">
        <v>2046</v>
      </c>
      <c r="B1106" s="898">
        <f>Clothing!B62</f>
        <v>2017</v>
      </c>
      <c r="C1106" s="898" t="str">
        <f>Clothing!C62</f>
        <v>Acryl</v>
      </c>
      <c r="D1106" s="898">
        <f>Clothing!N62</f>
        <v>10.323422585803186</v>
      </c>
      <c r="E1106" s="900" t="s">
        <v>2045</v>
      </c>
      <c r="F1106" s="898">
        <f>Clothing!O62</f>
        <v>1</v>
      </c>
      <c r="G1106" s="898">
        <f>Clothing!P62</f>
        <v>1</v>
      </c>
      <c r="H1106" s="898">
        <f>Clothing!Q62</f>
        <v>2</v>
      </c>
      <c r="I1106" s="898">
        <f>Clothing!R62</f>
        <v>2</v>
      </c>
      <c r="J1106" s="898">
        <f>Clothing!S62</f>
        <v>2</v>
      </c>
      <c r="K1106" s="290">
        <f t="shared" si="18"/>
        <v>0.37356464144298934</v>
      </c>
    </row>
    <row r="1107" spans="1:11" hidden="1">
      <c r="A1107" s="898" t="s">
        <v>2046</v>
      </c>
      <c r="B1107" s="898">
        <f>Clothing!B63</f>
        <v>2017</v>
      </c>
      <c r="C1107" s="898" t="str">
        <f>Clothing!C63</f>
        <v>OTHER</v>
      </c>
      <c r="D1107" s="898">
        <f>Clothing!N63</f>
        <v>13.871168629697996</v>
      </c>
      <c r="E1107" s="900" t="s">
        <v>2045</v>
      </c>
      <c r="F1107" s="898">
        <f>Clothing!O63</f>
        <v>1</v>
      </c>
      <c r="G1107" s="898">
        <f>Clothing!P63</f>
        <v>1</v>
      </c>
      <c r="H1107" s="898">
        <f>Clothing!Q63</f>
        <v>2</v>
      </c>
      <c r="I1107" s="898">
        <f>Clothing!R63</f>
        <v>2</v>
      </c>
      <c r="J1107" s="898">
        <f>Clothing!S63</f>
        <v>2</v>
      </c>
      <c r="K1107" s="290">
        <f t="shared" si="18"/>
        <v>0.37356464144298934</v>
      </c>
    </row>
    <row r="1108" spans="1:11" hidden="1">
      <c r="A1108" s="898" t="s">
        <v>2046</v>
      </c>
      <c r="B1108" s="898">
        <f>Clothing!B64</f>
        <v>2017</v>
      </c>
      <c r="C1108" s="898" t="str">
        <f>Clothing!C64</f>
        <v>PA</v>
      </c>
      <c r="D1108" s="898">
        <f>Clothing!N64</f>
        <v>22.336326762150705</v>
      </c>
      <c r="E1108" s="900" t="s">
        <v>2045</v>
      </c>
      <c r="F1108" s="898">
        <f>Clothing!O64</f>
        <v>1</v>
      </c>
      <c r="G1108" s="898">
        <f>Clothing!P64</f>
        <v>1</v>
      </c>
      <c r="H1108" s="898">
        <f>Clothing!Q64</f>
        <v>2</v>
      </c>
      <c r="I1108" s="898">
        <f>Clothing!R64</f>
        <v>2</v>
      </c>
      <c r="J1108" s="898">
        <f>Clothing!S64</f>
        <v>2</v>
      </c>
      <c r="K1108" s="290">
        <f t="shared" si="18"/>
        <v>0.37356464144298934</v>
      </c>
    </row>
    <row r="1109" spans="1:11" hidden="1">
      <c r="A1109" s="898" t="s">
        <v>2046</v>
      </c>
      <c r="B1109" s="898">
        <f>Clothing!B65</f>
        <v>2017</v>
      </c>
      <c r="C1109" s="898" t="str">
        <f>Clothing!C65</f>
        <v>PET</v>
      </c>
      <c r="D1109" s="898">
        <f>Clothing!N65</f>
        <v>116.97512498641785</v>
      </c>
      <c r="E1109" s="900" t="s">
        <v>2045</v>
      </c>
      <c r="F1109" s="898">
        <f>Clothing!O65</f>
        <v>1</v>
      </c>
      <c r="G1109" s="898">
        <f>Clothing!P65</f>
        <v>1</v>
      </c>
      <c r="H1109" s="898">
        <f>Clothing!Q65</f>
        <v>2</v>
      </c>
      <c r="I1109" s="898">
        <f>Clothing!R65</f>
        <v>2</v>
      </c>
      <c r="J1109" s="898">
        <f>Clothing!S65</f>
        <v>2</v>
      </c>
      <c r="K1109" s="290">
        <f t="shared" si="18"/>
        <v>0.37356464144298934</v>
      </c>
    </row>
    <row r="1110" spans="1:11" hidden="1">
      <c r="A1110" s="898" t="s">
        <v>2046</v>
      </c>
      <c r="B1110" s="898">
        <f>Clothing!B66</f>
        <v>2017</v>
      </c>
      <c r="C1110" s="898" t="str">
        <f>Clothing!C66</f>
        <v>PUR</v>
      </c>
      <c r="D1110" s="898">
        <f>Clothing!N66</f>
        <v>7.8169608440130975</v>
      </c>
      <c r="E1110" s="900" t="s">
        <v>2045</v>
      </c>
      <c r="F1110" s="898">
        <f>Clothing!O66</f>
        <v>1</v>
      </c>
      <c r="G1110" s="898">
        <f>Clothing!P66</f>
        <v>1</v>
      </c>
      <c r="H1110" s="898">
        <f>Clothing!Q66</f>
        <v>2</v>
      </c>
      <c r="I1110" s="898">
        <f>Clothing!R66</f>
        <v>2</v>
      </c>
      <c r="J1110" s="898">
        <f>Clothing!S66</f>
        <v>2</v>
      </c>
      <c r="K1110" s="290">
        <f t="shared" si="18"/>
        <v>0.37356464144298934</v>
      </c>
    </row>
    <row r="1111" spans="1:11" hidden="1">
      <c r="A1111" s="898" t="s">
        <v>2046</v>
      </c>
      <c r="B1111" s="898">
        <f>Clothing!B67</f>
        <v>2017</v>
      </c>
      <c r="C1111" s="898" t="str">
        <f>Clothing!C67</f>
        <v>PVC</v>
      </c>
      <c r="D1111" s="898">
        <f>Clothing!N67</f>
        <v>5.0775134562559971</v>
      </c>
      <c r="E1111" s="900" t="s">
        <v>2045</v>
      </c>
      <c r="F1111" s="898">
        <f>Clothing!O67</f>
        <v>1</v>
      </c>
      <c r="G1111" s="898">
        <f>Clothing!P67</f>
        <v>1</v>
      </c>
      <c r="H1111" s="898">
        <f>Clothing!Q67</f>
        <v>2</v>
      </c>
      <c r="I1111" s="898">
        <f>Clothing!R67</f>
        <v>2</v>
      </c>
      <c r="J1111" s="898">
        <f>Clothing!S67</f>
        <v>2</v>
      </c>
      <c r="K1111" s="290">
        <f t="shared" si="18"/>
        <v>0.37356464144298934</v>
      </c>
    </row>
    <row r="1112" spans="1:11" hidden="1">
      <c r="A1112" s="898" t="s">
        <v>2046</v>
      </c>
      <c r="B1112" s="898">
        <f>Clothing!B68</f>
        <v>2017</v>
      </c>
      <c r="C1112" s="898" t="str">
        <f>Clothing!C68</f>
        <v>RUBBER</v>
      </c>
      <c r="D1112" s="898">
        <f>Clothing!N68</f>
        <v>11.238965454142619</v>
      </c>
      <c r="E1112" s="900" t="s">
        <v>2045</v>
      </c>
      <c r="F1112" s="898">
        <f>Clothing!O68</f>
        <v>1</v>
      </c>
      <c r="G1112" s="898">
        <f>Clothing!P68</f>
        <v>1</v>
      </c>
      <c r="H1112" s="898">
        <f>Clothing!Q68</f>
        <v>2</v>
      </c>
      <c r="I1112" s="898">
        <f>Clothing!R68</f>
        <v>2</v>
      </c>
      <c r="J1112" s="898">
        <f>Clothing!S68</f>
        <v>2</v>
      </c>
      <c r="K1112" s="290">
        <f t="shared" si="18"/>
        <v>0.37356464144298934</v>
      </c>
    </row>
    <row r="1113" spans="1:11" hidden="1">
      <c r="A1113" s="898" t="s">
        <v>2046</v>
      </c>
      <c r="B1113" s="898">
        <f>Clothing!B69</f>
        <v>2018</v>
      </c>
      <c r="C1113" s="898" t="str">
        <f>Clothing!C69</f>
        <v>Acryl</v>
      </c>
      <c r="D1113" s="898">
        <f>Clothing!N69</f>
        <v>11.214752307651958</v>
      </c>
      <c r="E1113" s="900" t="s">
        <v>2045</v>
      </c>
      <c r="F1113" s="898">
        <f>Clothing!O69</f>
        <v>1</v>
      </c>
      <c r="G1113" s="898">
        <f>Clothing!P69</f>
        <v>1</v>
      </c>
      <c r="H1113" s="898">
        <f>Clothing!Q69</f>
        <v>2</v>
      </c>
      <c r="I1113" s="898">
        <f>Clothing!R69</f>
        <v>2</v>
      </c>
      <c r="J1113" s="898">
        <f>Clothing!S69</f>
        <v>2</v>
      </c>
      <c r="K1113" s="290">
        <f t="shared" si="18"/>
        <v>0.37356464144298934</v>
      </c>
    </row>
    <row r="1114" spans="1:11" hidden="1">
      <c r="A1114" s="898" t="s">
        <v>2046</v>
      </c>
      <c r="B1114" s="898">
        <f>Clothing!B70</f>
        <v>2018</v>
      </c>
      <c r="C1114" s="898" t="str">
        <f>Clothing!C70</f>
        <v>OTHER</v>
      </c>
      <c r="D1114" s="898">
        <f>Clothing!N70</f>
        <v>15.612043416139811</v>
      </c>
      <c r="E1114" s="900" t="s">
        <v>2045</v>
      </c>
      <c r="F1114" s="898">
        <f>Clothing!O70</f>
        <v>1</v>
      </c>
      <c r="G1114" s="898">
        <f>Clothing!P70</f>
        <v>1</v>
      </c>
      <c r="H1114" s="898">
        <f>Clothing!Q70</f>
        <v>2</v>
      </c>
      <c r="I1114" s="898">
        <f>Clothing!R70</f>
        <v>2</v>
      </c>
      <c r="J1114" s="898">
        <f>Clothing!S70</f>
        <v>2</v>
      </c>
      <c r="K1114" s="290">
        <f t="shared" si="18"/>
        <v>0.37356464144298934</v>
      </c>
    </row>
    <row r="1115" spans="1:11" hidden="1">
      <c r="A1115" s="898" t="s">
        <v>2046</v>
      </c>
      <c r="B1115" s="898">
        <f>Clothing!B71</f>
        <v>2018</v>
      </c>
      <c r="C1115" s="898" t="str">
        <f>Clothing!C71</f>
        <v>PA</v>
      </c>
      <c r="D1115" s="898">
        <f>Clothing!N71</f>
        <v>25.923942739673485</v>
      </c>
      <c r="E1115" s="900" t="s">
        <v>2045</v>
      </c>
      <c r="F1115" s="898">
        <f>Clothing!O71</f>
        <v>1</v>
      </c>
      <c r="G1115" s="898">
        <f>Clothing!P71</f>
        <v>1</v>
      </c>
      <c r="H1115" s="898">
        <f>Clothing!Q71</f>
        <v>2</v>
      </c>
      <c r="I1115" s="898">
        <f>Clothing!R71</f>
        <v>2</v>
      </c>
      <c r="J1115" s="898">
        <f>Clothing!S71</f>
        <v>2</v>
      </c>
      <c r="K1115" s="290">
        <f t="shared" si="18"/>
        <v>0.37356464144298934</v>
      </c>
    </row>
    <row r="1116" spans="1:11" hidden="1">
      <c r="A1116" s="898" t="s">
        <v>2046</v>
      </c>
      <c r="B1116" s="898">
        <f>Clothing!B72</f>
        <v>2018</v>
      </c>
      <c r="C1116" s="898" t="str">
        <f>Clothing!C72</f>
        <v>PET</v>
      </c>
      <c r="D1116" s="898">
        <f>Clothing!N72</f>
        <v>134.40026377591721</v>
      </c>
      <c r="E1116" s="900" t="s">
        <v>2045</v>
      </c>
      <c r="F1116" s="898">
        <f>Clothing!O72</f>
        <v>1</v>
      </c>
      <c r="G1116" s="898">
        <f>Clothing!P72</f>
        <v>1</v>
      </c>
      <c r="H1116" s="898">
        <f>Clothing!Q72</f>
        <v>2</v>
      </c>
      <c r="I1116" s="898">
        <f>Clothing!R72</f>
        <v>2</v>
      </c>
      <c r="J1116" s="898">
        <f>Clothing!S72</f>
        <v>2</v>
      </c>
      <c r="K1116" s="290">
        <f t="shared" si="18"/>
        <v>0.37356464144298934</v>
      </c>
    </row>
    <row r="1117" spans="1:11" hidden="1">
      <c r="A1117" s="898" t="s">
        <v>2046</v>
      </c>
      <c r="B1117" s="898">
        <f>Clothing!B73</f>
        <v>2018</v>
      </c>
      <c r="C1117" s="898" t="str">
        <f>Clothing!C73</f>
        <v>PUR</v>
      </c>
      <c r="D1117" s="898">
        <f>Clothing!N73</f>
        <v>8.7971476039977343</v>
      </c>
      <c r="E1117" s="900" t="s">
        <v>2045</v>
      </c>
      <c r="F1117" s="898">
        <f>Clothing!O73</f>
        <v>1</v>
      </c>
      <c r="G1117" s="898">
        <f>Clothing!P73</f>
        <v>1</v>
      </c>
      <c r="H1117" s="898">
        <f>Clothing!Q73</f>
        <v>2</v>
      </c>
      <c r="I1117" s="898">
        <f>Clothing!R73</f>
        <v>2</v>
      </c>
      <c r="J1117" s="898">
        <f>Clothing!S73</f>
        <v>2</v>
      </c>
      <c r="K1117" s="290">
        <f t="shared" si="18"/>
        <v>0.37356464144298934</v>
      </c>
    </row>
    <row r="1118" spans="1:11" hidden="1">
      <c r="A1118" s="898" t="s">
        <v>2046</v>
      </c>
      <c r="B1118" s="898">
        <f>Clothing!B74</f>
        <v>2018</v>
      </c>
      <c r="C1118" s="898" t="str">
        <f>Clothing!C74</f>
        <v>PVC</v>
      </c>
      <c r="D1118" s="898">
        <f>Clothing!N74</f>
        <v>5.7072176999017046</v>
      </c>
      <c r="E1118" s="900" t="s">
        <v>2045</v>
      </c>
      <c r="F1118" s="898">
        <f>Clothing!O74</f>
        <v>1</v>
      </c>
      <c r="G1118" s="898">
        <f>Clothing!P74</f>
        <v>1</v>
      </c>
      <c r="H1118" s="898">
        <f>Clothing!Q74</f>
        <v>2</v>
      </c>
      <c r="I1118" s="898">
        <f>Clothing!R74</f>
        <v>2</v>
      </c>
      <c r="J1118" s="898">
        <f>Clothing!S74</f>
        <v>2</v>
      </c>
      <c r="K1118" s="290">
        <f t="shared" si="18"/>
        <v>0.37356464144298934</v>
      </c>
    </row>
    <row r="1119" spans="1:11" hidden="1">
      <c r="A1119" s="898" t="s">
        <v>2046</v>
      </c>
      <c r="B1119" s="898">
        <f>Clothing!B75</f>
        <v>2018</v>
      </c>
      <c r="C1119" s="898" t="str">
        <f>Clothing!C75</f>
        <v>RUBBER</v>
      </c>
      <c r="D1119" s="898">
        <f>Clothing!N75</f>
        <v>12.508095399843345</v>
      </c>
      <c r="E1119" s="900" t="s">
        <v>2045</v>
      </c>
      <c r="F1119" s="898">
        <f>Clothing!O75</f>
        <v>1</v>
      </c>
      <c r="G1119" s="898">
        <f>Clothing!P75</f>
        <v>1</v>
      </c>
      <c r="H1119" s="898">
        <f>Clothing!Q75</f>
        <v>2</v>
      </c>
      <c r="I1119" s="898">
        <f>Clothing!R75</f>
        <v>2</v>
      </c>
      <c r="J1119" s="898">
        <f>Clothing!S75</f>
        <v>2</v>
      </c>
      <c r="K1119" s="290">
        <f t="shared" si="18"/>
        <v>0.37356464144298934</v>
      </c>
    </row>
    <row r="1120" spans="1:11" hidden="1">
      <c r="A1120" s="898" t="s">
        <v>2046</v>
      </c>
      <c r="B1120" s="898">
        <f>Clothing!B76</f>
        <v>2019</v>
      </c>
      <c r="C1120" s="898" t="str">
        <f>Clothing!C76</f>
        <v>Acryl</v>
      </c>
      <c r="D1120" s="898">
        <f>Clothing!N76</f>
        <v>9.8435488303467764</v>
      </c>
      <c r="E1120" s="900" t="s">
        <v>2045</v>
      </c>
      <c r="F1120" s="898">
        <f>Clothing!O76</f>
        <v>1</v>
      </c>
      <c r="G1120" s="898">
        <f>Clothing!P76</f>
        <v>1</v>
      </c>
      <c r="H1120" s="898">
        <f>Clothing!Q76</f>
        <v>2</v>
      </c>
      <c r="I1120" s="898">
        <f>Clothing!R76</f>
        <v>2</v>
      </c>
      <c r="J1120" s="898">
        <f>Clothing!S76</f>
        <v>2</v>
      </c>
      <c r="K1120" s="290">
        <f t="shared" si="18"/>
        <v>0.37356464144298934</v>
      </c>
    </row>
    <row r="1121" spans="1:11" hidden="1">
      <c r="A1121" s="898" t="s">
        <v>2046</v>
      </c>
      <c r="B1121" s="898">
        <f>Clothing!B77</f>
        <v>2019</v>
      </c>
      <c r="C1121" s="898" t="str">
        <f>Clothing!C77</f>
        <v>OTHER</v>
      </c>
      <c r="D1121" s="898">
        <f>Clothing!N77</f>
        <v>14.253086104492233</v>
      </c>
      <c r="E1121" s="900" t="s">
        <v>2045</v>
      </c>
      <c r="F1121" s="898">
        <f>Clothing!O77</f>
        <v>1</v>
      </c>
      <c r="G1121" s="898">
        <f>Clothing!P77</f>
        <v>1</v>
      </c>
      <c r="H1121" s="898">
        <f>Clothing!Q77</f>
        <v>2</v>
      </c>
      <c r="I1121" s="898">
        <f>Clothing!R77</f>
        <v>2</v>
      </c>
      <c r="J1121" s="898">
        <f>Clothing!S77</f>
        <v>2</v>
      </c>
      <c r="K1121" s="290">
        <f t="shared" si="18"/>
        <v>0.37356464144298934</v>
      </c>
    </row>
    <row r="1122" spans="1:11" hidden="1">
      <c r="A1122" s="898" t="s">
        <v>2046</v>
      </c>
      <c r="B1122" s="898">
        <f>Clothing!B78</f>
        <v>2019</v>
      </c>
      <c r="C1122" s="898" t="str">
        <f>Clothing!C78</f>
        <v>PA</v>
      </c>
      <c r="D1122" s="898">
        <f>Clothing!N78</f>
        <v>23.458512723810763</v>
      </c>
      <c r="E1122" s="900" t="s">
        <v>2045</v>
      </c>
      <c r="F1122" s="898">
        <f>Clothing!O78</f>
        <v>1</v>
      </c>
      <c r="G1122" s="898">
        <f>Clothing!P78</f>
        <v>1</v>
      </c>
      <c r="H1122" s="898">
        <f>Clothing!Q78</f>
        <v>2</v>
      </c>
      <c r="I1122" s="898">
        <f>Clothing!R78</f>
        <v>2</v>
      </c>
      <c r="J1122" s="898">
        <f>Clothing!S78</f>
        <v>2</v>
      </c>
      <c r="K1122" s="290">
        <f t="shared" si="18"/>
        <v>0.37356464144298934</v>
      </c>
    </row>
    <row r="1123" spans="1:11" hidden="1">
      <c r="A1123" s="898" t="s">
        <v>2046</v>
      </c>
      <c r="B1123" s="898">
        <f>Clothing!B79</f>
        <v>2019</v>
      </c>
      <c r="C1123" s="898" t="str">
        <f>Clothing!C79</f>
        <v>PET</v>
      </c>
      <c r="D1123" s="898">
        <f>Clothing!N79</f>
        <v>123.32599248278476</v>
      </c>
      <c r="E1123" s="900" t="s">
        <v>2045</v>
      </c>
      <c r="F1123" s="898">
        <f>Clothing!O79</f>
        <v>1</v>
      </c>
      <c r="G1123" s="898">
        <f>Clothing!P79</f>
        <v>1</v>
      </c>
      <c r="H1123" s="898">
        <f>Clothing!Q79</f>
        <v>2</v>
      </c>
      <c r="I1123" s="898">
        <f>Clothing!R79</f>
        <v>2</v>
      </c>
      <c r="J1123" s="898">
        <f>Clothing!S79</f>
        <v>2</v>
      </c>
      <c r="K1123" s="290">
        <f t="shared" si="18"/>
        <v>0.37356464144298934</v>
      </c>
    </row>
    <row r="1124" spans="1:11" hidden="1">
      <c r="A1124" s="898" t="s">
        <v>2046</v>
      </c>
      <c r="B1124" s="898">
        <f>Clothing!B80</f>
        <v>2019</v>
      </c>
      <c r="C1124" s="898" t="str">
        <f>Clothing!C80</f>
        <v>PUR</v>
      </c>
      <c r="D1124" s="898">
        <f>Clothing!N80</f>
        <v>8.8089171009572809</v>
      </c>
      <c r="E1124" s="900" t="s">
        <v>2045</v>
      </c>
      <c r="F1124" s="898">
        <f>Clothing!O80</f>
        <v>1</v>
      </c>
      <c r="G1124" s="898">
        <f>Clothing!P80</f>
        <v>1</v>
      </c>
      <c r="H1124" s="898">
        <f>Clothing!Q80</f>
        <v>2</v>
      </c>
      <c r="I1124" s="898">
        <f>Clothing!R80</f>
        <v>2</v>
      </c>
      <c r="J1124" s="898">
        <f>Clothing!S80</f>
        <v>2</v>
      </c>
      <c r="K1124" s="290">
        <f t="shared" si="18"/>
        <v>0.37356464144298934</v>
      </c>
    </row>
    <row r="1125" spans="1:11" hidden="1">
      <c r="A1125" s="898" t="s">
        <v>2046</v>
      </c>
      <c r="B1125" s="898">
        <f>Clothing!B81</f>
        <v>2019</v>
      </c>
      <c r="C1125" s="898" t="str">
        <f>Clothing!C81</f>
        <v>PVC</v>
      </c>
      <c r="D1125" s="898">
        <f>Clothing!N81</f>
        <v>5.6612112400302186</v>
      </c>
      <c r="E1125" s="900" t="s">
        <v>2045</v>
      </c>
      <c r="F1125" s="898">
        <f>Clothing!O81</f>
        <v>1</v>
      </c>
      <c r="G1125" s="898">
        <f>Clothing!P81</f>
        <v>1</v>
      </c>
      <c r="H1125" s="898">
        <f>Clothing!Q81</f>
        <v>2</v>
      </c>
      <c r="I1125" s="898">
        <f>Clothing!R81</f>
        <v>2</v>
      </c>
      <c r="J1125" s="898">
        <f>Clothing!S81</f>
        <v>2</v>
      </c>
      <c r="K1125" s="290">
        <f t="shared" si="18"/>
        <v>0.37356464144298934</v>
      </c>
    </row>
    <row r="1126" spans="1:11" hidden="1">
      <c r="A1126" s="898" t="s">
        <v>2046</v>
      </c>
      <c r="B1126" s="898">
        <f>Clothing!B82</f>
        <v>2019</v>
      </c>
      <c r="C1126" s="898" t="str">
        <f>Clothing!C82</f>
        <v>RUBBER</v>
      </c>
      <c r="D1126" s="898">
        <f>Clothing!N82</f>
        <v>11.601345474811849</v>
      </c>
      <c r="E1126" s="900" t="s">
        <v>2045</v>
      </c>
      <c r="F1126" s="898">
        <f>Clothing!O82</f>
        <v>1</v>
      </c>
      <c r="G1126" s="898">
        <f>Clothing!P82</f>
        <v>1</v>
      </c>
      <c r="H1126" s="898">
        <f>Clothing!Q82</f>
        <v>2</v>
      </c>
      <c r="I1126" s="898">
        <f>Clothing!R82</f>
        <v>2</v>
      </c>
      <c r="J1126" s="898">
        <f>Clothing!S82</f>
        <v>2</v>
      </c>
      <c r="K1126" s="290">
        <f t="shared" si="18"/>
        <v>0.37356464144298934</v>
      </c>
    </row>
    <row r="1127" spans="1:11" hidden="1">
      <c r="A1127" s="898" t="s">
        <v>2046</v>
      </c>
      <c r="B1127" s="898">
        <f>Clothing!B83</f>
        <v>2020</v>
      </c>
      <c r="C1127" s="898" t="str">
        <f>Clothing!C83</f>
        <v>Acryl</v>
      </c>
      <c r="D1127" s="898">
        <f>Clothing!N83</f>
        <v>4.5859809155499978</v>
      </c>
      <c r="E1127" s="900" t="s">
        <v>2045</v>
      </c>
      <c r="F1127" s="898">
        <f>Clothing!O83</f>
        <v>1</v>
      </c>
      <c r="G1127" s="898">
        <f>Clothing!P83</f>
        <v>1</v>
      </c>
      <c r="H1127" s="898">
        <f>Clothing!Q83</f>
        <v>2</v>
      </c>
      <c r="I1127" s="898">
        <f>Clothing!R83</f>
        <v>2</v>
      </c>
      <c r="J1127" s="898">
        <f>Clothing!S83</f>
        <v>2</v>
      </c>
      <c r="K1127" s="290">
        <f t="shared" si="18"/>
        <v>0.37356464144298934</v>
      </c>
    </row>
    <row r="1128" spans="1:11" hidden="1">
      <c r="A1128" s="898" t="s">
        <v>2046</v>
      </c>
      <c r="B1128" s="898">
        <f>Clothing!B84</f>
        <v>2020</v>
      </c>
      <c r="C1128" s="898" t="str">
        <f>Clothing!C84</f>
        <v>OTHER</v>
      </c>
      <c r="D1128" s="898">
        <f>Clothing!N84</f>
        <v>5.6376730081202604</v>
      </c>
      <c r="E1128" s="900" t="s">
        <v>2045</v>
      </c>
      <c r="F1128" s="898">
        <f>Clothing!O84</f>
        <v>1</v>
      </c>
      <c r="G1128" s="898">
        <f>Clothing!P84</f>
        <v>1</v>
      </c>
      <c r="H1128" s="898">
        <f>Clothing!Q84</f>
        <v>2</v>
      </c>
      <c r="I1128" s="898">
        <f>Clothing!R84</f>
        <v>2</v>
      </c>
      <c r="J1128" s="898">
        <f>Clothing!S84</f>
        <v>2</v>
      </c>
      <c r="K1128" s="290">
        <f t="shared" si="18"/>
        <v>0.37356464144298934</v>
      </c>
    </row>
    <row r="1129" spans="1:11" hidden="1">
      <c r="A1129" s="898" t="s">
        <v>2046</v>
      </c>
      <c r="B1129" s="898">
        <f>Clothing!B85</f>
        <v>2020</v>
      </c>
      <c r="C1129" s="898" t="str">
        <f>Clothing!C85</f>
        <v>PA</v>
      </c>
      <c r="D1129" s="898">
        <f>Clothing!N85</f>
        <v>9.0787743922907698</v>
      </c>
      <c r="E1129" s="900" t="s">
        <v>2045</v>
      </c>
      <c r="F1129" s="898">
        <f>Clothing!O85</f>
        <v>1</v>
      </c>
      <c r="G1129" s="898">
        <f>Clothing!P85</f>
        <v>1</v>
      </c>
      <c r="H1129" s="898">
        <f>Clothing!Q85</f>
        <v>2</v>
      </c>
      <c r="I1129" s="898">
        <f>Clothing!R85</f>
        <v>2</v>
      </c>
      <c r="J1129" s="898">
        <f>Clothing!S85</f>
        <v>2</v>
      </c>
      <c r="K1129" s="290">
        <f t="shared" si="18"/>
        <v>0.37356464144298934</v>
      </c>
    </row>
    <row r="1130" spans="1:11" hidden="1">
      <c r="A1130" s="898" t="s">
        <v>2046</v>
      </c>
      <c r="B1130" s="898">
        <f>Clothing!B86</f>
        <v>2020</v>
      </c>
      <c r="C1130" s="898" t="str">
        <f>Clothing!C86</f>
        <v>PET</v>
      </c>
      <c r="D1130" s="898">
        <f>Clothing!N86</f>
        <v>47.308236837905184</v>
      </c>
      <c r="E1130" s="900" t="s">
        <v>2045</v>
      </c>
      <c r="F1130" s="898">
        <f>Clothing!O86</f>
        <v>1</v>
      </c>
      <c r="G1130" s="898">
        <f>Clothing!P86</f>
        <v>1</v>
      </c>
      <c r="H1130" s="898">
        <f>Clothing!Q86</f>
        <v>2</v>
      </c>
      <c r="I1130" s="898">
        <f>Clothing!R86</f>
        <v>2</v>
      </c>
      <c r="J1130" s="898">
        <f>Clothing!S86</f>
        <v>2</v>
      </c>
      <c r="K1130" s="290">
        <f t="shared" si="18"/>
        <v>0.37356464144298934</v>
      </c>
    </row>
    <row r="1131" spans="1:11" hidden="1">
      <c r="A1131" s="898" t="s">
        <v>2046</v>
      </c>
      <c r="B1131" s="898">
        <f>Clothing!B87</f>
        <v>2020</v>
      </c>
      <c r="C1131" s="898" t="str">
        <f>Clothing!C87</f>
        <v>PUR</v>
      </c>
      <c r="D1131" s="898">
        <f>Clothing!N87</f>
        <v>6.1427614071296928</v>
      </c>
      <c r="E1131" s="900" t="s">
        <v>2045</v>
      </c>
      <c r="F1131" s="898">
        <f>Clothing!O87</f>
        <v>1</v>
      </c>
      <c r="G1131" s="898">
        <f>Clothing!P87</f>
        <v>1</v>
      </c>
      <c r="H1131" s="898">
        <f>Clothing!Q87</f>
        <v>2</v>
      </c>
      <c r="I1131" s="898">
        <f>Clothing!R87</f>
        <v>2</v>
      </c>
      <c r="J1131" s="898">
        <f>Clothing!S87</f>
        <v>2</v>
      </c>
      <c r="K1131" s="290">
        <f t="shared" si="18"/>
        <v>0.37356464144298934</v>
      </c>
    </row>
    <row r="1132" spans="1:11" hidden="1">
      <c r="A1132" s="898" t="s">
        <v>2046</v>
      </c>
      <c r="B1132" s="898">
        <f>Clothing!B88</f>
        <v>2020</v>
      </c>
      <c r="C1132" s="898" t="str">
        <f>Clothing!C88</f>
        <v>PVC</v>
      </c>
      <c r="D1132" s="898">
        <f>Clothing!N88</f>
        <v>3.855763709292396</v>
      </c>
      <c r="E1132" s="900" t="s">
        <v>2045</v>
      </c>
      <c r="F1132" s="898">
        <f>Clothing!O88</f>
        <v>1</v>
      </c>
      <c r="G1132" s="898">
        <f>Clothing!P88</f>
        <v>1</v>
      </c>
      <c r="H1132" s="898">
        <f>Clothing!Q88</f>
        <v>2</v>
      </c>
      <c r="I1132" s="898">
        <f>Clothing!R88</f>
        <v>2</v>
      </c>
      <c r="J1132" s="898">
        <f>Clothing!S88</f>
        <v>2</v>
      </c>
      <c r="K1132" s="290">
        <f t="shared" si="18"/>
        <v>0.37356464144298934</v>
      </c>
    </row>
    <row r="1133" spans="1:11" hidden="1">
      <c r="A1133" s="898" t="s">
        <v>2046</v>
      </c>
      <c r="B1133" s="898">
        <f>Clothing!B89</f>
        <v>2020</v>
      </c>
      <c r="C1133" s="898" t="str">
        <f>Clothing!C89</f>
        <v>RUBBER</v>
      </c>
      <c r="D1133" s="898">
        <f>Clothing!N89</f>
        <v>6.6844557841844114</v>
      </c>
      <c r="E1133" s="900" t="s">
        <v>2045</v>
      </c>
      <c r="F1133" s="898">
        <f>Clothing!O89</f>
        <v>1</v>
      </c>
      <c r="G1133" s="898">
        <f>Clothing!P89</f>
        <v>1</v>
      </c>
      <c r="H1133" s="898">
        <f>Clothing!Q89</f>
        <v>2</v>
      </c>
      <c r="I1133" s="898">
        <f>Clothing!R89</f>
        <v>2</v>
      </c>
      <c r="J1133" s="898">
        <f>Clothing!S89</f>
        <v>2</v>
      </c>
      <c r="K1133" s="290">
        <f t="shared" si="18"/>
        <v>0.37356464144298934</v>
      </c>
    </row>
    <row r="1134" spans="1:11" hidden="1">
      <c r="A1134" s="898" t="s">
        <v>2046</v>
      </c>
      <c r="B1134" s="898">
        <f>Clothing!B90</f>
        <v>2021</v>
      </c>
      <c r="C1134" s="898" t="str">
        <f>Clothing!C90</f>
        <v>Acryl</v>
      </c>
      <c r="D1134" s="898">
        <f>Clothing!N90</f>
        <v>5.6161085610789758</v>
      </c>
      <c r="E1134" s="900" t="s">
        <v>2045</v>
      </c>
      <c r="F1134" s="898">
        <f>Clothing!O90</f>
        <v>1</v>
      </c>
      <c r="G1134" s="898">
        <f>Clothing!P90</f>
        <v>1</v>
      </c>
      <c r="H1134" s="898">
        <f>Clothing!Q90</f>
        <v>2</v>
      </c>
      <c r="I1134" s="898">
        <f>Clothing!R90</f>
        <v>2</v>
      </c>
      <c r="J1134" s="898">
        <f>Clothing!S90</f>
        <v>2</v>
      </c>
      <c r="K1134" s="290">
        <f t="shared" si="18"/>
        <v>0.37356464144298934</v>
      </c>
    </row>
    <row r="1135" spans="1:11" hidden="1">
      <c r="A1135" s="898" t="s">
        <v>2046</v>
      </c>
      <c r="B1135" s="898">
        <f>Clothing!B91</f>
        <v>2021</v>
      </c>
      <c r="C1135" s="898" t="str">
        <f>Clothing!C91</f>
        <v>OTHER</v>
      </c>
      <c r="D1135" s="898">
        <f>Clothing!N91</f>
        <v>5.5890779755497162</v>
      </c>
      <c r="E1135" s="900" t="s">
        <v>2045</v>
      </c>
      <c r="F1135" s="898">
        <f>Clothing!O91</f>
        <v>1</v>
      </c>
      <c r="G1135" s="898">
        <f>Clothing!P91</f>
        <v>1</v>
      </c>
      <c r="H1135" s="898">
        <f>Clothing!Q91</f>
        <v>2</v>
      </c>
      <c r="I1135" s="898">
        <f>Clothing!R91</f>
        <v>2</v>
      </c>
      <c r="J1135" s="898">
        <f>Clothing!S91</f>
        <v>2</v>
      </c>
      <c r="K1135" s="290">
        <f t="shared" si="18"/>
        <v>0.37356464144298934</v>
      </c>
    </row>
    <row r="1136" spans="1:11" hidden="1">
      <c r="A1136" s="898" t="s">
        <v>2046</v>
      </c>
      <c r="B1136" s="898">
        <f>Clothing!B92</f>
        <v>2021</v>
      </c>
      <c r="C1136" s="898" t="str">
        <f>Clothing!C92</f>
        <v>PA</v>
      </c>
      <c r="D1136" s="898">
        <f>Clothing!N92</f>
        <v>9.1729945734678253</v>
      </c>
      <c r="E1136" s="900" t="s">
        <v>2045</v>
      </c>
      <c r="F1136" s="898">
        <f>Clothing!O92</f>
        <v>1</v>
      </c>
      <c r="G1136" s="898">
        <f>Clothing!P92</f>
        <v>1</v>
      </c>
      <c r="H1136" s="898">
        <f>Clothing!Q92</f>
        <v>2</v>
      </c>
      <c r="I1136" s="898">
        <f>Clothing!R92</f>
        <v>2</v>
      </c>
      <c r="J1136" s="898">
        <f>Clothing!S92</f>
        <v>2</v>
      </c>
      <c r="K1136" s="290">
        <f t="shared" si="18"/>
        <v>0.37356464144298934</v>
      </c>
    </row>
    <row r="1137" spans="1:11" hidden="1">
      <c r="A1137" s="898" t="s">
        <v>2046</v>
      </c>
      <c r="B1137" s="898">
        <f>Clothing!B93</f>
        <v>2021</v>
      </c>
      <c r="C1137" s="898" t="str">
        <f>Clothing!C93</f>
        <v>PET</v>
      </c>
      <c r="D1137" s="898">
        <f>Clothing!N93</f>
        <v>49.882813644248223</v>
      </c>
      <c r="E1137" s="900" t="s">
        <v>2045</v>
      </c>
      <c r="F1137" s="898">
        <f>Clothing!O93</f>
        <v>1</v>
      </c>
      <c r="G1137" s="898">
        <f>Clothing!P93</f>
        <v>1</v>
      </c>
      <c r="H1137" s="898">
        <f>Clothing!Q93</f>
        <v>2</v>
      </c>
      <c r="I1137" s="898">
        <f>Clothing!R93</f>
        <v>2</v>
      </c>
      <c r="J1137" s="898">
        <f>Clothing!S93</f>
        <v>2</v>
      </c>
      <c r="K1137" s="290">
        <f t="shared" si="18"/>
        <v>0.37356464144298934</v>
      </c>
    </row>
    <row r="1138" spans="1:11" hidden="1">
      <c r="A1138" s="898" t="s">
        <v>2046</v>
      </c>
      <c r="B1138" s="898">
        <f>Clothing!B94</f>
        <v>2021</v>
      </c>
      <c r="C1138" s="898" t="str">
        <f>Clothing!C94</f>
        <v>PUR</v>
      </c>
      <c r="D1138" s="898">
        <f>Clothing!N94</f>
        <v>5.9453102757836058</v>
      </c>
      <c r="E1138" s="900" t="s">
        <v>2045</v>
      </c>
      <c r="F1138" s="898">
        <f>Clothing!O94</f>
        <v>1</v>
      </c>
      <c r="G1138" s="898">
        <f>Clothing!P94</f>
        <v>1</v>
      </c>
      <c r="H1138" s="898">
        <f>Clothing!Q94</f>
        <v>2</v>
      </c>
      <c r="I1138" s="898">
        <f>Clothing!R94</f>
        <v>2</v>
      </c>
      <c r="J1138" s="898">
        <f>Clothing!S94</f>
        <v>2</v>
      </c>
      <c r="K1138" s="290">
        <f t="shared" si="18"/>
        <v>0.37356464144298934</v>
      </c>
    </row>
    <row r="1139" spans="1:11" hidden="1">
      <c r="A1139" s="898" t="s">
        <v>2046</v>
      </c>
      <c r="B1139" s="898">
        <f>Clothing!B95</f>
        <v>2021</v>
      </c>
      <c r="C1139" s="898" t="str">
        <f>Clothing!C95</f>
        <v>PVC</v>
      </c>
      <c r="D1139" s="898">
        <f>Clothing!N95</f>
        <v>3.776702442380885</v>
      </c>
      <c r="E1139" s="900" t="s">
        <v>2045</v>
      </c>
      <c r="F1139" s="898">
        <f>Clothing!O95</f>
        <v>1</v>
      </c>
      <c r="G1139" s="898">
        <f>Clothing!P95</f>
        <v>1</v>
      </c>
      <c r="H1139" s="898">
        <f>Clothing!Q95</f>
        <v>2</v>
      </c>
      <c r="I1139" s="898">
        <f>Clothing!R95</f>
        <v>2</v>
      </c>
      <c r="J1139" s="898">
        <f>Clothing!S95</f>
        <v>2</v>
      </c>
      <c r="K1139" s="290">
        <f t="shared" si="18"/>
        <v>0.37356464144298934</v>
      </c>
    </row>
    <row r="1140" spans="1:11" hidden="1">
      <c r="A1140" s="898" t="s">
        <v>2046</v>
      </c>
      <c r="B1140" s="898">
        <f>Clothing!B96</f>
        <v>2021</v>
      </c>
      <c r="C1140" s="898" t="str">
        <f>Clothing!C96</f>
        <v>RUBBER</v>
      </c>
      <c r="D1140" s="898">
        <f>Clothing!N96</f>
        <v>7.2186209682306846</v>
      </c>
      <c r="E1140" s="900" t="s">
        <v>2045</v>
      </c>
      <c r="F1140" s="898">
        <f>Clothing!O96</f>
        <v>1</v>
      </c>
      <c r="G1140" s="898">
        <f>Clothing!P96</f>
        <v>1</v>
      </c>
      <c r="H1140" s="898">
        <f>Clothing!Q96</f>
        <v>2</v>
      </c>
      <c r="I1140" s="898">
        <f>Clothing!R96</f>
        <v>2</v>
      </c>
      <c r="J1140" s="898">
        <f>Clothing!S96</f>
        <v>2</v>
      </c>
      <c r="K1140" s="290">
        <f t="shared" si="18"/>
        <v>0.37356464144298934</v>
      </c>
    </row>
    <row r="1141" spans="1:11" hidden="1">
      <c r="A1141" s="898" t="s">
        <v>2046</v>
      </c>
      <c r="B1141" s="898">
        <f>Clothing!B97</f>
        <v>2022</v>
      </c>
      <c r="C1141" s="898" t="str">
        <f>Clothing!C97</f>
        <v>Acryl</v>
      </c>
      <c r="D1141" s="898">
        <f>Clothing!N97</f>
        <v>9.7616505998689629</v>
      </c>
      <c r="E1141" s="900" t="s">
        <v>2045</v>
      </c>
      <c r="F1141" s="898">
        <f>Clothing!O97</f>
        <v>1</v>
      </c>
      <c r="G1141" s="898">
        <f>Clothing!P97</f>
        <v>1</v>
      </c>
      <c r="H1141" s="898">
        <f>Clothing!Q97</f>
        <v>2</v>
      </c>
      <c r="I1141" s="898">
        <f>Clothing!R97</f>
        <v>2</v>
      </c>
      <c r="J1141" s="898">
        <f>Clothing!S97</f>
        <v>2</v>
      </c>
      <c r="K1141" s="290">
        <f t="shared" si="18"/>
        <v>0.37356464144298934</v>
      </c>
    </row>
    <row r="1142" spans="1:11" hidden="1">
      <c r="A1142" s="898" t="s">
        <v>2046</v>
      </c>
      <c r="B1142" s="898">
        <f>Clothing!B98</f>
        <v>2022</v>
      </c>
      <c r="C1142" s="898" t="str">
        <f>Clothing!C98</f>
        <v>OTHER</v>
      </c>
      <c r="D1142" s="898">
        <f>Clothing!N98</f>
        <v>13.385929746509838</v>
      </c>
      <c r="E1142" s="900" t="s">
        <v>2045</v>
      </c>
      <c r="F1142" s="898">
        <f>Clothing!O98</f>
        <v>1</v>
      </c>
      <c r="G1142" s="898">
        <f>Clothing!P98</f>
        <v>1</v>
      </c>
      <c r="H1142" s="898">
        <f>Clothing!Q98</f>
        <v>2</v>
      </c>
      <c r="I1142" s="898">
        <f>Clothing!R98</f>
        <v>2</v>
      </c>
      <c r="J1142" s="898">
        <f>Clothing!S98</f>
        <v>2</v>
      </c>
      <c r="K1142" s="290">
        <f t="shared" si="18"/>
        <v>0.37356464144298934</v>
      </c>
    </row>
    <row r="1143" spans="1:11" hidden="1">
      <c r="A1143" s="898" t="s">
        <v>2046</v>
      </c>
      <c r="B1143" s="898">
        <f>Clothing!B99</f>
        <v>2022</v>
      </c>
      <c r="C1143" s="898" t="str">
        <f>Clothing!C99</f>
        <v>PA</v>
      </c>
      <c r="D1143" s="898">
        <f>Clothing!N99</f>
        <v>20.042975973702728</v>
      </c>
      <c r="E1143" s="900" t="s">
        <v>2045</v>
      </c>
      <c r="F1143" s="898">
        <f>Clothing!O99</f>
        <v>1</v>
      </c>
      <c r="G1143" s="898">
        <f>Clothing!P99</f>
        <v>1</v>
      </c>
      <c r="H1143" s="898">
        <f>Clothing!Q99</f>
        <v>2</v>
      </c>
      <c r="I1143" s="898">
        <f>Clothing!R99</f>
        <v>2</v>
      </c>
      <c r="J1143" s="898">
        <f>Clothing!S99</f>
        <v>2</v>
      </c>
      <c r="K1143" s="290">
        <f t="shared" si="18"/>
        <v>0.37356464144298934</v>
      </c>
    </row>
    <row r="1144" spans="1:11" hidden="1">
      <c r="A1144" s="898" t="s">
        <v>2046</v>
      </c>
      <c r="B1144" s="898">
        <f>Clothing!B100</f>
        <v>2022</v>
      </c>
      <c r="C1144" s="898" t="str">
        <f>Clothing!C100</f>
        <v>PET</v>
      </c>
      <c r="D1144" s="898">
        <f>Clothing!N100</f>
        <v>101.65371045497226</v>
      </c>
      <c r="E1144" s="900" t="s">
        <v>2045</v>
      </c>
      <c r="F1144" s="898">
        <f>Clothing!O100</f>
        <v>1</v>
      </c>
      <c r="G1144" s="898">
        <f>Clothing!P100</f>
        <v>1</v>
      </c>
      <c r="H1144" s="898">
        <f>Clothing!Q100</f>
        <v>2</v>
      </c>
      <c r="I1144" s="898">
        <f>Clothing!R100</f>
        <v>2</v>
      </c>
      <c r="J1144" s="898">
        <f>Clothing!S100</f>
        <v>2</v>
      </c>
      <c r="K1144" s="290">
        <f t="shared" si="18"/>
        <v>0.37356464144298934</v>
      </c>
    </row>
    <row r="1145" spans="1:11" hidden="1">
      <c r="A1145" s="898" t="s">
        <v>2046</v>
      </c>
      <c r="B1145" s="898">
        <f>Clothing!B101</f>
        <v>2022</v>
      </c>
      <c r="C1145" s="898" t="str">
        <f>Clothing!C101</f>
        <v>PUR</v>
      </c>
      <c r="D1145" s="898">
        <f>Clothing!N101</f>
        <v>9.0711807041458652</v>
      </c>
      <c r="E1145" s="900" t="s">
        <v>2045</v>
      </c>
      <c r="F1145" s="898">
        <f>Clothing!O101</f>
        <v>1</v>
      </c>
      <c r="G1145" s="898">
        <f>Clothing!P101</f>
        <v>1</v>
      </c>
      <c r="H1145" s="898">
        <f>Clothing!Q101</f>
        <v>2</v>
      </c>
      <c r="I1145" s="898">
        <f>Clothing!R101</f>
        <v>2</v>
      </c>
      <c r="J1145" s="898">
        <f>Clothing!S101</f>
        <v>2</v>
      </c>
      <c r="K1145" s="290">
        <f t="shared" si="18"/>
        <v>0.37356464144298934</v>
      </c>
    </row>
    <row r="1146" spans="1:11" hidden="1">
      <c r="A1146" s="898" t="s">
        <v>2046</v>
      </c>
      <c r="B1146" s="898">
        <f>Clothing!B102</f>
        <v>2022</v>
      </c>
      <c r="C1146" s="898" t="str">
        <f>Clothing!C102</f>
        <v>PVC</v>
      </c>
      <c r="D1146" s="898">
        <f>Clothing!N102</f>
        <v>5.8575658838473545</v>
      </c>
      <c r="E1146" s="900" t="s">
        <v>2045</v>
      </c>
      <c r="F1146" s="898">
        <f>Clothing!O102</f>
        <v>1</v>
      </c>
      <c r="G1146" s="898">
        <f>Clothing!P102</f>
        <v>1</v>
      </c>
      <c r="H1146" s="898">
        <f>Clothing!Q102</f>
        <v>2</v>
      </c>
      <c r="I1146" s="898">
        <f>Clothing!R102</f>
        <v>2</v>
      </c>
      <c r="J1146" s="898">
        <f>Clothing!S102</f>
        <v>2</v>
      </c>
      <c r="K1146" s="290">
        <f t="shared" si="18"/>
        <v>0.37356464144298934</v>
      </c>
    </row>
    <row r="1147" spans="1:11" hidden="1">
      <c r="A1147" s="898" t="s">
        <v>2046</v>
      </c>
      <c r="B1147" s="898">
        <f>Clothing!B103</f>
        <v>2022</v>
      </c>
      <c r="C1147" s="898" t="str">
        <f>Clothing!C103</f>
        <v>RUBBER</v>
      </c>
      <c r="D1147" s="898">
        <f>Clothing!N103</f>
        <v>12.302518504952127</v>
      </c>
      <c r="E1147" s="900" t="s">
        <v>2045</v>
      </c>
      <c r="F1147" s="898">
        <f>Clothing!O103</f>
        <v>1</v>
      </c>
      <c r="G1147" s="898">
        <f>Clothing!P103</f>
        <v>1</v>
      </c>
      <c r="H1147" s="898">
        <f>Clothing!Q103</f>
        <v>2</v>
      </c>
      <c r="I1147" s="898">
        <f>Clothing!R103</f>
        <v>2</v>
      </c>
      <c r="J1147" s="898">
        <f>Clothing!S103</f>
        <v>2</v>
      </c>
      <c r="K1147" s="290">
        <f t="shared" si="18"/>
        <v>0.37356464144298934</v>
      </c>
    </row>
    <row r="1148" spans="1:11">
      <c r="A1148" s="7"/>
      <c r="B1148" s="6"/>
      <c r="C1148" s="7"/>
      <c r="D1148" s="6"/>
      <c r="E1148" s="367"/>
    </row>
    <row r="1149" spans="1:11">
      <c r="A1149" s="7"/>
      <c r="B1149" s="6"/>
      <c r="C1149" s="7"/>
      <c r="D1149" s="6"/>
      <c r="E1149" s="367"/>
    </row>
    <row r="1150" spans="1:11">
      <c r="A1150" s="7"/>
      <c r="B1150" s="6"/>
      <c r="C1150" s="7"/>
      <c r="D1150" s="6"/>
      <c r="E1150" s="367"/>
    </row>
    <row r="1151" spans="1:11">
      <c r="A1151" s="7"/>
      <c r="B1151" s="6"/>
      <c r="C1151" s="7"/>
      <c r="D1151" s="6"/>
      <c r="E1151" s="367"/>
    </row>
    <row r="1152" spans="1:11">
      <c r="A1152" s="7"/>
      <c r="B1152" s="6"/>
      <c r="C1152" s="7"/>
      <c r="D1152" s="6"/>
      <c r="E1152" s="367"/>
    </row>
    <row r="1153" spans="1:5">
      <c r="A1153" s="7"/>
      <c r="B1153" s="6"/>
      <c r="C1153" s="7"/>
      <c r="D1153" s="6"/>
      <c r="E1153" s="367"/>
    </row>
    <row r="1154" spans="1:5">
      <c r="A1154" s="7"/>
      <c r="B1154" s="6"/>
      <c r="C1154" s="7"/>
      <c r="D1154" s="6"/>
      <c r="E1154" s="367"/>
    </row>
    <row r="1155" spans="1:5">
      <c r="A1155" s="7"/>
      <c r="B1155" s="6"/>
      <c r="C1155" s="7"/>
      <c r="D1155" s="6"/>
      <c r="E1155" s="367"/>
    </row>
    <row r="1156" spans="1:5">
      <c r="A1156" s="7"/>
      <c r="B1156" s="6"/>
      <c r="C1156" s="7"/>
      <c r="D1156" s="6"/>
      <c r="E1156" s="367"/>
    </row>
  </sheetData>
  <autoFilter ref="A1:L1147" xr:uid="{DFD55F35-1BE8-491D-A5D1-66586526783F}">
    <filterColumn colId="2">
      <filters>
        <filter val="PMMA"/>
        <filter val="PS"/>
      </filters>
    </filterColumn>
  </autoFilter>
  <phoneticPr fontId="22" type="noConversion"/>
  <conditionalFormatting sqref="D1">
    <cfRule type="cellIs" dxfId="205" priority="38" operator="greaterThan">
      <formula>0</formula>
    </cfRule>
    <cfRule type="cellIs" dxfId="204" priority="39" operator="equal">
      <formula>0</formula>
    </cfRule>
  </conditionalFormatting>
  <conditionalFormatting sqref="D812:D1048576">
    <cfRule type="cellIs" dxfId="203" priority="3" operator="greaterThan">
      <formula>0</formula>
    </cfRule>
    <cfRule type="cellIs" dxfId="202" priority="4" operator="equal">
      <formula>0</formula>
    </cfRule>
  </conditionalFormatting>
  <conditionalFormatting sqref="F2:J2">
    <cfRule type="dataBar" priority="108">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85">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06">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07">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15">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01" priority="11" stopIfTrue="1" operator="notBetween">
      <formula>1</formula>
      <formula>4</formula>
    </cfRule>
  </conditionalFormatting>
  <conditionalFormatting sqref="F102:J109">
    <cfRule type="dataBar" priority="12">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9">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6">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containsBlanks" dxfId="200" priority="1">
      <formula>LEN(TRIM(F812))=0</formula>
    </cfRule>
    <cfRule type="dataBar" priority="2">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2:K811 K796:K1147">
    <cfRule type="containsBlanks" dxfId="199" priority="5">
      <formula>LEN(TRIM(F2))=0</formula>
    </cfRule>
  </conditionalFormatting>
  <conditionalFormatting sqref="K22:K73">
    <cfRule type="dataBar" priority="7208">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0">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26">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8">
      <dataBar>
        <cfvo type="min"/>
        <cfvo type="max"/>
        <color rgb="FF3FCDFF"/>
      </dataBar>
      <extLst>
        <ext xmlns:x14="http://schemas.microsoft.com/office/spreadsheetml/2009/9/main" uri="{B025F937-C7B1-47D3-B67F-A62EFF666E3E}">
          <x14:id>{E9D6D587-DDCF-4145-8CFF-891B53F1666F}</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filterMode="1">
    <tabColor rgb="FFFFC000"/>
  </sheetPr>
  <dimension ref="A1:L930"/>
  <sheetViews>
    <sheetView zoomScale="90" zoomScaleNormal="90" workbookViewId="0">
      <pane ySplit="1" topLeftCell="A515" activePane="bottomLeft" state="frozen"/>
      <selection pane="bottomLeft"/>
    </sheetView>
  </sheetViews>
  <sheetFormatPr defaultColWidth="9.28515625" defaultRowHeight="15"/>
  <cols>
    <col min="1" max="1" width="40.7109375" style="26" customWidth="1"/>
    <col min="2" max="3" width="15.7109375" style="26" customWidth="1"/>
    <col min="4" max="4" width="27.28515625" style="64" customWidth="1"/>
    <col min="5" max="5" width="99.42578125" style="7" customWidth="1"/>
    <col min="6" max="11" width="10.7109375" style="7" customWidth="1"/>
    <col min="12" max="12" width="79.5703125" style="31" customWidth="1"/>
    <col min="13" max="16384" width="9.28515625" style="7"/>
  </cols>
  <sheetData>
    <row r="1" spans="1:12" s="26" customFormat="1" ht="30" customHeight="1" thickBot="1">
      <c r="A1" s="65" t="s">
        <v>100</v>
      </c>
      <c r="B1" s="65" t="s">
        <v>101</v>
      </c>
      <c r="C1" s="108" t="s">
        <v>102</v>
      </c>
      <c r="D1" s="809" t="s">
        <v>103</v>
      </c>
      <c r="E1" s="108" t="s">
        <v>104</v>
      </c>
      <c r="F1" s="111" t="s">
        <v>105</v>
      </c>
      <c r="G1" s="112" t="s">
        <v>65</v>
      </c>
      <c r="H1" s="112" t="s">
        <v>67</v>
      </c>
      <c r="I1" s="112" t="s">
        <v>73</v>
      </c>
      <c r="J1" s="113" t="s">
        <v>79</v>
      </c>
      <c r="K1" s="422" t="s">
        <v>106</v>
      </c>
      <c r="L1" s="49" t="s">
        <v>123</v>
      </c>
    </row>
    <row r="2" spans="1:12" ht="15.75" hidden="1" thickBot="1">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6"/>
    </row>
    <row r="3" spans="1:12" ht="15.75" hidden="1" thickBot="1">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ht="15.75" hidden="1" thickBot="1">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ht="15.75" hidden="1" thickBot="1">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ht="15.75" hidden="1" thickBot="1">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ht="15.75" hidden="1" thickBot="1">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ht="15.75" hidden="1" thickBot="1">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ht="15.75" hidden="1" thickBot="1">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ht="15.75" hidden="1" thickBot="1">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75" hidden="1"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ht="15.75" hidden="1" thickBot="1">
      <c r="A12" s="150" t="s">
        <v>109</v>
      </c>
      <c r="B12" s="803">
        <v>2015</v>
      </c>
      <c r="C12" s="641" t="s">
        <v>94</v>
      </c>
      <c r="D12" s="803">
        <v>400</v>
      </c>
      <c r="E12" s="641" t="s">
        <v>126</v>
      </c>
      <c r="F12" s="28">
        <v>1</v>
      </c>
      <c r="G12" s="11">
        <v>1</v>
      </c>
      <c r="H12" s="11">
        <v>1</v>
      </c>
      <c r="I12" s="11">
        <v>2</v>
      </c>
      <c r="J12" s="11">
        <v>2</v>
      </c>
      <c r="K12" s="158">
        <f t="shared" si="0"/>
        <v>0.35859414261160716</v>
      </c>
      <c r="L12" s="51" t="s">
        <v>111</v>
      </c>
    </row>
    <row r="13" spans="1:12" ht="15.75" hidden="1" thickBot="1">
      <c r="A13" s="151" t="s">
        <v>109</v>
      </c>
      <c r="B13" s="59">
        <v>2013</v>
      </c>
      <c r="C13" s="339" t="s">
        <v>94</v>
      </c>
      <c r="D13" s="59">
        <v>468</v>
      </c>
      <c r="E13" s="339" t="s">
        <v>126</v>
      </c>
      <c r="F13" s="29">
        <v>1</v>
      </c>
      <c r="G13" s="9">
        <v>1</v>
      </c>
      <c r="H13" s="9">
        <v>1</v>
      </c>
      <c r="I13" s="9">
        <v>2</v>
      </c>
      <c r="J13" s="9">
        <v>2</v>
      </c>
      <c r="K13" s="159">
        <f t="shared" si="0"/>
        <v>0.35859414261160716</v>
      </c>
      <c r="L13" s="52" t="s">
        <v>111</v>
      </c>
    </row>
    <row r="14" spans="1:12" ht="15.75" hidden="1" thickBot="1">
      <c r="A14" s="151" t="s">
        <v>109</v>
      </c>
      <c r="B14" s="59">
        <v>2016</v>
      </c>
      <c r="C14" s="339" t="s">
        <v>94</v>
      </c>
      <c r="D14" s="59">
        <v>551</v>
      </c>
      <c r="E14" s="339" t="s">
        <v>126</v>
      </c>
      <c r="F14" s="29">
        <v>1</v>
      </c>
      <c r="G14" s="9">
        <v>1</v>
      </c>
      <c r="H14" s="9">
        <v>1</v>
      </c>
      <c r="I14" s="9">
        <v>2</v>
      </c>
      <c r="J14" s="9">
        <v>2</v>
      </c>
      <c r="K14" s="159">
        <f t="shared" si="0"/>
        <v>0.35859414261160716</v>
      </c>
      <c r="L14" s="52" t="s">
        <v>111</v>
      </c>
    </row>
    <row r="15" spans="1:12" ht="15.75" hidden="1" thickBot="1">
      <c r="A15" s="151" t="s">
        <v>109</v>
      </c>
      <c r="B15" s="59">
        <v>2003</v>
      </c>
      <c r="C15" s="339" t="s">
        <v>94</v>
      </c>
      <c r="D15" s="59">
        <v>613</v>
      </c>
      <c r="E15" s="339" t="s">
        <v>126</v>
      </c>
      <c r="F15" s="29">
        <v>1</v>
      </c>
      <c r="G15" s="9">
        <v>1</v>
      </c>
      <c r="H15" s="9">
        <v>1</v>
      </c>
      <c r="I15" s="9">
        <v>2</v>
      </c>
      <c r="J15" s="9">
        <v>2</v>
      </c>
      <c r="K15" s="159">
        <f t="shared" si="0"/>
        <v>0.35859414261160716</v>
      </c>
      <c r="L15" s="52" t="s">
        <v>111</v>
      </c>
    </row>
    <row r="16" spans="1:12" ht="15.75" hidden="1" thickBot="1">
      <c r="A16" s="151" t="s">
        <v>109</v>
      </c>
      <c r="B16" s="59">
        <v>2012</v>
      </c>
      <c r="C16" s="339" t="s">
        <v>94</v>
      </c>
      <c r="D16" s="59">
        <v>624</v>
      </c>
      <c r="E16" s="339" t="s">
        <v>126</v>
      </c>
      <c r="F16" s="29">
        <v>1</v>
      </c>
      <c r="G16" s="9">
        <v>1</v>
      </c>
      <c r="H16" s="9">
        <v>1</v>
      </c>
      <c r="I16" s="9">
        <v>2</v>
      </c>
      <c r="J16" s="9">
        <v>2</v>
      </c>
      <c r="K16" s="159">
        <f t="shared" si="0"/>
        <v>0.35859414261160716</v>
      </c>
      <c r="L16" s="52" t="s">
        <v>111</v>
      </c>
    </row>
    <row r="17" spans="1:12" ht="15.75" hidden="1" thickBot="1">
      <c r="A17" s="151" t="s">
        <v>109</v>
      </c>
      <c r="B17" s="59">
        <v>2020</v>
      </c>
      <c r="C17" s="339" t="s">
        <v>94</v>
      </c>
      <c r="D17" s="59">
        <v>661</v>
      </c>
      <c r="E17" s="339" t="s">
        <v>126</v>
      </c>
      <c r="F17" s="29">
        <v>1</v>
      </c>
      <c r="G17" s="9">
        <v>1</v>
      </c>
      <c r="H17" s="9">
        <v>1</v>
      </c>
      <c r="I17" s="9">
        <v>2</v>
      </c>
      <c r="J17" s="9">
        <v>2</v>
      </c>
      <c r="K17" s="159">
        <f t="shared" si="0"/>
        <v>0.35859414261160716</v>
      </c>
      <c r="L17" s="52" t="s">
        <v>111</v>
      </c>
    </row>
    <row r="18" spans="1:12" ht="15.75" hidden="1" thickBot="1">
      <c r="A18" s="151" t="s">
        <v>109</v>
      </c>
      <c r="B18" s="59">
        <v>2017</v>
      </c>
      <c r="C18" s="339" t="s">
        <v>94</v>
      </c>
      <c r="D18" s="59">
        <v>683</v>
      </c>
      <c r="E18" s="339" t="s">
        <v>126</v>
      </c>
      <c r="F18" s="29">
        <v>1</v>
      </c>
      <c r="G18" s="9">
        <v>1</v>
      </c>
      <c r="H18" s="9">
        <v>1</v>
      </c>
      <c r="I18" s="9">
        <v>2</v>
      </c>
      <c r="J18" s="9">
        <v>2</v>
      </c>
      <c r="K18" s="159">
        <f t="shared" si="0"/>
        <v>0.35859414261160716</v>
      </c>
      <c r="L18" s="52" t="s">
        <v>111</v>
      </c>
    </row>
    <row r="19" spans="1:12" ht="15.75" hidden="1" thickBot="1">
      <c r="A19" s="151" t="s">
        <v>109</v>
      </c>
      <c r="B19" s="59">
        <v>2018</v>
      </c>
      <c r="C19" s="339" t="s">
        <v>94</v>
      </c>
      <c r="D19" s="59">
        <v>683</v>
      </c>
      <c r="E19" s="339" t="s">
        <v>126</v>
      </c>
      <c r="F19" s="29">
        <v>1</v>
      </c>
      <c r="G19" s="9">
        <v>1</v>
      </c>
      <c r="H19" s="9">
        <v>1</v>
      </c>
      <c r="I19" s="9">
        <v>2</v>
      </c>
      <c r="J19" s="9">
        <v>2</v>
      </c>
      <c r="K19" s="159">
        <f t="shared" si="0"/>
        <v>0.35859414261160716</v>
      </c>
      <c r="L19" s="52" t="s">
        <v>111</v>
      </c>
    </row>
    <row r="20" spans="1:12" ht="15.75" hidden="1" thickBot="1">
      <c r="A20" s="151" t="s">
        <v>109</v>
      </c>
      <c r="B20" s="59">
        <v>2019</v>
      </c>
      <c r="C20" s="339" t="s">
        <v>94</v>
      </c>
      <c r="D20" s="59">
        <v>683</v>
      </c>
      <c r="E20" s="339" t="s">
        <v>126</v>
      </c>
      <c r="F20" s="29">
        <v>1</v>
      </c>
      <c r="G20" s="9">
        <v>1</v>
      </c>
      <c r="H20" s="9">
        <v>1</v>
      </c>
      <c r="I20" s="9">
        <v>2</v>
      </c>
      <c r="J20" s="9">
        <v>2</v>
      </c>
      <c r="K20" s="159">
        <f t="shared" si="0"/>
        <v>0.35859414261160716</v>
      </c>
      <c r="L20" s="52" t="s">
        <v>111</v>
      </c>
    </row>
    <row r="21" spans="1:12" ht="15.75" hidden="1" thickBot="1">
      <c r="A21" s="151" t="s">
        <v>109</v>
      </c>
      <c r="B21" s="59">
        <v>2010</v>
      </c>
      <c r="C21" s="339" t="s">
        <v>94</v>
      </c>
      <c r="D21" s="59">
        <v>691</v>
      </c>
      <c r="E21" s="339" t="s">
        <v>126</v>
      </c>
      <c r="F21" s="29">
        <v>1</v>
      </c>
      <c r="G21" s="9">
        <v>1</v>
      </c>
      <c r="H21" s="9">
        <v>1</v>
      </c>
      <c r="I21" s="9">
        <v>2</v>
      </c>
      <c r="J21" s="9">
        <v>2</v>
      </c>
      <c r="K21" s="159">
        <f t="shared" si="0"/>
        <v>0.35859414261160716</v>
      </c>
      <c r="L21" s="52" t="s">
        <v>111</v>
      </c>
    </row>
    <row r="22" spans="1:12" ht="15.75" hidden="1" thickBot="1">
      <c r="A22" s="151" t="s">
        <v>109</v>
      </c>
      <c r="B22" s="59">
        <v>2009</v>
      </c>
      <c r="C22" s="339" t="s">
        <v>94</v>
      </c>
      <c r="D22" s="59">
        <v>698</v>
      </c>
      <c r="E22" s="339" t="s">
        <v>126</v>
      </c>
      <c r="F22" s="29">
        <v>1</v>
      </c>
      <c r="G22" s="9">
        <v>1</v>
      </c>
      <c r="H22" s="9">
        <v>1</v>
      </c>
      <c r="I22" s="9">
        <v>2</v>
      </c>
      <c r="J22" s="9">
        <v>2</v>
      </c>
      <c r="K22" s="159">
        <f t="shared" si="0"/>
        <v>0.35859414261160716</v>
      </c>
      <c r="L22" s="52" t="s">
        <v>111</v>
      </c>
    </row>
    <row r="23" spans="1:12" ht="15.75" hidden="1" thickBot="1">
      <c r="A23" s="151" t="s">
        <v>109</v>
      </c>
      <c r="B23" s="59">
        <v>2005</v>
      </c>
      <c r="C23" s="339" t="s">
        <v>94</v>
      </c>
      <c r="D23" s="59">
        <v>702</v>
      </c>
      <c r="E23" s="339" t="s">
        <v>126</v>
      </c>
      <c r="F23" s="29">
        <v>1</v>
      </c>
      <c r="G23" s="9">
        <v>1</v>
      </c>
      <c r="H23" s="9">
        <v>1</v>
      </c>
      <c r="I23" s="9">
        <v>2</v>
      </c>
      <c r="J23" s="9">
        <v>2</v>
      </c>
      <c r="K23" s="159">
        <f t="shared" si="0"/>
        <v>0.35859414261160716</v>
      </c>
      <c r="L23" s="52" t="s">
        <v>111</v>
      </c>
    </row>
    <row r="24" spans="1:12" ht="15.75" hidden="1" thickBot="1">
      <c r="A24" s="151" t="s">
        <v>109</v>
      </c>
      <c r="B24" s="59">
        <v>2021</v>
      </c>
      <c r="C24" s="339" t="s">
        <v>94</v>
      </c>
      <c r="D24" s="59">
        <v>710</v>
      </c>
      <c r="E24" s="339" t="s">
        <v>126</v>
      </c>
      <c r="F24" s="29">
        <v>1</v>
      </c>
      <c r="G24" s="9">
        <v>1</v>
      </c>
      <c r="H24" s="9">
        <v>1</v>
      </c>
      <c r="I24" s="9">
        <v>2</v>
      </c>
      <c r="J24" s="9">
        <v>2</v>
      </c>
      <c r="K24" s="159">
        <f t="shared" si="0"/>
        <v>0.35859414261160716</v>
      </c>
      <c r="L24" s="52" t="s">
        <v>111</v>
      </c>
    </row>
    <row r="25" spans="1:12" ht="15.75" hidden="1" thickBot="1">
      <c r="A25" s="151" t="s">
        <v>109</v>
      </c>
      <c r="B25" s="59">
        <v>2004</v>
      </c>
      <c r="C25" s="339" t="s">
        <v>94</v>
      </c>
      <c r="D25" s="59">
        <v>724</v>
      </c>
      <c r="E25" s="339" t="s">
        <v>126</v>
      </c>
      <c r="F25" s="29">
        <v>1</v>
      </c>
      <c r="G25" s="9">
        <v>1</v>
      </c>
      <c r="H25" s="9">
        <v>1</v>
      </c>
      <c r="I25" s="9">
        <v>2</v>
      </c>
      <c r="J25" s="9">
        <v>2</v>
      </c>
      <c r="K25" s="159">
        <f t="shared" si="0"/>
        <v>0.35859414261160716</v>
      </c>
      <c r="L25" s="52" t="s">
        <v>111</v>
      </c>
    </row>
    <row r="26" spans="1:12" ht="15.75" hidden="1" thickBot="1">
      <c r="A26" s="151" t="s">
        <v>109</v>
      </c>
      <c r="B26" s="59">
        <v>2006</v>
      </c>
      <c r="C26" s="339" t="s">
        <v>94</v>
      </c>
      <c r="D26" s="59">
        <v>736</v>
      </c>
      <c r="E26" s="339" t="s">
        <v>126</v>
      </c>
      <c r="F26" s="29">
        <v>1</v>
      </c>
      <c r="G26" s="9">
        <v>1</v>
      </c>
      <c r="H26" s="9">
        <v>1</v>
      </c>
      <c r="I26" s="9">
        <v>2</v>
      </c>
      <c r="J26" s="9">
        <v>2</v>
      </c>
      <c r="K26" s="159">
        <f t="shared" si="0"/>
        <v>0.35859414261160716</v>
      </c>
      <c r="L26" s="52" t="s">
        <v>111</v>
      </c>
    </row>
    <row r="27" spans="1:12" ht="15.75" hidden="1" thickBot="1">
      <c r="A27" s="151" t="s">
        <v>109</v>
      </c>
      <c r="B27" s="59">
        <v>2014</v>
      </c>
      <c r="C27" s="339" t="s">
        <v>94</v>
      </c>
      <c r="D27" s="59">
        <v>737</v>
      </c>
      <c r="E27" s="339" t="s">
        <v>126</v>
      </c>
      <c r="F27" s="29">
        <v>1</v>
      </c>
      <c r="G27" s="9">
        <v>1</v>
      </c>
      <c r="H27" s="9">
        <v>1</v>
      </c>
      <c r="I27" s="9">
        <v>2</v>
      </c>
      <c r="J27" s="9">
        <v>2</v>
      </c>
      <c r="K27" s="159">
        <f t="shared" si="0"/>
        <v>0.35859414261160716</v>
      </c>
      <c r="L27" s="52" t="s">
        <v>111</v>
      </c>
    </row>
    <row r="28" spans="1:12" ht="15.75" hidden="1" thickBot="1">
      <c r="A28" s="151" t="s">
        <v>109</v>
      </c>
      <c r="B28" s="59">
        <v>2011</v>
      </c>
      <c r="C28" s="339" t="s">
        <v>94</v>
      </c>
      <c r="D28" s="59">
        <v>790</v>
      </c>
      <c r="E28" s="339" t="s">
        <v>126</v>
      </c>
      <c r="F28" s="29">
        <v>1</v>
      </c>
      <c r="G28" s="9">
        <v>1</v>
      </c>
      <c r="H28" s="9">
        <v>1</v>
      </c>
      <c r="I28" s="9">
        <v>2</v>
      </c>
      <c r="J28" s="9">
        <v>2</v>
      </c>
      <c r="K28" s="159">
        <f t="shared" si="0"/>
        <v>0.35859414261160716</v>
      </c>
      <c r="L28" s="52" t="s">
        <v>111</v>
      </c>
    </row>
    <row r="29" spans="1:12" ht="15.75" hidden="1" thickBot="1">
      <c r="A29" s="151" t="s">
        <v>109</v>
      </c>
      <c r="B29" s="59">
        <v>2013</v>
      </c>
      <c r="C29" s="339" t="s">
        <v>96</v>
      </c>
      <c r="D29" s="59">
        <v>837</v>
      </c>
      <c r="E29" s="339" t="s">
        <v>126</v>
      </c>
      <c r="F29" s="29">
        <v>1</v>
      </c>
      <c r="G29" s="9">
        <v>1</v>
      </c>
      <c r="H29" s="9">
        <v>1</v>
      </c>
      <c r="I29" s="9">
        <v>2</v>
      </c>
      <c r="J29" s="9">
        <v>2</v>
      </c>
      <c r="K29" s="159">
        <f t="shared" si="0"/>
        <v>0.35859414261160716</v>
      </c>
      <c r="L29" s="52" t="s">
        <v>111</v>
      </c>
    </row>
    <row r="30" spans="1:12" ht="15.75" hidden="1" thickBot="1">
      <c r="A30" s="151" t="s">
        <v>109</v>
      </c>
      <c r="B30" s="59">
        <v>2008</v>
      </c>
      <c r="C30" s="339" t="s">
        <v>94</v>
      </c>
      <c r="D30" s="59">
        <v>860</v>
      </c>
      <c r="E30" s="339" t="s">
        <v>126</v>
      </c>
      <c r="F30" s="29">
        <v>1</v>
      </c>
      <c r="G30" s="9">
        <v>1</v>
      </c>
      <c r="H30" s="9">
        <v>1</v>
      </c>
      <c r="I30" s="9">
        <v>2</v>
      </c>
      <c r="J30" s="9">
        <v>2</v>
      </c>
      <c r="K30" s="159">
        <f t="shared" si="0"/>
        <v>0.35859414261160716</v>
      </c>
      <c r="L30" s="52" t="s">
        <v>111</v>
      </c>
    </row>
    <row r="31" spans="1:12" ht="15.75" hidden="1" thickBot="1">
      <c r="A31" s="151" t="s">
        <v>109</v>
      </c>
      <c r="B31" s="59">
        <v>2012</v>
      </c>
      <c r="C31" s="339" t="s">
        <v>96</v>
      </c>
      <c r="D31" s="59">
        <v>894</v>
      </c>
      <c r="E31" s="339" t="s">
        <v>126</v>
      </c>
      <c r="F31" s="29">
        <v>1</v>
      </c>
      <c r="G31" s="9">
        <v>1</v>
      </c>
      <c r="H31" s="9">
        <v>1</v>
      </c>
      <c r="I31" s="9">
        <v>2</v>
      </c>
      <c r="J31" s="9">
        <v>2</v>
      </c>
      <c r="K31" s="159">
        <f t="shared" si="0"/>
        <v>0.35859414261160716</v>
      </c>
      <c r="L31" s="52" t="s">
        <v>111</v>
      </c>
    </row>
    <row r="32" spans="1:12" ht="15.75" hidden="1" thickBot="1">
      <c r="A32" s="151" t="s">
        <v>109</v>
      </c>
      <c r="B32" s="59">
        <v>2007</v>
      </c>
      <c r="C32" s="339" t="s">
        <v>94</v>
      </c>
      <c r="D32" s="59">
        <v>969</v>
      </c>
      <c r="E32" s="339" t="s">
        <v>126</v>
      </c>
      <c r="F32" s="29">
        <v>1</v>
      </c>
      <c r="G32" s="9">
        <v>1</v>
      </c>
      <c r="H32" s="9">
        <v>1</v>
      </c>
      <c r="I32" s="9">
        <v>2</v>
      </c>
      <c r="J32" s="9">
        <v>2</v>
      </c>
      <c r="K32" s="159">
        <f t="shared" si="0"/>
        <v>0.35859414261160716</v>
      </c>
      <c r="L32" s="52" t="s">
        <v>111</v>
      </c>
    </row>
    <row r="33" spans="1:12" ht="15.75" hidden="1" thickBot="1">
      <c r="A33" s="151" t="s">
        <v>109</v>
      </c>
      <c r="B33" s="59">
        <v>2015</v>
      </c>
      <c r="C33" s="339" t="s">
        <v>96</v>
      </c>
      <c r="D33" s="59">
        <v>973</v>
      </c>
      <c r="E33" s="339" t="s">
        <v>126</v>
      </c>
      <c r="F33" s="29">
        <v>1</v>
      </c>
      <c r="G33" s="9">
        <v>1</v>
      </c>
      <c r="H33" s="9">
        <v>1</v>
      </c>
      <c r="I33" s="9">
        <v>2</v>
      </c>
      <c r="J33" s="9">
        <v>2</v>
      </c>
      <c r="K33" s="159">
        <f t="shared" si="0"/>
        <v>0.35859414261160716</v>
      </c>
      <c r="L33" s="52" t="s">
        <v>111</v>
      </c>
    </row>
    <row r="34" spans="1:12" ht="15.75" hidden="1" thickBot="1">
      <c r="A34" s="151" t="s">
        <v>109</v>
      </c>
      <c r="B34" s="59">
        <v>2014</v>
      </c>
      <c r="C34" s="339" t="s">
        <v>96</v>
      </c>
      <c r="D34" s="59">
        <v>1092</v>
      </c>
      <c r="E34" s="339" t="s">
        <v>126</v>
      </c>
      <c r="F34" s="29">
        <v>1</v>
      </c>
      <c r="G34" s="9">
        <v>1</v>
      </c>
      <c r="H34" s="9">
        <v>1</v>
      </c>
      <c r="I34" s="9">
        <v>2</v>
      </c>
      <c r="J34" s="9">
        <v>2</v>
      </c>
      <c r="K34" s="159">
        <f t="shared" si="0"/>
        <v>0.35859414261160716</v>
      </c>
      <c r="L34" s="52" t="s">
        <v>111</v>
      </c>
    </row>
    <row r="35" spans="1:12" ht="15.75" hidden="1" thickBot="1">
      <c r="A35" s="151" t="s">
        <v>109</v>
      </c>
      <c r="B35" s="59">
        <v>2020</v>
      </c>
      <c r="C35" s="339" t="s">
        <v>96</v>
      </c>
      <c r="D35" s="59">
        <v>1130</v>
      </c>
      <c r="E35" s="339" t="s">
        <v>126</v>
      </c>
      <c r="F35" s="29">
        <v>1</v>
      </c>
      <c r="G35" s="9">
        <v>1</v>
      </c>
      <c r="H35" s="9">
        <v>1</v>
      </c>
      <c r="I35" s="9">
        <v>2</v>
      </c>
      <c r="J35" s="9">
        <v>2</v>
      </c>
      <c r="K35" s="159">
        <f t="shared" si="0"/>
        <v>0.35859414261160716</v>
      </c>
      <c r="L35" s="52" t="s">
        <v>111</v>
      </c>
    </row>
    <row r="36" spans="1:12" ht="15.75" hidden="1" thickBot="1">
      <c r="A36" s="151" t="s">
        <v>109</v>
      </c>
      <c r="B36" s="59">
        <v>2006</v>
      </c>
      <c r="C36" s="339" t="s">
        <v>96</v>
      </c>
      <c r="D36" s="59">
        <v>1135</v>
      </c>
      <c r="E36" s="339" t="s">
        <v>126</v>
      </c>
      <c r="F36" s="29">
        <v>1</v>
      </c>
      <c r="G36" s="9">
        <v>1</v>
      </c>
      <c r="H36" s="9">
        <v>1</v>
      </c>
      <c r="I36" s="9">
        <v>2</v>
      </c>
      <c r="J36" s="9">
        <v>2</v>
      </c>
      <c r="K36" s="159">
        <f t="shared" si="0"/>
        <v>0.35859414261160716</v>
      </c>
      <c r="L36" s="52" t="s">
        <v>111</v>
      </c>
    </row>
    <row r="37" spans="1:12" ht="15.75" hidden="1" thickBot="1">
      <c r="A37" s="151" t="s">
        <v>109</v>
      </c>
      <c r="B37" s="59">
        <v>2004</v>
      </c>
      <c r="C37" s="339" t="s">
        <v>96</v>
      </c>
      <c r="D37" s="59">
        <v>1138</v>
      </c>
      <c r="E37" s="339" t="s">
        <v>126</v>
      </c>
      <c r="F37" s="29">
        <v>1</v>
      </c>
      <c r="G37" s="9">
        <v>1</v>
      </c>
      <c r="H37" s="9">
        <v>1</v>
      </c>
      <c r="I37" s="9">
        <v>2</v>
      </c>
      <c r="J37" s="9">
        <v>2</v>
      </c>
      <c r="K37" s="159">
        <f t="shared" si="0"/>
        <v>0.35859414261160716</v>
      </c>
      <c r="L37" s="52" t="s">
        <v>111</v>
      </c>
    </row>
    <row r="38" spans="1:12" ht="15.75" hidden="1" thickBot="1">
      <c r="A38" s="151" t="s">
        <v>109</v>
      </c>
      <c r="B38" s="59">
        <v>2016</v>
      </c>
      <c r="C38" s="339" t="s">
        <v>96</v>
      </c>
      <c r="D38" s="59">
        <v>1139</v>
      </c>
      <c r="E38" s="339" t="s">
        <v>126</v>
      </c>
      <c r="F38" s="29">
        <v>1</v>
      </c>
      <c r="G38" s="9">
        <v>1</v>
      </c>
      <c r="H38" s="9">
        <v>1</v>
      </c>
      <c r="I38" s="9">
        <v>2</v>
      </c>
      <c r="J38" s="9">
        <v>2</v>
      </c>
      <c r="K38" s="159">
        <f t="shared" si="0"/>
        <v>0.35859414261160716</v>
      </c>
      <c r="L38" s="52" t="s">
        <v>111</v>
      </c>
    </row>
    <row r="39" spans="1:12" ht="15.75" hidden="1" thickBot="1">
      <c r="A39" s="151" t="s">
        <v>109</v>
      </c>
      <c r="B39" s="59">
        <v>2005</v>
      </c>
      <c r="C39" s="339" t="s">
        <v>89</v>
      </c>
      <c r="D39" s="59">
        <v>1178</v>
      </c>
      <c r="E39" s="339" t="s">
        <v>126</v>
      </c>
      <c r="F39" s="29">
        <v>1</v>
      </c>
      <c r="G39" s="9">
        <v>1</v>
      </c>
      <c r="H39" s="9">
        <v>1</v>
      </c>
      <c r="I39" s="9">
        <v>2</v>
      </c>
      <c r="J39" s="9">
        <v>2</v>
      </c>
      <c r="K39" s="159">
        <f t="shared" si="0"/>
        <v>0.35859414261160716</v>
      </c>
      <c r="L39" s="52" t="s">
        <v>111</v>
      </c>
    </row>
    <row r="40" spans="1:12" ht="15.75" hidden="1" thickBot="1">
      <c r="A40" s="151" t="s">
        <v>109</v>
      </c>
      <c r="B40" s="59">
        <v>2005</v>
      </c>
      <c r="C40" s="339" t="s">
        <v>96</v>
      </c>
      <c r="D40" s="59">
        <v>1194</v>
      </c>
      <c r="E40" s="339" t="s">
        <v>126</v>
      </c>
      <c r="F40" s="29">
        <v>1</v>
      </c>
      <c r="G40" s="9">
        <v>1</v>
      </c>
      <c r="H40" s="9">
        <v>1</v>
      </c>
      <c r="I40" s="9">
        <v>2</v>
      </c>
      <c r="J40" s="9">
        <v>2</v>
      </c>
      <c r="K40" s="159">
        <f t="shared" si="0"/>
        <v>0.35859414261160716</v>
      </c>
      <c r="L40" s="52" t="s">
        <v>111</v>
      </c>
    </row>
    <row r="41" spans="1:12" ht="15.75" hidden="1" thickBot="1">
      <c r="A41" s="151" t="s">
        <v>109</v>
      </c>
      <c r="B41" s="59">
        <v>2017</v>
      </c>
      <c r="C41" s="339" t="s">
        <v>96</v>
      </c>
      <c r="D41" s="59">
        <v>1203</v>
      </c>
      <c r="E41" s="339" t="s">
        <v>126</v>
      </c>
      <c r="F41" s="29">
        <v>1</v>
      </c>
      <c r="G41" s="9">
        <v>1</v>
      </c>
      <c r="H41" s="9">
        <v>1</v>
      </c>
      <c r="I41" s="9">
        <v>2</v>
      </c>
      <c r="J41" s="9">
        <v>2</v>
      </c>
      <c r="K41" s="159">
        <f t="shared" si="0"/>
        <v>0.35859414261160716</v>
      </c>
      <c r="L41" s="52" t="s">
        <v>111</v>
      </c>
    </row>
    <row r="42" spans="1:12" ht="15.75" hidden="1" thickBot="1">
      <c r="A42" s="151" t="s">
        <v>109</v>
      </c>
      <c r="B42" s="59">
        <v>2018</v>
      </c>
      <c r="C42" s="339" t="s">
        <v>96</v>
      </c>
      <c r="D42" s="59">
        <v>1203</v>
      </c>
      <c r="E42" s="339" t="s">
        <v>126</v>
      </c>
      <c r="F42" s="29">
        <v>1</v>
      </c>
      <c r="G42" s="9">
        <v>1</v>
      </c>
      <c r="H42" s="9">
        <v>1</v>
      </c>
      <c r="I42" s="9">
        <v>2</v>
      </c>
      <c r="J42" s="9">
        <v>2</v>
      </c>
      <c r="K42" s="159">
        <f t="shared" si="0"/>
        <v>0.35859414261160716</v>
      </c>
      <c r="L42" s="52" t="s">
        <v>111</v>
      </c>
    </row>
    <row r="43" spans="1:12" ht="15.75" hidden="1" thickBot="1">
      <c r="A43" s="151" t="s">
        <v>109</v>
      </c>
      <c r="B43" s="59">
        <v>2019</v>
      </c>
      <c r="C43" s="339" t="s">
        <v>96</v>
      </c>
      <c r="D43" s="59">
        <v>1203</v>
      </c>
      <c r="E43" s="339" t="s">
        <v>126</v>
      </c>
      <c r="F43" s="29">
        <v>1</v>
      </c>
      <c r="G43" s="9">
        <v>1</v>
      </c>
      <c r="H43" s="9">
        <v>1</v>
      </c>
      <c r="I43" s="9">
        <v>2</v>
      </c>
      <c r="J43" s="9">
        <v>2</v>
      </c>
      <c r="K43" s="159">
        <f t="shared" si="0"/>
        <v>0.35859414261160716</v>
      </c>
      <c r="L43" s="52" t="s">
        <v>111</v>
      </c>
    </row>
    <row r="44" spans="1:12" ht="15.75" hidden="1" thickBot="1">
      <c r="A44" s="151" t="s">
        <v>109</v>
      </c>
      <c r="B44" s="59">
        <v>2006</v>
      </c>
      <c r="C44" s="339" t="s">
        <v>89</v>
      </c>
      <c r="D44" s="59">
        <v>1225</v>
      </c>
      <c r="E44" s="339" t="s">
        <v>126</v>
      </c>
      <c r="F44" s="29">
        <v>1</v>
      </c>
      <c r="G44" s="9">
        <v>1</v>
      </c>
      <c r="H44" s="9">
        <v>1</v>
      </c>
      <c r="I44" s="9">
        <v>2</v>
      </c>
      <c r="J44" s="9">
        <v>2</v>
      </c>
      <c r="K44" s="159">
        <f t="shared" si="0"/>
        <v>0.35859414261160716</v>
      </c>
      <c r="L44" s="52" t="s">
        <v>111</v>
      </c>
    </row>
    <row r="45" spans="1:12" ht="15.75" hidden="1" thickBot="1">
      <c r="A45" s="151" t="s">
        <v>109</v>
      </c>
      <c r="B45" s="59">
        <v>2010</v>
      </c>
      <c r="C45" s="339" t="s">
        <v>96</v>
      </c>
      <c r="D45" s="59">
        <v>1317</v>
      </c>
      <c r="E45" s="339" t="s">
        <v>126</v>
      </c>
      <c r="F45" s="29">
        <v>1</v>
      </c>
      <c r="G45" s="9">
        <v>1</v>
      </c>
      <c r="H45" s="9">
        <v>1</v>
      </c>
      <c r="I45" s="9">
        <v>2</v>
      </c>
      <c r="J45" s="9">
        <v>2</v>
      </c>
      <c r="K45" s="159">
        <f t="shared" si="0"/>
        <v>0.35859414261160716</v>
      </c>
      <c r="L45" s="52" t="s">
        <v>111</v>
      </c>
    </row>
    <row r="46" spans="1:12" ht="15.75" hidden="1" thickBot="1">
      <c r="A46" s="151" t="s">
        <v>109</v>
      </c>
      <c r="B46" s="59">
        <v>2021</v>
      </c>
      <c r="C46" s="339" t="s">
        <v>96</v>
      </c>
      <c r="D46" s="59">
        <v>1323</v>
      </c>
      <c r="E46" s="339" t="s">
        <v>126</v>
      </c>
      <c r="F46" s="29">
        <v>1</v>
      </c>
      <c r="G46" s="9">
        <v>1</v>
      </c>
      <c r="H46" s="9">
        <v>1</v>
      </c>
      <c r="I46" s="9">
        <v>2</v>
      </c>
      <c r="J46" s="9">
        <v>2</v>
      </c>
      <c r="K46" s="159">
        <f t="shared" si="0"/>
        <v>0.35859414261160716</v>
      </c>
      <c r="L46" s="52" t="s">
        <v>111</v>
      </c>
    </row>
    <row r="47" spans="1:12" ht="15.75" hidden="1" thickBot="1">
      <c r="A47" s="151" t="s">
        <v>109</v>
      </c>
      <c r="B47" s="59">
        <v>2003</v>
      </c>
      <c r="C47" s="339" t="s">
        <v>96</v>
      </c>
      <c r="D47" s="59">
        <v>1330</v>
      </c>
      <c r="E47" s="339" t="s">
        <v>126</v>
      </c>
      <c r="F47" s="29">
        <v>1</v>
      </c>
      <c r="G47" s="9">
        <v>1</v>
      </c>
      <c r="H47" s="9">
        <v>1</v>
      </c>
      <c r="I47" s="9">
        <v>2</v>
      </c>
      <c r="J47" s="9">
        <v>2</v>
      </c>
      <c r="K47" s="159">
        <f t="shared" si="0"/>
        <v>0.35859414261160716</v>
      </c>
      <c r="L47" s="52" t="s">
        <v>111</v>
      </c>
    </row>
    <row r="48" spans="1:12" ht="15.75" hidden="1" thickBot="1">
      <c r="A48" s="151" t="s">
        <v>109</v>
      </c>
      <c r="B48" s="59">
        <v>2004</v>
      </c>
      <c r="C48" s="339" t="s">
        <v>89</v>
      </c>
      <c r="D48" s="59">
        <v>1334</v>
      </c>
      <c r="E48" s="339" t="s">
        <v>126</v>
      </c>
      <c r="F48" s="29">
        <v>1</v>
      </c>
      <c r="G48" s="9">
        <v>1</v>
      </c>
      <c r="H48" s="9">
        <v>1</v>
      </c>
      <c r="I48" s="9">
        <v>2</v>
      </c>
      <c r="J48" s="9">
        <v>2</v>
      </c>
      <c r="K48" s="159">
        <f t="shared" si="0"/>
        <v>0.35859414261160716</v>
      </c>
      <c r="L48" s="52" t="s">
        <v>111</v>
      </c>
    </row>
    <row r="49" spans="1:12" ht="15.75" hidden="1" thickBot="1">
      <c r="A49" s="151" t="s">
        <v>109</v>
      </c>
      <c r="B49" s="59">
        <v>2009</v>
      </c>
      <c r="C49" s="339" t="s">
        <v>96</v>
      </c>
      <c r="D49" s="59">
        <v>1344</v>
      </c>
      <c r="E49" s="339" t="s">
        <v>126</v>
      </c>
      <c r="F49" s="29">
        <v>1</v>
      </c>
      <c r="G49" s="9">
        <v>1</v>
      </c>
      <c r="H49" s="9">
        <v>1</v>
      </c>
      <c r="I49" s="9">
        <v>2</v>
      </c>
      <c r="J49" s="9">
        <v>2</v>
      </c>
      <c r="K49" s="159">
        <f t="shared" si="0"/>
        <v>0.35859414261160716</v>
      </c>
      <c r="L49" s="52" t="s">
        <v>111</v>
      </c>
    </row>
    <row r="50" spans="1:12" ht="15.75" hidden="1" thickBot="1">
      <c r="A50" s="151" t="s">
        <v>109</v>
      </c>
      <c r="B50" s="59">
        <v>2008</v>
      </c>
      <c r="C50" s="339" t="s">
        <v>96</v>
      </c>
      <c r="D50" s="59">
        <v>1425</v>
      </c>
      <c r="E50" s="339" t="s">
        <v>126</v>
      </c>
      <c r="F50" s="29">
        <v>1</v>
      </c>
      <c r="G50" s="9">
        <v>1</v>
      </c>
      <c r="H50" s="9">
        <v>1</v>
      </c>
      <c r="I50" s="9">
        <v>2</v>
      </c>
      <c r="J50" s="9">
        <v>2</v>
      </c>
      <c r="K50" s="159">
        <f t="shared" si="0"/>
        <v>0.35859414261160716</v>
      </c>
      <c r="L50" s="52" t="s">
        <v>111</v>
      </c>
    </row>
    <row r="51" spans="1:12" ht="15.75" hidden="1" thickBot="1">
      <c r="A51" s="151" t="s">
        <v>109</v>
      </c>
      <c r="B51" s="59">
        <v>2007</v>
      </c>
      <c r="C51" s="339" t="s">
        <v>96</v>
      </c>
      <c r="D51" s="59">
        <v>1461</v>
      </c>
      <c r="E51" s="339" t="s">
        <v>126</v>
      </c>
      <c r="F51" s="29">
        <v>1</v>
      </c>
      <c r="G51" s="9">
        <v>1</v>
      </c>
      <c r="H51" s="9">
        <v>1</v>
      </c>
      <c r="I51" s="9">
        <v>2</v>
      </c>
      <c r="J51" s="9">
        <v>2</v>
      </c>
      <c r="K51" s="159">
        <f t="shared" si="0"/>
        <v>0.35859414261160716</v>
      </c>
      <c r="L51" s="52" t="s">
        <v>111</v>
      </c>
    </row>
    <row r="52" spans="1:12" ht="15.75" hidden="1" thickBot="1">
      <c r="A52" s="151" t="s">
        <v>109</v>
      </c>
      <c r="B52" s="59">
        <v>2003</v>
      </c>
      <c r="C52" s="339" t="s">
        <v>89</v>
      </c>
      <c r="D52" s="59">
        <v>1482</v>
      </c>
      <c r="E52" s="339" t="s">
        <v>126</v>
      </c>
      <c r="F52" s="29">
        <v>1</v>
      </c>
      <c r="G52" s="9">
        <v>1</v>
      </c>
      <c r="H52" s="9">
        <v>1</v>
      </c>
      <c r="I52" s="9">
        <v>2</v>
      </c>
      <c r="J52" s="9">
        <v>2</v>
      </c>
      <c r="K52" s="159">
        <f t="shared" si="0"/>
        <v>0.35859414261160716</v>
      </c>
      <c r="L52" s="52" t="s">
        <v>111</v>
      </c>
    </row>
    <row r="53" spans="1:12" ht="15.75" hidden="1" thickBot="1">
      <c r="A53" s="151" t="s">
        <v>109</v>
      </c>
      <c r="B53" s="59">
        <v>2008</v>
      </c>
      <c r="C53" s="339" t="s">
        <v>89</v>
      </c>
      <c r="D53" s="59">
        <v>1487</v>
      </c>
      <c r="E53" s="339" t="s">
        <v>126</v>
      </c>
      <c r="F53" s="29">
        <v>1</v>
      </c>
      <c r="G53" s="9">
        <v>1</v>
      </c>
      <c r="H53" s="9">
        <v>1</v>
      </c>
      <c r="I53" s="9">
        <v>2</v>
      </c>
      <c r="J53" s="9">
        <v>2</v>
      </c>
      <c r="K53" s="159">
        <f t="shared" si="0"/>
        <v>0.35859414261160716</v>
      </c>
      <c r="L53" s="52" t="s">
        <v>111</v>
      </c>
    </row>
    <row r="54" spans="1:12" ht="15.75" hidden="1" thickBot="1">
      <c r="A54" s="151" t="s">
        <v>109</v>
      </c>
      <c r="B54" s="59">
        <v>2011</v>
      </c>
      <c r="C54" s="339" t="s">
        <v>96</v>
      </c>
      <c r="D54" s="59">
        <v>1520</v>
      </c>
      <c r="E54" s="339" t="s">
        <v>126</v>
      </c>
      <c r="F54" s="29">
        <v>1</v>
      </c>
      <c r="G54" s="9">
        <v>1</v>
      </c>
      <c r="H54" s="9">
        <v>1</v>
      </c>
      <c r="I54" s="9">
        <v>2</v>
      </c>
      <c r="J54" s="9">
        <v>2</v>
      </c>
      <c r="K54" s="159">
        <f t="shared" si="0"/>
        <v>0.35859414261160716</v>
      </c>
      <c r="L54" s="52" t="s">
        <v>111</v>
      </c>
    </row>
    <row r="55" spans="1:12" ht="15.75" hidden="1" thickBot="1">
      <c r="A55" s="151" t="s">
        <v>109</v>
      </c>
      <c r="B55" s="59">
        <v>2007</v>
      </c>
      <c r="C55" s="339" t="s">
        <v>89</v>
      </c>
      <c r="D55" s="59">
        <v>1527</v>
      </c>
      <c r="E55" s="339" t="s">
        <v>126</v>
      </c>
      <c r="F55" s="29">
        <v>1</v>
      </c>
      <c r="G55" s="9">
        <v>1</v>
      </c>
      <c r="H55" s="9">
        <v>1</v>
      </c>
      <c r="I55" s="9">
        <v>2</v>
      </c>
      <c r="J55" s="9">
        <v>2</v>
      </c>
      <c r="K55" s="159">
        <f t="shared" si="0"/>
        <v>0.35859414261160716</v>
      </c>
      <c r="L55" s="52" t="s">
        <v>111</v>
      </c>
    </row>
    <row r="56" spans="1:12" ht="15.75" hidden="1" thickBot="1">
      <c r="A56" s="151" t="s">
        <v>109</v>
      </c>
      <c r="B56" s="59">
        <v>2011</v>
      </c>
      <c r="C56" s="339" t="s">
        <v>89</v>
      </c>
      <c r="D56" s="59">
        <v>1540</v>
      </c>
      <c r="E56" s="339" t="s">
        <v>126</v>
      </c>
      <c r="F56" s="29">
        <v>1</v>
      </c>
      <c r="G56" s="9">
        <v>1</v>
      </c>
      <c r="H56" s="9">
        <v>1</v>
      </c>
      <c r="I56" s="9">
        <v>2</v>
      </c>
      <c r="J56" s="9">
        <v>2</v>
      </c>
      <c r="K56" s="159">
        <f t="shared" si="0"/>
        <v>0.35859414261160716</v>
      </c>
      <c r="L56" s="52" t="s">
        <v>111</v>
      </c>
    </row>
    <row r="57" spans="1:12" ht="15.75" hidden="1" thickBot="1">
      <c r="A57" s="151" t="s">
        <v>109</v>
      </c>
      <c r="B57" s="59">
        <v>2016</v>
      </c>
      <c r="C57" s="339" t="s">
        <v>89</v>
      </c>
      <c r="D57" s="59">
        <v>1544</v>
      </c>
      <c r="E57" s="339"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ht="15.75" hidden="1" thickBot="1">
      <c r="A58" s="151" t="s">
        <v>109</v>
      </c>
      <c r="B58" s="59">
        <v>2015</v>
      </c>
      <c r="C58" s="339" t="s">
        <v>88</v>
      </c>
      <c r="D58" s="59">
        <v>1554</v>
      </c>
      <c r="E58" s="339" t="s">
        <v>126</v>
      </c>
      <c r="F58" s="29">
        <v>1</v>
      </c>
      <c r="G58" s="9">
        <v>1</v>
      </c>
      <c r="H58" s="9">
        <v>1</v>
      </c>
      <c r="I58" s="9">
        <v>2</v>
      </c>
      <c r="J58" s="9">
        <v>2</v>
      </c>
      <c r="K58" s="159">
        <f t="shared" si="1"/>
        <v>0.35859414261160716</v>
      </c>
      <c r="L58" s="52" t="s">
        <v>111</v>
      </c>
    </row>
    <row r="59" spans="1:12" ht="15.75" hidden="1" thickBot="1">
      <c r="A59" s="151" t="s">
        <v>109</v>
      </c>
      <c r="B59" s="59">
        <v>2010</v>
      </c>
      <c r="C59" s="339" t="s">
        <v>88</v>
      </c>
      <c r="D59" s="59">
        <v>1567</v>
      </c>
      <c r="E59" s="339" t="s">
        <v>126</v>
      </c>
      <c r="F59" s="29">
        <v>1</v>
      </c>
      <c r="G59" s="9">
        <v>1</v>
      </c>
      <c r="H59" s="9">
        <v>1</v>
      </c>
      <c r="I59" s="9">
        <v>2</v>
      </c>
      <c r="J59" s="9">
        <v>2</v>
      </c>
      <c r="K59" s="159">
        <f t="shared" si="1"/>
        <v>0.35859414261160716</v>
      </c>
      <c r="L59" s="52" t="s">
        <v>111</v>
      </c>
    </row>
    <row r="60" spans="1:12" ht="15.75" hidden="1" thickBot="1">
      <c r="A60" s="151" t="s">
        <v>109</v>
      </c>
      <c r="B60" s="59">
        <v>2017</v>
      </c>
      <c r="C60" s="339" t="s">
        <v>89</v>
      </c>
      <c r="D60" s="59">
        <v>1611</v>
      </c>
      <c r="E60" s="339" t="s">
        <v>126</v>
      </c>
      <c r="F60" s="29">
        <v>1</v>
      </c>
      <c r="G60" s="9">
        <v>1</v>
      </c>
      <c r="H60" s="9">
        <v>1</v>
      </c>
      <c r="I60" s="9">
        <v>2</v>
      </c>
      <c r="J60" s="9">
        <v>2</v>
      </c>
      <c r="K60" s="159">
        <f t="shared" si="1"/>
        <v>0.35859414261160716</v>
      </c>
      <c r="L60" s="52" t="s">
        <v>111</v>
      </c>
    </row>
    <row r="61" spans="1:12" ht="15.75" hidden="1" thickBot="1">
      <c r="A61" s="151" t="s">
        <v>109</v>
      </c>
      <c r="B61" s="59">
        <v>2018</v>
      </c>
      <c r="C61" s="339" t="s">
        <v>89</v>
      </c>
      <c r="D61" s="59">
        <v>1611</v>
      </c>
      <c r="E61" s="339" t="s">
        <v>126</v>
      </c>
      <c r="F61" s="29">
        <v>1</v>
      </c>
      <c r="G61" s="9">
        <v>1</v>
      </c>
      <c r="H61" s="9">
        <v>1</v>
      </c>
      <c r="I61" s="9">
        <v>2</v>
      </c>
      <c r="J61" s="9">
        <v>2</v>
      </c>
      <c r="K61" s="159">
        <f t="shared" si="1"/>
        <v>0.35859414261160716</v>
      </c>
      <c r="L61" s="52" t="s">
        <v>111</v>
      </c>
    </row>
    <row r="62" spans="1:12" ht="15.75" hidden="1" thickBot="1">
      <c r="A62" s="151" t="s">
        <v>109</v>
      </c>
      <c r="B62" s="59">
        <v>2019</v>
      </c>
      <c r="C62" s="339" t="s">
        <v>89</v>
      </c>
      <c r="D62" s="59">
        <v>1611</v>
      </c>
      <c r="E62" s="339" t="s">
        <v>126</v>
      </c>
      <c r="F62" s="29">
        <v>1</v>
      </c>
      <c r="G62" s="9">
        <v>1</v>
      </c>
      <c r="H62" s="9">
        <v>1</v>
      </c>
      <c r="I62" s="9">
        <v>2</v>
      </c>
      <c r="J62" s="9">
        <v>2</v>
      </c>
      <c r="K62" s="159">
        <f t="shared" si="1"/>
        <v>0.35859414261160716</v>
      </c>
      <c r="L62" s="52" t="s">
        <v>111</v>
      </c>
    </row>
    <row r="63" spans="1:12" ht="15.75" hidden="1" thickBot="1">
      <c r="A63" s="151" t="s">
        <v>109</v>
      </c>
      <c r="B63" s="59">
        <v>2015</v>
      </c>
      <c r="C63" s="339" t="s">
        <v>89</v>
      </c>
      <c r="D63" s="59">
        <v>1624</v>
      </c>
      <c r="E63" s="339" t="s">
        <v>126</v>
      </c>
      <c r="F63" s="29">
        <v>1</v>
      </c>
      <c r="G63" s="9">
        <v>1</v>
      </c>
      <c r="H63" s="9">
        <v>1</v>
      </c>
      <c r="I63" s="9">
        <v>2</v>
      </c>
      <c r="J63" s="9">
        <v>2</v>
      </c>
      <c r="K63" s="159">
        <f t="shared" si="1"/>
        <v>0.35859414261160716</v>
      </c>
      <c r="L63" s="52" t="s">
        <v>111</v>
      </c>
    </row>
    <row r="64" spans="1:12" ht="15.75" hidden="1" thickBot="1">
      <c r="A64" s="151" t="s">
        <v>109</v>
      </c>
      <c r="B64" s="59">
        <v>2010</v>
      </c>
      <c r="C64" s="339" t="s">
        <v>89</v>
      </c>
      <c r="D64" s="59">
        <v>1634</v>
      </c>
      <c r="E64" s="339" t="s">
        <v>126</v>
      </c>
      <c r="F64" s="29">
        <v>1</v>
      </c>
      <c r="G64" s="9">
        <v>1</v>
      </c>
      <c r="H64" s="9">
        <v>1</v>
      </c>
      <c r="I64" s="9">
        <v>2</v>
      </c>
      <c r="J64" s="9">
        <v>2</v>
      </c>
      <c r="K64" s="159">
        <f t="shared" si="1"/>
        <v>0.35859414261160716</v>
      </c>
      <c r="L64" s="52" t="s">
        <v>111</v>
      </c>
    </row>
    <row r="65" spans="1:12" ht="15.75" hidden="1" thickBot="1">
      <c r="A65" s="151" t="s">
        <v>109</v>
      </c>
      <c r="B65" s="59">
        <v>2004</v>
      </c>
      <c r="C65" s="339" t="s">
        <v>88</v>
      </c>
      <c r="D65" s="59">
        <v>1637</v>
      </c>
      <c r="E65" s="339" t="s">
        <v>126</v>
      </c>
      <c r="F65" s="29">
        <v>1</v>
      </c>
      <c r="G65" s="9">
        <v>1</v>
      </c>
      <c r="H65" s="9">
        <v>1</v>
      </c>
      <c r="I65" s="9">
        <v>2</v>
      </c>
      <c r="J65" s="9">
        <v>2</v>
      </c>
      <c r="K65" s="159">
        <f t="shared" si="1"/>
        <v>0.35859414261160716</v>
      </c>
      <c r="L65" s="52" t="s">
        <v>111</v>
      </c>
    </row>
    <row r="66" spans="1:12" ht="15.75" hidden="1" thickBot="1">
      <c r="A66" s="151" t="s">
        <v>109</v>
      </c>
      <c r="B66" s="59">
        <v>2009</v>
      </c>
      <c r="C66" s="339" t="s">
        <v>89</v>
      </c>
      <c r="D66" s="59">
        <v>1646</v>
      </c>
      <c r="E66" s="339" t="s">
        <v>126</v>
      </c>
      <c r="F66" s="29">
        <v>1</v>
      </c>
      <c r="G66" s="9">
        <v>1</v>
      </c>
      <c r="H66" s="9">
        <v>1</v>
      </c>
      <c r="I66" s="9">
        <v>2</v>
      </c>
      <c r="J66" s="9">
        <v>2</v>
      </c>
      <c r="K66" s="159">
        <f t="shared" si="1"/>
        <v>0.35859414261160716</v>
      </c>
      <c r="L66" s="52" t="s">
        <v>111</v>
      </c>
    </row>
    <row r="67" spans="1:12" ht="15.75" hidden="1" thickBot="1">
      <c r="A67" s="151" t="s">
        <v>109</v>
      </c>
      <c r="B67" s="59">
        <v>2005</v>
      </c>
      <c r="C67" s="339" t="s">
        <v>88</v>
      </c>
      <c r="D67" s="59">
        <v>1714</v>
      </c>
      <c r="E67" s="339" t="s">
        <v>126</v>
      </c>
      <c r="F67" s="29">
        <v>1</v>
      </c>
      <c r="G67" s="9">
        <v>1</v>
      </c>
      <c r="H67" s="9">
        <v>1</v>
      </c>
      <c r="I67" s="9">
        <v>2</v>
      </c>
      <c r="J67" s="9">
        <v>2</v>
      </c>
      <c r="K67" s="159">
        <f t="shared" si="1"/>
        <v>0.35859414261160716</v>
      </c>
      <c r="L67" s="52" t="s">
        <v>111</v>
      </c>
    </row>
    <row r="68" spans="1:12" ht="15.75" hidden="1" thickBot="1">
      <c r="A68" s="151" t="s">
        <v>109</v>
      </c>
      <c r="B68" s="59">
        <v>2014</v>
      </c>
      <c r="C68" s="339" t="s">
        <v>88</v>
      </c>
      <c r="D68" s="59">
        <v>1721</v>
      </c>
      <c r="E68" s="339" t="s">
        <v>126</v>
      </c>
      <c r="F68" s="29">
        <v>1</v>
      </c>
      <c r="G68" s="9">
        <v>1</v>
      </c>
      <c r="H68" s="9">
        <v>1</v>
      </c>
      <c r="I68" s="9">
        <v>2</v>
      </c>
      <c r="J68" s="9">
        <v>2</v>
      </c>
      <c r="K68" s="159">
        <f t="shared" si="1"/>
        <v>0.35859414261160716</v>
      </c>
      <c r="L68" s="52" t="s">
        <v>111</v>
      </c>
    </row>
    <row r="69" spans="1:12" ht="15.75" hidden="1" thickBot="1">
      <c r="A69" s="151" t="s">
        <v>109</v>
      </c>
      <c r="B69" s="59">
        <v>2009</v>
      </c>
      <c r="C69" s="339" t="s">
        <v>88</v>
      </c>
      <c r="D69" s="59">
        <v>1738</v>
      </c>
      <c r="E69" s="339" t="s">
        <v>126</v>
      </c>
      <c r="F69" s="29">
        <v>1</v>
      </c>
      <c r="G69" s="9">
        <v>1</v>
      </c>
      <c r="H69" s="9">
        <v>1</v>
      </c>
      <c r="I69" s="9">
        <v>2</v>
      </c>
      <c r="J69" s="9">
        <v>2</v>
      </c>
      <c r="K69" s="159">
        <f t="shared" si="1"/>
        <v>0.35859414261160716</v>
      </c>
      <c r="L69" s="52" t="s">
        <v>111</v>
      </c>
    </row>
    <row r="70" spans="1:12" ht="15.75" hidden="1" thickBot="1">
      <c r="A70" s="151" t="s">
        <v>109</v>
      </c>
      <c r="B70" s="59">
        <v>2013</v>
      </c>
      <c r="C70" s="339" t="s">
        <v>88</v>
      </c>
      <c r="D70" s="59">
        <v>1752</v>
      </c>
      <c r="E70" s="339" t="s">
        <v>126</v>
      </c>
      <c r="F70" s="29">
        <v>1</v>
      </c>
      <c r="G70" s="9">
        <v>1</v>
      </c>
      <c r="H70" s="9">
        <v>1</v>
      </c>
      <c r="I70" s="9">
        <v>2</v>
      </c>
      <c r="J70" s="9">
        <v>2</v>
      </c>
      <c r="K70" s="159">
        <f t="shared" si="1"/>
        <v>0.35859414261160716</v>
      </c>
      <c r="L70" s="52" t="s">
        <v>111</v>
      </c>
    </row>
    <row r="71" spans="1:12" ht="15.75" hidden="1" thickBot="1">
      <c r="A71" s="151" t="s">
        <v>109</v>
      </c>
      <c r="B71" s="59">
        <v>2011</v>
      </c>
      <c r="C71" s="339" t="s">
        <v>88</v>
      </c>
      <c r="D71" s="59">
        <v>1771</v>
      </c>
      <c r="E71" s="339" t="s">
        <v>126</v>
      </c>
      <c r="F71" s="29">
        <v>1</v>
      </c>
      <c r="G71" s="9">
        <v>1</v>
      </c>
      <c r="H71" s="9">
        <v>1</v>
      </c>
      <c r="I71" s="9">
        <v>2</v>
      </c>
      <c r="J71" s="9">
        <v>2</v>
      </c>
      <c r="K71" s="159">
        <f t="shared" si="1"/>
        <v>0.35859414261160716</v>
      </c>
      <c r="L71" s="52" t="s">
        <v>111</v>
      </c>
    </row>
    <row r="72" spans="1:12" ht="15.75" hidden="1" thickBot="1">
      <c r="A72" s="151" t="s">
        <v>109</v>
      </c>
      <c r="B72" s="59">
        <v>2016</v>
      </c>
      <c r="C72" s="339" t="s">
        <v>88</v>
      </c>
      <c r="D72" s="59">
        <v>1781</v>
      </c>
      <c r="E72" s="339" t="s">
        <v>126</v>
      </c>
      <c r="F72" s="29">
        <v>1</v>
      </c>
      <c r="G72" s="9">
        <v>1</v>
      </c>
      <c r="H72" s="9">
        <v>1</v>
      </c>
      <c r="I72" s="9">
        <v>2</v>
      </c>
      <c r="J72" s="9">
        <v>2</v>
      </c>
      <c r="K72" s="159">
        <f t="shared" si="1"/>
        <v>0.35859414261160716</v>
      </c>
      <c r="L72" s="52" t="s">
        <v>111</v>
      </c>
    </row>
    <row r="73" spans="1:12" ht="15.75" hidden="1" thickBot="1">
      <c r="A73" s="151" t="s">
        <v>109</v>
      </c>
      <c r="B73" s="59">
        <v>2008</v>
      </c>
      <c r="C73" s="339" t="s">
        <v>88</v>
      </c>
      <c r="D73" s="59">
        <v>1783</v>
      </c>
      <c r="E73" s="339" t="s">
        <v>126</v>
      </c>
      <c r="F73" s="29">
        <v>1</v>
      </c>
      <c r="G73" s="9">
        <v>1</v>
      </c>
      <c r="H73" s="9">
        <v>1</v>
      </c>
      <c r="I73" s="9">
        <v>2</v>
      </c>
      <c r="J73" s="9">
        <v>2</v>
      </c>
      <c r="K73" s="159">
        <f t="shared" si="1"/>
        <v>0.35859414261160716</v>
      </c>
      <c r="L73" s="52" t="s">
        <v>111</v>
      </c>
    </row>
    <row r="74" spans="1:12" ht="15.75" hidden="1" thickBot="1">
      <c r="A74" s="151" t="s">
        <v>109</v>
      </c>
      <c r="B74" s="59">
        <v>2017</v>
      </c>
      <c r="C74" s="339" t="s">
        <v>88</v>
      </c>
      <c r="D74" s="59">
        <v>1814</v>
      </c>
      <c r="E74" s="339" t="s">
        <v>126</v>
      </c>
      <c r="F74" s="29">
        <v>1</v>
      </c>
      <c r="G74" s="9">
        <v>1</v>
      </c>
      <c r="H74" s="9">
        <v>1</v>
      </c>
      <c r="I74" s="9">
        <v>2</v>
      </c>
      <c r="J74" s="9">
        <v>2</v>
      </c>
      <c r="K74" s="159">
        <f t="shared" si="1"/>
        <v>0.35859414261160716</v>
      </c>
      <c r="L74" s="52" t="s">
        <v>111</v>
      </c>
    </row>
    <row r="75" spans="1:12" ht="15.75" hidden="1" thickBot="1">
      <c r="A75" s="151" t="s">
        <v>109</v>
      </c>
      <c r="B75" s="59">
        <v>2018</v>
      </c>
      <c r="C75" s="339" t="s">
        <v>88</v>
      </c>
      <c r="D75" s="59">
        <v>1814</v>
      </c>
      <c r="E75" s="339" t="s">
        <v>126</v>
      </c>
      <c r="F75" s="29">
        <v>1</v>
      </c>
      <c r="G75" s="9">
        <v>1</v>
      </c>
      <c r="H75" s="9">
        <v>1</v>
      </c>
      <c r="I75" s="9">
        <v>2</v>
      </c>
      <c r="J75" s="9">
        <v>2</v>
      </c>
      <c r="K75" s="159">
        <f t="shared" si="1"/>
        <v>0.35859414261160716</v>
      </c>
      <c r="L75" s="52" t="s">
        <v>111</v>
      </c>
    </row>
    <row r="76" spans="1:12" ht="15.75" hidden="1" thickBot="1">
      <c r="A76" s="151" t="s">
        <v>109</v>
      </c>
      <c r="B76" s="59">
        <v>2019</v>
      </c>
      <c r="C76" s="339" t="s">
        <v>88</v>
      </c>
      <c r="D76" s="59">
        <v>1814</v>
      </c>
      <c r="E76" s="339" t="s">
        <v>126</v>
      </c>
      <c r="F76" s="29">
        <v>1</v>
      </c>
      <c r="G76" s="9">
        <v>1</v>
      </c>
      <c r="H76" s="9">
        <v>1</v>
      </c>
      <c r="I76" s="9">
        <v>2</v>
      </c>
      <c r="J76" s="9">
        <v>2</v>
      </c>
      <c r="K76" s="159">
        <f t="shared" si="1"/>
        <v>0.35859414261160716</v>
      </c>
      <c r="L76" s="52" t="s">
        <v>111</v>
      </c>
    </row>
    <row r="77" spans="1:12" ht="15.75" hidden="1" thickBot="1">
      <c r="A77" s="151" t="s">
        <v>109</v>
      </c>
      <c r="B77" s="59">
        <v>2013</v>
      </c>
      <c r="C77" s="339" t="s">
        <v>95</v>
      </c>
      <c r="D77" s="59">
        <v>1837</v>
      </c>
      <c r="E77" s="339" t="s">
        <v>126</v>
      </c>
      <c r="F77" s="29">
        <v>1</v>
      </c>
      <c r="G77" s="9">
        <v>1</v>
      </c>
      <c r="H77" s="9">
        <v>1</v>
      </c>
      <c r="I77" s="9">
        <v>2</v>
      </c>
      <c r="J77" s="9">
        <v>2</v>
      </c>
      <c r="K77" s="159">
        <f t="shared" si="1"/>
        <v>0.35859414261160716</v>
      </c>
      <c r="L77" s="52" t="s">
        <v>111</v>
      </c>
    </row>
    <row r="78" spans="1:12" ht="15.75" hidden="1" thickBot="1">
      <c r="A78" s="151" t="s">
        <v>109</v>
      </c>
      <c r="B78" s="59">
        <v>2020</v>
      </c>
      <c r="C78" s="339" t="s">
        <v>89</v>
      </c>
      <c r="D78" s="59">
        <v>1855</v>
      </c>
      <c r="E78" s="339" t="s">
        <v>126</v>
      </c>
      <c r="F78" s="29">
        <v>1</v>
      </c>
      <c r="G78" s="9">
        <v>1</v>
      </c>
      <c r="H78" s="9">
        <v>1</v>
      </c>
      <c r="I78" s="9">
        <v>2</v>
      </c>
      <c r="J78" s="9">
        <v>2</v>
      </c>
      <c r="K78" s="159">
        <f t="shared" si="1"/>
        <v>0.35859414261160716</v>
      </c>
      <c r="L78" s="52" t="s">
        <v>111</v>
      </c>
    </row>
    <row r="79" spans="1:12" ht="15.75" hidden="1" thickBot="1">
      <c r="A79" s="151" t="s">
        <v>109</v>
      </c>
      <c r="B79" s="59">
        <v>2012</v>
      </c>
      <c r="C79" s="339" t="s">
        <v>88</v>
      </c>
      <c r="D79" s="59">
        <v>1864</v>
      </c>
      <c r="E79" s="339" t="s">
        <v>126</v>
      </c>
      <c r="F79" s="29">
        <v>1</v>
      </c>
      <c r="G79" s="9">
        <v>1</v>
      </c>
      <c r="H79" s="9">
        <v>1</v>
      </c>
      <c r="I79" s="9">
        <v>2</v>
      </c>
      <c r="J79" s="9">
        <v>2</v>
      </c>
      <c r="K79" s="159">
        <f t="shared" si="1"/>
        <v>0.35859414261160716</v>
      </c>
      <c r="L79" s="52" t="s">
        <v>111</v>
      </c>
    </row>
    <row r="80" spans="1:12" ht="15.75" hidden="1" thickBot="1">
      <c r="A80" s="151" t="s">
        <v>109</v>
      </c>
      <c r="B80" s="59">
        <v>2012</v>
      </c>
      <c r="C80" s="339" t="s">
        <v>89</v>
      </c>
      <c r="D80" s="59">
        <v>1872</v>
      </c>
      <c r="E80" s="339" t="s">
        <v>126</v>
      </c>
      <c r="F80" s="29">
        <v>1</v>
      </c>
      <c r="G80" s="9">
        <v>1</v>
      </c>
      <c r="H80" s="9">
        <v>1</v>
      </c>
      <c r="I80" s="9">
        <v>2</v>
      </c>
      <c r="J80" s="9">
        <v>2</v>
      </c>
      <c r="K80" s="159">
        <f t="shared" si="1"/>
        <v>0.35859414261160716</v>
      </c>
      <c r="L80" s="52" t="s">
        <v>111</v>
      </c>
    </row>
    <row r="81" spans="1:12" ht="15.75" hidden="1" thickBot="1">
      <c r="A81" s="151" t="s">
        <v>109</v>
      </c>
      <c r="B81" s="59">
        <v>2013</v>
      </c>
      <c r="C81" s="339" t="s">
        <v>89</v>
      </c>
      <c r="D81" s="59">
        <v>1875</v>
      </c>
      <c r="E81" s="339" t="s">
        <v>126</v>
      </c>
      <c r="F81" s="29">
        <v>1</v>
      </c>
      <c r="G81" s="9">
        <v>1</v>
      </c>
      <c r="H81" s="9">
        <v>1</v>
      </c>
      <c r="I81" s="9">
        <v>2</v>
      </c>
      <c r="J81" s="9">
        <v>2</v>
      </c>
      <c r="K81" s="159">
        <f t="shared" si="1"/>
        <v>0.35859414261160716</v>
      </c>
      <c r="L81" s="52" t="s">
        <v>111</v>
      </c>
    </row>
    <row r="82" spans="1:12" ht="15.75" hidden="1" thickBot="1">
      <c r="A82" s="151" t="s">
        <v>109</v>
      </c>
      <c r="B82" s="59">
        <v>2012</v>
      </c>
      <c r="C82" s="339" t="s">
        <v>95</v>
      </c>
      <c r="D82" s="59">
        <v>1900</v>
      </c>
      <c r="E82" s="339" t="s">
        <v>126</v>
      </c>
      <c r="F82" s="29">
        <v>1</v>
      </c>
      <c r="G82" s="9">
        <v>1</v>
      </c>
      <c r="H82" s="9">
        <v>1</v>
      </c>
      <c r="I82" s="9">
        <v>2</v>
      </c>
      <c r="J82" s="9">
        <v>2</v>
      </c>
      <c r="K82" s="159">
        <f t="shared" si="1"/>
        <v>0.35859414261160716</v>
      </c>
      <c r="L82" s="52" t="s">
        <v>111</v>
      </c>
    </row>
    <row r="83" spans="1:12" ht="15.75" hidden="1" thickBot="1">
      <c r="A83" s="151" t="s">
        <v>109</v>
      </c>
      <c r="B83" s="59">
        <v>2003</v>
      </c>
      <c r="C83" s="339" t="s">
        <v>88</v>
      </c>
      <c r="D83" s="59">
        <v>1922</v>
      </c>
      <c r="E83" s="339" t="s">
        <v>126</v>
      </c>
      <c r="F83" s="29">
        <v>1</v>
      </c>
      <c r="G83" s="9">
        <v>1</v>
      </c>
      <c r="H83" s="9">
        <v>1</v>
      </c>
      <c r="I83" s="9">
        <v>2</v>
      </c>
      <c r="J83" s="9">
        <v>2</v>
      </c>
      <c r="K83" s="159">
        <f t="shared" si="1"/>
        <v>0.35859414261160716</v>
      </c>
      <c r="L83" s="52" t="s">
        <v>111</v>
      </c>
    </row>
    <row r="84" spans="1:12" ht="15.75" hidden="1" thickBot="1">
      <c r="A84" s="151" t="s">
        <v>109</v>
      </c>
      <c r="B84" s="59">
        <v>2021</v>
      </c>
      <c r="C84" s="339" t="s">
        <v>89</v>
      </c>
      <c r="D84" s="59">
        <v>1923</v>
      </c>
      <c r="E84" s="339" t="s">
        <v>126</v>
      </c>
      <c r="F84" s="29">
        <v>1</v>
      </c>
      <c r="G84" s="9">
        <v>1</v>
      </c>
      <c r="H84" s="9">
        <v>1</v>
      </c>
      <c r="I84" s="9">
        <v>2</v>
      </c>
      <c r="J84" s="9">
        <v>2</v>
      </c>
      <c r="K84" s="159">
        <f t="shared" si="1"/>
        <v>0.35859414261160716</v>
      </c>
      <c r="L84" s="52" t="s">
        <v>111</v>
      </c>
    </row>
    <row r="85" spans="1:12" ht="15.75" hidden="1" thickBot="1">
      <c r="A85" s="151" t="s">
        <v>109</v>
      </c>
      <c r="B85" s="59">
        <v>2007</v>
      </c>
      <c r="C85" s="339" t="s">
        <v>88</v>
      </c>
      <c r="D85" s="59">
        <v>1934</v>
      </c>
      <c r="E85" s="339" t="s">
        <v>126</v>
      </c>
      <c r="F85" s="29">
        <v>1</v>
      </c>
      <c r="G85" s="9">
        <v>1</v>
      </c>
      <c r="H85" s="9">
        <v>1</v>
      </c>
      <c r="I85" s="9">
        <v>2</v>
      </c>
      <c r="J85" s="9">
        <v>2</v>
      </c>
      <c r="K85" s="159">
        <f t="shared" si="1"/>
        <v>0.35859414261160716</v>
      </c>
      <c r="L85" s="52" t="s">
        <v>111</v>
      </c>
    </row>
    <row r="86" spans="1:12" ht="15.75" hidden="1" thickBot="1">
      <c r="A86" s="151" t="s">
        <v>109</v>
      </c>
      <c r="B86" s="59">
        <v>2016</v>
      </c>
      <c r="C86" s="339" t="s">
        <v>97</v>
      </c>
      <c r="D86" s="59">
        <v>1965</v>
      </c>
      <c r="E86" s="339" t="s">
        <v>126</v>
      </c>
      <c r="F86" s="29">
        <v>1</v>
      </c>
      <c r="G86" s="9">
        <v>1</v>
      </c>
      <c r="H86" s="9">
        <v>1</v>
      </c>
      <c r="I86" s="9">
        <v>2</v>
      </c>
      <c r="J86" s="9">
        <v>2</v>
      </c>
      <c r="K86" s="159">
        <f t="shared" si="1"/>
        <v>0.35859414261160716</v>
      </c>
      <c r="L86" s="52" t="s">
        <v>111</v>
      </c>
    </row>
    <row r="87" spans="1:12" ht="15.75" hidden="1" thickBot="1">
      <c r="A87" s="151" t="s">
        <v>109</v>
      </c>
      <c r="B87" s="59">
        <v>2020</v>
      </c>
      <c r="C87" s="339" t="s">
        <v>88</v>
      </c>
      <c r="D87" s="59">
        <v>1995</v>
      </c>
      <c r="E87" s="339" t="s">
        <v>126</v>
      </c>
      <c r="F87" s="29">
        <v>1</v>
      </c>
      <c r="G87" s="9">
        <v>1</v>
      </c>
      <c r="H87" s="9">
        <v>1</v>
      </c>
      <c r="I87" s="9">
        <v>2</v>
      </c>
      <c r="J87" s="9">
        <v>2</v>
      </c>
      <c r="K87" s="159">
        <f t="shared" si="1"/>
        <v>0.35859414261160716</v>
      </c>
      <c r="L87" s="52" t="s">
        <v>111</v>
      </c>
    </row>
    <row r="88" spans="1:12" ht="15.75" hidden="1" thickBot="1">
      <c r="A88" s="151" t="s">
        <v>109</v>
      </c>
      <c r="B88" s="59">
        <v>2004</v>
      </c>
      <c r="C88" s="339" t="s">
        <v>95</v>
      </c>
      <c r="D88" s="59">
        <v>2007</v>
      </c>
      <c r="E88" s="339" t="s">
        <v>126</v>
      </c>
      <c r="F88" s="29">
        <v>1</v>
      </c>
      <c r="G88" s="9">
        <v>1</v>
      </c>
      <c r="H88" s="9">
        <v>1</v>
      </c>
      <c r="I88" s="9">
        <v>2</v>
      </c>
      <c r="J88" s="9">
        <v>2</v>
      </c>
      <c r="K88" s="159">
        <f t="shared" si="1"/>
        <v>0.35859414261160716</v>
      </c>
      <c r="L88" s="52" t="s">
        <v>111</v>
      </c>
    </row>
    <row r="89" spans="1:12" ht="15.75" hidden="1" thickBot="1">
      <c r="A89" s="151" t="s">
        <v>109</v>
      </c>
      <c r="B89" s="59">
        <v>2014</v>
      </c>
      <c r="C89" s="339" t="s">
        <v>89</v>
      </c>
      <c r="D89" s="59">
        <v>2023</v>
      </c>
      <c r="E89" s="339" t="s">
        <v>126</v>
      </c>
      <c r="F89" s="29">
        <v>1</v>
      </c>
      <c r="G89" s="9">
        <v>1</v>
      </c>
      <c r="H89" s="9">
        <v>1</v>
      </c>
      <c r="I89" s="9">
        <v>2</v>
      </c>
      <c r="J89" s="9">
        <v>2</v>
      </c>
      <c r="K89" s="159">
        <f t="shared" si="1"/>
        <v>0.35859414261160716</v>
      </c>
      <c r="L89" s="52" t="s">
        <v>111</v>
      </c>
    </row>
    <row r="90" spans="1:12" ht="15.75" hidden="1" thickBot="1">
      <c r="A90" s="151" t="s">
        <v>109</v>
      </c>
      <c r="B90" s="59">
        <v>2021</v>
      </c>
      <c r="C90" s="339" t="s">
        <v>88</v>
      </c>
      <c r="D90" s="59">
        <v>2057</v>
      </c>
      <c r="E90" s="339" t="s">
        <v>126</v>
      </c>
      <c r="F90" s="29">
        <v>1</v>
      </c>
      <c r="G90" s="9">
        <v>1</v>
      </c>
      <c r="H90" s="9">
        <v>1</v>
      </c>
      <c r="I90" s="9">
        <v>2</v>
      </c>
      <c r="J90" s="9">
        <v>2</v>
      </c>
      <c r="K90" s="159">
        <f t="shared" si="1"/>
        <v>0.35859414261160716</v>
      </c>
      <c r="L90" s="52" t="s">
        <v>111</v>
      </c>
    </row>
    <row r="91" spans="1:12" ht="15.75" hidden="1" thickBot="1">
      <c r="A91" s="151" t="s">
        <v>109</v>
      </c>
      <c r="B91" s="59">
        <v>2010</v>
      </c>
      <c r="C91" s="339" t="s">
        <v>93</v>
      </c>
      <c r="D91" s="59">
        <v>2100</v>
      </c>
      <c r="E91" s="339" t="s">
        <v>126</v>
      </c>
      <c r="F91" s="29">
        <v>1</v>
      </c>
      <c r="G91" s="9">
        <v>1</v>
      </c>
      <c r="H91" s="9">
        <v>1</v>
      </c>
      <c r="I91" s="9">
        <v>2</v>
      </c>
      <c r="J91" s="9">
        <v>2</v>
      </c>
      <c r="K91" s="159">
        <f t="shared" si="1"/>
        <v>0.35859414261160716</v>
      </c>
      <c r="L91" s="52" t="s">
        <v>111</v>
      </c>
    </row>
    <row r="92" spans="1:12" ht="15.75" hidden="1" thickBot="1">
      <c r="A92" s="151" t="s">
        <v>109</v>
      </c>
      <c r="B92" s="59">
        <v>2011</v>
      </c>
      <c r="C92" s="339" t="s">
        <v>93</v>
      </c>
      <c r="D92" s="59">
        <v>2100</v>
      </c>
      <c r="E92" s="339" t="s">
        <v>126</v>
      </c>
      <c r="F92" s="29">
        <v>1</v>
      </c>
      <c r="G92" s="9">
        <v>1</v>
      </c>
      <c r="H92" s="9">
        <v>1</v>
      </c>
      <c r="I92" s="9">
        <v>2</v>
      </c>
      <c r="J92" s="9">
        <v>2</v>
      </c>
      <c r="K92" s="159">
        <f t="shared" si="1"/>
        <v>0.35859414261160716</v>
      </c>
      <c r="L92" s="52" t="s">
        <v>111</v>
      </c>
    </row>
    <row r="93" spans="1:12" ht="15.75" hidden="1" thickBot="1">
      <c r="A93" s="151" t="s">
        <v>109</v>
      </c>
      <c r="B93" s="59">
        <v>2009</v>
      </c>
      <c r="C93" s="339" t="s">
        <v>95</v>
      </c>
      <c r="D93" s="59">
        <v>2127</v>
      </c>
      <c r="E93" s="339" t="s">
        <v>126</v>
      </c>
      <c r="F93" s="29">
        <v>1</v>
      </c>
      <c r="G93" s="9">
        <v>1</v>
      </c>
      <c r="H93" s="9">
        <v>1</v>
      </c>
      <c r="I93" s="9">
        <v>2</v>
      </c>
      <c r="J93" s="9">
        <v>2</v>
      </c>
      <c r="K93" s="159">
        <f t="shared" si="1"/>
        <v>0.35859414261160716</v>
      </c>
      <c r="L93" s="52" t="s">
        <v>111</v>
      </c>
    </row>
    <row r="94" spans="1:12" ht="15.75" hidden="1" thickBot="1">
      <c r="A94" s="151" t="s">
        <v>109</v>
      </c>
      <c r="B94" s="59">
        <v>2020</v>
      </c>
      <c r="C94" s="339" t="s">
        <v>95</v>
      </c>
      <c r="D94" s="59">
        <v>2139</v>
      </c>
      <c r="E94" s="339" t="s">
        <v>126</v>
      </c>
      <c r="F94" s="29">
        <v>1</v>
      </c>
      <c r="G94" s="9">
        <v>1</v>
      </c>
      <c r="H94" s="9">
        <v>1</v>
      </c>
      <c r="I94" s="9">
        <v>2</v>
      </c>
      <c r="J94" s="9">
        <v>2</v>
      </c>
      <c r="K94" s="159">
        <f t="shared" si="1"/>
        <v>0.35859414261160716</v>
      </c>
      <c r="L94" s="52" t="s">
        <v>111</v>
      </c>
    </row>
    <row r="95" spans="1:12" ht="15.75" hidden="1" thickBot="1">
      <c r="A95" s="151" t="s">
        <v>109</v>
      </c>
      <c r="B95" s="59">
        <v>2021</v>
      </c>
      <c r="C95" s="339" t="s">
        <v>95</v>
      </c>
      <c r="D95" s="59">
        <v>2149</v>
      </c>
      <c r="E95" s="339" t="s">
        <v>126</v>
      </c>
      <c r="F95" s="29">
        <v>1</v>
      </c>
      <c r="G95" s="9">
        <v>1</v>
      </c>
      <c r="H95" s="9">
        <v>1</v>
      </c>
      <c r="I95" s="9">
        <v>2</v>
      </c>
      <c r="J95" s="9">
        <v>2</v>
      </c>
      <c r="K95" s="159">
        <f t="shared" si="1"/>
        <v>0.35859414261160716</v>
      </c>
      <c r="L95" s="52" t="s">
        <v>111</v>
      </c>
    </row>
    <row r="96" spans="1:12" ht="15.75" hidden="1" thickBot="1">
      <c r="A96" s="151" t="s">
        <v>109</v>
      </c>
      <c r="B96" s="59">
        <v>2003</v>
      </c>
      <c r="C96" s="339" t="s">
        <v>95</v>
      </c>
      <c r="D96" s="59">
        <v>2162</v>
      </c>
      <c r="E96" s="339" t="s">
        <v>126</v>
      </c>
      <c r="F96" s="29">
        <v>1</v>
      </c>
      <c r="G96" s="9">
        <v>1</v>
      </c>
      <c r="H96" s="9">
        <v>1</v>
      </c>
      <c r="I96" s="9">
        <v>2</v>
      </c>
      <c r="J96" s="9">
        <v>2</v>
      </c>
      <c r="K96" s="159">
        <f t="shared" si="1"/>
        <v>0.35859414261160716</v>
      </c>
      <c r="L96" s="52" t="s">
        <v>111</v>
      </c>
    </row>
    <row r="97" spans="1:12" ht="15.75" hidden="1" thickBot="1">
      <c r="A97" s="151" t="s">
        <v>109</v>
      </c>
      <c r="B97" s="59">
        <v>2006</v>
      </c>
      <c r="C97" s="339" t="s">
        <v>88</v>
      </c>
      <c r="D97" s="59">
        <v>2239</v>
      </c>
      <c r="E97" s="339" t="s">
        <v>126</v>
      </c>
      <c r="F97" s="29">
        <v>1</v>
      </c>
      <c r="G97" s="9">
        <v>1</v>
      </c>
      <c r="H97" s="9">
        <v>1</v>
      </c>
      <c r="I97" s="9">
        <v>2</v>
      </c>
      <c r="J97" s="9">
        <v>2</v>
      </c>
      <c r="K97" s="159">
        <f t="shared" si="1"/>
        <v>0.35859414261160716</v>
      </c>
      <c r="L97" s="52" t="s">
        <v>111</v>
      </c>
    </row>
    <row r="98" spans="1:12" ht="15.75" hidden="1" thickBot="1">
      <c r="A98" s="151" t="s">
        <v>109</v>
      </c>
      <c r="B98" s="59">
        <v>2013</v>
      </c>
      <c r="C98" s="339" t="s">
        <v>97</v>
      </c>
      <c r="D98" s="59">
        <v>2280</v>
      </c>
      <c r="E98" s="339" t="s">
        <v>126</v>
      </c>
      <c r="F98" s="29">
        <v>1</v>
      </c>
      <c r="G98" s="9">
        <v>1</v>
      </c>
      <c r="H98" s="9">
        <v>1</v>
      </c>
      <c r="I98" s="9">
        <v>2</v>
      </c>
      <c r="J98" s="9">
        <v>2</v>
      </c>
      <c r="K98" s="159">
        <f t="shared" si="1"/>
        <v>0.35859414261160716</v>
      </c>
      <c r="L98" s="52" t="s">
        <v>111</v>
      </c>
    </row>
    <row r="99" spans="1:12" ht="15.75" hidden="1" thickBot="1">
      <c r="A99" s="151" t="s">
        <v>109</v>
      </c>
      <c r="B99" s="59">
        <v>2015</v>
      </c>
      <c r="C99" s="339" t="s">
        <v>97</v>
      </c>
      <c r="D99" s="59">
        <v>2282</v>
      </c>
      <c r="E99" s="339" t="s">
        <v>126</v>
      </c>
      <c r="F99" s="29">
        <v>1</v>
      </c>
      <c r="G99" s="9">
        <v>1</v>
      </c>
      <c r="H99" s="9">
        <v>1</v>
      </c>
      <c r="I99" s="9">
        <v>2</v>
      </c>
      <c r="J99" s="9">
        <v>2</v>
      </c>
      <c r="K99" s="159">
        <f t="shared" si="1"/>
        <v>0.35859414261160716</v>
      </c>
      <c r="L99" s="52" t="s">
        <v>111</v>
      </c>
    </row>
    <row r="100" spans="1:12" ht="15.75" hidden="1" thickBot="1">
      <c r="A100" s="151" t="s">
        <v>109</v>
      </c>
      <c r="B100" s="59">
        <v>2017</v>
      </c>
      <c r="C100" s="339" t="s">
        <v>95</v>
      </c>
      <c r="D100" s="59">
        <v>2283</v>
      </c>
      <c r="E100" s="339" t="s">
        <v>126</v>
      </c>
      <c r="F100" s="29">
        <v>1</v>
      </c>
      <c r="G100" s="9">
        <v>1</v>
      </c>
      <c r="H100" s="9">
        <v>1</v>
      </c>
      <c r="I100" s="9">
        <v>2</v>
      </c>
      <c r="J100" s="9">
        <v>2</v>
      </c>
      <c r="K100" s="159">
        <f t="shared" si="1"/>
        <v>0.35859414261160716</v>
      </c>
      <c r="L100" s="52" t="s">
        <v>111</v>
      </c>
    </row>
    <row r="101" spans="1:12" ht="15.75" hidden="1" thickBot="1">
      <c r="A101" s="151" t="s">
        <v>109</v>
      </c>
      <c r="B101" s="59">
        <v>2018</v>
      </c>
      <c r="C101" s="339" t="s">
        <v>95</v>
      </c>
      <c r="D101" s="59">
        <v>2283</v>
      </c>
      <c r="E101" s="339" t="s">
        <v>126</v>
      </c>
      <c r="F101" s="29">
        <v>1</v>
      </c>
      <c r="G101" s="9">
        <v>1</v>
      </c>
      <c r="H101" s="9">
        <v>1</v>
      </c>
      <c r="I101" s="9">
        <v>2</v>
      </c>
      <c r="J101" s="9">
        <v>2</v>
      </c>
      <c r="K101" s="159">
        <f t="shared" si="1"/>
        <v>0.35859414261160716</v>
      </c>
      <c r="L101" s="52" t="s">
        <v>111</v>
      </c>
    </row>
    <row r="102" spans="1:12" ht="15.75" hidden="1" thickBot="1">
      <c r="A102" s="151" t="s">
        <v>109</v>
      </c>
      <c r="B102" s="59">
        <v>2019</v>
      </c>
      <c r="C102" s="339" t="s">
        <v>95</v>
      </c>
      <c r="D102" s="59">
        <v>2283</v>
      </c>
      <c r="E102" s="339" t="s">
        <v>126</v>
      </c>
      <c r="F102" s="29">
        <v>1</v>
      </c>
      <c r="G102" s="9">
        <v>1</v>
      </c>
      <c r="H102" s="9">
        <v>1</v>
      </c>
      <c r="I102" s="9">
        <v>2</v>
      </c>
      <c r="J102" s="9">
        <v>2</v>
      </c>
      <c r="K102" s="159">
        <f t="shared" si="1"/>
        <v>0.35859414261160716</v>
      </c>
      <c r="L102" s="52" t="s">
        <v>111</v>
      </c>
    </row>
    <row r="103" spans="1:12" ht="15.75" hidden="1" thickBot="1">
      <c r="A103" s="151" t="s">
        <v>109</v>
      </c>
      <c r="B103" s="59">
        <v>2011</v>
      </c>
      <c r="C103" s="339" t="s">
        <v>95</v>
      </c>
      <c r="D103" s="59">
        <v>2300</v>
      </c>
      <c r="E103" s="339" t="s">
        <v>126</v>
      </c>
      <c r="F103" s="29">
        <v>1</v>
      </c>
      <c r="G103" s="9">
        <v>1</v>
      </c>
      <c r="H103" s="9">
        <v>1</v>
      </c>
      <c r="I103" s="9">
        <v>2</v>
      </c>
      <c r="J103" s="9">
        <v>2</v>
      </c>
      <c r="K103" s="159">
        <f t="shared" si="1"/>
        <v>0.35859414261160716</v>
      </c>
      <c r="L103" s="52" t="s">
        <v>111</v>
      </c>
    </row>
    <row r="104" spans="1:12" ht="15.75" hidden="1" thickBot="1">
      <c r="A104" s="151" t="s">
        <v>109</v>
      </c>
      <c r="B104" s="59">
        <v>2013</v>
      </c>
      <c r="C104" s="339" t="s">
        <v>93</v>
      </c>
      <c r="D104" s="59">
        <v>2327</v>
      </c>
      <c r="E104" s="339" t="s">
        <v>126</v>
      </c>
      <c r="F104" s="29">
        <v>1</v>
      </c>
      <c r="G104" s="9">
        <v>1</v>
      </c>
      <c r="H104" s="9">
        <v>1</v>
      </c>
      <c r="I104" s="9">
        <v>2</v>
      </c>
      <c r="J104" s="9">
        <v>2</v>
      </c>
      <c r="K104" s="159">
        <f t="shared" si="1"/>
        <v>0.35859414261160716</v>
      </c>
      <c r="L104" s="52" t="s">
        <v>111</v>
      </c>
    </row>
    <row r="105" spans="1:12" ht="15.75" hidden="1" thickBot="1">
      <c r="A105" s="151" t="s">
        <v>109</v>
      </c>
      <c r="B105" s="59">
        <v>2009</v>
      </c>
      <c r="C105" s="339" t="s">
        <v>93</v>
      </c>
      <c r="D105" s="59">
        <v>2344</v>
      </c>
      <c r="E105" s="339" t="s">
        <v>126</v>
      </c>
      <c r="F105" s="29">
        <v>1</v>
      </c>
      <c r="G105" s="9">
        <v>1</v>
      </c>
      <c r="H105" s="9">
        <v>1</v>
      </c>
      <c r="I105" s="9">
        <v>2</v>
      </c>
      <c r="J105" s="9">
        <v>2</v>
      </c>
      <c r="K105" s="159">
        <f t="shared" si="1"/>
        <v>0.35859414261160716</v>
      </c>
      <c r="L105" s="52" t="s">
        <v>111</v>
      </c>
    </row>
    <row r="106" spans="1:12" ht="15.75" hidden="1" thickBot="1">
      <c r="A106" s="151" t="s">
        <v>109</v>
      </c>
      <c r="B106" s="59">
        <v>2005</v>
      </c>
      <c r="C106" s="339" t="s">
        <v>95</v>
      </c>
      <c r="D106" s="59">
        <v>2366</v>
      </c>
      <c r="E106" s="339" t="s">
        <v>126</v>
      </c>
      <c r="F106" s="29">
        <v>1</v>
      </c>
      <c r="G106" s="9">
        <v>1</v>
      </c>
      <c r="H106" s="9">
        <v>1</v>
      </c>
      <c r="I106" s="9">
        <v>2</v>
      </c>
      <c r="J106" s="9">
        <v>2</v>
      </c>
      <c r="K106" s="159">
        <f t="shared" si="1"/>
        <v>0.35859414261160716</v>
      </c>
      <c r="L106" s="52" t="s">
        <v>111</v>
      </c>
    </row>
    <row r="107" spans="1:12" ht="15.75" hidden="1" thickBot="1">
      <c r="A107" s="151" t="s">
        <v>109</v>
      </c>
      <c r="B107" s="59">
        <v>2012</v>
      </c>
      <c r="C107" s="339" t="s">
        <v>91</v>
      </c>
      <c r="D107" s="59">
        <v>2381</v>
      </c>
      <c r="E107" s="339" t="s">
        <v>126</v>
      </c>
      <c r="F107" s="29">
        <v>1</v>
      </c>
      <c r="G107" s="9">
        <v>1</v>
      </c>
      <c r="H107" s="9">
        <v>1</v>
      </c>
      <c r="I107" s="9">
        <v>2</v>
      </c>
      <c r="J107" s="9">
        <v>2</v>
      </c>
      <c r="K107" s="159">
        <f t="shared" si="1"/>
        <v>0.35859414261160716</v>
      </c>
      <c r="L107" s="52" t="s">
        <v>111</v>
      </c>
    </row>
    <row r="108" spans="1:12" ht="15.75" hidden="1" thickBot="1">
      <c r="A108" s="151" t="s">
        <v>109</v>
      </c>
      <c r="B108" s="59">
        <v>2013</v>
      </c>
      <c r="C108" s="339" t="s">
        <v>91</v>
      </c>
      <c r="D108" s="59">
        <v>2397</v>
      </c>
      <c r="E108" s="339" t="s">
        <v>126</v>
      </c>
      <c r="F108" s="29">
        <v>1</v>
      </c>
      <c r="G108" s="9">
        <v>1</v>
      </c>
      <c r="H108" s="9">
        <v>1</v>
      </c>
      <c r="I108" s="9">
        <v>2</v>
      </c>
      <c r="J108" s="9">
        <v>2</v>
      </c>
      <c r="K108" s="159">
        <f t="shared" si="1"/>
        <v>0.35859414261160716</v>
      </c>
      <c r="L108" s="52" t="s">
        <v>111</v>
      </c>
    </row>
    <row r="109" spans="1:12" ht="15.75" hidden="1" thickBot="1">
      <c r="A109" s="151" t="s">
        <v>109</v>
      </c>
      <c r="B109" s="59">
        <v>2016</v>
      </c>
      <c r="C109" s="339" t="s">
        <v>95</v>
      </c>
      <c r="D109" s="59">
        <v>2397</v>
      </c>
      <c r="E109" s="339" t="s">
        <v>126</v>
      </c>
      <c r="F109" s="29">
        <v>1</v>
      </c>
      <c r="G109" s="9">
        <v>1</v>
      </c>
      <c r="H109" s="9">
        <v>1</v>
      </c>
      <c r="I109" s="9">
        <v>2</v>
      </c>
      <c r="J109" s="9">
        <v>2</v>
      </c>
      <c r="K109" s="159">
        <f t="shared" si="1"/>
        <v>0.35859414261160716</v>
      </c>
      <c r="L109" s="52" t="s">
        <v>111</v>
      </c>
    </row>
    <row r="110" spans="1:12" ht="15.75" hidden="1" thickBot="1">
      <c r="A110" s="151" t="s">
        <v>109</v>
      </c>
      <c r="B110" s="59">
        <v>2015</v>
      </c>
      <c r="C110" s="339" t="s">
        <v>93</v>
      </c>
      <c r="D110" s="59">
        <v>2400</v>
      </c>
      <c r="E110" s="339" t="s">
        <v>126</v>
      </c>
      <c r="F110" s="29">
        <v>1</v>
      </c>
      <c r="G110" s="9">
        <v>1</v>
      </c>
      <c r="H110" s="9">
        <v>1</v>
      </c>
      <c r="I110" s="9">
        <v>2</v>
      </c>
      <c r="J110" s="9">
        <v>2</v>
      </c>
      <c r="K110" s="159">
        <f t="shared" si="1"/>
        <v>0.35859414261160716</v>
      </c>
      <c r="L110" s="52" t="s">
        <v>111</v>
      </c>
    </row>
    <row r="111" spans="1:12" ht="15.75" hidden="1" thickBot="1">
      <c r="A111" s="151" t="s">
        <v>109</v>
      </c>
      <c r="B111" s="59">
        <v>2016</v>
      </c>
      <c r="C111" s="339" t="s">
        <v>93</v>
      </c>
      <c r="D111" s="59">
        <v>2400</v>
      </c>
      <c r="E111" s="339" t="s">
        <v>126</v>
      </c>
      <c r="F111" s="29">
        <v>1</v>
      </c>
      <c r="G111" s="9">
        <v>1</v>
      </c>
      <c r="H111" s="9">
        <v>1</v>
      </c>
      <c r="I111" s="9">
        <v>2</v>
      </c>
      <c r="J111" s="9">
        <v>2</v>
      </c>
      <c r="K111" s="159">
        <f t="shared" si="1"/>
        <v>0.35859414261160716</v>
      </c>
      <c r="L111" s="52" t="s">
        <v>111</v>
      </c>
    </row>
    <row r="112" spans="1:12" ht="15.75" hidden="1" thickBot="1">
      <c r="A112" s="151" t="s">
        <v>109</v>
      </c>
      <c r="B112" s="59">
        <v>2006</v>
      </c>
      <c r="C112" s="339" t="s">
        <v>95</v>
      </c>
      <c r="D112" s="59">
        <v>2440</v>
      </c>
      <c r="E112" s="339" t="s">
        <v>126</v>
      </c>
      <c r="F112" s="29">
        <v>1</v>
      </c>
      <c r="G112" s="9">
        <v>1</v>
      </c>
      <c r="H112" s="9">
        <v>1</v>
      </c>
      <c r="I112" s="9">
        <v>2</v>
      </c>
      <c r="J112" s="9">
        <v>2</v>
      </c>
      <c r="K112" s="159">
        <f t="shared" si="1"/>
        <v>0.35859414261160716</v>
      </c>
      <c r="L112" s="52" t="s">
        <v>111</v>
      </c>
    </row>
    <row r="113" spans="1:12" ht="15.75" hidden="1" thickBot="1">
      <c r="A113" s="151" t="s">
        <v>109</v>
      </c>
      <c r="B113" s="59">
        <v>2015</v>
      </c>
      <c r="C113" s="339" t="s">
        <v>95</v>
      </c>
      <c r="D113" s="59">
        <v>2444</v>
      </c>
      <c r="E113" s="339" t="s">
        <v>126</v>
      </c>
      <c r="F113" s="29">
        <v>1</v>
      </c>
      <c r="G113" s="9">
        <v>1</v>
      </c>
      <c r="H113" s="9">
        <v>1</v>
      </c>
      <c r="I113" s="9">
        <v>2</v>
      </c>
      <c r="J113" s="9">
        <v>2</v>
      </c>
      <c r="K113" s="159">
        <f t="shared" si="1"/>
        <v>0.35859414261160716</v>
      </c>
      <c r="L113" s="52" t="s">
        <v>111</v>
      </c>
    </row>
    <row r="114" spans="1:12" ht="15.75" hidden="1" thickBot="1">
      <c r="A114" s="151" t="s">
        <v>109</v>
      </c>
      <c r="B114" s="59">
        <v>2020</v>
      </c>
      <c r="C114" s="339" t="s">
        <v>97</v>
      </c>
      <c r="D114" s="59">
        <v>2463</v>
      </c>
      <c r="E114" s="339" t="s">
        <v>126</v>
      </c>
      <c r="F114" s="29">
        <v>1</v>
      </c>
      <c r="G114" s="9">
        <v>1</v>
      </c>
      <c r="H114" s="9">
        <v>1</v>
      </c>
      <c r="I114" s="9">
        <v>2</v>
      </c>
      <c r="J114" s="9">
        <v>2</v>
      </c>
      <c r="K114" s="159">
        <f t="shared" si="1"/>
        <v>0.35859414261160716</v>
      </c>
      <c r="L114" s="52" t="s">
        <v>111</v>
      </c>
    </row>
    <row r="115" spans="1:12" ht="15.75" hidden="1" thickBot="1">
      <c r="A115" s="151" t="s">
        <v>109</v>
      </c>
      <c r="B115" s="59">
        <v>2014</v>
      </c>
      <c r="C115" s="339" t="s">
        <v>95</v>
      </c>
      <c r="D115" s="59">
        <v>2491</v>
      </c>
      <c r="E115" s="339" t="s">
        <v>126</v>
      </c>
      <c r="F115" s="29">
        <v>1</v>
      </c>
      <c r="G115" s="9">
        <v>1</v>
      </c>
      <c r="H115" s="9">
        <v>1</v>
      </c>
      <c r="I115" s="9">
        <v>2</v>
      </c>
      <c r="J115" s="9">
        <v>2</v>
      </c>
      <c r="K115" s="159">
        <f t="shared" si="1"/>
        <v>0.35859414261160716</v>
      </c>
      <c r="L115" s="52" t="s">
        <v>111</v>
      </c>
    </row>
    <row r="116" spans="1:12" ht="15.75" hidden="1" thickBot="1">
      <c r="A116" s="151" t="s">
        <v>109</v>
      </c>
      <c r="B116" s="59">
        <v>2008</v>
      </c>
      <c r="C116" s="339" t="s">
        <v>95</v>
      </c>
      <c r="D116" s="59">
        <v>2497</v>
      </c>
      <c r="E116" s="339" t="s">
        <v>126</v>
      </c>
      <c r="F116" s="29">
        <v>1</v>
      </c>
      <c r="G116" s="9">
        <v>1</v>
      </c>
      <c r="H116" s="9">
        <v>1</v>
      </c>
      <c r="I116" s="9">
        <v>2</v>
      </c>
      <c r="J116" s="9">
        <v>2</v>
      </c>
      <c r="K116" s="159">
        <f t="shared" si="1"/>
        <v>0.35859414261160716</v>
      </c>
      <c r="L116" s="52" t="s">
        <v>111</v>
      </c>
    </row>
    <row r="117" spans="1:12" ht="15.75" hidden="1" thickBot="1">
      <c r="A117" s="151" t="s">
        <v>109</v>
      </c>
      <c r="B117" s="59">
        <v>2020</v>
      </c>
      <c r="C117" s="339" t="s">
        <v>91</v>
      </c>
      <c r="D117" s="59">
        <v>2519</v>
      </c>
      <c r="E117" s="339" t="s">
        <v>126</v>
      </c>
      <c r="F117" s="29">
        <v>1</v>
      </c>
      <c r="G117" s="9">
        <v>1</v>
      </c>
      <c r="H117" s="9">
        <v>1</v>
      </c>
      <c r="I117" s="9">
        <v>2</v>
      </c>
      <c r="J117" s="9">
        <v>2</v>
      </c>
      <c r="K117" s="159">
        <f t="shared" si="1"/>
        <v>0.35859414261160716</v>
      </c>
      <c r="L117" s="52" t="s">
        <v>111</v>
      </c>
    </row>
    <row r="118" spans="1:12" ht="15.75" hidden="1" thickBot="1">
      <c r="A118" s="151" t="s">
        <v>109</v>
      </c>
      <c r="B118" s="59">
        <v>2012</v>
      </c>
      <c r="C118" s="339" t="s">
        <v>97</v>
      </c>
      <c r="D118" s="59">
        <v>2542</v>
      </c>
      <c r="E118" s="339" t="s">
        <v>126</v>
      </c>
      <c r="F118" s="29">
        <v>1</v>
      </c>
      <c r="G118" s="9">
        <v>1</v>
      </c>
      <c r="H118" s="9">
        <v>1</v>
      </c>
      <c r="I118" s="9">
        <v>2</v>
      </c>
      <c r="J118" s="9">
        <v>2</v>
      </c>
      <c r="K118" s="159">
        <f t="shared" si="1"/>
        <v>0.35859414261160716</v>
      </c>
      <c r="L118" s="52" t="s">
        <v>111</v>
      </c>
    </row>
    <row r="119" spans="1:12" ht="15.75" hidden="1" thickBot="1">
      <c r="A119" s="151" t="s">
        <v>109</v>
      </c>
      <c r="B119" s="59">
        <v>2021</v>
      </c>
      <c r="C119" s="339" t="s">
        <v>97</v>
      </c>
      <c r="D119" s="59">
        <v>2546</v>
      </c>
      <c r="E119" s="339" t="s">
        <v>126</v>
      </c>
      <c r="F119" s="29">
        <v>1</v>
      </c>
      <c r="G119" s="9">
        <v>1</v>
      </c>
      <c r="H119" s="9">
        <v>1</v>
      </c>
      <c r="I119" s="9">
        <v>2</v>
      </c>
      <c r="J119" s="9">
        <v>2</v>
      </c>
      <c r="K119" s="159">
        <f t="shared" si="1"/>
        <v>0.35859414261160716</v>
      </c>
      <c r="L119" s="52" t="s">
        <v>111</v>
      </c>
    </row>
    <row r="120" spans="1:12" ht="15.75" hidden="1" thickBot="1">
      <c r="A120" s="151" t="s">
        <v>109</v>
      </c>
      <c r="B120" s="59">
        <v>2007</v>
      </c>
      <c r="C120" s="339" t="s">
        <v>93</v>
      </c>
      <c r="D120" s="59">
        <v>2550</v>
      </c>
      <c r="E120" s="339" t="s">
        <v>126</v>
      </c>
      <c r="F120" s="29">
        <v>1</v>
      </c>
      <c r="G120" s="9">
        <v>1</v>
      </c>
      <c r="H120" s="9">
        <v>1</v>
      </c>
      <c r="I120" s="9">
        <v>2</v>
      </c>
      <c r="J120" s="9">
        <v>2</v>
      </c>
      <c r="K120" s="159">
        <f t="shared" si="1"/>
        <v>0.35859414261160716</v>
      </c>
      <c r="L120" s="52" t="s">
        <v>111</v>
      </c>
    </row>
    <row r="121" spans="1:12" ht="15.75" hidden="1" thickBot="1">
      <c r="A121" s="151" t="s">
        <v>109</v>
      </c>
      <c r="B121" s="59">
        <v>2010</v>
      </c>
      <c r="C121" s="339" t="s">
        <v>95</v>
      </c>
      <c r="D121" s="59">
        <v>2566</v>
      </c>
      <c r="E121" s="339"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ht="15.75" hidden="1" thickBot="1">
      <c r="A122" s="151" t="s">
        <v>109</v>
      </c>
      <c r="B122" s="59">
        <v>2003</v>
      </c>
      <c r="C122" s="339" t="s">
        <v>91</v>
      </c>
      <c r="D122" s="59">
        <v>2697</v>
      </c>
      <c r="E122" s="339" t="s">
        <v>126</v>
      </c>
      <c r="F122" s="29">
        <v>1</v>
      </c>
      <c r="G122" s="9">
        <v>1</v>
      </c>
      <c r="H122" s="9">
        <v>1</v>
      </c>
      <c r="I122" s="9">
        <v>2</v>
      </c>
      <c r="J122" s="9">
        <v>2</v>
      </c>
      <c r="K122" s="159">
        <f t="shared" si="2"/>
        <v>0.35859414261160716</v>
      </c>
      <c r="L122" s="52" t="s">
        <v>111</v>
      </c>
    </row>
    <row r="123" spans="1:12" ht="15.75" hidden="1" thickBot="1">
      <c r="A123" s="151" t="s">
        <v>109</v>
      </c>
      <c r="B123" s="59">
        <v>2007</v>
      </c>
      <c r="C123" s="339" t="s">
        <v>95</v>
      </c>
      <c r="D123" s="59">
        <v>2709</v>
      </c>
      <c r="E123" s="339" t="s">
        <v>126</v>
      </c>
      <c r="F123" s="29">
        <v>1</v>
      </c>
      <c r="G123" s="9">
        <v>1</v>
      </c>
      <c r="H123" s="9">
        <v>1</v>
      </c>
      <c r="I123" s="9">
        <v>2</v>
      </c>
      <c r="J123" s="9">
        <v>2</v>
      </c>
      <c r="K123" s="159">
        <f t="shared" si="2"/>
        <v>0.35859414261160716</v>
      </c>
      <c r="L123" s="52" t="s">
        <v>111</v>
      </c>
    </row>
    <row r="124" spans="1:12" ht="15.75" hidden="1" thickBot="1">
      <c r="A124" s="151" t="s">
        <v>109</v>
      </c>
      <c r="B124" s="59">
        <v>2004</v>
      </c>
      <c r="C124" s="339" t="s">
        <v>91</v>
      </c>
      <c r="D124" s="59">
        <v>2786</v>
      </c>
      <c r="E124" s="339" t="s">
        <v>126</v>
      </c>
      <c r="F124" s="29">
        <v>1</v>
      </c>
      <c r="G124" s="9">
        <v>1</v>
      </c>
      <c r="H124" s="9">
        <v>1</v>
      </c>
      <c r="I124" s="9">
        <v>2</v>
      </c>
      <c r="J124" s="9">
        <v>2</v>
      </c>
      <c r="K124" s="159">
        <f t="shared" si="2"/>
        <v>0.35859414261160716</v>
      </c>
      <c r="L124" s="52" t="s">
        <v>111</v>
      </c>
    </row>
    <row r="125" spans="1:12" ht="15.75" hidden="1" thickBot="1">
      <c r="A125" s="151" t="s">
        <v>109</v>
      </c>
      <c r="B125" s="59">
        <v>2021</v>
      </c>
      <c r="C125" s="339" t="s">
        <v>91</v>
      </c>
      <c r="D125" s="59">
        <v>2802</v>
      </c>
      <c r="E125" s="339" t="s">
        <v>126</v>
      </c>
      <c r="F125" s="29">
        <v>1</v>
      </c>
      <c r="G125" s="9">
        <v>1</v>
      </c>
      <c r="H125" s="9">
        <v>1</v>
      </c>
      <c r="I125" s="9">
        <v>2</v>
      </c>
      <c r="J125" s="9">
        <v>2</v>
      </c>
      <c r="K125" s="159">
        <f t="shared" si="2"/>
        <v>0.35859414261160716</v>
      </c>
      <c r="L125" s="52" t="s">
        <v>111</v>
      </c>
    </row>
    <row r="126" spans="1:12" ht="15.75" hidden="1" thickBot="1">
      <c r="A126" s="151" t="s">
        <v>109</v>
      </c>
      <c r="B126" s="59">
        <v>2014</v>
      </c>
      <c r="C126" s="339" t="s">
        <v>91</v>
      </c>
      <c r="D126" s="59">
        <v>2830</v>
      </c>
      <c r="E126" s="339" t="s">
        <v>126</v>
      </c>
      <c r="F126" s="29">
        <v>1</v>
      </c>
      <c r="G126" s="9">
        <v>1</v>
      </c>
      <c r="H126" s="9">
        <v>1</v>
      </c>
      <c r="I126" s="9">
        <v>2</v>
      </c>
      <c r="J126" s="9">
        <v>2</v>
      </c>
      <c r="K126" s="159">
        <f t="shared" si="2"/>
        <v>0.35859414261160716</v>
      </c>
      <c r="L126" s="52" t="s">
        <v>111</v>
      </c>
    </row>
    <row r="127" spans="1:12" ht="15.75" hidden="1" thickBot="1">
      <c r="A127" s="151" t="s">
        <v>109</v>
      </c>
      <c r="B127" s="59">
        <v>2016</v>
      </c>
      <c r="C127" s="339" t="s">
        <v>91</v>
      </c>
      <c r="D127" s="59">
        <v>2830</v>
      </c>
      <c r="E127" s="339" t="s">
        <v>126</v>
      </c>
      <c r="F127" s="29">
        <v>1</v>
      </c>
      <c r="G127" s="9">
        <v>1</v>
      </c>
      <c r="H127" s="9">
        <v>1</v>
      </c>
      <c r="I127" s="9">
        <v>2</v>
      </c>
      <c r="J127" s="9">
        <v>2</v>
      </c>
      <c r="K127" s="159">
        <f t="shared" si="2"/>
        <v>0.35859414261160716</v>
      </c>
      <c r="L127" s="52" t="s">
        <v>111</v>
      </c>
    </row>
    <row r="128" spans="1:12" ht="15.75" hidden="1" thickBot="1">
      <c r="A128" s="151" t="s">
        <v>109</v>
      </c>
      <c r="B128" s="59">
        <v>2008</v>
      </c>
      <c r="C128" s="339" t="s">
        <v>93</v>
      </c>
      <c r="D128" s="59">
        <v>2860</v>
      </c>
      <c r="E128" s="339" t="s">
        <v>126</v>
      </c>
      <c r="F128" s="29">
        <v>1</v>
      </c>
      <c r="G128" s="9">
        <v>1</v>
      </c>
      <c r="H128" s="9">
        <v>1</v>
      </c>
      <c r="I128" s="9">
        <v>2</v>
      </c>
      <c r="J128" s="9">
        <v>2</v>
      </c>
      <c r="K128" s="159">
        <f t="shared" si="2"/>
        <v>0.35859414261160716</v>
      </c>
      <c r="L128" s="52" t="s">
        <v>111</v>
      </c>
    </row>
    <row r="129" spans="1:12" ht="15.75" hidden="1" thickBot="1">
      <c r="A129" s="151" t="s">
        <v>109</v>
      </c>
      <c r="B129" s="59">
        <v>2007</v>
      </c>
      <c r="C129" s="339" t="s">
        <v>91</v>
      </c>
      <c r="D129" s="59">
        <v>2864</v>
      </c>
      <c r="E129" s="339" t="s">
        <v>126</v>
      </c>
      <c r="F129" s="29">
        <v>1</v>
      </c>
      <c r="G129" s="9">
        <v>1</v>
      </c>
      <c r="H129" s="9">
        <v>1</v>
      </c>
      <c r="I129" s="9">
        <v>2</v>
      </c>
      <c r="J129" s="9">
        <v>2</v>
      </c>
      <c r="K129" s="159">
        <f t="shared" si="2"/>
        <v>0.35859414261160716</v>
      </c>
      <c r="L129" s="52" t="s">
        <v>111</v>
      </c>
    </row>
    <row r="130" spans="1:12" ht="15.75" hidden="1" thickBot="1">
      <c r="A130" s="151" t="s">
        <v>109</v>
      </c>
      <c r="B130" s="59">
        <v>2017</v>
      </c>
      <c r="C130" s="339" t="s">
        <v>93</v>
      </c>
      <c r="D130" s="59">
        <v>2871</v>
      </c>
      <c r="E130" s="339" t="s">
        <v>126</v>
      </c>
      <c r="F130" s="29">
        <v>1</v>
      </c>
      <c r="G130" s="9">
        <v>1</v>
      </c>
      <c r="H130" s="9">
        <v>1</v>
      </c>
      <c r="I130" s="9">
        <v>2</v>
      </c>
      <c r="J130" s="9">
        <v>2</v>
      </c>
      <c r="K130" s="159">
        <f t="shared" si="2"/>
        <v>0.35859414261160716</v>
      </c>
      <c r="L130" s="52" t="s">
        <v>111</v>
      </c>
    </row>
    <row r="131" spans="1:12" ht="15.75" hidden="1" thickBot="1">
      <c r="A131" s="151" t="s">
        <v>109</v>
      </c>
      <c r="B131" s="59">
        <v>2018</v>
      </c>
      <c r="C131" s="339" t="s">
        <v>93</v>
      </c>
      <c r="D131" s="59">
        <v>2871</v>
      </c>
      <c r="E131" s="339" t="s">
        <v>126</v>
      </c>
      <c r="F131" s="29">
        <v>1</v>
      </c>
      <c r="G131" s="9">
        <v>1</v>
      </c>
      <c r="H131" s="9">
        <v>1</v>
      </c>
      <c r="I131" s="9">
        <v>2</v>
      </c>
      <c r="J131" s="9">
        <v>2</v>
      </c>
      <c r="K131" s="159">
        <f t="shared" si="2"/>
        <v>0.35859414261160716</v>
      </c>
      <c r="L131" s="52" t="s">
        <v>111</v>
      </c>
    </row>
    <row r="132" spans="1:12" ht="15.75" hidden="1" thickBot="1">
      <c r="A132" s="151" t="s">
        <v>109</v>
      </c>
      <c r="B132" s="59">
        <v>2019</v>
      </c>
      <c r="C132" s="339" t="s">
        <v>93</v>
      </c>
      <c r="D132" s="59">
        <v>2871</v>
      </c>
      <c r="E132" s="339" t="s">
        <v>126</v>
      </c>
      <c r="F132" s="29">
        <v>1</v>
      </c>
      <c r="G132" s="9">
        <v>1</v>
      </c>
      <c r="H132" s="9">
        <v>1</v>
      </c>
      <c r="I132" s="9">
        <v>2</v>
      </c>
      <c r="J132" s="9">
        <v>2</v>
      </c>
      <c r="K132" s="159">
        <f t="shared" si="2"/>
        <v>0.35859414261160716</v>
      </c>
      <c r="L132" s="52" t="s">
        <v>111</v>
      </c>
    </row>
    <row r="133" spans="1:12" ht="15.75" hidden="1" thickBot="1">
      <c r="A133" s="151" t="s">
        <v>109</v>
      </c>
      <c r="B133" s="59">
        <v>2015</v>
      </c>
      <c r="C133" s="339" t="s">
        <v>91</v>
      </c>
      <c r="D133" s="59">
        <v>2872</v>
      </c>
      <c r="E133" s="339" t="s">
        <v>126</v>
      </c>
      <c r="F133" s="29">
        <v>1</v>
      </c>
      <c r="G133" s="9">
        <v>1</v>
      </c>
      <c r="H133" s="9">
        <v>1</v>
      </c>
      <c r="I133" s="9">
        <v>2</v>
      </c>
      <c r="J133" s="9">
        <v>2</v>
      </c>
      <c r="K133" s="159">
        <f t="shared" si="2"/>
        <v>0.35859414261160716</v>
      </c>
      <c r="L133" s="52" t="s">
        <v>111</v>
      </c>
    </row>
    <row r="134" spans="1:12" ht="15.75" hidden="1" thickBot="1">
      <c r="A134" s="151" t="s">
        <v>109</v>
      </c>
      <c r="B134" s="59">
        <v>2017</v>
      </c>
      <c r="C134" s="339" t="s">
        <v>91</v>
      </c>
      <c r="D134" s="59">
        <v>2891</v>
      </c>
      <c r="E134" s="339" t="s">
        <v>126</v>
      </c>
      <c r="F134" s="29">
        <v>1</v>
      </c>
      <c r="G134" s="9">
        <v>1</v>
      </c>
      <c r="H134" s="9">
        <v>1</v>
      </c>
      <c r="I134" s="9">
        <v>2</v>
      </c>
      <c r="J134" s="9">
        <v>2</v>
      </c>
      <c r="K134" s="159">
        <f t="shared" si="2"/>
        <v>0.35859414261160716</v>
      </c>
      <c r="L134" s="52" t="s">
        <v>111</v>
      </c>
    </row>
    <row r="135" spans="1:12" ht="15.75" hidden="1" thickBot="1">
      <c r="A135" s="151" t="s">
        <v>109</v>
      </c>
      <c r="B135" s="59">
        <v>2018</v>
      </c>
      <c r="C135" s="339" t="s">
        <v>91</v>
      </c>
      <c r="D135" s="59">
        <v>2891</v>
      </c>
      <c r="E135" s="339" t="s">
        <v>126</v>
      </c>
      <c r="F135" s="29">
        <v>1</v>
      </c>
      <c r="G135" s="9">
        <v>1</v>
      </c>
      <c r="H135" s="9">
        <v>1</v>
      </c>
      <c r="I135" s="9">
        <v>2</v>
      </c>
      <c r="J135" s="9">
        <v>2</v>
      </c>
      <c r="K135" s="159">
        <f t="shared" si="2"/>
        <v>0.35859414261160716</v>
      </c>
      <c r="L135" s="52" t="s">
        <v>111</v>
      </c>
    </row>
    <row r="136" spans="1:12" ht="15.75" hidden="1" thickBot="1">
      <c r="A136" s="151" t="s">
        <v>109</v>
      </c>
      <c r="B136" s="59">
        <v>2019</v>
      </c>
      <c r="C136" s="339" t="s">
        <v>91</v>
      </c>
      <c r="D136" s="59">
        <v>2891</v>
      </c>
      <c r="E136" s="339" t="s">
        <v>126</v>
      </c>
      <c r="F136" s="29">
        <v>1</v>
      </c>
      <c r="G136" s="9">
        <v>1</v>
      </c>
      <c r="H136" s="9">
        <v>1</v>
      </c>
      <c r="I136" s="9">
        <v>2</v>
      </c>
      <c r="J136" s="9">
        <v>2</v>
      </c>
      <c r="K136" s="159">
        <f t="shared" si="2"/>
        <v>0.35859414261160716</v>
      </c>
      <c r="L136" s="52" t="s">
        <v>111</v>
      </c>
    </row>
    <row r="137" spans="1:12" ht="15.75" hidden="1" thickBot="1">
      <c r="A137" s="151" t="s">
        <v>109</v>
      </c>
      <c r="B137" s="59">
        <v>2009</v>
      </c>
      <c r="C137" s="339" t="s">
        <v>91</v>
      </c>
      <c r="D137" s="59">
        <v>2917</v>
      </c>
      <c r="E137" s="339" t="s">
        <v>126</v>
      </c>
      <c r="F137" s="29">
        <v>1</v>
      </c>
      <c r="G137" s="9">
        <v>1</v>
      </c>
      <c r="H137" s="9">
        <v>1</v>
      </c>
      <c r="I137" s="9">
        <v>2</v>
      </c>
      <c r="J137" s="9">
        <v>2</v>
      </c>
      <c r="K137" s="159">
        <f t="shared" si="2"/>
        <v>0.35859414261160716</v>
      </c>
      <c r="L137" s="52" t="s">
        <v>111</v>
      </c>
    </row>
    <row r="138" spans="1:12" ht="15.75" hidden="1" thickBot="1">
      <c r="A138" s="151" t="s">
        <v>109</v>
      </c>
      <c r="B138" s="59">
        <v>2006</v>
      </c>
      <c r="C138" s="339" t="s">
        <v>91</v>
      </c>
      <c r="D138" s="59">
        <v>2931</v>
      </c>
      <c r="E138" s="339" t="s">
        <v>126</v>
      </c>
      <c r="F138" s="29">
        <v>1</v>
      </c>
      <c r="G138" s="9">
        <v>1</v>
      </c>
      <c r="H138" s="9">
        <v>1</v>
      </c>
      <c r="I138" s="9">
        <v>2</v>
      </c>
      <c r="J138" s="9">
        <v>2</v>
      </c>
      <c r="K138" s="159">
        <f t="shared" si="2"/>
        <v>0.35859414261160716</v>
      </c>
      <c r="L138" s="52" t="s">
        <v>111</v>
      </c>
    </row>
    <row r="139" spans="1:12" ht="15.75" hidden="1" thickBot="1">
      <c r="A139" s="151" t="s">
        <v>109</v>
      </c>
      <c r="B139" s="59">
        <v>2004</v>
      </c>
      <c r="C139" s="339" t="s">
        <v>97</v>
      </c>
      <c r="D139" s="59">
        <v>2951</v>
      </c>
      <c r="E139" s="339" t="s">
        <v>126</v>
      </c>
      <c r="F139" s="29">
        <v>1</v>
      </c>
      <c r="G139" s="9">
        <v>1</v>
      </c>
      <c r="H139" s="9">
        <v>1</v>
      </c>
      <c r="I139" s="9">
        <v>2</v>
      </c>
      <c r="J139" s="9">
        <v>2</v>
      </c>
      <c r="K139" s="159">
        <f t="shared" si="2"/>
        <v>0.35859414261160716</v>
      </c>
      <c r="L139" s="52" t="s">
        <v>111</v>
      </c>
    </row>
    <row r="140" spans="1:12" ht="15.75" hidden="1" thickBot="1">
      <c r="A140" s="151" t="s">
        <v>109</v>
      </c>
      <c r="B140" s="59">
        <v>2011</v>
      </c>
      <c r="C140" s="339" t="s">
        <v>91</v>
      </c>
      <c r="D140" s="59">
        <v>2968</v>
      </c>
      <c r="E140" s="339" t="s">
        <v>126</v>
      </c>
      <c r="F140" s="29">
        <v>1</v>
      </c>
      <c r="G140" s="9">
        <v>1</v>
      </c>
      <c r="H140" s="9">
        <v>1</v>
      </c>
      <c r="I140" s="9">
        <v>2</v>
      </c>
      <c r="J140" s="9">
        <v>2</v>
      </c>
      <c r="K140" s="159">
        <f t="shared" si="2"/>
        <v>0.35859414261160716</v>
      </c>
      <c r="L140" s="52" t="s">
        <v>111</v>
      </c>
    </row>
    <row r="141" spans="1:12" ht="15.75" hidden="1" thickBot="1">
      <c r="A141" s="151" t="s">
        <v>109</v>
      </c>
      <c r="B141" s="59">
        <v>2014</v>
      </c>
      <c r="C141" s="339" t="s">
        <v>93</v>
      </c>
      <c r="D141" s="59">
        <v>3000</v>
      </c>
      <c r="E141" s="339" t="s">
        <v>126</v>
      </c>
      <c r="F141" s="29">
        <v>1</v>
      </c>
      <c r="G141" s="9">
        <v>1</v>
      </c>
      <c r="H141" s="9">
        <v>1</v>
      </c>
      <c r="I141" s="9">
        <v>2</v>
      </c>
      <c r="J141" s="9">
        <v>2</v>
      </c>
      <c r="K141" s="159">
        <f t="shared" si="2"/>
        <v>0.35859414261160716</v>
      </c>
      <c r="L141" s="52" t="s">
        <v>111</v>
      </c>
    </row>
    <row r="142" spans="1:12" ht="15.75" hidden="1" thickBot="1">
      <c r="A142" s="151" t="s">
        <v>109</v>
      </c>
      <c r="B142" s="59">
        <v>2010</v>
      </c>
      <c r="C142" s="339" t="s">
        <v>91</v>
      </c>
      <c r="D142" s="59">
        <v>3001</v>
      </c>
      <c r="E142" s="339" t="s">
        <v>126</v>
      </c>
      <c r="F142" s="29">
        <v>1</v>
      </c>
      <c r="G142" s="9">
        <v>1</v>
      </c>
      <c r="H142" s="9">
        <v>1</v>
      </c>
      <c r="I142" s="9">
        <v>2</v>
      </c>
      <c r="J142" s="9">
        <v>2</v>
      </c>
      <c r="K142" s="159">
        <f t="shared" si="2"/>
        <v>0.35859414261160716</v>
      </c>
      <c r="L142" s="52" t="s">
        <v>111</v>
      </c>
    </row>
    <row r="143" spans="1:12" ht="15.75" hidden="1" thickBot="1">
      <c r="A143" s="151" t="s">
        <v>109</v>
      </c>
      <c r="B143" s="59">
        <v>2008</v>
      </c>
      <c r="C143" s="339" t="s">
        <v>91</v>
      </c>
      <c r="D143" s="59">
        <v>3018</v>
      </c>
      <c r="E143" s="339" t="s">
        <v>126</v>
      </c>
      <c r="F143" s="29">
        <v>1</v>
      </c>
      <c r="G143" s="9">
        <v>1</v>
      </c>
      <c r="H143" s="9">
        <v>1</v>
      </c>
      <c r="I143" s="9">
        <v>2</v>
      </c>
      <c r="J143" s="9">
        <v>2</v>
      </c>
      <c r="K143" s="159">
        <f t="shared" si="2"/>
        <v>0.35859414261160716</v>
      </c>
      <c r="L143" s="52" t="s">
        <v>111</v>
      </c>
    </row>
    <row r="144" spans="1:12" ht="15.75" hidden="1" thickBot="1">
      <c r="A144" s="151" t="s">
        <v>109</v>
      </c>
      <c r="B144" s="59">
        <v>2017</v>
      </c>
      <c r="C144" s="339" t="s">
        <v>97</v>
      </c>
      <c r="D144" s="59">
        <v>3038</v>
      </c>
      <c r="E144" s="339" t="s">
        <v>126</v>
      </c>
      <c r="F144" s="29">
        <v>1</v>
      </c>
      <c r="G144" s="9">
        <v>1</v>
      </c>
      <c r="H144" s="9">
        <v>1</v>
      </c>
      <c r="I144" s="9">
        <v>2</v>
      </c>
      <c r="J144" s="9">
        <v>2</v>
      </c>
      <c r="K144" s="159">
        <f t="shared" si="2"/>
        <v>0.35859414261160716</v>
      </c>
      <c r="L144" s="52" t="s">
        <v>111</v>
      </c>
    </row>
    <row r="145" spans="1:12" ht="15.75" hidden="1" thickBot="1">
      <c r="A145" s="151" t="s">
        <v>109</v>
      </c>
      <c r="B145" s="59">
        <v>2018</v>
      </c>
      <c r="C145" s="339" t="s">
        <v>97</v>
      </c>
      <c r="D145" s="59">
        <v>3038</v>
      </c>
      <c r="E145" s="339" t="s">
        <v>126</v>
      </c>
      <c r="F145" s="29">
        <v>1</v>
      </c>
      <c r="G145" s="9">
        <v>1</v>
      </c>
      <c r="H145" s="9">
        <v>1</v>
      </c>
      <c r="I145" s="9">
        <v>2</v>
      </c>
      <c r="J145" s="9">
        <v>2</v>
      </c>
      <c r="K145" s="159">
        <f t="shared" si="2"/>
        <v>0.35859414261160716</v>
      </c>
      <c r="L145" s="52" t="s">
        <v>111</v>
      </c>
    </row>
    <row r="146" spans="1:12" ht="15.75" hidden="1" thickBot="1">
      <c r="A146" s="151" t="s">
        <v>109</v>
      </c>
      <c r="B146" s="59">
        <v>2019</v>
      </c>
      <c r="C146" s="339" t="s">
        <v>97</v>
      </c>
      <c r="D146" s="59">
        <v>3038</v>
      </c>
      <c r="E146" s="339" t="s">
        <v>126</v>
      </c>
      <c r="F146" s="29">
        <v>1</v>
      </c>
      <c r="G146" s="9">
        <v>1</v>
      </c>
      <c r="H146" s="9">
        <v>1</v>
      </c>
      <c r="I146" s="9">
        <v>2</v>
      </c>
      <c r="J146" s="9">
        <v>2</v>
      </c>
      <c r="K146" s="159">
        <f t="shared" si="2"/>
        <v>0.35859414261160716</v>
      </c>
      <c r="L146" s="52" t="s">
        <v>111</v>
      </c>
    </row>
    <row r="147" spans="1:12" ht="15.75" hidden="1" thickBot="1">
      <c r="A147" s="151" t="s">
        <v>109</v>
      </c>
      <c r="B147" s="59">
        <v>2003</v>
      </c>
      <c r="C147" s="339" t="s">
        <v>93</v>
      </c>
      <c r="D147" s="59">
        <v>3056</v>
      </c>
      <c r="E147" s="339" t="s">
        <v>126</v>
      </c>
      <c r="F147" s="29">
        <v>1</v>
      </c>
      <c r="G147" s="9">
        <v>1</v>
      </c>
      <c r="H147" s="9">
        <v>1</v>
      </c>
      <c r="I147" s="9">
        <v>2</v>
      </c>
      <c r="J147" s="9">
        <v>2</v>
      </c>
      <c r="K147" s="159">
        <f t="shared" si="2"/>
        <v>0.35859414261160716</v>
      </c>
      <c r="L147" s="52" t="s">
        <v>111</v>
      </c>
    </row>
    <row r="148" spans="1:12" ht="15.75" hidden="1" thickBot="1">
      <c r="A148" s="151" t="s">
        <v>109</v>
      </c>
      <c r="B148" s="59">
        <v>2004</v>
      </c>
      <c r="C148" s="339" t="s">
        <v>93</v>
      </c>
      <c r="D148" s="59">
        <v>3101</v>
      </c>
      <c r="E148" s="339" t="s">
        <v>126</v>
      </c>
      <c r="F148" s="29">
        <v>1</v>
      </c>
      <c r="G148" s="9">
        <v>1</v>
      </c>
      <c r="H148" s="9">
        <v>1</v>
      </c>
      <c r="I148" s="9">
        <v>2</v>
      </c>
      <c r="J148" s="9">
        <v>2</v>
      </c>
      <c r="K148" s="159">
        <f t="shared" si="2"/>
        <v>0.35859414261160716</v>
      </c>
      <c r="L148" s="52" t="s">
        <v>111</v>
      </c>
    </row>
    <row r="149" spans="1:12" ht="15.75" hidden="1" thickBot="1">
      <c r="A149" s="151" t="s">
        <v>109</v>
      </c>
      <c r="B149" s="59">
        <v>2003</v>
      </c>
      <c r="C149" s="339" t="s">
        <v>97</v>
      </c>
      <c r="D149" s="59">
        <v>3121</v>
      </c>
      <c r="E149" s="339" t="s">
        <v>126</v>
      </c>
      <c r="F149" s="29">
        <v>1</v>
      </c>
      <c r="G149" s="9">
        <v>1</v>
      </c>
      <c r="H149" s="9">
        <v>1</v>
      </c>
      <c r="I149" s="9">
        <v>2</v>
      </c>
      <c r="J149" s="9">
        <v>2</v>
      </c>
      <c r="K149" s="159">
        <f t="shared" si="2"/>
        <v>0.35859414261160716</v>
      </c>
      <c r="L149" s="52" t="s">
        <v>111</v>
      </c>
    </row>
    <row r="150" spans="1:12" ht="15.75" hidden="1" thickBot="1">
      <c r="A150" s="151" t="s">
        <v>109</v>
      </c>
      <c r="B150" s="59">
        <v>2014</v>
      </c>
      <c r="C150" s="339" t="s">
        <v>97</v>
      </c>
      <c r="D150" s="59">
        <v>3176</v>
      </c>
      <c r="E150" s="339" t="s">
        <v>126</v>
      </c>
      <c r="F150" s="29">
        <v>1</v>
      </c>
      <c r="G150" s="9">
        <v>1</v>
      </c>
      <c r="H150" s="9">
        <v>1</v>
      </c>
      <c r="I150" s="9">
        <v>2</v>
      </c>
      <c r="J150" s="9">
        <v>2</v>
      </c>
      <c r="K150" s="159">
        <f t="shared" si="2"/>
        <v>0.35859414261160716</v>
      </c>
      <c r="L150" s="52" t="s">
        <v>111</v>
      </c>
    </row>
    <row r="151" spans="1:12" ht="15.75" hidden="1" thickBot="1">
      <c r="A151" s="151" t="s">
        <v>109</v>
      </c>
      <c r="B151" s="59">
        <v>2006</v>
      </c>
      <c r="C151" s="339" t="s">
        <v>97</v>
      </c>
      <c r="D151" s="59">
        <v>3259</v>
      </c>
      <c r="E151" s="339" t="s">
        <v>126</v>
      </c>
      <c r="F151" s="29">
        <v>1</v>
      </c>
      <c r="G151" s="9">
        <v>1</v>
      </c>
      <c r="H151" s="9">
        <v>1</v>
      </c>
      <c r="I151" s="9">
        <v>2</v>
      </c>
      <c r="J151" s="9">
        <v>2</v>
      </c>
      <c r="K151" s="159">
        <f t="shared" si="2"/>
        <v>0.35859414261160716</v>
      </c>
      <c r="L151" s="52" t="s">
        <v>111</v>
      </c>
    </row>
    <row r="152" spans="1:12" ht="15.75" hidden="1" thickBot="1">
      <c r="A152" s="151" t="s">
        <v>109</v>
      </c>
      <c r="B152" s="59">
        <v>2010</v>
      </c>
      <c r="C152" s="339" t="s">
        <v>97</v>
      </c>
      <c r="D152" s="59">
        <v>3357</v>
      </c>
      <c r="E152" s="339" t="s">
        <v>126</v>
      </c>
      <c r="F152" s="29">
        <v>1</v>
      </c>
      <c r="G152" s="9">
        <v>1</v>
      </c>
      <c r="H152" s="9">
        <v>1</v>
      </c>
      <c r="I152" s="9">
        <v>2</v>
      </c>
      <c r="J152" s="9">
        <v>2</v>
      </c>
      <c r="K152" s="159">
        <f t="shared" si="2"/>
        <v>0.35859414261160716</v>
      </c>
      <c r="L152" s="52" t="s">
        <v>111</v>
      </c>
    </row>
    <row r="153" spans="1:12" ht="15.75" hidden="1" thickBot="1">
      <c r="A153" s="151" t="s">
        <v>109</v>
      </c>
      <c r="B153" s="59">
        <v>2005</v>
      </c>
      <c r="C153" s="339" t="s">
        <v>93</v>
      </c>
      <c r="D153" s="59">
        <v>3361</v>
      </c>
      <c r="E153" s="339" t="s">
        <v>126</v>
      </c>
      <c r="F153" s="29">
        <v>1</v>
      </c>
      <c r="G153" s="9">
        <v>1</v>
      </c>
      <c r="H153" s="9">
        <v>1</v>
      </c>
      <c r="I153" s="9">
        <v>2</v>
      </c>
      <c r="J153" s="9">
        <v>2</v>
      </c>
      <c r="K153" s="159">
        <f t="shared" si="2"/>
        <v>0.35859414261160716</v>
      </c>
      <c r="L153" s="52" t="s">
        <v>111</v>
      </c>
    </row>
    <row r="154" spans="1:12" ht="15.75" hidden="1" thickBot="1">
      <c r="A154" s="151" t="s">
        <v>109</v>
      </c>
      <c r="B154" s="59">
        <v>2006</v>
      </c>
      <c r="C154" s="339" t="s">
        <v>93</v>
      </c>
      <c r="D154" s="59">
        <v>3363</v>
      </c>
      <c r="E154" s="339" t="s">
        <v>126</v>
      </c>
      <c r="F154" s="29">
        <v>1</v>
      </c>
      <c r="G154" s="9">
        <v>1</v>
      </c>
      <c r="H154" s="9">
        <v>1</v>
      </c>
      <c r="I154" s="9">
        <v>2</v>
      </c>
      <c r="J154" s="9">
        <v>2</v>
      </c>
      <c r="K154" s="159">
        <f t="shared" si="2"/>
        <v>0.35859414261160716</v>
      </c>
      <c r="L154" s="52" t="s">
        <v>111</v>
      </c>
    </row>
    <row r="155" spans="1:12" ht="15.75" hidden="1" thickBot="1">
      <c r="A155" s="151" t="s">
        <v>109</v>
      </c>
      <c r="B155" s="59">
        <v>2009</v>
      </c>
      <c r="C155" s="339" t="s">
        <v>97</v>
      </c>
      <c r="D155" s="59">
        <v>3427</v>
      </c>
      <c r="E155" s="339" t="s">
        <v>126</v>
      </c>
      <c r="F155" s="29">
        <v>1</v>
      </c>
      <c r="G155" s="9">
        <v>1</v>
      </c>
      <c r="H155" s="9">
        <v>1</v>
      </c>
      <c r="I155" s="9">
        <v>2</v>
      </c>
      <c r="J155" s="9">
        <v>2</v>
      </c>
      <c r="K155" s="159">
        <f t="shared" si="2"/>
        <v>0.35859414261160716</v>
      </c>
      <c r="L155" s="52" t="s">
        <v>111</v>
      </c>
    </row>
    <row r="156" spans="1:12" ht="15.75" hidden="1" thickBot="1">
      <c r="A156" s="151" t="s">
        <v>109</v>
      </c>
      <c r="B156" s="59">
        <v>2005</v>
      </c>
      <c r="C156" s="339" t="s">
        <v>97</v>
      </c>
      <c r="D156" s="59">
        <v>3495</v>
      </c>
      <c r="E156" s="339" t="s">
        <v>126</v>
      </c>
      <c r="F156" s="29">
        <v>1</v>
      </c>
      <c r="G156" s="9">
        <v>1</v>
      </c>
      <c r="H156" s="9">
        <v>1</v>
      </c>
      <c r="I156" s="9">
        <v>2</v>
      </c>
      <c r="J156" s="9">
        <v>2</v>
      </c>
      <c r="K156" s="159">
        <f t="shared" si="2"/>
        <v>0.35859414261160716</v>
      </c>
      <c r="L156" s="52" t="s">
        <v>111</v>
      </c>
    </row>
    <row r="157" spans="1:12" ht="15.75" hidden="1" thickBot="1">
      <c r="A157" s="151" t="s">
        <v>109</v>
      </c>
      <c r="B157" s="59">
        <v>2021</v>
      </c>
      <c r="C157" s="339" t="s">
        <v>93</v>
      </c>
      <c r="D157" s="59">
        <v>3554</v>
      </c>
      <c r="E157" s="339" t="s">
        <v>126</v>
      </c>
      <c r="F157" s="29">
        <v>1</v>
      </c>
      <c r="G157" s="9">
        <v>1</v>
      </c>
      <c r="H157" s="9">
        <v>1</v>
      </c>
      <c r="I157" s="9">
        <v>2</v>
      </c>
      <c r="J157" s="9">
        <v>2</v>
      </c>
      <c r="K157" s="159">
        <f t="shared" si="2"/>
        <v>0.35859414261160716</v>
      </c>
      <c r="L157" s="52" t="s">
        <v>111</v>
      </c>
    </row>
    <row r="158" spans="1:12" ht="15.75" hidden="1" thickBot="1">
      <c r="A158" s="151" t="s">
        <v>109</v>
      </c>
      <c r="B158" s="59">
        <v>2012</v>
      </c>
      <c r="C158" s="339" t="s">
        <v>93</v>
      </c>
      <c r="D158" s="59">
        <v>3589</v>
      </c>
      <c r="E158" s="339" t="s">
        <v>126</v>
      </c>
      <c r="F158" s="29">
        <v>1</v>
      </c>
      <c r="G158" s="9">
        <v>1</v>
      </c>
      <c r="H158" s="9">
        <v>1</v>
      </c>
      <c r="I158" s="9">
        <v>2</v>
      </c>
      <c r="J158" s="9">
        <v>2</v>
      </c>
      <c r="K158" s="159">
        <f t="shared" si="2"/>
        <v>0.35859414261160716</v>
      </c>
      <c r="L158" s="52" t="s">
        <v>111</v>
      </c>
    </row>
    <row r="159" spans="1:12" ht="15.75" hidden="1" thickBot="1">
      <c r="A159" s="151" t="s">
        <v>109</v>
      </c>
      <c r="B159" s="59">
        <v>2007</v>
      </c>
      <c r="C159" s="339" t="s">
        <v>97</v>
      </c>
      <c r="D159" s="59">
        <v>3778</v>
      </c>
      <c r="E159" s="339" t="s">
        <v>126</v>
      </c>
      <c r="F159" s="29">
        <v>1</v>
      </c>
      <c r="G159" s="9">
        <v>1</v>
      </c>
      <c r="H159" s="9">
        <v>1</v>
      </c>
      <c r="I159" s="9">
        <v>2</v>
      </c>
      <c r="J159" s="9">
        <v>2</v>
      </c>
      <c r="K159" s="159">
        <f t="shared" si="2"/>
        <v>0.35859414261160716</v>
      </c>
      <c r="L159" s="52" t="s">
        <v>111</v>
      </c>
    </row>
    <row r="160" spans="1:12" ht="15.75" hidden="1" thickBot="1">
      <c r="A160" s="151" t="s">
        <v>109</v>
      </c>
      <c r="B160" s="59">
        <v>2011</v>
      </c>
      <c r="C160" s="339" t="s">
        <v>97</v>
      </c>
      <c r="D160" s="59">
        <v>3791</v>
      </c>
      <c r="E160" s="339" t="s">
        <v>126</v>
      </c>
      <c r="F160" s="29">
        <v>1</v>
      </c>
      <c r="G160" s="9">
        <v>1</v>
      </c>
      <c r="H160" s="9">
        <v>1</v>
      </c>
      <c r="I160" s="9">
        <v>2</v>
      </c>
      <c r="J160" s="9">
        <v>2</v>
      </c>
      <c r="K160" s="159">
        <f t="shared" si="2"/>
        <v>0.35859414261160716</v>
      </c>
      <c r="L160" s="52" t="s">
        <v>111</v>
      </c>
    </row>
    <row r="161" spans="1:12" ht="15.75" hidden="1" thickBot="1">
      <c r="A161" s="151" t="s">
        <v>109</v>
      </c>
      <c r="B161" s="59">
        <v>2020</v>
      </c>
      <c r="C161" s="339" t="s">
        <v>93</v>
      </c>
      <c r="D161" s="59">
        <v>3825</v>
      </c>
      <c r="E161" s="339" t="s">
        <v>126</v>
      </c>
      <c r="F161" s="29">
        <v>1</v>
      </c>
      <c r="G161" s="9">
        <v>1</v>
      </c>
      <c r="H161" s="9">
        <v>1</v>
      </c>
      <c r="I161" s="9">
        <v>2</v>
      </c>
      <c r="J161" s="9">
        <v>2</v>
      </c>
      <c r="K161" s="159">
        <f t="shared" si="2"/>
        <v>0.35859414261160716</v>
      </c>
      <c r="L161" s="52" t="s">
        <v>111</v>
      </c>
    </row>
    <row r="162" spans="1:12" ht="15.75" hidden="1" thickBot="1">
      <c r="A162" s="151" t="s">
        <v>109</v>
      </c>
      <c r="B162" s="59">
        <v>2008</v>
      </c>
      <c r="C162" s="339" t="s">
        <v>97</v>
      </c>
      <c r="D162" s="59">
        <v>4175</v>
      </c>
      <c r="E162" s="339" t="s">
        <v>126</v>
      </c>
      <c r="F162" s="29">
        <v>1</v>
      </c>
      <c r="G162" s="9">
        <v>1</v>
      </c>
      <c r="H162" s="9">
        <v>1</v>
      </c>
      <c r="I162" s="9">
        <v>2</v>
      </c>
      <c r="J162" s="9">
        <v>2</v>
      </c>
      <c r="K162" s="159">
        <f t="shared" si="2"/>
        <v>0.35859414261160716</v>
      </c>
      <c r="L162" s="52" t="s">
        <v>111</v>
      </c>
    </row>
    <row r="163" spans="1:12" ht="15.75" hidden="1" thickBot="1">
      <c r="A163" s="151" t="s">
        <v>109</v>
      </c>
      <c r="B163" s="59">
        <v>2005</v>
      </c>
      <c r="C163" s="339" t="s">
        <v>91</v>
      </c>
      <c r="D163" s="59">
        <v>4447</v>
      </c>
      <c r="E163" s="339" t="s">
        <v>126</v>
      </c>
      <c r="F163" s="29">
        <v>1</v>
      </c>
      <c r="G163" s="9">
        <v>1</v>
      </c>
      <c r="H163" s="9">
        <v>1</v>
      </c>
      <c r="I163" s="9">
        <v>2</v>
      </c>
      <c r="J163" s="9">
        <v>2</v>
      </c>
      <c r="K163" s="159">
        <f t="shared" si="2"/>
        <v>0.35859414261160716</v>
      </c>
      <c r="L163" s="52" t="s">
        <v>111</v>
      </c>
    </row>
    <row r="164" spans="1:12" ht="15.75" hidden="1" thickBot="1">
      <c r="A164" s="151" t="s">
        <v>109</v>
      </c>
      <c r="B164" s="59">
        <v>2009</v>
      </c>
      <c r="C164" s="339" t="s">
        <v>86</v>
      </c>
      <c r="D164" s="59">
        <v>5551</v>
      </c>
      <c r="E164" s="339" t="s">
        <v>126</v>
      </c>
      <c r="F164" s="29">
        <v>1</v>
      </c>
      <c r="G164" s="9">
        <v>1</v>
      </c>
      <c r="H164" s="9">
        <v>1</v>
      </c>
      <c r="I164" s="9">
        <v>2</v>
      </c>
      <c r="J164" s="9">
        <v>2</v>
      </c>
      <c r="K164" s="159">
        <f t="shared" si="2"/>
        <v>0.35859414261160716</v>
      </c>
      <c r="L164" s="52" t="s">
        <v>111</v>
      </c>
    </row>
    <row r="165" spans="1:12" ht="15.75" hidden="1" thickBot="1">
      <c r="A165" s="151" t="s">
        <v>109</v>
      </c>
      <c r="B165" s="59">
        <v>2006</v>
      </c>
      <c r="C165" s="339" t="s">
        <v>86</v>
      </c>
      <c r="D165" s="59">
        <v>5682</v>
      </c>
      <c r="E165" s="339" t="s">
        <v>126</v>
      </c>
      <c r="F165" s="29">
        <v>1</v>
      </c>
      <c r="G165" s="9">
        <v>1</v>
      </c>
      <c r="H165" s="9">
        <v>1</v>
      </c>
      <c r="I165" s="9">
        <v>2</v>
      </c>
      <c r="J165" s="9">
        <v>2</v>
      </c>
      <c r="K165" s="159">
        <f t="shared" si="2"/>
        <v>0.35859414261160716</v>
      </c>
      <c r="L165" s="52" t="s">
        <v>111</v>
      </c>
    </row>
    <row r="166" spans="1:12" ht="15.75" hidden="1" thickBot="1">
      <c r="A166" s="151" t="s">
        <v>109</v>
      </c>
      <c r="B166" s="59">
        <v>2010</v>
      </c>
      <c r="C166" s="339" t="s">
        <v>86</v>
      </c>
      <c r="D166" s="59">
        <v>5687</v>
      </c>
      <c r="E166" s="339" t="s">
        <v>126</v>
      </c>
      <c r="F166" s="29">
        <v>1</v>
      </c>
      <c r="G166" s="9">
        <v>1</v>
      </c>
      <c r="H166" s="9">
        <v>1</v>
      </c>
      <c r="I166" s="9">
        <v>2</v>
      </c>
      <c r="J166" s="9">
        <v>2</v>
      </c>
      <c r="K166" s="159">
        <f t="shared" si="2"/>
        <v>0.35859414261160716</v>
      </c>
      <c r="L166" s="52" t="s">
        <v>111</v>
      </c>
    </row>
    <row r="167" spans="1:12" ht="15.75" hidden="1" thickBot="1">
      <c r="A167" s="151" t="s">
        <v>109</v>
      </c>
      <c r="B167" s="59">
        <v>2008</v>
      </c>
      <c r="C167" s="339" t="s">
        <v>86</v>
      </c>
      <c r="D167" s="59">
        <v>5693</v>
      </c>
      <c r="E167" s="339" t="s">
        <v>126</v>
      </c>
      <c r="F167" s="29">
        <v>1</v>
      </c>
      <c r="G167" s="9">
        <v>1</v>
      </c>
      <c r="H167" s="9">
        <v>1</v>
      </c>
      <c r="I167" s="9">
        <v>2</v>
      </c>
      <c r="J167" s="9">
        <v>2</v>
      </c>
      <c r="K167" s="159">
        <f t="shared" si="2"/>
        <v>0.35859414261160716</v>
      </c>
      <c r="L167" s="52" t="s">
        <v>111</v>
      </c>
    </row>
    <row r="168" spans="1:12" ht="15.75" hidden="1" thickBot="1">
      <c r="A168" s="151" t="s">
        <v>109</v>
      </c>
      <c r="B168" s="59">
        <v>2016</v>
      </c>
      <c r="C168" s="339" t="s">
        <v>86</v>
      </c>
      <c r="D168" s="59">
        <v>5815</v>
      </c>
      <c r="E168" s="339" t="s">
        <v>126</v>
      </c>
      <c r="F168" s="29">
        <v>1</v>
      </c>
      <c r="G168" s="9">
        <v>1</v>
      </c>
      <c r="H168" s="9">
        <v>1</v>
      </c>
      <c r="I168" s="9">
        <v>2</v>
      </c>
      <c r="J168" s="9">
        <v>2</v>
      </c>
      <c r="K168" s="159">
        <f t="shared" si="2"/>
        <v>0.35859414261160716</v>
      </c>
      <c r="L168" s="52" t="s">
        <v>111</v>
      </c>
    </row>
    <row r="169" spans="1:12" ht="15.75" hidden="1" thickBot="1">
      <c r="A169" s="151" t="s">
        <v>109</v>
      </c>
      <c r="B169" s="59">
        <v>2005</v>
      </c>
      <c r="C169" s="339" t="s">
        <v>86</v>
      </c>
      <c r="D169" s="59">
        <v>5841</v>
      </c>
      <c r="E169" s="339" t="s">
        <v>126</v>
      </c>
      <c r="F169" s="29">
        <v>1</v>
      </c>
      <c r="G169" s="9">
        <v>1</v>
      </c>
      <c r="H169" s="9">
        <v>1</v>
      </c>
      <c r="I169" s="9">
        <v>2</v>
      </c>
      <c r="J169" s="9">
        <v>2</v>
      </c>
      <c r="K169" s="159">
        <f t="shared" si="2"/>
        <v>0.35859414261160716</v>
      </c>
      <c r="L169" s="52" t="s">
        <v>111</v>
      </c>
    </row>
    <row r="170" spans="1:12" ht="15.75" hidden="1" thickBot="1">
      <c r="A170" s="151" t="s">
        <v>109</v>
      </c>
      <c r="B170" s="59">
        <v>2004</v>
      </c>
      <c r="C170" s="339" t="s">
        <v>86</v>
      </c>
      <c r="D170" s="59">
        <v>5842</v>
      </c>
      <c r="E170" s="339" t="s">
        <v>126</v>
      </c>
      <c r="F170" s="29">
        <v>1</v>
      </c>
      <c r="G170" s="9">
        <v>1</v>
      </c>
      <c r="H170" s="9">
        <v>1</v>
      </c>
      <c r="I170" s="9">
        <v>2</v>
      </c>
      <c r="J170" s="9">
        <v>2</v>
      </c>
      <c r="K170" s="159">
        <f t="shared" si="2"/>
        <v>0.35859414261160716</v>
      </c>
      <c r="L170" s="52" t="s">
        <v>111</v>
      </c>
    </row>
    <row r="171" spans="1:12" ht="15.75" hidden="1" thickBot="1">
      <c r="A171" s="151" t="s">
        <v>109</v>
      </c>
      <c r="B171" s="59">
        <v>2015</v>
      </c>
      <c r="C171" s="339" t="s">
        <v>86</v>
      </c>
      <c r="D171" s="59">
        <v>5847</v>
      </c>
      <c r="E171" s="339" t="s">
        <v>126</v>
      </c>
      <c r="F171" s="29">
        <v>1</v>
      </c>
      <c r="G171" s="9">
        <v>1</v>
      </c>
      <c r="H171" s="9">
        <v>1</v>
      </c>
      <c r="I171" s="9">
        <v>2</v>
      </c>
      <c r="J171" s="9">
        <v>2</v>
      </c>
      <c r="K171" s="159">
        <f t="shared" si="2"/>
        <v>0.35859414261160716</v>
      </c>
      <c r="L171" s="52" t="s">
        <v>111</v>
      </c>
    </row>
    <row r="172" spans="1:12" ht="15.75" hidden="1" thickBot="1">
      <c r="A172" s="151" t="s">
        <v>109</v>
      </c>
      <c r="B172" s="59">
        <v>2011</v>
      </c>
      <c r="C172" s="339" t="s">
        <v>86</v>
      </c>
      <c r="D172" s="59">
        <v>5883</v>
      </c>
      <c r="E172" s="339" t="s">
        <v>126</v>
      </c>
      <c r="F172" s="29">
        <v>1</v>
      </c>
      <c r="G172" s="9">
        <v>1</v>
      </c>
      <c r="H172" s="9">
        <v>1</v>
      </c>
      <c r="I172" s="9">
        <v>2</v>
      </c>
      <c r="J172" s="9">
        <v>2</v>
      </c>
      <c r="K172" s="159">
        <f t="shared" si="2"/>
        <v>0.35859414261160716</v>
      </c>
      <c r="L172" s="52" t="s">
        <v>111</v>
      </c>
    </row>
    <row r="173" spans="1:12" ht="15.75" hidden="1" thickBot="1">
      <c r="A173" s="151" t="s">
        <v>109</v>
      </c>
      <c r="B173" s="59">
        <v>2008</v>
      </c>
      <c r="C173" s="339" t="s">
        <v>90</v>
      </c>
      <c r="D173" s="59">
        <v>5913</v>
      </c>
      <c r="E173" s="339" t="s">
        <v>126</v>
      </c>
      <c r="F173" s="29">
        <v>1</v>
      </c>
      <c r="G173" s="9">
        <v>1</v>
      </c>
      <c r="H173" s="9">
        <v>1</v>
      </c>
      <c r="I173" s="9">
        <v>2</v>
      </c>
      <c r="J173" s="9">
        <v>2</v>
      </c>
      <c r="K173" s="159">
        <f t="shared" si="2"/>
        <v>0.35859414261160716</v>
      </c>
      <c r="L173" s="52" t="s">
        <v>111</v>
      </c>
    </row>
    <row r="174" spans="1:12" ht="15.75" hidden="1" thickBot="1">
      <c r="A174" s="151" t="s">
        <v>109</v>
      </c>
      <c r="B174" s="59">
        <v>2010</v>
      </c>
      <c r="C174" s="339" t="s">
        <v>90</v>
      </c>
      <c r="D174" s="59">
        <v>5949</v>
      </c>
      <c r="E174" s="339" t="s">
        <v>126</v>
      </c>
      <c r="F174" s="29">
        <v>1</v>
      </c>
      <c r="G174" s="9">
        <v>1</v>
      </c>
      <c r="H174" s="9">
        <v>1</v>
      </c>
      <c r="I174" s="9">
        <v>2</v>
      </c>
      <c r="J174" s="9">
        <v>2</v>
      </c>
      <c r="K174" s="159">
        <f t="shared" si="2"/>
        <v>0.35859414261160716</v>
      </c>
      <c r="L174" s="52" t="s">
        <v>111</v>
      </c>
    </row>
    <row r="175" spans="1:12" ht="15.75" hidden="1" thickBot="1">
      <c r="A175" s="151" t="s">
        <v>109</v>
      </c>
      <c r="B175" s="59">
        <v>2003</v>
      </c>
      <c r="C175" s="339" t="s">
        <v>86</v>
      </c>
      <c r="D175" s="59">
        <v>5967</v>
      </c>
      <c r="E175" s="339" t="s">
        <v>126</v>
      </c>
      <c r="F175" s="29">
        <v>1</v>
      </c>
      <c r="G175" s="9">
        <v>1</v>
      </c>
      <c r="H175" s="9">
        <v>1</v>
      </c>
      <c r="I175" s="9">
        <v>2</v>
      </c>
      <c r="J175" s="9">
        <v>2</v>
      </c>
      <c r="K175" s="159">
        <f t="shared" si="2"/>
        <v>0.35859414261160716</v>
      </c>
      <c r="L175" s="52" t="s">
        <v>111</v>
      </c>
    </row>
    <row r="176" spans="1:12" ht="15.75" hidden="1" thickBot="1">
      <c r="A176" s="151" t="s">
        <v>109</v>
      </c>
      <c r="B176" s="59">
        <v>2016</v>
      </c>
      <c r="C176" s="339" t="s">
        <v>90</v>
      </c>
      <c r="D176" s="59">
        <v>5989</v>
      </c>
      <c r="E176" s="339" t="s">
        <v>126</v>
      </c>
      <c r="F176" s="29">
        <v>1</v>
      </c>
      <c r="G176" s="9">
        <v>1</v>
      </c>
      <c r="H176" s="9">
        <v>1</v>
      </c>
      <c r="I176" s="9">
        <v>2</v>
      </c>
      <c r="J176" s="9">
        <v>2</v>
      </c>
      <c r="K176" s="159">
        <f t="shared" si="2"/>
        <v>0.35859414261160716</v>
      </c>
      <c r="L176" s="52" t="s">
        <v>111</v>
      </c>
    </row>
    <row r="177" spans="1:12" ht="15.75" hidden="1" thickBot="1">
      <c r="A177" s="151" t="s">
        <v>109</v>
      </c>
      <c r="B177" s="59">
        <v>2017</v>
      </c>
      <c r="C177" s="339" t="s">
        <v>86</v>
      </c>
      <c r="D177" s="59">
        <v>6009</v>
      </c>
      <c r="E177" s="339" t="s">
        <v>126</v>
      </c>
      <c r="F177" s="29">
        <v>1</v>
      </c>
      <c r="G177" s="9">
        <v>1</v>
      </c>
      <c r="H177" s="9">
        <v>1</v>
      </c>
      <c r="I177" s="9">
        <v>2</v>
      </c>
      <c r="J177" s="9">
        <v>2</v>
      </c>
      <c r="K177" s="159">
        <f t="shared" si="2"/>
        <v>0.35859414261160716</v>
      </c>
      <c r="L177" s="52" t="s">
        <v>111</v>
      </c>
    </row>
    <row r="178" spans="1:12" ht="15.75" hidden="1" thickBot="1">
      <c r="A178" s="151" t="s">
        <v>109</v>
      </c>
      <c r="B178" s="59">
        <v>2018</v>
      </c>
      <c r="C178" s="339" t="s">
        <v>86</v>
      </c>
      <c r="D178" s="59">
        <v>6009</v>
      </c>
      <c r="E178" s="339" t="s">
        <v>126</v>
      </c>
      <c r="F178" s="29">
        <v>1</v>
      </c>
      <c r="G178" s="9">
        <v>1</v>
      </c>
      <c r="H178" s="9">
        <v>1</v>
      </c>
      <c r="I178" s="9">
        <v>2</v>
      </c>
      <c r="J178" s="9">
        <v>2</v>
      </c>
      <c r="K178" s="159">
        <f t="shared" si="2"/>
        <v>0.35859414261160716</v>
      </c>
      <c r="L178" s="52" t="s">
        <v>111</v>
      </c>
    </row>
    <row r="179" spans="1:12" ht="15.75" hidden="1" thickBot="1">
      <c r="A179" s="151" t="s">
        <v>109</v>
      </c>
      <c r="B179" s="59">
        <v>2019</v>
      </c>
      <c r="C179" s="339" t="s">
        <v>86</v>
      </c>
      <c r="D179" s="59">
        <v>6009</v>
      </c>
      <c r="E179" s="339" t="s">
        <v>126</v>
      </c>
      <c r="F179" s="29">
        <v>1</v>
      </c>
      <c r="G179" s="9">
        <v>1</v>
      </c>
      <c r="H179" s="9">
        <v>1</v>
      </c>
      <c r="I179" s="9">
        <v>2</v>
      </c>
      <c r="J179" s="9">
        <v>2</v>
      </c>
      <c r="K179" s="159">
        <f t="shared" si="2"/>
        <v>0.35859414261160716</v>
      </c>
      <c r="L179" s="52" t="s">
        <v>111</v>
      </c>
    </row>
    <row r="180" spans="1:12" ht="15.75" hidden="1" thickBot="1">
      <c r="A180" s="151" t="s">
        <v>109</v>
      </c>
      <c r="B180" s="59">
        <v>2009</v>
      </c>
      <c r="C180" s="339" t="s">
        <v>90</v>
      </c>
      <c r="D180" s="59">
        <v>6033</v>
      </c>
      <c r="E180" s="339" t="s">
        <v>126</v>
      </c>
      <c r="F180" s="29">
        <v>1</v>
      </c>
      <c r="G180" s="9">
        <v>1</v>
      </c>
      <c r="H180" s="9">
        <v>1</v>
      </c>
      <c r="I180" s="9">
        <v>2</v>
      </c>
      <c r="J180" s="9">
        <v>2</v>
      </c>
      <c r="K180" s="159">
        <f t="shared" si="2"/>
        <v>0.35859414261160716</v>
      </c>
      <c r="L180" s="52" t="s">
        <v>111</v>
      </c>
    </row>
    <row r="181" spans="1:12" ht="15.75" hidden="1" thickBot="1">
      <c r="A181" s="151" t="s">
        <v>109</v>
      </c>
      <c r="B181" s="59">
        <v>2014</v>
      </c>
      <c r="C181" s="339" t="s">
        <v>86</v>
      </c>
      <c r="D181" s="59">
        <v>6150</v>
      </c>
      <c r="E181" s="339" t="s">
        <v>126</v>
      </c>
      <c r="F181" s="29">
        <v>1</v>
      </c>
      <c r="G181" s="9">
        <v>1</v>
      </c>
      <c r="H181" s="9">
        <v>1</v>
      </c>
      <c r="I181" s="9">
        <v>2</v>
      </c>
      <c r="J181" s="9">
        <v>2</v>
      </c>
      <c r="K181" s="159">
        <f t="shared" si="2"/>
        <v>0.35859414261160716</v>
      </c>
      <c r="L181" s="52" t="s">
        <v>111</v>
      </c>
    </row>
    <row r="182" spans="1:12" ht="15.75" hidden="1" thickBot="1">
      <c r="A182" s="151" t="s">
        <v>109</v>
      </c>
      <c r="B182" s="59">
        <v>2007</v>
      </c>
      <c r="C182" s="339" t="s">
        <v>86</v>
      </c>
      <c r="D182" s="59">
        <v>6232</v>
      </c>
      <c r="E182" s="339" t="s">
        <v>126</v>
      </c>
      <c r="F182" s="29">
        <v>1</v>
      </c>
      <c r="G182" s="9">
        <v>1</v>
      </c>
      <c r="H182" s="9">
        <v>1</v>
      </c>
      <c r="I182" s="9">
        <v>2</v>
      </c>
      <c r="J182" s="9">
        <v>2</v>
      </c>
      <c r="K182" s="159">
        <f t="shared" si="2"/>
        <v>0.35859414261160716</v>
      </c>
      <c r="L182" s="52" t="s">
        <v>111</v>
      </c>
    </row>
    <row r="183" spans="1:12" ht="15.75" hidden="1" thickBot="1">
      <c r="A183" s="151" t="s">
        <v>109</v>
      </c>
      <c r="B183" s="59">
        <v>2011</v>
      </c>
      <c r="C183" s="339" t="s">
        <v>90</v>
      </c>
      <c r="D183" s="59">
        <v>6241</v>
      </c>
      <c r="E183" s="339" t="s">
        <v>126</v>
      </c>
      <c r="F183" s="29">
        <v>1</v>
      </c>
      <c r="G183" s="9">
        <v>1</v>
      </c>
      <c r="H183" s="9">
        <v>1</v>
      </c>
      <c r="I183" s="9">
        <v>2</v>
      </c>
      <c r="J183" s="9">
        <v>2</v>
      </c>
      <c r="K183" s="159">
        <f t="shared" si="2"/>
        <v>0.35859414261160716</v>
      </c>
      <c r="L183" s="52" t="s">
        <v>111</v>
      </c>
    </row>
    <row r="184" spans="1:12" ht="15.75" hidden="1" thickBot="1">
      <c r="A184" s="151" t="s">
        <v>109</v>
      </c>
      <c r="B184" s="59">
        <v>2007</v>
      </c>
      <c r="C184" s="339" t="s">
        <v>90</v>
      </c>
      <c r="D184" s="59">
        <v>6337</v>
      </c>
      <c r="E184" s="339" t="s">
        <v>126</v>
      </c>
      <c r="F184" s="29">
        <v>1</v>
      </c>
      <c r="G184" s="9">
        <v>1</v>
      </c>
      <c r="H184" s="9">
        <v>1</v>
      </c>
      <c r="I184" s="9">
        <v>2</v>
      </c>
      <c r="J184" s="9">
        <v>2</v>
      </c>
      <c r="K184" s="159">
        <f t="shared" si="2"/>
        <v>0.35859414261160716</v>
      </c>
      <c r="L184" s="52" t="s">
        <v>111</v>
      </c>
    </row>
    <row r="185" spans="1:12" ht="15.75" hidden="1" thickBot="1">
      <c r="A185" s="151" t="s">
        <v>109</v>
      </c>
      <c r="B185" s="59">
        <v>2020</v>
      </c>
      <c r="C185" s="339" t="s">
        <v>86</v>
      </c>
      <c r="D185" s="59">
        <v>6387</v>
      </c>
      <c r="E185" s="339"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ht="15.75" hidden="1" thickBot="1">
      <c r="A186" s="151" t="s">
        <v>109</v>
      </c>
      <c r="B186" s="59">
        <v>2012</v>
      </c>
      <c r="C186" s="339" t="s">
        <v>86</v>
      </c>
      <c r="D186" s="59">
        <v>6391</v>
      </c>
      <c r="E186" s="339" t="s">
        <v>126</v>
      </c>
      <c r="F186" s="29">
        <v>1</v>
      </c>
      <c r="G186" s="9">
        <v>1</v>
      </c>
      <c r="H186" s="9">
        <v>1</v>
      </c>
      <c r="I186" s="9">
        <v>2</v>
      </c>
      <c r="J186" s="9">
        <v>2</v>
      </c>
      <c r="K186" s="159">
        <f t="shared" si="3"/>
        <v>0.35859414261160716</v>
      </c>
      <c r="L186" s="52" t="s">
        <v>111</v>
      </c>
    </row>
    <row r="187" spans="1:12" ht="15.75" hidden="1" thickBot="1">
      <c r="A187" s="151" t="s">
        <v>109</v>
      </c>
      <c r="B187" s="59">
        <v>2013</v>
      </c>
      <c r="C187" s="339" t="s">
        <v>86</v>
      </c>
      <c r="D187" s="59">
        <v>6464</v>
      </c>
      <c r="E187" s="339" t="s">
        <v>126</v>
      </c>
      <c r="F187" s="29">
        <v>1</v>
      </c>
      <c r="G187" s="9">
        <v>1</v>
      </c>
      <c r="H187" s="9">
        <v>1</v>
      </c>
      <c r="I187" s="9">
        <v>2</v>
      </c>
      <c r="J187" s="9">
        <v>2</v>
      </c>
      <c r="K187" s="159">
        <f t="shared" si="3"/>
        <v>0.35859414261160716</v>
      </c>
      <c r="L187" s="52" t="s">
        <v>111</v>
      </c>
    </row>
    <row r="188" spans="1:12" ht="15.75" hidden="1" thickBot="1">
      <c r="A188" s="151" t="s">
        <v>109</v>
      </c>
      <c r="B188" s="59">
        <v>2006</v>
      </c>
      <c r="C188" s="339" t="s">
        <v>90</v>
      </c>
      <c r="D188" s="59">
        <v>6599</v>
      </c>
      <c r="E188" s="339" t="s">
        <v>126</v>
      </c>
      <c r="F188" s="29">
        <v>1</v>
      </c>
      <c r="G188" s="9">
        <v>1</v>
      </c>
      <c r="H188" s="9">
        <v>1</v>
      </c>
      <c r="I188" s="9">
        <v>2</v>
      </c>
      <c r="J188" s="9">
        <v>2</v>
      </c>
      <c r="K188" s="159">
        <f t="shared" si="3"/>
        <v>0.35859414261160716</v>
      </c>
      <c r="L188" s="52" t="s">
        <v>111</v>
      </c>
    </row>
    <row r="189" spans="1:12" ht="15.75" hidden="1" thickBot="1">
      <c r="A189" s="151" t="s">
        <v>109</v>
      </c>
      <c r="B189" s="59">
        <v>2003</v>
      </c>
      <c r="C189" s="339" t="s">
        <v>90</v>
      </c>
      <c r="D189" s="59">
        <v>6604</v>
      </c>
      <c r="E189" s="339" t="s">
        <v>126</v>
      </c>
      <c r="F189" s="29">
        <v>1</v>
      </c>
      <c r="G189" s="9">
        <v>1</v>
      </c>
      <c r="H189" s="9">
        <v>1</v>
      </c>
      <c r="I189" s="9">
        <v>2</v>
      </c>
      <c r="J189" s="9">
        <v>2</v>
      </c>
      <c r="K189" s="159">
        <f t="shared" si="3"/>
        <v>0.35859414261160716</v>
      </c>
      <c r="L189" s="52" t="s">
        <v>111</v>
      </c>
    </row>
    <row r="190" spans="1:12" ht="15.75" hidden="1" thickBot="1">
      <c r="A190" s="151" t="s">
        <v>109</v>
      </c>
      <c r="B190" s="59">
        <v>2005</v>
      </c>
      <c r="C190" s="339" t="s">
        <v>90</v>
      </c>
      <c r="D190" s="59">
        <v>6608</v>
      </c>
      <c r="E190" s="339" t="s">
        <v>126</v>
      </c>
      <c r="F190" s="29">
        <v>1</v>
      </c>
      <c r="G190" s="9">
        <v>1</v>
      </c>
      <c r="H190" s="9">
        <v>1</v>
      </c>
      <c r="I190" s="9">
        <v>2</v>
      </c>
      <c r="J190" s="9">
        <v>2</v>
      </c>
      <c r="K190" s="159">
        <f t="shared" si="3"/>
        <v>0.35859414261160716</v>
      </c>
      <c r="L190" s="52" t="s">
        <v>111</v>
      </c>
    </row>
    <row r="191" spans="1:12" ht="15.75" hidden="1" thickBot="1">
      <c r="A191" s="151" t="s">
        <v>109</v>
      </c>
      <c r="B191" s="59">
        <v>2021</v>
      </c>
      <c r="C191" s="339" t="s">
        <v>86</v>
      </c>
      <c r="D191" s="59">
        <v>6722</v>
      </c>
      <c r="E191" s="339" t="s">
        <v>126</v>
      </c>
      <c r="F191" s="29">
        <v>1</v>
      </c>
      <c r="G191" s="9">
        <v>1</v>
      </c>
      <c r="H191" s="9">
        <v>1</v>
      </c>
      <c r="I191" s="9">
        <v>2</v>
      </c>
      <c r="J191" s="9">
        <v>2</v>
      </c>
      <c r="K191" s="159">
        <f t="shared" si="3"/>
        <v>0.35859414261160716</v>
      </c>
      <c r="L191" s="52" t="s">
        <v>111</v>
      </c>
    </row>
    <row r="192" spans="1:12" ht="15.75" hidden="1" thickBot="1">
      <c r="A192" s="151" t="s">
        <v>109</v>
      </c>
      <c r="B192" s="59">
        <v>2013</v>
      </c>
      <c r="C192" s="339" t="s">
        <v>90</v>
      </c>
      <c r="D192" s="59">
        <v>6758</v>
      </c>
      <c r="E192" s="339" t="s">
        <v>126</v>
      </c>
      <c r="F192" s="29">
        <v>1</v>
      </c>
      <c r="G192" s="9">
        <v>1</v>
      </c>
      <c r="H192" s="9">
        <v>1</v>
      </c>
      <c r="I192" s="9">
        <v>2</v>
      </c>
      <c r="J192" s="9">
        <v>2</v>
      </c>
      <c r="K192" s="159">
        <f t="shared" si="3"/>
        <v>0.35859414261160716</v>
      </c>
      <c r="L192" s="52" t="s">
        <v>111</v>
      </c>
    </row>
    <row r="193" spans="1:12" ht="15.75" hidden="1" thickBot="1">
      <c r="A193" s="151" t="s">
        <v>109</v>
      </c>
      <c r="B193" s="59">
        <v>2004</v>
      </c>
      <c r="C193" s="339" t="s">
        <v>90</v>
      </c>
      <c r="D193" s="59">
        <v>6777</v>
      </c>
      <c r="E193" s="339" t="s">
        <v>126</v>
      </c>
      <c r="F193" s="29">
        <v>1</v>
      </c>
      <c r="G193" s="9">
        <v>1</v>
      </c>
      <c r="H193" s="9">
        <v>1</v>
      </c>
      <c r="I193" s="9">
        <v>2</v>
      </c>
      <c r="J193" s="9">
        <v>2</v>
      </c>
      <c r="K193" s="159">
        <f t="shared" si="3"/>
        <v>0.35859414261160716</v>
      </c>
      <c r="L193" s="52" t="s">
        <v>111</v>
      </c>
    </row>
    <row r="194" spans="1:12" ht="15.75" hidden="1" thickBot="1">
      <c r="A194" s="151" t="s">
        <v>109</v>
      </c>
      <c r="B194" s="59">
        <v>2017</v>
      </c>
      <c r="C194" s="339" t="s">
        <v>90</v>
      </c>
      <c r="D194" s="59">
        <v>6797</v>
      </c>
      <c r="E194" s="339" t="s">
        <v>126</v>
      </c>
      <c r="F194" s="29">
        <v>1</v>
      </c>
      <c r="G194" s="9">
        <v>1</v>
      </c>
      <c r="H194" s="9">
        <v>1</v>
      </c>
      <c r="I194" s="9">
        <v>2</v>
      </c>
      <c r="J194" s="9">
        <v>2</v>
      </c>
      <c r="K194" s="159">
        <f t="shared" si="3"/>
        <v>0.35859414261160716</v>
      </c>
      <c r="L194" s="52" t="s">
        <v>111</v>
      </c>
    </row>
    <row r="195" spans="1:12" ht="15.75" hidden="1" thickBot="1">
      <c r="A195" s="151" t="s">
        <v>109</v>
      </c>
      <c r="B195" s="59">
        <v>2018</v>
      </c>
      <c r="C195" s="339" t="s">
        <v>90</v>
      </c>
      <c r="D195" s="59">
        <v>6797</v>
      </c>
      <c r="E195" s="339" t="s">
        <v>126</v>
      </c>
      <c r="F195" s="29">
        <v>1</v>
      </c>
      <c r="G195" s="9">
        <v>1</v>
      </c>
      <c r="H195" s="9">
        <v>1</v>
      </c>
      <c r="I195" s="9">
        <v>2</v>
      </c>
      <c r="J195" s="9">
        <v>2</v>
      </c>
      <c r="K195" s="159">
        <f t="shared" si="3"/>
        <v>0.35859414261160716</v>
      </c>
      <c r="L195" s="52" t="s">
        <v>111</v>
      </c>
    </row>
    <row r="196" spans="1:12" ht="15.75" hidden="1" thickBot="1">
      <c r="A196" s="151" t="s">
        <v>109</v>
      </c>
      <c r="B196" s="59">
        <v>2019</v>
      </c>
      <c r="C196" s="339" t="s">
        <v>90</v>
      </c>
      <c r="D196" s="59">
        <v>6797</v>
      </c>
      <c r="E196" s="339" t="s">
        <v>126</v>
      </c>
      <c r="F196" s="29">
        <v>1</v>
      </c>
      <c r="G196" s="9">
        <v>1</v>
      </c>
      <c r="H196" s="9">
        <v>1</v>
      </c>
      <c r="I196" s="9">
        <v>2</v>
      </c>
      <c r="J196" s="9">
        <v>2</v>
      </c>
      <c r="K196" s="159">
        <f t="shared" si="3"/>
        <v>0.35859414261160716</v>
      </c>
      <c r="L196" s="52" t="s">
        <v>111</v>
      </c>
    </row>
    <row r="197" spans="1:12" ht="15.75" hidden="1" thickBot="1">
      <c r="A197" s="151" t="s">
        <v>109</v>
      </c>
      <c r="B197" s="59">
        <v>2015</v>
      </c>
      <c r="C197" s="339" t="s">
        <v>90</v>
      </c>
      <c r="D197" s="59">
        <v>7154</v>
      </c>
      <c r="E197" s="339" t="s">
        <v>126</v>
      </c>
      <c r="F197" s="29">
        <v>1</v>
      </c>
      <c r="G197" s="9">
        <v>1</v>
      </c>
      <c r="H197" s="9">
        <v>1</v>
      </c>
      <c r="I197" s="9">
        <v>2</v>
      </c>
      <c r="J197" s="9">
        <v>2</v>
      </c>
      <c r="K197" s="159">
        <f t="shared" si="3"/>
        <v>0.35859414261160716</v>
      </c>
      <c r="L197" s="52" t="s">
        <v>111</v>
      </c>
    </row>
    <row r="198" spans="1:12" ht="15.75" hidden="1" thickBot="1">
      <c r="A198" s="151" t="s">
        <v>109</v>
      </c>
      <c r="B198" s="59">
        <v>2014</v>
      </c>
      <c r="C198" s="339" t="s">
        <v>90</v>
      </c>
      <c r="D198" s="59">
        <v>7535</v>
      </c>
      <c r="E198" s="339" t="s">
        <v>126</v>
      </c>
      <c r="F198" s="29">
        <v>1</v>
      </c>
      <c r="G198" s="9">
        <v>1</v>
      </c>
      <c r="H198" s="9">
        <v>1</v>
      </c>
      <c r="I198" s="9">
        <v>2</v>
      </c>
      <c r="J198" s="9">
        <v>2</v>
      </c>
      <c r="K198" s="159">
        <f t="shared" si="3"/>
        <v>0.35859414261160716</v>
      </c>
      <c r="L198" s="52" t="s">
        <v>111</v>
      </c>
    </row>
    <row r="199" spans="1:12" ht="15.75" hidden="1" thickBot="1">
      <c r="A199" s="151" t="s">
        <v>109</v>
      </c>
      <c r="B199" s="59">
        <v>2021</v>
      </c>
      <c r="C199" s="339" t="s">
        <v>90</v>
      </c>
      <c r="D199" s="59">
        <v>7971</v>
      </c>
      <c r="E199" s="339" t="s">
        <v>126</v>
      </c>
      <c r="F199" s="29">
        <v>1</v>
      </c>
      <c r="G199" s="9">
        <v>1</v>
      </c>
      <c r="H199" s="9">
        <v>1</v>
      </c>
      <c r="I199" s="9">
        <v>2</v>
      </c>
      <c r="J199" s="9">
        <v>2</v>
      </c>
      <c r="K199" s="159">
        <f t="shared" si="3"/>
        <v>0.35859414261160716</v>
      </c>
      <c r="L199" s="52" t="s">
        <v>111</v>
      </c>
    </row>
    <row r="200" spans="1:12" ht="15.75" hidden="1" thickBot="1">
      <c r="A200" s="151" t="s">
        <v>109</v>
      </c>
      <c r="B200" s="59">
        <v>2020</v>
      </c>
      <c r="C200" s="339" t="s">
        <v>90</v>
      </c>
      <c r="D200" s="59">
        <v>7974</v>
      </c>
      <c r="E200" s="339" t="s">
        <v>126</v>
      </c>
      <c r="F200" s="29">
        <v>1</v>
      </c>
      <c r="G200" s="9">
        <v>1</v>
      </c>
      <c r="H200" s="9">
        <v>1</v>
      </c>
      <c r="I200" s="9">
        <v>2</v>
      </c>
      <c r="J200" s="9">
        <v>2</v>
      </c>
      <c r="K200" s="159">
        <f t="shared" si="3"/>
        <v>0.35859414261160716</v>
      </c>
      <c r="L200" s="52" t="s">
        <v>111</v>
      </c>
    </row>
    <row r="201" spans="1:12" ht="15.75" hidden="1" thickBot="1">
      <c r="A201" s="151" t="s">
        <v>109</v>
      </c>
      <c r="B201" s="59">
        <v>2015</v>
      </c>
      <c r="C201" s="339" t="s">
        <v>87</v>
      </c>
      <c r="D201" s="59">
        <v>8085</v>
      </c>
      <c r="E201" s="339" t="s">
        <v>126</v>
      </c>
      <c r="F201" s="29">
        <v>1</v>
      </c>
      <c r="G201" s="9">
        <v>1</v>
      </c>
      <c r="H201" s="9">
        <v>1</v>
      </c>
      <c r="I201" s="9">
        <v>2</v>
      </c>
      <c r="J201" s="9">
        <v>2</v>
      </c>
      <c r="K201" s="159">
        <f t="shared" si="3"/>
        <v>0.35859414261160716</v>
      </c>
      <c r="L201" s="52" t="s">
        <v>111</v>
      </c>
    </row>
    <row r="202" spans="1:12" ht="15.75" hidden="1" thickBot="1">
      <c r="A202" s="151" t="s">
        <v>109</v>
      </c>
      <c r="B202" s="59">
        <v>2012</v>
      </c>
      <c r="C202" s="339" t="s">
        <v>90</v>
      </c>
      <c r="D202" s="59">
        <v>8310</v>
      </c>
      <c r="E202" s="339" t="s">
        <v>126</v>
      </c>
      <c r="F202" s="29">
        <v>1</v>
      </c>
      <c r="G202" s="9">
        <v>1</v>
      </c>
      <c r="H202" s="9">
        <v>1</v>
      </c>
      <c r="I202" s="9">
        <v>2</v>
      </c>
      <c r="J202" s="9">
        <v>2</v>
      </c>
      <c r="K202" s="159">
        <f t="shared" si="3"/>
        <v>0.35859414261160716</v>
      </c>
      <c r="L202" s="52" t="s">
        <v>111</v>
      </c>
    </row>
    <row r="203" spans="1:12" ht="15.75" hidden="1" thickBot="1">
      <c r="A203" s="151" t="s">
        <v>109</v>
      </c>
      <c r="B203" s="59">
        <v>2016</v>
      </c>
      <c r="C203" s="339" t="s">
        <v>87</v>
      </c>
      <c r="D203" s="59">
        <v>8396</v>
      </c>
      <c r="E203" s="339" t="s">
        <v>126</v>
      </c>
      <c r="F203" s="29">
        <v>1</v>
      </c>
      <c r="G203" s="9">
        <v>1</v>
      </c>
      <c r="H203" s="9">
        <v>1</v>
      </c>
      <c r="I203" s="9">
        <v>2</v>
      </c>
      <c r="J203" s="9">
        <v>2</v>
      </c>
      <c r="K203" s="159">
        <f t="shared" si="3"/>
        <v>0.35859414261160716</v>
      </c>
      <c r="L203" s="52" t="s">
        <v>111</v>
      </c>
    </row>
    <row r="204" spans="1:12" ht="15.75" hidden="1" thickBot="1">
      <c r="A204" s="151" t="s">
        <v>109</v>
      </c>
      <c r="B204" s="59">
        <v>2014</v>
      </c>
      <c r="C204" s="339" t="s">
        <v>87</v>
      </c>
      <c r="D204" s="59">
        <v>8482</v>
      </c>
      <c r="E204" s="339" t="s">
        <v>126</v>
      </c>
      <c r="F204" s="29">
        <v>1</v>
      </c>
      <c r="G204" s="9">
        <v>1</v>
      </c>
      <c r="H204" s="9">
        <v>1</v>
      </c>
      <c r="I204" s="9">
        <v>2</v>
      </c>
      <c r="J204" s="9">
        <v>2</v>
      </c>
      <c r="K204" s="159">
        <f t="shared" si="3"/>
        <v>0.35859414261160716</v>
      </c>
      <c r="L204" s="52" t="s">
        <v>111</v>
      </c>
    </row>
    <row r="205" spans="1:12" ht="15.75" hidden="1" thickBot="1">
      <c r="A205" s="151" t="s">
        <v>109</v>
      </c>
      <c r="B205" s="59">
        <v>2003</v>
      </c>
      <c r="C205" s="339" t="s">
        <v>87</v>
      </c>
      <c r="D205" s="59">
        <v>8573</v>
      </c>
      <c r="E205" s="339" t="s">
        <v>126</v>
      </c>
      <c r="F205" s="29">
        <v>1</v>
      </c>
      <c r="G205" s="9">
        <v>1</v>
      </c>
      <c r="H205" s="9">
        <v>1</v>
      </c>
      <c r="I205" s="9">
        <v>2</v>
      </c>
      <c r="J205" s="9">
        <v>2</v>
      </c>
      <c r="K205" s="159">
        <f t="shared" si="3"/>
        <v>0.35859414261160716</v>
      </c>
      <c r="L205" s="52" t="s">
        <v>111</v>
      </c>
    </row>
    <row r="206" spans="1:12" ht="15.75" hidden="1" thickBot="1">
      <c r="A206" s="151" t="s">
        <v>109</v>
      </c>
      <c r="B206" s="59">
        <v>2004</v>
      </c>
      <c r="C206" s="339" t="s">
        <v>87</v>
      </c>
      <c r="D206" s="59">
        <v>9177</v>
      </c>
      <c r="E206" s="339" t="s">
        <v>126</v>
      </c>
      <c r="F206" s="29">
        <v>1</v>
      </c>
      <c r="G206" s="9">
        <v>1</v>
      </c>
      <c r="H206" s="9">
        <v>1</v>
      </c>
      <c r="I206" s="9">
        <v>2</v>
      </c>
      <c r="J206" s="9">
        <v>2</v>
      </c>
      <c r="K206" s="159">
        <f t="shared" si="3"/>
        <v>0.35859414261160716</v>
      </c>
      <c r="L206" s="52" t="s">
        <v>111</v>
      </c>
    </row>
    <row r="207" spans="1:12" ht="15.75" hidden="1" thickBot="1">
      <c r="A207" s="151" t="s">
        <v>109</v>
      </c>
      <c r="B207" s="59">
        <v>2010</v>
      </c>
      <c r="C207" s="339" t="s">
        <v>87</v>
      </c>
      <c r="D207" s="59">
        <v>9333</v>
      </c>
      <c r="E207" s="339" t="s">
        <v>126</v>
      </c>
      <c r="F207" s="29">
        <v>1</v>
      </c>
      <c r="G207" s="9">
        <v>1</v>
      </c>
      <c r="H207" s="9">
        <v>1</v>
      </c>
      <c r="I207" s="9">
        <v>2</v>
      </c>
      <c r="J207" s="9">
        <v>2</v>
      </c>
      <c r="K207" s="159">
        <f t="shared" si="3"/>
        <v>0.35859414261160716</v>
      </c>
      <c r="L207" s="52" t="s">
        <v>111</v>
      </c>
    </row>
    <row r="208" spans="1:12" ht="15.75" hidden="1" thickBot="1">
      <c r="A208" s="151" t="s">
        <v>109</v>
      </c>
      <c r="B208" s="59">
        <v>2005</v>
      </c>
      <c r="C208" s="339" t="s">
        <v>87</v>
      </c>
      <c r="D208" s="59">
        <v>9359</v>
      </c>
      <c r="E208" s="339" t="s">
        <v>126</v>
      </c>
      <c r="F208" s="29">
        <v>1</v>
      </c>
      <c r="G208" s="9">
        <v>1</v>
      </c>
      <c r="H208" s="9">
        <v>1</v>
      </c>
      <c r="I208" s="9">
        <v>2</v>
      </c>
      <c r="J208" s="9">
        <v>2</v>
      </c>
      <c r="K208" s="159">
        <f t="shared" si="3"/>
        <v>0.35859414261160716</v>
      </c>
      <c r="L208" s="52" t="s">
        <v>111</v>
      </c>
    </row>
    <row r="209" spans="1:12" ht="15.75" hidden="1" thickBot="1">
      <c r="A209" s="151" t="s">
        <v>109</v>
      </c>
      <c r="B209" s="59">
        <v>2017</v>
      </c>
      <c r="C209" s="339" t="s">
        <v>87</v>
      </c>
      <c r="D209" s="59">
        <v>9425</v>
      </c>
      <c r="E209" s="339" t="s">
        <v>126</v>
      </c>
      <c r="F209" s="29">
        <v>1</v>
      </c>
      <c r="G209" s="9">
        <v>1</v>
      </c>
      <c r="H209" s="9">
        <v>1</v>
      </c>
      <c r="I209" s="9">
        <v>2</v>
      </c>
      <c r="J209" s="9">
        <v>2</v>
      </c>
      <c r="K209" s="159">
        <f t="shared" si="3"/>
        <v>0.35859414261160716</v>
      </c>
      <c r="L209" s="52" t="s">
        <v>111</v>
      </c>
    </row>
    <row r="210" spans="1:12" ht="15.75" hidden="1" thickBot="1">
      <c r="A210" s="151" t="s">
        <v>109</v>
      </c>
      <c r="B210" s="59">
        <v>2018</v>
      </c>
      <c r="C210" s="339" t="s">
        <v>87</v>
      </c>
      <c r="D210" s="59">
        <v>9425</v>
      </c>
      <c r="E210" s="339" t="s">
        <v>126</v>
      </c>
      <c r="F210" s="29">
        <v>1</v>
      </c>
      <c r="G210" s="9">
        <v>1</v>
      </c>
      <c r="H210" s="9">
        <v>1</v>
      </c>
      <c r="I210" s="9">
        <v>2</v>
      </c>
      <c r="J210" s="9">
        <v>2</v>
      </c>
      <c r="K210" s="159">
        <f t="shared" si="3"/>
        <v>0.35859414261160716</v>
      </c>
      <c r="L210" s="52" t="s">
        <v>111</v>
      </c>
    </row>
    <row r="211" spans="1:12" ht="15.75" hidden="1" thickBot="1">
      <c r="A211" s="151" t="s">
        <v>109</v>
      </c>
      <c r="B211" s="59">
        <v>2019</v>
      </c>
      <c r="C211" s="339" t="s">
        <v>87</v>
      </c>
      <c r="D211" s="59">
        <v>9425</v>
      </c>
      <c r="E211" s="339" t="s">
        <v>126</v>
      </c>
      <c r="F211" s="29">
        <v>1</v>
      </c>
      <c r="G211" s="9">
        <v>1</v>
      </c>
      <c r="H211" s="9">
        <v>1</v>
      </c>
      <c r="I211" s="9">
        <v>2</v>
      </c>
      <c r="J211" s="9">
        <v>2</v>
      </c>
      <c r="K211" s="159">
        <f t="shared" si="3"/>
        <v>0.35859414261160716</v>
      </c>
      <c r="L211" s="52" t="s">
        <v>111</v>
      </c>
    </row>
    <row r="212" spans="1:12" ht="15.75" hidden="1" thickBot="1">
      <c r="A212" s="151" t="s">
        <v>109</v>
      </c>
      <c r="B212" s="59">
        <v>2012</v>
      </c>
      <c r="C212" s="339" t="s">
        <v>87</v>
      </c>
      <c r="D212" s="59">
        <v>9437</v>
      </c>
      <c r="E212" s="339" t="s">
        <v>126</v>
      </c>
      <c r="F212" s="29">
        <v>1</v>
      </c>
      <c r="G212" s="9">
        <v>1</v>
      </c>
      <c r="H212" s="9">
        <v>1</v>
      </c>
      <c r="I212" s="9">
        <v>2</v>
      </c>
      <c r="J212" s="9">
        <v>2</v>
      </c>
      <c r="K212" s="159">
        <f t="shared" si="3"/>
        <v>0.35859414261160716</v>
      </c>
      <c r="L212" s="52" t="s">
        <v>111</v>
      </c>
    </row>
    <row r="213" spans="1:12" ht="15.75" hidden="1" thickBot="1">
      <c r="A213" s="151" t="s">
        <v>109</v>
      </c>
      <c r="B213" s="59">
        <v>2021</v>
      </c>
      <c r="C213" s="339" t="s">
        <v>87</v>
      </c>
      <c r="D213" s="59">
        <v>9482</v>
      </c>
      <c r="E213" s="339" t="s">
        <v>126</v>
      </c>
      <c r="F213" s="29">
        <v>1</v>
      </c>
      <c r="G213" s="9">
        <v>1</v>
      </c>
      <c r="H213" s="9">
        <v>1</v>
      </c>
      <c r="I213" s="9">
        <v>2</v>
      </c>
      <c r="J213" s="9">
        <v>2</v>
      </c>
      <c r="K213" s="159">
        <f t="shared" si="3"/>
        <v>0.35859414261160716</v>
      </c>
      <c r="L213" s="52" t="s">
        <v>111</v>
      </c>
    </row>
    <row r="214" spans="1:12" ht="15.75" hidden="1" thickBot="1">
      <c r="A214" s="151" t="s">
        <v>109</v>
      </c>
      <c r="B214" s="59">
        <v>2013</v>
      </c>
      <c r="C214" s="339" t="s">
        <v>87</v>
      </c>
      <c r="D214" s="59">
        <v>9631</v>
      </c>
      <c r="E214" s="339" t="s">
        <v>126</v>
      </c>
      <c r="F214" s="29">
        <v>1</v>
      </c>
      <c r="G214" s="9">
        <v>1</v>
      </c>
      <c r="H214" s="9">
        <v>1</v>
      </c>
      <c r="I214" s="9">
        <v>2</v>
      </c>
      <c r="J214" s="9">
        <v>2</v>
      </c>
      <c r="K214" s="159">
        <f t="shared" si="3"/>
        <v>0.35859414261160716</v>
      </c>
      <c r="L214" s="52" t="s">
        <v>111</v>
      </c>
    </row>
    <row r="215" spans="1:12" ht="15.75" hidden="1" thickBot="1">
      <c r="A215" s="151" t="s">
        <v>109</v>
      </c>
      <c r="B215" s="59">
        <v>2009</v>
      </c>
      <c r="C215" s="339" t="s">
        <v>87</v>
      </c>
      <c r="D215" s="59">
        <v>9674</v>
      </c>
      <c r="E215" s="339" t="s">
        <v>126</v>
      </c>
      <c r="F215" s="29">
        <v>1</v>
      </c>
      <c r="G215" s="9">
        <v>1</v>
      </c>
      <c r="H215" s="9">
        <v>1</v>
      </c>
      <c r="I215" s="9">
        <v>2</v>
      </c>
      <c r="J215" s="9">
        <v>2</v>
      </c>
      <c r="K215" s="159">
        <f t="shared" si="3"/>
        <v>0.35859414261160716</v>
      </c>
      <c r="L215" s="52" t="s">
        <v>111</v>
      </c>
    </row>
    <row r="216" spans="1:12" ht="15.75" hidden="1" thickBot="1">
      <c r="A216" s="151" t="s">
        <v>109</v>
      </c>
      <c r="B216" s="59">
        <v>2006</v>
      </c>
      <c r="C216" s="339" t="s">
        <v>87</v>
      </c>
      <c r="D216" s="59">
        <v>9780</v>
      </c>
      <c r="E216" s="339" t="s">
        <v>126</v>
      </c>
      <c r="F216" s="29">
        <v>1</v>
      </c>
      <c r="G216" s="9">
        <v>1</v>
      </c>
      <c r="H216" s="9">
        <v>1</v>
      </c>
      <c r="I216" s="9">
        <v>2</v>
      </c>
      <c r="J216" s="9">
        <v>2</v>
      </c>
      <c r="K216" s="159">
        <f t="shared" si="3"/>
        <v>0.35859414261160716</v>
      </c>
      <c r="L216" s="52" t="s">
        <v>111</v>
      </c>
    </row>
    <row r="217" spans="1:12" ht="15.75" hidden="1" thickBot="1">
      <c r="A217" s="151" t="s">
        <v>109</v>
      </c>
      <c r="B217" s="59">
        <v>2008</v>
      </c>
      <c r="C217" s="339" t="s">
        <v>87</v>
      </c>
      <c r="D217" s="59">
        <v>9960</v>
      </c>
      <c r="E217" s="339" t="s">
        <v>126</v>
      </c>
      <c r="F217" s="29">
        <v>1</v>
      </c>
      <c r="G217" s="9">
        <v>1</v>
      </c>
      <c r="H217" s="9">
        <v>1</v>
      </c>
      <c r="I217" s="9">
        <v>2</v>
      </c>
      <c r="J217" s="9">
        <v>2</v>
      </c>
      <c r="K217" s="159">
        <f t="shared" si="3"/>
        <v>0.35859414261160716</v>
      </c>
      <c r="L217" s="52" t="s">
        <v>111</v>
      </c>
    </row>
    <row r="218" spans="1:12" ht="15.75" hidden="1" thickBot="1">
      <c r="A218" s="151" t="s">
        <v>109</v>
      </c>
      <c r="B218" s="59">
        <v>2020</v>
      </c>
      <c r="C218" s="339" t="s">
        <v>87</v>
      </c>
      <c r="D218" s="59">
        <v>10055</v>
      </c>
      <c r="E218" s="339" t="s">
        <v>126</v>
      </c>
      <c r="F218" s="29">
        <v>1</v>
      </c>
      <c r="G218" s="9">
        <v>1</v>
      </c>
      <c r="H218" s="9">
        <v>1</v>
      </c>
      <c r="I218" s="9">
        <v>2</v>
      </c>
      <c r="J218" s="9">
        <v>2</v>
      </c>
      <c r="K218" s="159">
        <f t="shared" si="3"/>
        <v>0.35859414261160716</v>
      </c>
      <c r="L218" s="52" t="s">
        <v>111</v>
      </c>
    </row>
    <row r="219" spans="1:12" ht="15.75" hidden="1" thickBot="1">
      <c r="A219" s="151" t="s">
        <v>109</v>
      </c>
      <c r="B219" s="59">
        <v>2011</v>
      </c>
      <c r="C219" s="339" t="s">
        <v>87</v>
      </c>
      <c r="D219" s="59">
        <v>10120</v>
      </c>
      <c r="E219" s="339" t="s">
        <v>126</v>
      </c>
      <c r="F219" s="29">
        <v>1</v>
      </c>
      <c r="G219" s="9">
        <v>1</v>
      </c>
      <c r="H219" s="9">
        <v>1</v>
      </c>
      <c r="I219" s="9">
        <v>2</v>
      </c>
      <c r="J219" s="9">
        <v>2</v>
      </c>
      <c r="K219" s="159">
        <f t="shared" si="3"/>
        <v>0.35859414261160716</v>
      </c>
      <c r="L219" s="52" t="s">
        <v>111</v>
      </c>
    </row>
    <row r="220" spans="1:12" ht="15.75" hidden="1" thickBot="1">
      <c r="A220" s="151" t="s">
        <v>109</v>
      </c>
      <c r="B220" s="59">
        <v>2013</v>
      </c>
      <c r="C220" s="339" t="s">
        <v>98</v>
      </c>
      <c r="D220" s="59">
        <v>11075</v>
      </c>
      <c r="E220" s="339" t="s">
        <v>126</v>
      </c>
      <c r="F220" s="29">
        <v>1</v>
      </c>
      <c r="G220" s="9">
        <v>1</v>
      </c>
      <c r="H220" s="9">
        <v>1</v>
      </c>
      <c r="I220" s="9">
        <v>2</v>
      </c>
      <c r="J220" s="9">
        <v>2</v>
      </c>
      <c r="K220" s="159">
        <f t="shared" si="3"/>
        <v>0.35859414261160716</v>
      </c>
      <c r="L220" s="52" t="s">
        <v>111</v>
      </c>
    </row>
    <row r="221" spans="1:12" ht="15.75" hidden="1" thickBot="1">
      <c r="A221" s="151" t="s">
        <v>109</v>
      </c>
      <c r="B221" s="59">
        <v>2007</v>
      </c>
      <c r="C221" s="339" t="s">
        <v>87</v>
      </c>
      <c r="D221" s="59">
        <v>11254</v>
      </c>
      <c r="E221" s="339" t="s">
        <v>126</v>
      </c>
      <c r="F221" s="29">
        <v>1</v>
      </c>
      <c r="G221" s="9">
        <v>1</v>
      </c>
      <c r="H221" s="9">
        <v>1</v>
      </c>
      <c r="I221" s="9">
        <v>2</v>
      </c>
      <c r="J221" s="9">
        <v>2</v>
      </c>
      <c r="K221" s="159">
        <f t="shared" si="3"/>
        <v>0.35859414261160716</v>
      </c>
      <c r="L221" s="52" t="s">
        <v>111</v>
      </c>
    </row>
    <row r="222" spans="1:12" ht="15.75" hidden="1" thickBot="1">
      <c r="A222" s="151" t="s">
        <v>109</v>
      </c>
      <c r="B222" s="59">
        <v>2009</v>
      </c>
      <c r="C222" s="339" t="s">
        <v>85</v>
      </c>
      <c r="D222" s="59">
        <v>11289</v>
      </c>
      <c r="E222" s="339" t="s">
        <v>126</v>
      </c>
      <c r="F222" s="29">
        <v>1</v>
      </c>
      <c r="G222" s="9">
        <v>1</v>
      </c>
      <c r="H222" s="9">
        <v>1</v>
      </c>
      <c r="I222" s="9">
        <v>2</v>
      </c>
      <c r="J222" s="9">
        <v>2</v>
      </c>
      <c r="K222" s="159">
        <f t="shared" si="3"/>
        <v>0.35859414261160716</v>
      </c>
      <c r="L222" s="52" t="s">
        <v>111</v>
      </c>
    </row>
    <row r="223" spans="1:12" ht="15.75" hidden="1" thickBot="1">
      <c r="A223" s="151" t="s">
        <v>109</v>
      </c>
      <c r="B223" s="59">
        <v>2010</v>
      </c>
      <c r="C223" s="339" t="s">
        <v>85</v>
      </c>
      <c r="D223" s="59">
        <v>12078</v>
      </c>
      <c r="E223" s="339" t="s">
        <v>126</v>
      </c>
      <c r="F223" s="29">
        <v>1</v>
      </c>
      <c r="G223" s="9">
        <v>1</v>
      </c>
      <c r="H223" s="9">
        <v>1</v>
      </c>
      <c r="I223" s="9">
        <v>2</v>
      </c>
      <c r="J223" s="9">
        <v>2</v>
      </c>
      <c r="K223" s="159">
        <f t="shared" si="3"/>
        <v>0.35859414261160716</v>
      </c>
      <c r="L223" s="52" t="s">
        <v>111</v>
      </c>
    </row>
    <row r="224" spans="1:12" ht="15.75" hidden="1" thickBot="1">
      <c r="A224" s="151" t="s">
        <v>109</v>
      </c>
      <c r="B224" s="59">
        <v>2016</v>
      </c>
      <c r="C224" s="339" t="s">
        <v>85</v>
      </c>
      <c r="D224" s="59">
        <v>12146</v>
      </c>
      <c r="E224" s="339" t="s">
        <v>126</v>
      </c>
      <c r="F224" s="29">
        <v>1</v>
      </c>
      <c r="G224" s="9">
        <v>1</v>
      </c>
      <c r="H224" s="9">
        <v>1</v>
      </c>
      <c r="I224" s="9">
        <v>2</v>
      </c>
      <c r="J224" s="9">
        <v>2</v>
      </c>
      <c r="K224" s="159">
        <f t="shared" si="3"/>
        <v>0.35859414261160716</v>
      </c>
      <c r="L224" s="52" t="s">
        <v>111</v>
      </c>
    </row>
    <row r="225" spans="1:12" ht="15.75" hidden="1" thickBot="1">
      <c r="A225" s="151" t="s">
        <v>109</v>
      </c>
      <c r="B225" s="59">
        <v>2015</v>
      </c>
      <c r="C225" s="339" t="s">
        <v>85</v>
      </c>
      <c r="D225" s="59">
        <v>12194</v>
      </c>
      <c r="E225" s="339" t="s">
        <v>126</v>
      </c>
      <c r="F225" s="29">
        <v>1</v>
      </c>
      <c r="G225" s="9">
        <v>1</v>
      </c>
      <c r="H225" s="9">
        <v>1</v>
      </c>
      <c r="I225" s="9">
        <v>2</v>
      </c>
      <c r="J225" s="9">
        <v>2</v>
      </c>
      <c r="K225" s="159">
        <f t="shared" si="3"/>
        <v>0.35859414261160716</v>
      </c>
      <c r="L225" s="52" t="s">
        <v>111</v>
      </c>
    </row>
    <row r="226" spans="1:12" ht="15.75" hidden="1" thickBot="1">
      <c r="A226" s="151" t="s">
        <v>109</v>
      </c>
      <c r="B226" s="59">
        <v>2003</v>
      </c>
      <c r="C226" s="339" t="s">
        <v>85</v>
      </c>
      <c r="D226" s="59">
        <v>12268</v>
      </c>
      <c r="E226" s="339" t="s">
        <v>126</v>
      </c>
      <c r="F226" s="29">
        <v>1</v>
      </c>
      <c r="G226" s="9">
        <v>1</v>
      </c>
      <c r="H226" s="9">
        <v>1</v>
      </c>
      <c r="I226" s="9">
        <v>2</v>
      </c>
      <c r="J226" s="9">
        <v>2</v>
      </c>
      <c r="K226" s="159">
        <f t="shared" si="3"/>
        <v>0.35859414261160716</v>
      </c>
      <c r="L226" s="52" t="s">
        <v>111</v>
      </c>
    </row>
    <row r="227" spans="1:12" ht="15.75" hidden="1" thickBot="1">
      <c r="A227" s="151" t="s">
        <v>109</v>
      </c>
      <c r="B227" s="59">
        <v>2014</v>
      </c>
      <c r="C227" s="339" t="s">
        <v>85</v>
      </c>
      <c r="D227" s="59">
        <v>12281</v>
      </c>
      <c r="E227" s="339" t="s">
        <v>126</v>
      </c>
      <c r="F227" s="29">
        <v>1</v>
      </c>
      <c r="G227" s="9">
        <v>1</v>
      </c>
      <c r="H227" s="9">
        <v>1</v>
      </c>
      <c r="I227" s="9">
        <v>2</v>
      </c>
      <c r="J227" s="9">
        <v>2</v>
      </c>
      <c r="K227" s="159">
        <f t="shared" si="3"/>
        <v>0.35859414261160716</v>
      </c>
      <c r="L227" s="52" t="s">
        <v>111</v>
      </c>
    </row>
    <row r="228" spans="1:12" ht="15.75" hidden="1" thickBot="1">
      <c r="A228" s="151" t="s">
        <v>109</v>
      </c>
      <c r="B228" s="59">
        <v>2004</v>
      </c>
      <c r="C228" s="339" t="s">
        <v>85</v>
      </c>
      <c r="D228" s="59">
        <v>12405</v>
      </c>
      <c r="E228" s="339" t="s">
        <v>126</v>
      </c>
      <c r="F228" s="29">
        <v>1</v>
      </c>
      <c r="G228" s="9">
        <v>1</v>
      </c>
      <c r="H228" s="9">
        <v>1</v>
      </c>
      <c r="I228" s="9">
        <v>2</v>
      </c>
      <c r="J228" s="9">
        <v>2</v>
      </c>
      <c r="K228" s="159">
        <f t="shared" si="3"/>
        <v>0.35859414261160716</v>
      </c>
      <c r="L228" s="52" t="s">
        <v>111</v>
      </c>
    </row>
    <row r="229" spans="1:12" ht="15.75" hidden="1" thickBot="1">
      <c r="A229" s="151" t="s">
        <v>109</v>
      </c>
      <c r="B229" s="59">
        <v>2005</v>
      </c>
      <c r="C229" s="339" t="s">
        <v>85</v>
      </c>
      <c r="D229" s="59">
        <v>12454</v>
      </c>
      <c r="E229" s="339" t="s">
        <v>126</v>
      </c>
      <c r="F229" s="29">
        <v>1</v>
      </c>
      <c r="G229" s="9">
        <v>1</v>
      </c>
      <c r="H229" s="9">
        <v>1</v>
      </c>
      <c r="I229" s="9">
        <v>2</v>
      </c>
      <c r="J229" s="9">
        <v>2</v>
      </c>
      <c r="K229" s="159">
        <f t="shared" si="3"/>
        <v>0.35859414261160716</v>
      </c>
      <c r="L229" s="52" t="s">
        <v>111</v>
      </c>
    </row>
    <row r="230" spans="1:12" ht="15.75" hidden="1" thickBot="1">
      <c r="A230" s="151" t="s">
        <v>109</v>
      </c>
      <c r="B230" s="59">
        <v>2006</v>
      </c>
      <c r="C230" s="339" t="s">
        <v>85</v>
      </c>
      <c r="D230" s="59">
        <v>12651</v>
      </c>
      <c r="E230" s="339" t="s">
        <v>126</v>
      </c>
      <c r="F230" s="29">
        <v>1</v>
      </c>
      <c r="G230" s="9">
        <v>1</v>
      </c>
      <c r="H230" s="9">
        <v>1</v>
      </c>
      <c r="I230" s="9">
        <v>2</v>
      </c>
      <c r="J230" s="9">
        <v>2</v>
      </c>
      <c r="K230" s="159">
        <f t="shared" si="3"/>
        <v>0.35859414261160716</v>
      </c>
      <c r="L230" s="52" t="s">
        <v>111</v>
      </c>
    </row>
    <row r="231" spans="1:12" ht="15.75" hidden="1" thickBot="1">
      <c r="A231" s="151" t="s">
        <v>109</v>
      </c>
      <c r="B231" s="59">
        <v>2011</v>
      </c>
      <c r="C231" s="339" t="s">
        <v>85</v>
      </c>
      <c r="D231" s="59">
        <v>12709</v>
      </c>
      <c r="E231" s="339" t="s">
        <v>126</v>
      </c>
      <c r="F231" s="29">
        <v>1</v>
      </c>
      <c r="G231" s="9">
        <v>1</v>
      </c>
      <c r="H231" s="9">
        <v>1</v>
      </c>
      <c r="I231" s="9">
        <v>2</v>
      </c>
      <c r="J231" s="9">
        <v>2</v>
      </c>
      <c r="K231" s="159">
        <f t="shared" si="3"/>
        <v>0.35859414261160716</v>
      </c>
      <c r="L231" s="52" t="s">
        <v>111</v>
      </c>
    </row>
    <row r="232" spans="1:12" ht="15.75" hidden="1" thickBot="1">
      <c r="A232" s="151" t="s">
        <v>109</v>
      </c>
      <c r="B232" s="59">
        <v>2004</v>
      </c>
      <c r="C232" s="339" t="s">
        <v>98</v>
      </c>
      <c r="D232" s="59">
        <v>12742</v>
      </c>
      <c r="E232" s="339" t="s">
        <v>126</v>
      </c>
      <c r="F232" s="29">
        <v>1</v>
      </c>
      <c r="G232" s="9">
        <v>1</v>
      </c>
      <c r="H232" s="9">
        <v>1</v>
      </c>
      <c r="I232" s="9">
        <v>2</v>
      </c>
      <c r="J232" s="9">
        <v>2</v>
      </c>
      <c r="K232" s="159">
        <f t="shared" si="3"/>
        <v>0.35859414261160716</v>
      </c>
      <c r="L232" s="52" t="s">
        <v>111</v>
      </c>
    </row>
    <row r="233" spans="1:12" ht="15.75" hidden="1" thickBot="1">
      <c r="A233" s="151" t="s">
        <v>109</v>
      </c>
      <c r="B233" s="59">
        <v>2013</v>
      </c>
      <c r="C233" s="339" t="s">
        <v>85</v>
      </c>
      <c r="D233" s="59">
        <v>12784</v>
      </c>
      <c r="E233" s="339" t="s">
        <v>126</v>
      </c>
      <c r="F233" s="29">
        <v>1</v>
      </c>
      <c r="G233" s="9">
        <v>1</v>
      </c>
      <c r="H233" s="9">
        <v>1</v>
      </c>
      <c r="I233" s="9">
        <v>2</v>
      </c>
      <c r="J233" s="9">
        <v>2</v>
      </c>
      <c r="K233" s="159">
        <f t="shared" si="3"/>
        <v>0.35859414261160716</v>
      </c>
      <c r="L233" s="52" t="s">
        <v>111</v>
      </c>
    </row>
    <row r="234" spans="1:12" ht="15.75" hidden="1" thickBot="1">
      <c r="A234" s="151" t="s">
        <v>109</v>
      </c>
      <c r="B234" s="59">
        <v>2017</v>
      </c>
      <c r="C234" s="339" t="s">
        <v>85</v>
      </c>
      <c r="D234" s="59">
        <v>12829</v>
      </c>
      <c r="E234" s="339" t="s">
        <v>126</v>
      </c>
      <c r="F234" s="29">
        <v>1</v>
      </c>
      <c r="G234" s="9">
        <v>1</v>
      </c>
      <c r="H234" s="9">
        <v>1</v>
      </c>
      <c r="I234" s="9">
        <v>2</v>
      </c>
      <c r="J234" s="9">
        <v>2</v>
      </c>
      <c r="K234" s="159">
        <f t="shared" si="3"/>
        <v>0.35859414261160716</v>
      </c>
      <c r="L234" s="52" t="s">
        <v>111</v>
      </c>
    </row>
    <row r="235" spans="1:12" ht="15.75" hidden="1" thickBot="1">
      <c r="A235" s="151" t="s">
        <v>109</v>
      </c>
      <c r="B235" s="59">
        <v>2018</v>
      </c>
      <c r="C235" s="339" t="s">
        <v>85</v>
      </c>
      <c r="D235" s="59">
        <v>12829</v>
      </c>
      <c r="E235" s="339" t="s">
        <v>126</v>
      </c>
      <c r="F235" s="29">
        <v>1</v>
      </c>
      <c r="G235" s="9">
        <v>1</v>
      </c>
      <c r="H235" s="9">
        <v>1</v>
      </c>
      <c r="I235" s="9">
        <v>2</v>
      </c>
      <c r="J235" s="9">
        <v>2</v>
      </c>
      <c r="K235" s="159">
        <f t="shared" si="3"/>
        <v>0.35859414261160716</v>
      </c>
      <c r="L235" s="52" t="s">
        <v>111</v>
      </c>
    </row>
    <row r="236" spans="1:12" ht="15.75" hidden="1" thickBot="1">
      <c r="A236" s="151" t="s">
        <v>109</v>
      </c>
      <c r="B236" s="59">
        <v>2019</v>
      </c>
      <c r="C236" s="339" t="s">
        <v>85</v>
      </c>
      <c r="D236" s="59">
        <v>12829</v>
      </c>
      <c r="E236" s="339" t="s">
        <v>126</v>
      </c>
      <c r="F236" s="29">
        <v>1</v>
      </c>
      <c r="G236" s="9">
        <v>1</v>
      </c>
      <c r="H236" s="9">
        <v>1</v>
      </c>
      <c r="I236" s="9">
        <v>2</v>
      </c>
      <c r="J236" s="9">
        <v>2</v>
      </c>
      <c r="K236" s="159">
        <f t="shared" si="3"/>
        <v>0.35859414261160716</v>
      </c>
      <c r="L236" s="52" t="s">
        <v>111</v>
      </c>
    </row>
    <row r="237" spans="1:12" ht="15.75" hidden="1" thickBot="1">
      <c r="A237" s="151" t="s">
        <v>109</v>
      </c>
      <c r="B237" s="59">
        <v>2008</v>
      </c>
      <c r="C237" s="339" t="s">
        <v>85</v>
      </c>
      <c r="D237" s="59">
        <v>12855</v>
      </c>
      <c r="E237" s="339" t="s">
        <v>126</v>
      </c>
      <c r="F237" s="29">
        <v>1</v>
      </c>
      <c r="G237" s="9">
        <v>1</v>
      </c>
      <c r="H237" s="9">
        <v>1</v>
      </c>
      <c r="I237" s="9">
        <v>2</v>
      </c>
      <c r="J237" s="9">
        <v>2</v>
      </c>
      <c r="K237" s="159">
        <f t="shared" si="3"/>
        <v>0.35859414261160716</v>
      </c>
      <c r="L237" s="52" t="s">
        <v>111</v>
      </c>
    </row>
    <row r="238" spans="1:12" ht="15.75" hidden="1" thickBot="1">
      <c r="A238" s="151" t="s">
        <v>109</v>
      </c>
      <c r="B238" s="59">
        <v>2016</v>
      </c>
      <c r="C238" s="339" t="s">
        <v>98</v>
      </c>
      <c r="D238" s="59">
        <v>12878</v>
      </c>
      <c r="E238" s="339" t="s">
        <v>126</v>
      </c>
      <c r="F238" s="29">
        <v>1</v>
      </c>
      <c r="G238" s="9">
        <v>1</v>
      </c>
      <c r="H238" s="9">
        <v>1</v>
      </c>
      <c r="I238" s="9">
        <v>2</v>
      </c>
      <c r="J238" s="9">
        <v>2</v>
      </c>
      <c r="K238" s="159">
        <f t="shared" si="3"/>
        <v>0.35859414261160716</v>
      </c>
      <c r="L238" s="52" t="s">
        <v>111</v>
      </c>
    </row>
    <row r="239" spans="1:12" ht="15.75" hidden="1" thickBot="1">
      <c r="A239" s="151" t="s">
        <v>109</v>
      </c>
      <c r="B239" s="59">
        <v>2015</v>
      </c>
      <c r="C239" s="339" t="s">
        <v>98</v>
      </c>
      <c r="D239" s="59">
        <v>12995</v>
      </c>
      <c r="E239" s="339" t="s">
        <v>126</v>
      </c>
      <c r="F239" s="29">
        <v>1</v>
      </c>
      <c r="G239" s="9">
        <v>1</v>
      </c>
      <c r="H239" s="9">
        <v>1</v>
      </c>
      <c r="I239" s="9">
        <v>2</v>
      </c>
      <c r="J239" s="9">
        <v>2</v>
      </c>
      <c r="K239" s="159">
        <f t="shared" si="3"/>
        <v>0.35859414261160716</v>
      </c>
      <c r="L239" s="52" t="s">
        <v>111</v>
      </c>
    </row>
    <row r="240" spans="1:12" ht="15.75" hidden="1" thickBot="1">
      <c r="A240" s="151" t="s">
        <v>109</v>
      </c>
      <c r="B240" s="59">
        <v>2014</v>
      </c>
      <c r="C240" s="339" t="s">
        <v>98</v>
      </c>
      <c r="D240" s="59">
        <v>13212</v>
      </c>
      <c r="E240" s="339" t="s">
        <v>126</v>
      </c>
      <c r="F240" s="29">
        <v>1</v>
      </c>
      <c r="G240" s="9">
        <v>1</v>
      </c>
      <c r="H240" s="9">
        <v>1</v>
      </c>
      <c r="I240" s="9">
        <v>2</v>
      </c>
      <c r="J240" s="9">
        <v>2</v>
      </c>
      <c r="K240" s="159">
        <f t="shared" si="3"/>
        <v>0.35859414261160716</v>
      </c>
      <c r="L240" s="52" t="s">
        <v>111</v>
      </c>
    </row>
    <row r="241" spans="1:12" ht="15.75" hidden="1" thickBot="1">
      <c r="A241" s="151" t="s">
        <v>109</v>
      </c>
      <c r="B241" s="59">
        <v>2003</v>
      </c>
      <c r="C241" s="339" t="s">
        <v>98</v>
      </c>
      <c r="D241" s="59">
        <v>13324</v>
      </c>
      <c r="E241" s="339" t="s">
        <v>126</v>
      </c>
      <c r="F241" s="29">
        <v>1</v>
      </c>
      <c r="G241" s="9">
        <v>1</v>
      </c>
      <c r="H241" s="9">
        <v>1</v>
      </c>
      <c r="I241" s="9">
        <v>2</v>
      </c>
      <c r="J241" s="9">
        <v>2</v>
      </c>
      <c r="K241" s="159">
        <f t="shared" si="3"/>
        <v>0.35859414261160716</v>
      </c>
      <c r="L241" s="52" t="s">
        <v>111</v>
      </c>
    </row>
    <row r="242" spans="1:12" ht="15.75" hidden="1" thickBot="1">
      <c r="A242" s="151" t="s">
        <v>109</v>
      </c>
      <c r="B242" s="59">
        <v>2020</v>
      </c>
      <c r="C242" s="339" t="s">
        <v>85</v>
      </c>
      <c r="D242" s="59">
        <v>13493</v>
      </c>
      <c r="E242" s="339" t="s">
        <v>126</v>
      </c>
      <c r="F242" s="29">
        <v>1</v>
      </c>
      <c r="G242" s="9">
        <v>1</v>
      </c>
      <c r="H242" s="9">
        <v>1</v>
      </c>
      <c r="I242" s="9">
        <v>2</v>
      </c>
      <c r="J242" s="9">
        <v>2</v>
      </c>
      <c r="K242" s="159">
        <f t="shared" si="3"/>
        <v>0.35859414261160716</v>
      </c>
      <c r="L242" s="52" t="s">
        <v>111</v>
      </c>
    </row>
    <row r="243" spans="1:12" ht="15.75" hidden="1" thickBot="1">
      <c r="A243" s="151" t="s">
        <v>109</v>
      </c>
      <c r="B243" s="59">
        <v>2021</v>
      </c>
      <c r="C243" s="339" t="s">
        <v>85</v>
      </c>
      <c r="D243" s="59">
        <v>13666</v>
      </c>
      <c r="E243" s="339" t="s">
        <v>126</v>
      </c>
      <c r="F243" s="29">
        <v>1</v>
      </c>
      <c r="G243" s="9">
        <v>1</v>
      </c>
      <c r="H243" s="9">
        <v>1</v>
      </c>
      <c r="I243" s="9">
        <v>2</v>
      </c>
      <c r="J243" s="9">
        <v>2</v>
      </c>
      <c r="K243" s="159">
        <f t="shared" si="3"/>
        <v>0.35859414261160716</v>
      </c>
      <c r="L243" s="52" t="s">
        <v>111</v>
      </c>
    </row>
    <row r="244" spans="1:12" ht="15.75" hidden="1" thickBot="1">
      <c r="A244" s="151" t="s">
        <v>109</v>
      </c>
      <c r="B244" s="59">
        <v>2012</v>
      </c>
      <c r="C244" s="339" t="s">
        <v>98</v>
      </c>
      <c r="D244" s="59">
        <v>13706</v>
      </c>
      <c r="E244" s="339" t="s">
        <v>126</v>
      </c>
      <c r="F244" s="29">
        <v>1</v>
      </c>
      <c r="G244" s="9">
        <v>1</v>
      </c>
      <c r="H244" s="9">
        <v>1</v>
      </c>
      <c r="I244" s="9">
        <v>2</v>
      </c>
      <c r="J244" s="9">
        <v>2</v>
      </c>
      <c r="K244" s="159">
        <f t="shared" si="3"/>
        <v>0.35859414261160716</v>
      </c>
      <c r="L244" s="52" t="s">
        <v>111</v>
      </c>
    </row>
    <row r="245" spans="1:12" ht="15.75" hidden="1" thickBot="1">
      <c r="A245" s="151" t="s">
        <v>109</v>
      </c>
      <c r="B245" s="59">
        <v>2020</v>
      </c>
      <c r="C245" s="339" t="s">
        <v>98</v>
      </c>
      <c r="D245" s="59">
        <v>13872</v>
      </c>
      <c r="E245" s="339" t="s">
        <v>126</v>
      </c>
      <c r="F245" s="29">
        <v>1</v>
      </c>
      <c r="G245" s="9">
        <v>1</v>
      </c>
      <c r="H245" s="9">
        <v>1</v>
      </c>
      <c r="I245" s="9">
        <v>2</v>
      </c>
      <c r="J245" s="9">
        <v>2</v>
      </c>
      <c r="K245" s="159">
        <f t="shared" si="3"/>
        <v>0.35859414261160716</v>
      </c>
      <c r="L245" s="52" t="s">
        <v>111</v>
      </c>
    </row>
    <row r="246" spans="1:12" ht="15.75" hidden="1" thickBot="1">
      <c r="A246" s="151" t="s">
        <v>109</v>
      </c>
      <c r="B246" s="59">
        <v>2012</v>
      </c>
      <c r="C246" s="339" t="s">
        <v>85</v>
      </c>
      <c r="D246" s="59">
        <v>14019</v>
      </c>
      <c r="E246" s="339" t="s">
        <v>126</v>
      </c>
      <c r="F246" s="29">
        <v>1</v>
      </c>
      <c r="G246" s="9">
        <v>1</v>
      </c>
      <c r="H246" s="9">
        <v>1</v>
      </c>
      <c r="I246" s="9">
        <v>2</v>
      </c>
      <c r="J246" s="9">
        <v>2</v>
      </c>
      <c r="K246" s="159">
        <f t="shared" si="3"/>
        <v>0.35859414261160716</v>
      </c>
      <c r="L246" s="52" t="s">
        <v>111</v>
      </c>
    </row>
    <row r="247" spans="1:12" ht="15.75" hidden="1" thickBot="1">
      <c r="A247" s="151" t="s">
        <v>109</v>
      </c>
      <c r="B247" s="59">
        <v>2017</v>
      </c>
      <c r="C247" s="339" t="s">
        <v>98</v>
      </c>
      <c r="D247" s="59">
        <v>14059</v>
      </c>
      <c r="E247" s="339" t="s">
        <v>126</v>
      </c>
      <c r="F247" s="29">
        <v>1</v>
      </c>
      <c r="G247" s="9">
        <v>1</v>
      </c>
      <c r="H247" s="9">
        <v>1</v>
      </c>
      <c r="I247" s="9">
        <v>2</v>
      </c>
      <c r="J247" s="9">
        <v>2</v>
      </c>
      <c r="K247" s="159">
        <f t="shared" si="3"/>
        <v>0.35859414261160716</v>
      </c>
      <c r="L247" s="52" t="s">
        <v>111</v>
      </c>
    </row>
    <row r="248" spans="1:12" ht="15.75" hidden="1" thickBot="1">
      <c r="A248" s="151" t="s">
        <v>109</v>
      </c>
      <c r="B248" s="59">
        <v>2018</v>
      </c>
      <c r="C248" s="339" t="s">
        <v>98</v>
      </c>
      <c r="D248" s="59">
        <v>14059</v>
      </c>
      <c r="E248" s="339" t="s">
        <v>126</v>
      </c>
      <c r="F248" s="29">
        <v>1</v>
      </c>
      <c r="G248" s="9">
        <v>1</v>
      </c>
      <c r="H248" s="9">
        <v>1</v>
      </c>
      <c r="I248" s="9">
        <v>2</v>
      </c>
      <c r="J248" s="9">
        <v>2</v>
      </c>
      <c r="K248" s="159">
        <f t="shared" si="3"/>
        <v>0.35859414261160716</v>
      </c>
      <c r="L248" s="52" t="s">
        <v>111</v>
      </c>
    </row>
    <row r="249" spans="1:12" ht="15.75" hidden="1" thickBot="1">
      <c r="A249" s="151" t="s">
        <v>109</v>
      </c>
      <c r="B249" s="59">
        <v>2019</v>
      </c>
      <c r="C249" s="339" t="s">
        <v>98</v>
      </c>
      <c r="D249" s="59">
        <v>14059</v>
      </c>
      <c r="E249" s="339"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ht="15.75" hidden="1" thickBot="1">
      <c r="A250" s="151" t="s">
        <v>109</v>
      </c>
      <c r="B250" s="59">
        <v>2010</v>
      </c>
      <c r="C250" s="339" t="s">
        <v>98</v>
      </c>
      <c r="D250" s="59">
        <v>14402</v>
      </c>
      <c r="E250" s="339" t="s">
        <v>126</v>
      </c>
      <c r="F250" s="29">
        <v>1</v>
      </c>
      <c r="G250" s="9">
        <v>1</v>
      </c>
      <c r="H250" s="9">
        <v>1</v>
      </c>
      <c r="I250" s="9">
        <v>2</v>
      </c>
      <c r="J250" s="9">
        <v>2</v>
      </c>
      <c r="K250" s="159">
        <f t="shared" si="4"/>
        <v>0.35859414261160716</v>
      </c>
      <c r="L250" s="52" t="s">
        <v>111</v>
      </c>
    </row>
    <row r="251" spans="1:12" ht="15.75" hidden="1" thickBot="1">
      <c r="A251" s="151" t="s">
        <v>109</v>
      </c>
      <c r="B251" s="59">
        <v>2005</v>
      </c>
      <c r="C251" s="339" t="s">
        <v>98</v>
      </c>
      <c r="D251" s="59">
        <v>14639</v>
      </c>
      <c r="E251" s="339" t="s">
        <v>126</v>
      </c>
      <c r="F251" s="29">
        <v>1</v>
      </c>
      <c r="G251" s="9">
        <v>1</v>
      </c>
      <c r="H251" s="9">
        <v>1</v>
      </c>
      <c r="I251" s="9">
        <v>2</v>
      </c>
      <c r="J251" s="9">
        <v>2</v>
      </c>
      <c r="K251" s="159">
        <f t="shared" si="4"/>
        <v>0.35859414261160716</v>
      </c>
      <c r="L251" s="52" t="s">
        <v>111</v>
      </c>
    </row>
    <row r="252" spans="1:12" ht="15.75" hidden="1" thickBot="1">
      <c r="A252" s="151" t="s">
        <v>109</v>
      </c>
      <c r="B252" s="59">
        <v>2011</v>
      </c>
      <c r="C252" s="339" t="s">
        <v>98</v>
      </c>
      <c r="D252" s="59">
        <v>14987</v>
      </c>
      <c r="E252" s="339" t="s">
        <v>126</v>
      </c>
      <c r="F252" s="29">
        <v>1</v>
      </c>
      <c r="G252" s="9">
        <v>1</v>
      </c>
      <c r="H252" s="9">
        <v>1</v>
      </c>
      <c r="I252" s="9">
        <v>2</v>
      </c>
      <c r="J252" s="9">
        <v>2</v>
      </c>
      <c r="K252" s="159">
        <f t="shared" si="4"/>
        <v>0.35859414261160716</v>
      </c>
      <c r="L252" s="52" t="s">
        <v>111</v>
      </c>
    </row>
    <row r="253" spans="1:12" ht="15.75" hidden="1" thickBot="1">
      <c r="A253" s="151" t="s">
        <v>109</v>
      </c>
      <c r="B253" s="59">
        <v>2021</v>
      </c>
      <c r="C253" s="339" t="s">
        <v>98</v>
      </c>
      <c r="D253" s="59">
        <v>15065</v>
      </c>
      <c r="E253" s="339" t="s">
        <v>126</v>
      </c>
      <c r="F253" s="29">
        <v>1</v>
      </c>
      <c r="G253" s="9">
        <v>1</v>
      </c>
      <c r="H253" s="9">
        <v>1</v>
      </c>
      <c r="I253" s="9">
        <v>2</v>
      </c>
      <c r="J253" s="9">
        <v>2</v>
      </c>
      <c r="K253" s="159">
        <f t="shared" si="4"/>
        <v>0.35859414261160716</v>
      </c>
      <c r="L253" s="52" t="s">
        <v>111</v>
      </c>
    </row>
    <row r="254" spans="1:12" ht="15.75" hidden="1" thickBot="1">
      <c r="A254" s="151" t="s">
        <v>109</v>
      </c>
      <c r="B254" s="59">
        <v>2008</v>
      </c>
      <c r="C254" s="339" t="s">
        <v>98</v>
      </c>
      <c r="D254" s="59">
        <v>15108</v>
      </c>
      <c r="E254" s="339" t="s">
        <v>126</v>
      </c>
      <c r="F254" s="29">
        <v>1</v>
      </c>
      <c r="G254" s="9">
        <v>1</v>
      </c>
      <c r="H254" s="9">
        <v>1</v>
      </c>
      <c r="I254" s="9">
        <v>2</v>
      </c>
      <c r="J254" s="9">
        <v>2</v>
      </c>
      <c r="K254" s="159">
        <f t="shared" si="4"/>
        <v>0.35859414261160716</v>
      </c>
      <c r="L254" s="52" t="s">
        <v>111</v>
      </c>
    </row>
    <row r="255" spans="1:12" ht="15.75" hidden="1" thickBot="1">
      <c r="A255" s="151" t="s">
        <v>109</v>
      </c>
      <c r="B255" s="59">
        <v>2009</v>
      </c>
      <c r="C255" s="339" t="s">
        <v>98</v>
      </c>
      <c r="D255" s="59">
        <v>15165</v>
      </c>
      <c r="E255" s="339" t="s">
        <v>126</v>
      </c>
      <c r="F255" s="29">
        <v>1</v>
      </c>
      <c r="G255" s="9">
        <v>1</v>
      </c>
      <c r="H255" s="9">
        <v>1</v>
      </c>
      <c r="I255" s="9">
        <v>2</v>
      </c>
      <c r="J255" s="9">
        <v>2</v>
      </c>
      <c r="K255" s="159">
        <f t="shared" si="4"/>
        <v>0.35859414261160716</v>
      </c>
      <c r="L255" s="52" t="s">
        <v>111</v>
      </c>
    </row>
    <row r="256" spans="1:12" ht="15.75" hidden="1" thickBot="1">
      <c r="A256" s="151" t="s">
        <v>109</v>
      </c>
      <c r="B256" s="59">
        <v>2007</v>
      </c>
      <c r="C256" s="339" t="s">
        <v>98</v>
      </c>
      <c r="D256" s="59">
        <v>15706</v>
      </c>
      <c r="E256" s="339" t="s">
        <v>126</v>
      </c>
      <c r="F256" s="29">
        <v>1</v>
      </c>
      <c r="G256" s="9">
        <v>1</v>
      </c>
      <c r="H256" s="9">
        <v>1</v>
      </c>
      <c r="I256" s="9">
        <v>2</v>
      </c>
      <c r="J256" s="9">
        <v>2</v>
      </c>
      <c r="K256" s="159">
        <f t="shared" si="4"/>
        <v>0.35859414261160716</v>
      </c>
      <c r="L256" s="52" t="s">
        <v>111</v>
      </c>
    </row>
    <row r="257" spans="1:12" ht="15.75" hidden="1" thickBot="1">
      <c r="A257" s="151" t="s">
        <v>109</v>
      </c>
      <c r="B257" s="59">
        <v>2007</v>
      </c>
      <c r="C257" s="339" t="s">
        <v>85</v>
      </c>
      <c r="D257" s="59">
        <v>15972</v>
      </c>
      <c r="E257" s="339" t="s">
        <v>126</v>
      </c>
      <c r="F257" s="29">
        <v>1</v>
      </c>
      <c r="G257" s="9">
        <v>1</v>
      </c>
      <c r="H257" s="9">
        <v>1</v>
      </c>
      <c r="I257" s="9">
        <v>2</v>
      </c>
      <c r="J257" s="9">
        <v>2</v>
      </c>
      <c r="K257" s="159">
        <f t="shared" si="4"/>
        <v>0.35859414261160716</v>
      </c>
      <c r="L257" s="52" t="s">
        <v>111</v>
      </c>
    </row>
    <row r="258" spans="1:12" ht="15.75" hidden="1" thickBot="1">
      <c r="A258" s="151" t="s">
        <v>109</v>
      </c>
      <c r="B258" s="59">
        <v>2006</v>
      </c>
      <c r="C258" s="339" t="s">
        <v>98</v>
      </c>
      <c r="D258" s="59">
        <v>16073</v>
      </c>
      <c r="E258" s="339" t="s">
        <v>126</v>
      </c>
      <c r="F258" s="29">
        <v>1</v>
      </c>
      <c r="G258" s="9">
        <v>1</v>
      </c>
      <c r="H258" s="9">
        <v>1</v>
      </c>
      <c r="I258" s="9">
        <v>2</v>
      </c>
      <c r="J258" s="9">
        <v>2</v>
      </c>
      <c r="K258" s="159">
        <f t="shared" si="4"/>
        <v>0.35859414261160716</v>
      </c>
      <c r="L258" s="52" t="s">
        <v>111</v>
      </c>
    </row>
    <row r="259" spans="1:12" ht="15.75" hidden="1" thickBot="1">
      <c r="A259" s="151" t="s">
        <v>112</v>
      </c>
      <c r="B259" s="232">
        <v>2017</v>
      </c>
      <c r="C259" s="40" t="s">
        <v>85</v>
      </c>
      <c r="D259" s="55">
        <v>0</v>
      </c>
      <c r="E259" s="790" t="s">
        <v>124</v>
      </c>
      <c r="F259" s="29">
        <v>1</v>
      </c>
      <c r="G259" s="9">
        <v>1</v>
      </c>
      <c r="H259" s="9">
        <v>3</v>
      </c>
      <c r="I259" s="9">
        <v>1</v>
      </c>
      <c r="J259" s="9">
        <v>2</v>
      </c>
      <c r="K259" s="159">
        <f t="shared" si="4"/>
        <v>0.47802211380704585</v>
      </c>
      <c r="L259" s="63" t="s">
        <v>125</v>
      </c>
    </row>
    <row r="260" spans="1:12" ht="15.75" hidden="1" thickBot="1">
      <c r="A260" s="151" t="s">
        <v>112</v>
      </c>
      <c r="B260" s="232">
        <v>2017</v>
      </c>
      <c r="C260" s="40" t="s">
        <v>86</v>
      </c>
      <c r="D260" s="55">
        <v>149.30032789636365</v>
      </c>
      <c r="E260" s="790" t="s">
        <v>124</v>
      </c>
      <c r="F260" s="29">
        <v>1</v>
      </c>
      <c r="G260" s="9">
        <v>1</v>
      </c>
      <c r="H260" s="9">
        <v>3</v>
      </c>
      <c r="I260" s="9">
        <v>1</v>
      </c>
      <c r="J260" s="9">
        <v>2</v>
      </c>
      <c r="K260" s="159">
        <f t="shared" si="4"/>
        <v>0.47802211380704585</v>
      </c>
      <c r="L260" s="63" t="s">
        <v>125</v>
      </c>
    </row>
    <row r="261" spans="1:12" ht="15.75" hidden="1" thickBot="1">
      <c r="A261" s="151" t="s">
        <v>112</v>
      </c>
      <c r="B261" s="232">
        <v>2017</v>
      </c>
      <c r="C261" s="40" t="s">
        <v>87</v>
      </c>
      <c r="D261" s="55">
        <v>86.718819714545447</v>
      </c>
      <c r="E261" s="790" t="s">
        <v>124</v>
      </c>
      <c r="F261" s="29">
        <v>1</v>
      </c>
      <c r="G261" s="9">
        <v>1</v>
      </c>
      <c r="H261" s="9">
        <v>3</v>
      </c>
      <c r="I261" s="9">
        <v>1</v>
      </c>
      <c r="J261" s="9">
        <v>2</v>
      </c>
      <c r="K261" s="159">
        <f t="shared" si="4"/>
        <v>0.47802211380704585</v>
      </c>
      <c r="L261" s="63" t="s">
        <v>125</v>
      </c>
    </row>
    <row r="262" spans="1:12" ht="15.75" hidden="1" thickBot="1">
      <c r="A262" s="151" t="s">
        <v>112</v>
      </c>
      <c r="B262" s="232">
        <v>2017</v>
      </c>
      <c r="C262" s="40" t="s">
        <v>88</v>
      </c>
      <c r="D262" s="55">
        <v>0</v>
      </c>
      <c r="E262" s="790" t="s">
        <v>124</v>
      </c>
      <c r="F262" s="29">
        <v>1</v>
      </c>
      <c r="G262" s="9">
        <v>1</v>
      </c>
      <c r="H262" s="9">
        <v>3</v>
      </c>
      <c r="I262" s="9">
        <v>1</v>
      </c>
      <c r="J262" s="9">
        <v>2</v>
      </c>
      <c r="K262" s="159">
        <f t="shared" si="4"/>
        <v>0.47802211380704585</v>
      </c>
      <c r="L262" s="63" t="s">
        <v>125</v>
      </c>
    </row>
    <row r="263" spans="1:12" ht="15.75" hidden="1" thickBot="1">
      <c r="A263" s="151" t="s">
        <v>112</v>
      </c>
      <c r="B263" s="232">
        <v>2017</v>
      </c>
      <c r="C263" s="40" t="s">
        <v>89</v>
      </c>
      <c r="D263" s="55">
        <v>0</v>
      </c>
      <c r="E263" s="790" t="s">
        <v>124</v>
      </c>
      <c r="F263" s="29">
        <v>1</v>
      </c>
      <c r="G263" s="9">
        <v>1</v>
      </c>
      <c r="H263" s="9">
        <v>3</v>
      </c>
      <c r="I263" s="9">
        <v>1</v>
      </c>
      <c r="J263" s="9">
        <v>2</v>
      </c>
      <c r="K263" s="159">
        <f t="shared" si="4"/>
        <v>0.47802211380704585</v>
      </c>
      <c r="L263" s="63" t="s">
        <v>125</v>
      </c>
    </row>
    <row r="264" spans="1:12" ht="15.75" hidden="1" thickBot="1">
      <c r="A264" s="151" t="s">
        <v>112</v>
      </c>
      <c r="B264" s="232">
        <v>2017</v>
      </c>
      <c r="C264" s="40" t="s">
        <v>90</v>
      </c>
      <c r="D264" s="55">
        <v>0</v>
      </c>
      <c r="E264" s="790" t="s">
        <v>124</v>
      </c>
      <c r="F264" s="29">
        <v>1</v>
      </c>
      <c r="G264" s="9">
        <v>1</v>
      </c>
      <c r="H264" s="9">
        <v>3</v>
      </c>
      <c r="I264" s="9">
        <v>1</v>
      </c>
      <c r="J264" s="9">
        <v>2</v>
      </c>
      <c r="K264" s="159">
        <f t="shared" si="4"/>
        <v>0.47802211380704585</v>
      </c>
      <c r="L264" s="63" t="s">
        <v>125</v>
      </c>
    </row>
    <row r="265" spans="1:12" ht="15.75" hidden="1" thickBot="1">
      <c r="A265" s="151" t="s">
        <v>112</v>
      </c>
      <c r="B265" s="232">
        <v>2017</v>
      </c>
      <c r="C265" s="40" t="s">
        <v>91</v>
      </c>
      <c r="D265" s="55">
        <v>617.78344629272738</v>
      </c>
      <c r="E265" s="790" t="s">
        <v>124</v>
      </c>
      <c r="F265" s="29">
        <v>1</v>
      </c>
      <c r="G265" s="9">
        <v>1</v>
      </c>
      <c r="H265" s="9">
        <v>3</v>
      </c>
      <c r="I265" s="9">
        <v>1</v>
      </c>
      <c r="J265" s="9">
        <v>2</v>
      </c>
      <c r="K265" s="159">
        <f t="shared" si="4"/>
        <v>0.47802211380704585</v>
      </c>
      <c r="L265" s="63" t="s">
        <v>125</v>
      </c>
    </row>
    <row r="266" spans="1:12" ht="15.75" hidden="1" thickBot="1">
      <c r="A266" s="151" t="s">
        <v>112</v>
      </c>
      <c r="B266" s="232">
        <v>2017</v>
      </c>
      <c r="C266" s="40" t="s">
        <v>95</v>
      </c>
      <c r="D266" s="55">
        <v>88.053207938181828</v>
      </c>
      <c r="E266" s="790" t="s">
        <v>124</v>
      </c>
      <c r="F266" s="29">
        <v>1</v>
      </c>
      <c r="G266" s="9">
        <v>1</v>
      </c>
      <c r="H266" s="9">
        <v>3</v>
      </c>
      <c r="I266" s="9">
        <v>1</v>
      </c>
      <c r="J266" s="9">
        <v>2</v>
      </c>
      <c r="K266" s="159">
        <f t="shared" si="4"/>
        <v>0.47802211380704585</v>
      </c>
      <c r="L266" s="63" t="s">
        <v>125</v>
      </c>
    </row>
    <row r="267" spans="1:12" ht="15.75" hidden="1" thickBot="1">
      <c r="A267" s="152" t="s">
        <v>112</v>
      </c>
      <c r="B267" s="233">
        <v>2017</v>
      </c>
      <c r="C267" s="41" t="s">
        <v>99</v>
      </c>
      <c r="D267" s="56">
        <v>53.497956158181822</v>
      </c>
      <c r="E267" s="818" t="s">
        <v>124</v>
      </c>
      <c r="F267" s="30">
        <v>1</v>
      </c>
      <c r="G267" s="12">
        <v>1</v>
      </c>
      <c r="H267" s="12">
        <v>3</v>
      </c>
      <c r="I267" s="12">
        <v>1</v>
      </c>
      <c r="J267" s="12">
        <v>2</v>
      </c>
      <c r="K267" s="160">
        <f t="shared" si="4"/>
        <v>0.47802211380704585</v>
      </c>
      <c r="L267" s="62" t="s">
        <v>125</v>
      </c>
    </row>
    <row r="268" spans="1:12" ht="15.75" hidden="1" thickBot="1">
      <c r="A268" s="230" t="s">
        <v>114</v>
      </c>
      <c r="B268" s="805">
        <v>2003</v>
      </c>
      <c r="C268" s="804" t="s">
        <v>85</v>
      </c>
      <c r="D268" s="805">
        <v>3879</v>
      </c>
      <c r="E268" s="804" t="s">
        <v>126</v>
      </c>
      <c r="F268" s="659">
        <v>1</v>
      </c>
      <c r="G268" s="118">
        <v>1</v>
      </c>
      <c r="H268" s="118">
        <v>1</v>
      </c>
      <c r="I268" s="118">
        <v>2</v>
      </c>
      <c r="J268" s="118">
        <v>2</v>
      </c>
      <c r="K268" s="815">
        <f t="shared" si="4"/>
        <v>0.35859414261160716</v>
      </c>
      <c r="L268" s="661" t="s">
        <v>111</v>
      </c>
    </row>
    <row r="269" spans="1:12" ht="15.75" hidden="1" thickBot="1">
      <c r="A269" s="151" t="s">
        <v>114</v>
      </c>
      <c r="B269" s="59">
        <v>2003</v>
      </c>
      <c r="C269" s="339" t="s">
        <v>86</v>
      </c>
      <c r="D269" s="59">
        <v>1318</v>
      </c>
      <c r="E269" s="339" t="s">
        <v>126</v>
      </c>
      <c r="F269" s="29">
        <v>1</v>
      </c>
      <c r="G269" s="9">
        <v>1</v>
      </c>
      <c r="H269" s="9">
        <v>1</v>
      </c>
      <c r="I269" s="9">
        <v>2</v>
      </c>
      <c r="J269" s="9">
        <v>2</v>
      </c>
      <c r="K269" s="159">
        <f t="shared" si="4"/>
        <v>0.35859414261160716</v>
      </c>
      <c r="L269" s="52" t="s">
        <v>111</v>
      </c>
    </row>
    <row r="270" spans="1:12" ht="15.75" hidden="1" thickBot="1">
      <c r="A270" s="151" t="s">
        <v>114</v>
      </c>
      <c r="B270" s="59">
        <v>2003</v>
      </c>
      <c r="C270" s="339" t="s">
        <v>87</v>
      </c>
      <c r="D270" s="59">
        <v>900</v>
      </c>
      <c r="E270" s="339" t="s">
        <v>126</v>
      </c>
      <c r="F270" s="29">
        <v>1</v>
      </c>
      <c r="G270" s="9">
        <v>1</v>
      </c>
      <c r="H270" s="9">
        <v>1</v>
      </c>
      <c r="I270" s="9">
        <v>2</v>
      </c>
      <c r="J270" s="9">
        <v>2</v>
      </c>
      <c r="K270" s="159">
        <f t="shared" si="4"/>
        <v>0.35859414261160716</v>
      </c>
      <c r="L270" s="52" t="s">
        <v>111</v>
      </c>
    </row>
    <row r="271" spans="1:12" ht="15.75" hidden="1" thickBot="1">
      <c r="A271" s="151" t="s">
        <v>114</v>
      </c>
      <c r="B271" s="59">
        <v>2003</v>
      </c>
      <c r="C271" s="339" t="s">
        <v>88</v>
      </c>
      <c r="D271" s="59">
        <v>92</v>
      </c>
      <c r="E271" s="339" t="s">
        <v>126</v>
      </c>
      <c r="F271" s="29">
        <v>1</v>
      </c>
      <c r="G271" s="9">
        <v>1</v>
      </c>
      <c r="H271" s="9">
        <v>1</v>
      </c>
      <c r="I271" s="9">
        <v>2</v>
      </c>
      <c r="J271" s="9">
        <v>2</v>
      </c>
      <c r="K271" s="159">
        <f t="shared" si="4"/>
        <v>0.35859414261160716</v>
      </c>
      <c r="L271" s="52" t="s">
        <v>111</v>
      </c>
    </row>
    <row r="272" spans="1:12" ht="15.75" hidden="1" thickBot="1">
      <c r="A272" s="151" t="s">
        <v>114</v>
      </c>
      <c r="B272" s="59">
        <v>2003</v>
      </c>
      <c r="C272" s="339" t="s">
        <v>89</v>
      </c>
      <c r="D272" s="59">
        <v>40</v>
      </c>
      <c r="E272" s="339" t="s">
        <v>126</v>
      </c>
      <c r="F272" s="29">
        <v>1</v>
      </c>
      <c r="G272" s="9">
        <v>1</v>
      </c>
      <c r="H272" s="9">
        <v>1</v>
      </c>
      <c r="I272" s="9">
        <v>2</v>
      </c>
      <c r="J272" s="9">
        <v>2</v>
      </c>
      <c r="K272" s="159">
        <f t="shared" si="4"/>
        <v>0.35859414261160716</v>
      </c>
      <c r="L272" s="52" t="s">
        <v>111</v>
      </c>
    </row>
    <row r="273" spans="1:12" ht="15.75" hidden="1" thickBot="1">
      <c r="A273" s="151" t="s">
        <v>114</v>
      </c>
      <c r="B273" s="59">
        <v>2003</v>
      </c>
      <c r="C273" s="339" t="s">
        <v>90</v>
      </c>
      <c r="D273" s="59">
        <v>323</v>
      </c>
      <c r="E273" s="339" t="s">
        <v>126</v>
      </c>
      <c r="F273" s="29">
        <v>1</v>
      </c>
      <c r="G273" s="9">
        <v>1</v>
      </c>
      <c r="H273" s="9">
        <v>1</v>
      </c>
      <c r="I273" s="9">
        <v>2</v>
      </c>
      <c r="J273" s="9">
        <v>2</v>
      </c>
      <c r="K273" s="159">
        <f t="shared" si="4"/>
        <v>0.35859414261160716</v>
      </c>
      <c r="L273" s="52" t="s">
        <v>111</v>
      </c>
    </row>
    <row r="274" spans="1:12" ht="15.75" hidden="1" thickBot="1">
      <c r="A274" s="151" t="s">
        <v>114</v>
      </c>
      <c r="B274" s="59">
        <v>2003</v>
      </c>
      <c r="C274" s="339" t="s">
        <v>91</v>
      </c>
      <c r="D274" s="59">
        <v>863</v>
      </c>
      <c r="E274" s="339" t="s">
        <v>126</v>
      </c>
      <c r="F274" s="29">
        <v>1</v>
      </c>
      <c r="G274" s="9">
        <v>1</v>
      </c>
      <c r="H274" s="9">
        <v>1</v>
      </c>
      <c r="I274" s="9">
        <v>2</v>
      </c>
      <c r="J274" s="9">
        <v>2</v>
      </c>
      <c r="K274" s="159">
        <f t="shared" si="4"/>
        <v>0.35859414261160716</v>
      </c>
      <c r="L274" s="52" t="s">
        <v>111</v>
      </c>
    </row>
    <row r="275" spans="1:12" ht="15.75" hidden="1" thickBot="1">
      <c r="A275" s="151" t="s">
        <v>114</v>
      </c>
      <c r="B275" s="59">
        <v>2003</v>
      </c>
      <c r="C275" s="339" t="s">
        <v>94</v>
      </c>
      <c r="D275" s="59">
        <v>157</v>
      </c>
      <c r="E275" s="339" t="s">
        <v>126</v>
      </c>
      <c r="F275" s="29">
        <v>1</v>
      </c>
      <c r="G275" s="9">
        <v>1</v>
      </c>
      <c r="H275" s="9">
        <v>1</v>
      </c>
      <c r="I275" s="9">
        <v>2</v>
      </c>
      <c r="J275" s="9">
        <v>2</v>
      </c>
      <c r="K275" s="159">
        <f t="shared" si="4"/>
        <v>0.35859414261160716</v>
      </c>
      <c r="L275" s="52" t="s">
        <v>111</v>
      </c>
    </row>
    <row r="276" spans="1:12" ht="15.75" hidden="1" thickBot="1">
      <c r="A276" s="151" t="s">
        <v>114</v>
      </c>
      <c r="B276" s="59">
        <v>2003</v>
      </c>
      <c r="C276" s="339" t="s">
        <v>96</v>
      </c>
      <c r="D276" s="59">
        <v>85</v>
      </c>
      <c r="E276" s="339" t="s">
        <v>126</v>
      </c>
      <c r="F276" s="29">
        <v>1</v>
      </c>
      <c r="G276" s="9">
        <v>1</v>
      </c>
      <c r="H276" s="9">
        <v>1</v>
      </c>
      <c r="I276" s="9">
        <v>2</v>
      </c>
      <c r="J276" s="9">
        <v>2</v>
      </c>
      <c r="K276" s="159">
        <f t="shared" si="4"/>
        <v>0.35859414261160716</v>
      </c>
      <c r="L276" s="52" t="s">
        <v>111</v>
      </c>
    </row>
    <row r="277" spans="1:12" ht="15.75" hidden="1" thickBot="1">
      <c r="A277" s="151" t="s">
        <v>114</v>
      </c>
      <c r="B277" s="59">
        <v>2003</v>
      </c>
      <c r="C277" s="339" t="s">
        <v>97</v>
      </c>
      <c r="D277" s="59">
        <v>316</v>
      </c>
      <c r="E277" s="339" t="s">
        <v>126</v>
      </c>
      <c r="F277" s="29">
        <v>1</v>
      </c>
      <c r="G277" s="9">
        <v>1</v>
      </c>
      <c r="H277" s="9">
        <v>1</v>
      </c>
      <c r="I277" s="9">
        <v>2</v>
      </c>
      <c r="J277" s="9">
        <v>2</v>
      </c>
      <c r="K277" s="159">
        <f t="shared" si="4"/>
        <v>0.35859414261160716</v>
      </c>
      <c r="L277" s="52" t="s">
        <v>111</v>
      </c>
    </row>
    <row r="278" spans="1:12" ht="15.75" hidden="1" thickBot="1">
      <c r="A278" s="151" t="s">
        <v>114</v>
      </c>
      <c r="B278" s="59">
        <v>2003</v>
      </c>
      <c r="C278" s="339" t="s">
        <v>95</v>
      </c>
      <c r="D278" s="59">
        <v>263</v>
      </c>
      <c r="E278" s="339" t="s">
        <v>126</v>
      </c>
      <c r="F278" s="29">
        <v>1</v>
      </c>
      <c r="G278" s="9">
        <v>1</v>
      </c>
      <c r="H278" s="9">
        <v>1</v>
      </c>
      <c r="I278" s="9">
        <v>2</v>
      </c>
      <c r="J278" s="9">
        <v>2</v>
      </c>
      <c r="K278" s="159">
        <f t="shared" si="4"/>
        <v>0.35859414261160716</v>
      </c>
      <c r="L278" s="52" t="s">
        <v>111</v>
      </c>
    </row>
    <row r="279" spans="1:12" ht="15.75" hidden="1" thickBot="1">
      <c r="A279" s="151" t="s">
        <v>114</v>
      </c>
      <c r="B279" s="59">
        <v>2003</v>
      </c>
      <c r="C279" s="339" t="s">
        <v>93</v>
      </c>
      <c r="D279" s="59">
        <v>60</v>
      </c>
      <c r="E279" s="339" t="s">
        <v>126</v>
      </c>
      <c r="F279" s="29">
        <v>1</v>
      </c>
      <c r="G279" s="9">
        <v>1</v>
      </c>
      <c r="H279" s="9">
        <v>1</v>
      </c>
      <c r="I279" s="9">
        <v>2</v>
      </c>
      <c r="J279" s="9">
        <v>2</v>
      </c>
      <c r="K279" s="159">
        <f t="shared" si="4"/>
        <v>0.35859414261160716</v>
      </c>
      <c r="L279" s="52" t="s">
        <v>111</v>
      </c>
    </row>
    <row r="280" spans="1:12" ht="15.75" hidden="1" thickBot="1">
      <c r="A280" s="151" t="s">
        <v>114</v>
      </c>
      <c r="B280" s="59">
        <v>2003</v>
      </c>
      <c r="C280" s="339" t="s">
        <v>98</v>
      </c>
      <c r="D280" s="59">
        <v>2016</v>
      </c>
      <c r="E280" s="339" t="s">
        <v>126</v>
      </c>
      <c r="F280" s="29">
        <v>1</v>
      </c>
      <c r="G280" s="9">
        <v>1</v>
      </c>
      <c r="H280" s="9">
        <v>1</v>
      </c>
      <c r="I280" s="9">
        <v>2</v>
      </c>
      <c r="J280" s="9">
        <v>2</v>
      </c>
      <c r="K280" s="159">
        <f t="shared" si="4"/>
        <v>0.35859414261160716</v>
      </c>
      <c r="L280" s="52" t="s">
        <v>111</v>
      </c>
    </row>
    <row r="281" spans="1:12" ht="15.75" hidden="1" thickBot="1">
      <c r="A281" s="151" t="s">
        <v>114</v>
      </c>
      <c r="B281" s="59">
        <v>2004</v>
      </c>
      <c r="C281" s="339" t="s">
        <v>85</v>
      </c>
      <c r="D281" s="59">
        <v>3129</v>
      </c>
      <c r="E281" s="339" t="s">
        <v>126</v>
      </c>
      <c r="F281" s="29">
        <v>1</v>
      </c>
      <c r="G281" s="9">
        <v>1</v>
      </c>
      <c r="H281" s="9">
        <v>1</v>
      </c>
      <c r="I281" s="9">
        <v>2</v>
      </c>
      <c r="J281" s="9">
        <v>2</v>
      </c>
      <c r="K281" s="159">
        <f t="shared" si="4"/>
        <v>0.35859414261160716</v>
      </c>
      <c r="L281" s="52" t="s">
        <v>111</v>
      </c>
    </row>
    <row r="282" spans="1:12" ht="15.75" hidden="1" thickBot="1">
      <c r="A282" s="151" t="s">
        <v>114</v>
      </c>
      <c r="B282" s="59">
        <v>2004</v>
      </c>
      <c r="C282" s="339" t="s">
        <v>86</v>
      </c>
      <c r="D282" s="59">
        <v>1188</v>
      </c>
      <c r="E282" s="339" t="s">
        <v>126</v>
      </c>
      <c r="F282" s="29">
        <v>1</v>
      </c>
      <c r="G282" s="9">
        <v>1</v>
      </c>
      <c r="H282" s="9">
        <v>1</v>
      </c>
      <c r="I282" s="9">
        <v>2</v>
      </c>
      <c r="J282" s="9">
        <v>2</v>
      </c>
      <c r="K282" s="159">
        <f t="shared" si="4"/>
        <v>0.35859414261160716</v>
      </c>
      <c r="L282" s="52" t="s">
        <v>111</v>
      </c>
    </row>
    <row r="283" spans="1:12" ht="15.75" hidden="1" thickBot="1">
      <c r="A283" s="151" t="s">
        <v>114</v>
      </c>
      <c r="B283" s="59">
        <v>2004</v>
      </c>
      <c r="C283" s="339" t="s">
        <v>87</v>
      </c>
      <c r="D283" s="59">
        <v>909</v>
      </c>
      <c r="E283" s="339" t="s">
        <v>126</v>
      </c>
      <c r="F283" s="29">
        <v>1</v>
      </c>
      <c r="G283" s="9">
        <v>1</v>
      </c>
      <c r="H283" s="9">
        <v>1</v>
      </c>
      <c r="I283" s="9">
        <v>2</v>
      </c>
      <c r="J283" s="9">
        <v>2</v>
      </c>
      <c r="K283" s="159">
        <f t="shared" si="4"/>
        <v>0.35859414261160716</v>
      </c>
      <c r="L283" s="52" t="s">
        <v>111</v>
      </c>
    </row>
    <row r="284" spans="1:12" ht="15.75" hidden="1" thickBot="1">
      <c r="A284" s="151" t="s">
        <v>114</v>
      </c>
      <c r="B284" s="59">
        <v>2004</v>
      </c>
      <c r="C284" s="339" t="s">
        <v>88</v>
      </c>
      <c r="D284" s="59">
        <v>166</v>
      </c>
      <c r="E284" s="339" t="s">
        <v>126</v>
      </c>
      <c r="F284" s="29">
        <v>1</v>
      </c>
      <c r="G284" s="9">
        <v>1</v>
      </c>
      <c r="H284" s="9">
        <v>1</v>
      </c>
      <c r="I284" s="9">
        <v>2</v>
      </c>
      <c r="J284" s="9">
        <v>2</v>
      </c>
      <c r="K284" s="159">
        <f t="shared" si="4"/>
        <v>0.35859414261160716</v>
      </c>
      <c r="L284" s="52" t="s">
        <v>111</v>
      </c>
    </row>
    <row r="285" spans="1:12" ht="15.75" hidden="1" thickBot="1">
      <c r="A285" s="151" t="s">
        <v>114</v>
      </c>
      <c r="B285" s="59">
        <v>2004</v>
      </c>
      <c r="C285" s="339" t="s">
        <v>89</v>
      </c>
      <c r="D285" s="59">
        <v>50</v>
      </c>
      <c r="E285" s="339" t="s">
        <v>126</v>
      </c>
      <c r="F285" s="29">
        <v>1</v>
      </c>
      <c r="G285" s="9">
        <v>1</v>
      </c>
      <c r="H285" s="9">
        <v>1</v>
      </c>
      <c r="I285" s="9">
        <v>2</v>
      </c>
      <c r="J285" s="9">
        <v>2</v>
      </c>
      <c r="K285" s="159">
        <f t="shared" si="4"/>
        <v>0.35859414261160716</v>
      </c>
      <c r="L285" s="52" t="s">
        <v>111</v>
      </c>
    </row>
    <row r="286" spans="1:12" ht="15.75" hidden="1" thickBot="1">
      <c r="A286" s="151" t="s">
        <v>114</v>
      </c>
      <c r="B286" s="59">
        <v>2004</v>
      </c>
      <c r="C286" s="339" t="s">
        <v>90</v>
      </c>
      <c r="D286" s="59">
        <v>409</v>
      </c>
      <c r="E286" s="339" t="s">
        <v>126</v>
      </c>
      <c r="F286" s="29">
        <v>1</v>
      </c>
      <c r="G286" s="9">
        <v>1</v>
      </c>
      <c r="H286" s="9">
        <v>1</v>
      </c>
      <c r="I286" s="9">
        <v>2</v>
      </c>
      <c r="J286" s="9">
        <v>2</v>
      </c>
      <c r="K286" s="159">
        <f t="shared" si="4"/>
        <v>0.35859414261160716</v>
      </c>
      <c r="L286" s="52" t="s">
        <v>111</v>
      </c>
    </row>
    <row r="287" spans="1:12" ht="15.75" hidden="1" thickBot="1">
      <c r="A287" s="151" t="s">
        <v>114</v>
      </c>
      <c r="B287" s="59">
        <v>2004</v>
      </c>
      <c r="C287" s="339" t="s">
        <v>91</v>
      </c>
      <c r="D287" s="59">
        <v>991</v>
      </c>
      <c r="E287" s="339" t="s">
        <v>126</v>
      </c>
      <c r="F287" s="29">
        <v>1</v>
      </c>
      <c r="G287" s="9">
        <v>1</v>
      </c>
      <c r="H287" s="9">
        <v>1</v>
      </c>
      <c r="I287" s="9">
        <v>2</v>
      </c>
      <c r="J287" s="9">
        <v>2</v>
      </c>
      <c r="K287" s="159">
        <f t="shared" si="4"/>
        <v>0.35859414261160716</v>
      </c>
      <c r="L287" s="52" t="s">
        <v>111</v>
      </c>
    </row>
    <row r="288" spans="1:12" ht="15.75" hidden="1" thickBot="1">
      <c r="A288" s="151" t="s">
        <v>114</v>
      </c>
      <c r="B288" s="59">
        <v>2004</v>
      </c>
      <c r="C288" s="339" t="s">
        <v>94</v>
      </c>
      <c r="D288" s="59">
        <v>178</v>
      </c>
      <c r="E288" s="339" t="s">
        <v>126</v>
      </c>
      <c r="F288" s="29">
        <v>1</v>
      </c>
      <c r="G288" s="9">
        <v>1</v>
      </c>
      <c r="H288" s="9">
        <v>1</v>
      </c>
      <c r="I288" s="9">
        <v>2</v>
      </c>
      <c r="J288" s="9">
        <v>2</v>
      </c>
      <c r="K288" s="159">
        <f t="shared" si="4"/>
        <v>0.35859414261160716</v>
      </c>
      <c r="L288" s="52" t="s">
        <v>111</v>
      </c>
    </row>
    <row r="289" spans="1:12" ht="15.75" hidden="1" thickBot="1">
      <c r="A289" s="151" t="s">
        <v>114</v>
      </c>
      <c r="B289" s="59">
        <v>2004</v>
      </c>
      <c r="C289" s="339" t="s">
        <v>96</v>
      </c>
      <c r="D289" s="59">
        <v>84</v>
      </c>
      <c r="E289" s="339" t="s">
        <v>126</v>
      </c>
      <c r="F289" s="29">
        <v>1</v>
      </c>
      <c r="G289" s="9">
        <v>1</v>
      </c>
      <c r="H289" s="9">
        <v>1</v>
      </c>
      <c r="I289" s="9">
        <v>2</v>
      </c>
      <c r="J289" s="9">
        <v>2</v>
      </c>
      <c r="K289" s="159">
        <f t="shared" si="4"/>
        <v>0.35859414261160716</v>
      </c>
      <c r="L289" s="52" t="s">
        <v>111</v>
      </c>
    </row>
    <row r="290" spans="1:12" ht="15.75" hidden="1" thickBot="1">
      <c r="A290" s="151" t="s">
        <v>114</v>
      </c>
      <c r="B290" s="59">
        <v>2004</v>
      </c>
      <c r="C290" s="339" t="s">
        <v>97</v>
      </c>
      <c r="D290" s="59">
        <v>353</v>
      </c>
      <c r="E290" s="339" t="s">
        <v>126</v>
      </c>
      <c r="F290" s="29">
        <v>1</v>
      </c>
      <c r="G290" s="9">
        <v>1</v>
      </c>
      <c r="H290" s="9">
        <v>1</v>
      </c>
      <c r="I290" s="9">
        <v>2</v>
      </c>
      <c r="J290" s="9">
        <v>2</v>
      </c>
      <c r="K290" s="159">
        <f t="shared" si="4"/>
        <v>0.35859414261160716</v>
      </c>
      <c r="L290" s="52" t="s">
        <v>111</v>
      </c>
    </row>
    <row r="291" spans="1:12" ht="15.75" hidden="1" thickBot="1">
      <c r="A291" s="151" t="s">
        <v>114</v>
      </c>
      <c r="B291" s="59">
        <v>2004</v>
      </c>
      <c r="C291" s="339" t="s">
        <v>95</v>
      </c>
      <c r="D291" s="59">
        <v>283</v>
      </c>
      <c r="E291" s="339" t="s">
        <v>126</v>
      </c>
      <c r="F291" s="29">
        <v>1</v>
      </c>
      <c r="G291" s="9">
        <v>1</v>
      </c>
      <c r="H291" s="9">
        <v>1</v>
      </c>
      <c r="I291" s="9">
        <v>2</v>
      </c>
      <c r="J291" s="9">
        <v>2</v>
      </c>
      <c r="K291" s="159">
        <f t="shared" si="4"/>
        <v>0.35859414261160716</v>
      </c>
      <c r="L291" s="52" t="s">
        <v>111</v>
      </c>
    </row>
    <row r="292" spans="1:12" ht="15.75" hidden="1" thickBot="1">
      <c r="A292" s="151" t="s">
        <v>114</v>
      </c>
      <c r="B292" s="59">
        <v>2004</v>
      </c>
      <c r="C292" s="339" t="s">
        <v>93</v>
      </c>
      <c r="D292" s="59">
        <v>66</v>
      </c>
      <c r="E292" s="339" t="s">
        <v>126</v>
      </c>
      <c r="F292" s="29">
        <v>1</v>
      </c>
      <c r="G292" s="9">
        <v>1</v>
      </c>
      <c r="H292" s="9">
        <v>1</v>
      </c>
      <c r="I292" s="9">
        <v>2</v>
      </c>
      <c r="J292" s="9">
        <v>2</v>
      </c>
      <c r="K292" s="159">
        <f t="shared" si="4"/>
        <v>0.35859414261160716</v>
      </c>
      <c r="L292" s="52" t="s">
        <v>111</v>
      </c>
    </row>
    <row r="293" spans="1:12" ht="15.75" hidden="1" thickBot="1">
      <c r="A293" s="151" t="s">
        <v>114</v>
      </c>
      <c r="B293" s="59">
        <v>2004</v>
      </c>
      <c r="C293" s="339" t="s">
        <v>98</v>
      </c>
      <c r="D293" s="59">
        <v>2264</v>
      </c>
      <c r="E293" s="339" t="s">
        <v>126</v>
      </c>
      <c r="F293" s="29">
        <v>1</v>
      </c>
      <c r="G293" s="9">
        <v>1</v>
      </c>
      <c r="H293" s="9">
        <v>1</v>
      </c>
      <c r="I293" s="9">
        <v>2</v>
      </c>
      <c r="J293" s="9">
        <v>2</v>
      </c>
      <c r="K293" s="159">
        <f t="shared" si="4"/>
        <v>0.35859414261160716</v>
      </c>
      <c r="L293" s="52" t="s">
        <v>111</v>
      </c>
    </row>
    <row r="294" spans="1:12" ht="15.75" hidden="1" thickBot="1">
      <c r="A294" s="151" t="s">
        <v>114</v>
      </c>
      <c r="B294" s="59">
        <v>2005</v>
      </c>
      <c r="C294" s="339" t="s">
        <v>85</v>
      </c>
      <c r="D294" s="59">
        <v>3634</v>
      </c>
      <c r="E294" s="339" t="s">
        <v>126</v>
      </c>
      <c r="F294" s="29">
        <v>1</v>
      </c>
      <c r="G294" s="9">
        <v>1</v>
      </c>
      <c r="H294" s="9">
        <v>1</v>
      </c>
      <c r="I294" s="9">
        <v>2</v>
      </c>
      <c r="J294" s="9">
        <v>2</v>
      </c>
      <c r="K294" s="159">
        <f t="shared" si="4"/>
        <v>0.35859414261160716</v>
      </c>
      <c r="L294" s="52" t="s">
        <v>111</v>
      </c>
    </row>
    <row r="295" spans="1:12" ht="15.75" hidden="1" thickBot="1">
      <c r="A295" s="151" t="s">
        <v>114</v>
      </c>
      <c r="B295" s="59">
        <v>2005</v>
      </c>
      <c r="C295" s="339" t="s">
        <v>86</v>
      </c>
      <c r="D295" s="59">
        <v>1341</v>
      </c>
      <c r="E295" s="339" t="s">
        <v>126</v>
      </c>
      <c r="F295" s="29">
        <v>1</v>
      </c>
      <c r="G295" s="9">
        <v>1</v>
      </c>
      <c r="H295" s="9">
        <v>1</v>
      </c>
      <c r="I295" s="9">
        <v>2</v>
      </c>
      <c r="J295" s="9">
        <v>2</v>
      </c>
      <c r="K295" s="159">
        <f t="shared" si="4"/>
        <v>0.35859414261160716</v>
      </c>
      <c r="L295" s="52" t="s">
        <v>111</v>
      </c>
    </row>
    <row r="296" spans="1:12" ht="15.75" hidden="1" thickBot="1">
      <c r="A296" s="151" t="s">
        <v>114</v>
      </c>
      <c r="B296" s="59">
        <v>2005</v>
      </c>
      <c r="C296" s="339" t="s">
        <v>87</v>
      </c>
      <c r="D296" s="59">
        <v>1094</v>
      </c>
      <c r="E296" s="339" t="s">
        <v>126</v>
      </c>
      <c r="F296" s="29">
        <v>1</v>
      </c>
      <c r="G296" s="9">
        <v>1</v>
      </c>
      <c r="H296" s="9">
        <v>1</v>
      </c>
      <c r="I296" s="9">
        <v>2</v>
      </c>
      <c r="J296" s="9">
        <v>2</v>
      </c>
      <c r="K296" s="159">
        <f t="shared" si="4"/>
        <v>0.35859414261160716</v>
      </c>
      <c r="L296" s="52" t="s">
        <v>111</v>
      </c>
    </row>
    <row r="297" spans="1:12" ht="15.75" hidden="1" thickBot="1">
      <c r="A297" s="151" t="s">
        <v>114</v>
      </c>
      <c r="B297" s="59">
        <v>2005</v>
      </c>
      <c r="C297" s="339" t="s">
        <v>88</v>
      </c>
      <c r="D297" s="59">
        <v>126</v>
      </c>
      <c r="E297" s="339" t="s">
        <v>126</v>
      </c>
      <c r="F297" s="29">
        <v>1</v>
      </c>
      <c r="G297" s="9">
        <v>1</v>
      </c>
      <c r="H297" s="9">
        <v>1</v>
      </c>
      <c r="I297" s="9">
        <v>2</v>
      </c>
      <c r="J297" s="9">
        <v>2</v>
      </c>
      <c r="K297" s="159">
        <f t="shared" si="4"/>
        <v>0.35859414261160716</v>
      </c>
      <c r="L297" s="52" t="s">
        <v>111</v>
      </c>
    </row>
    <row r="298" spans="1:12" ht="15.75" hidden="1" thickBot="1">
      <c r="A298" s="151" t="s">
        <v>114</v>
      </c>
      <c r="B298" s="59">
        <v>2005</v>
      </c>
      <c r="C298" s="339" t="s">
        <v>89</v>
      </c>
      <c r="D298" s="59">
        <v>51</v>
      </c>
      <c r="E298" s="339" t="s">
        <v>126</v>
      </c>
      <c r="F298" s="29">
        <v>1</v>
      </c>
      <c r="G298" s="9">
        <v>1</v>
      </c>
      <c r="H298" s="9">
        <v>1</v>
      </c>
      <c r="I298" s="9">
        <v>2</v>
      </c>
      <c r="J298" s="9">
        <v>2</v>
      </c>
      <c r="K298" s="159">
        <f t="shared" si="4"/>
        <v>0.35859414261160716</v>
      </c>
      <c r="L298" s="52" t="s">
        <v>111</v>
      </c>
    </row>
    <row r="299" spans="1:12" ht="15.75" hidden="1" thickBot="1">
      <c r="A299" s="151" t="s">
        <v>114</v>
      </c>
      <c r="B299" s="59">
        <v>2005</v>
      </c>
      <c r="C299" s="339" t="s">
        <v>90</v>
      </c>
      <c r="D299" s="59">
        <v>420</v>
      </c>
      <c r="E299" s="339" t="s">
        <v>126</v>
      </c>
      <c r="F299" s="29">
        <v>1</v>
      </c>
      <c r="G299" s="9">
        <v>1</v>
      </c>
      <c r="H299" s="9">
        <v>1</v>
      </c>
      <c r="I299" s="9">
        <v>2</v>
      </c>
      <c r="J299" s="9">
        <v>2</v>
      </c>
      <c r="K299" s="159">
        <f t="shared" si="4"/>
        <v>0.35859414261160716</v>
      </c>
      <c r="L299" s="52" t="s">
        <v>111</v>
      </c>
    </row>
    <row r="300" spans="1:12" ht="15.75" hidden="1" thickBot="1">
      <c r="A300" s="151" t="s">
        <v>114</v>
      </c>
      <c r="B300" s="59">
        <v>2005</v>
      </c>
      <c r="C300" s="339" t="s">
        <v>91</v>
      </c>
      <c r="D300" s="59">
        <v>895</v>
      </c>
      <c r="E300" s="339" t="s">
        <v>126</v>
      </c>
      <c r="F300" s="29">
        <v>1</v>
      </c>
      <c r="G300" s="9">
        <v>1</v>
      </c>
      <c r="H300" s="9">
        <v>1</v>
      </c>
      <c r="I300" s="9">
        <v>2</v>
      </c>
      <c r="J300" s="9">
        <v>2</v>
      </c>
      <c r="K300" s="159">
        <f t="shared" si="4"/>
        <v>0.35859414261160716</v>
      </c>
      <c r="L300" s="52" t="s">
        <v>111</v>
      </c>
    </row>
    <row r="301" spans="1:12" ht="15.75" hidden="1" thickBot="1">
      <c r="A301" s="151" t="s">
        <v>114</v>
      </c>
      <c r="B301" s="59">
        <v>2005</v>
      </c>
      <c r="C301" s="339" t="s">
        <v>94</v>
      </c>
      <c r="D301" s="59">
        <v>207</v>
      </c>
      <c r="E301" s="339" t="s">
        <v>126</v>
      </c>
      <c r="F301" s="29">
        <v>1</v>
      </c>
      <c r="G301" s="9">
        <v>1</v>
      </c>
      <c r="H301" s="9">
        <v>1</v>
      </c>
      <c r="I301" s="9">
        <v>2</v>
      </c>
      <c r="J301" s="9">
        <v>2</v>
      </c>
      <c r="K301" s="159">
        <f t="shared" si="4"/>
        <v>0.35859414261160716</v>
      </c>
      <c r="L301" s="52" t="s">
        <v>111</v>
      </c>
    </row>
    <row r="302" spans="1:12" ht="15.75" hidden="1" thickBot="1">
      <c r="A302" s="151" t="s">
        <v>114</v>
      </c>
      <c r="B302" s="59">
        <v>2005</v>
      </c>
      <c r="C302" s="339" t="s">
        <v>96</v>
      </c>
      <c r="D302" s="59">
        <v>92</v>
      </c>
      <c r="E302" s="339" t="s">
        <v>126</v>
      </c>
      <c r="F302" s="29">
        <v>1</v>
      </c>
      <c r="G302" s="9">
        <v>1</v>
      </c>
      <c r="H302" s="9">
        <v>1</v>
      </c>
      <c r="I302" s="9">
        <v>2</v>
      </c>
      <c r="J302" s="9">
        <v>2</v>
      </c>
      <c r="K302" s="159">
        <f t="shared" si="4"/>
        <v>0.35859414261160716</v>
      </c>
      <c r="L302" s="52" t="s">
        <v>111</v>
      </c>
    </row>
    <row r="303" spans="1:12" ht="15.75" hidden="1" thickBot="1">
      <c r="A303" s="151" t="s">
        <v>114</v>
      </c>
      <c r="B303" s="59">
        <v>2005</v>
      </c>
      <c r="C303" s="339" t="s">
        <v>97</v>
      </c>
      <c r="D303" s="59">
        <v>358</v>
      </c>
      <c r="E303" s="339" t="s">
        <v>126</v>
      </c>
      <c r="F303" s="29">
        <v>1</v>
      </c>
      <c r="G303" s="9">
        <v>1</v>
      </c>
      <c r="H303" s="9">
        <v>1</v>
      </c>
      <c r="I303" s="9">
        <v>2</v>
      </c>
      <c r="J303" s="9">
        <v>2</v>
      </c>
      <c r="K303" s="159">
        <f t="shared" si="4"/>
        <v>0.35859414261160716</v>
      </c>
      <c r="L303" s="52" t="s">
        <v>111</v>
      </c>
    </row>
    <row r="304" spans="1:12" ht="15.75" hidden="1" thickBot="1">
      <c r="A304" s="151" t="s">
        <v>114</v>
      </c>
      <c r="B304" s="59">
        <v>2005</v>
      </c>
      <c r="C304" s="339" t="s">
        <v>95</v>
      </c>
      <c r="D304" s="59">
        <v>289</v>
      </c>
      <c r="E304" s="339" t="s">
        <v>126</v>
      </c>
      <c r="F304" s="29">
        <v>1</v>
      </c>
      <c r="G304" s="9">
        <v>1</v>
      </c>
      <c r="H304" s="9">
        <v>1</v>
      </c>
      <c r="I304" s="9">
        <v>2</v>
      </c>
      <c r="J304" s="9">
        <v>2</v>
      </c>
      <c r="K304" s="159">
        <f t="shared" si="4"/>
        <v>0.35859414261160716</v>
      </c>
      <c r="L304" s="52" t="s">
        <v>111</v>
      </c>
    </row>
    <row r="305" spans="1:12" ht="15.75" hidden="1" thickBot="1">
      <c r="A305" s="151" t="s">
        <v>114</v>
      </c>
      <c r="B305" s="59">
        <v>2005</v>
      </c>
      <c r="C305" s="339" t="s">
        <v>93</v>
      </c>
      <c r="D305" s="59">
        <v>69</v>
      </c>
      <c r="E305" s="339" t="s">
        <v>126</v>
      </c>
      <c r="F305" s="29">
        <v>1</v>
      </c>
      <c r="G305" s="9">
        <v>1</v>
      </c>
      <c r="H305" s="9">
        <v>1</v>
      </c>
      <c r="I305" s="9">
        <v>2</v>
      </c>
      <c r="J305" s="9">
        <v>2</v>
      </c>
      <c r="K305" s="159">
        <f t="shared" si="4"/>
        <v>0.35859414261160716</v>
      </c>
      <c r="L305" s="52" t="s">
        <v>111</v>
      </c>
    </row>
    <row r="306" spans="1:12" ht="15.75" hidden="1" thickBot="1">
      <c r="A306" s="151" t="s">
        <v>114</v>
      </c>
      <c r="B306" s="59">
        <v>2005</v>
      </c>
      <c r="C306" s="339" t="s">
        <v>98</v>
      </c>
      <c r="D306" s="59">
        <v>2432</v>
      </c>
      <c r="E306" s="339" t="s">
        <v>126</v>
      </c>
      <c r="F306" s="29">
        <v>1</v>
      </c>
      <c r="G306" s="9">
        <v>1</v>
      </c>
      <c r="H306" s="9">
        <v>1</v>
      </c>
      <c r="I306" s="9">
        <v>2</v>
      </c>
      <c r="J306" s="9">
        <v>2</v>
      </c>
      <c r="K306" s="159">
        <f t="shared" si="4"/>
        <v>0.35859414261160716</v>
      </c>
      <c r="L306" s="52" t="s">
        <v>111</v>
      </c>
    </row>
    <row r="307" spans="1:12" ht="15.75" hidden="1" thickBot="1">
      <c r="A307" s="151" t="s">
        <v>114</v>
      </c>
      <c r="B307" s="59">
        <v>2006</v>
      </c>
      <c r="C307" s="339" t="s">
        <v>85</v>
      </c>
      <c r="D307" s="59">
        <v>4450</v>
      </c>
      <c r="E307" s="339" t="s">
        <v>126</v>
      </c>
      <c r="F307" s="29">
        <v>1</v>
      </c>
      <c r="G307" s="9">
        <v>1</v>
      </c>
      <c r="H307" s="9">
        <v>1</v>
      </c>
      <c r="I307" s="9">
        <v>2</v>
      </c>
      <c r="J307" s="9">
        <v>2</v>
      </c>
      <c r="K307" s="159">
        <f t="shared" si="4"/>
        <v>0.35859414261160716</v>
      </c>
      <c r="L307" s="52" t="s">
        <v>111</v>
      </c>
    </row>
    <row r="308" spans="1:12" ht="15.75" hidden="1" thickBot="1">
      <c r="A308" s="151" t="s">
        <v>114</v>
      </c>
      <c r="B308" s="59">
        <v>2006</v>
      </c>
      <c r="C308" s="339" t="s">
        <v>86</v>
      </c>
      <c r="D308" s="59">
        <v>1652</v>
      </c>
      <c r="E308" s="339" t="s">
        <v>126</v>
      </c>
      <c r="F308" s="29">
        <v>1</v>
      </c>
      <c r="G308" s="9">
        <v>1</v>
      </c>
      <c r="H308" s="9">
        <v>1</v>
      </c>
      <c r="I308" s="9">
        <v>2</v>
      </c>
      <c r="J308" s="9">
        <v>2</v>
      </c>
      <c r="K308" s="159">
        <f t="shared" si="4"/>
        <v>0.35859414261160716</v>
      </c>
      <c r="L308" s="52" t="s">
        <v>111</v>
      </c>
    </row>
    <row r="309" spans="1:12" ht="15.75" hidden="1" thickBot="1">
      <c r="A309" s="151" t="s">
        <v>114</v>
      </c>
      <c r="B309" s="59">
        <v>2006</v>
      </c>
      <c r="C309" s="339" t="s">
        <v>87</v>
      </c>
      <c r="D309" s="59">
        <v>1293</v>
      </c>
      <c r="E309" s="339" t="s">
        <v>126</v>
      </c>
      <c r="F309" s="29">
        <v>1</v>
      </c>
      <c r="G309" s="9">
        <v>1</v>
      </c>
      <c r="H309" s="9">
        <v>1</v>
      </c>
      <c r="I309" s="9">
        <v>2</v>
      </c>
      <c r="J309" s="9">
        <v>2</v>
      </c>
      <c r="K309" s="159">
        <f t="shared" si="4"/>
        <v>0.35859414261160716</v>
      </c>
      <c r="L309" s="52" t="s">
        <v>111</v>
      </c>
    </row>
    <row r="310" spans="1:12" ht="15.75" hidden="1" thickBot="1">
      <c r="A310" s="151" t="s">
        <v>114</v>
      </c>
      <c r="B310" s="59">
        <v>2006</v>
      </c>
      <c r="C310" s="339" t="s">
        <v>88</v>
      </c>
      <c r="D310" s="59">
        <v>158</v>
      </c>
      <c r="E310" s="339" t="s">
        <v>126</v>
      </c>
      <c r="F310" s="29">
        <v>1</v>
      </c>
      <c r="G310" s="9">
        <v>1</v>
      </c>
      <c r="H310" s="9">
        <v>1</v>
      </c>
      <c r="I310" s="9">
        <v>2</v>
      </c>
      <c r="J310" s="9">
        <v>2</v>
      </c>
      <c r="K310" s="159">
        <f t="shared" si="4"/>
        <v>0.35859414261160716</v>
      </c>
      <c r="L310" s="52" t="s">
        <v>111</v>
      </c>
    </row>
    <row r="311" spans="1:12" ht="15.75" hidden="1" thickBot="1">
      <c r="A311" s="151" t="s">
        <v>114</v>
      </c>
      <c r="B311" s="59">
        <v>2006</v>
      </c>
      <c r="C311" s="339" t="s">
        <v>89</v>
      </c>
      <c r="D311" s="59">
        <v>41</v>
      </c>
      <c r="E311" s="339" t="s">
        <v>126</v>
      </c>
      <c r="F311" s="29">
        <v>1</v>
      </c>
      <c r="G311" s="9">
        <v>1</v>
      </c>
      <c r="H311" s="9">
        <v>1</v>
      </c>
      <c r="I311" s="9">
        <v>2</v>
      </c>
      <c r="J311" s="9">
        <v>2</v>
      </c>
      <c r="K311" s="159">
        <f t="shared" si="4"/>
        <v>0.35859414261160716</v>
      </c>
      <c r="L311" s="52" t="s">
        <v>111</v>
      </c>
    </row>
    <row r="312" spans="1:12" ht="15.75" hidden="1" thickBot="1">
      <c r="A312" s="151" t="s">
        <v>114</v>
      </c>
      <c r="B312" s="59">
        <v>2006</v>
      </c>
      <c r="C312" s="339" t="s">
        <v>90</v>
      </c>
      <c r="D312" s="59">
        <v>551</v>
      </c>
      <c r="E312" s="339" t="s">
        <v>126</v>
      </c>
      <c r="F312" s="29">
        <v>1</v>
      </c>
      <c r="G312" s="9">
        <v>1</v>
      </c>
      <c r="H312" s="9">
        <v>1</v>
      </c>
      <c r="I312" s="9">
        <v>2</v>
      </c>
      <c r="J312" s="9">
        <v>2</v>
      </c>
      <c r="K312" s="159">
        <f t="shared" si="4"/>
        <v>0.35859414261160716</v>
      </c>
      <c r="L312" s="52" t="s">
        <v>111</v>
      </c>
    </row>
    <row r="313" spans="1:12" ht="15.75" hidden="1" thickBot="1">
      <c r="A313" s="151" t="s">
        <v>114</v>
      </c>
      <c r="B313" s="59">
        <v>2006</v>
      </c>
      <c r="C313" s="339" t="s">
        <v>91</v>
      </c>
      <c r="D313" s="59">
        <v>988</v>
      </c>
      <c r="E313" s="339"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ht="15.75" hidden="1" thickBot="1">
      <c r="A314" s="151" t="s">
        <v>114</v>
      </c>
      <c r="B314" s="59">
        <v>2006</v>
      </c>
      <c r="C314" s="339" t="s">
        <v>94</v>
      </c>
      <c r="D314" s="59">
        <v>243</v>
      </c>
      <c r="E314" s="339" t="s">
        <v>126</v>
      </c>
      <c r="F314" s="29">
        <v>1</v>
      </c>
      <c r="G314" s="9">
        <v>1</v>
      </c>
      <c r="H314" s="9">
        <v>1</v>
      </c>
      <c r="I314" s="9">
        <v>2</v>
      </c>
      <c r="J314" s="9">
        <v>2</v>
      </c>
      <c r="K314" s="159">
        <f t="shared" si="5"/>
        <v>0.35859414261160716</v>
      </c>
      <c r="L314" s="52" t="s">
        <v>111</v>
      </c>
    </row>
    <row r="315" spans="1:12" ht="15.75" hidden="1" thickBot="1">
      <c r="A315" s="151" t="s">
        <v>114</v>
      </c>
      <c r="B315" s="59">
        <v>2006</v>
      </c>
      <c r="C315" s="339" t="s">
        <v>96</v>
      </c>
      <c r="D315" s="59">
        <v>92</v>
      </c>
      <c r="E315" s="339" t="s">
        <v>126</v>
      </c>
      <c r="F315" s="29">
        <v>1</v>
      </c>
      <c r="G315" s="9">
        <v>1</v>
      </c>
      <c r="H315" s="9">
        <v>1</v>
      </c>
      <c r="I315" s="9">
        <v>2</v>
      </c>
      <c r="J315" s="9">
        <v>2</v>
      </c>
      <c r="K315" s="159">
        <f t="shared" si="5"/>
        <v>0.35859414261160716</v>
      </c>
      <c r="L315" s="52" t="s">
        <v>111</v>
      </c>
    </row>
    <row r="316" spans="1:12" ht="15.75" hidden="1" thickBot="1">
      <c r="A316" s="151" t="s">
        <v>114</v>
      </c>
      <c r="B316" s="59">
        <v>2006</v>
      </c>
      <c r="C316" s="339" t="s">
        <v>97</v>
      </c>
      <c r="D316" s="59">
        <v>414</v>
      </c>
      <c r="E316" s="339" t="s">
        <v>126</v>
      </c>
      <c r="F316" s="29">
        <v>1</v>
      </c>
      <c r="G316" s="9">
        <v>1</v>
      </c>
      <c r="H316" s="9">
        <v>1</v>
      </c>
      <c r="I316" s="9">
        <v>2</v>
      </c>
      <c r="J316" s="9">
        <v>2</v>
      </c>
      <c r="K316" s="159">
        <f t="shared" si="5"/>
        <v>0.35859414261160716</v>
      </c>
      <c r="L316" s="52" t="s">
        <v>111</v>
      </c>
    </row>
    <row r="317" spans="1:12" ht="15.75" hidden="1" thickBot="1">
      <c r="A317" s="151" t="s">
        <v>114</v>
      </c>
      <c r="B317" s="59">
        <v>2006</v>
      </c>
      <c r="C317" s="339" t="s">
        <v>95</v>
      </c>
      <c r="D317" s="59">
        <v>307</v>
      </c>
      <c r="E317" s="339" t="s">
        <v>126</v>
      </c>
      <c r="F317" s="29">
        <v>1</v>
      </c>
      <c r="G317" s="9">
        <v>1</v>
      </c>
      <c r="H317" s="9">
        <v>1</v>
      </c>
      <c r="I317" s="9">
        <v>2</v>
      </c>
      <c r="J317" s="9">
        <v>2</v>
      </c>
      <c r="K317" s="159">
        <f t="shared" si="5"/>
        <v>0.35859414261160716</v>
      </c>
      <c r="L317" s="52" t="s">
        <v>111</v>
      </c>
    </row>
    <row r="318" spans="1:12" ht="15.75" hidden="1" thickBot="1">
      <c r="A318" s="151" t="s">
        <v>114</v>
      </c>
      <c r="B318" s="59">
        <v>2006</v>
      </c>
      <c r="C318" s="339" t="s">
        <v>93</v>
      </c>
      <c r="D318" s="59">
        <v>65</v>
      </c>
      <c r="E318" s="339" t="s">
        <v>126</v>
      </c>
      <c r="F318" s="29">
        <v>1</v>
      </c>
      <c r="G318" s="9">
        <v>1</v>
      </c>
      <c r="H318" s="9">
        <v>1</v>
      </c>
      <c r="I318" s="9">
        <v>2</v>
      </c>
      <c r="J318" s="9">
        <v>2</v>
      </c>
      <c r="K318" s="159">
        <f t="shared" si="5"/>
        <v>0.35859414261160716</v>
      </c>
      <c r="L318" s="52" t="s">
        <v>111</v>
      </c>
    </row>
    <row r="319" spans="1:12" ht="15.75" hidden="1" thickBot="1">
      <c r="A319" s="151" t="s">
        <v>114</v>
      </c>
      <c r="B319" s="59">
        <v>2006</v>
      </c>
      <c r="C319" s="339" t="s">
        <v>98</v>
      </c>
      <c r="D319" s="59">
        <v>2561</v>
      </c>
      <c r="E319" s="339" t="s">
        <v>126</v>
      </c>
      <c r="F319" s="29">
        <v>1</v>
      </c>
      <c r="G319" s="9">
        <v>1</v>
      </c>
      <c r="H319" s="9">
        <v>1</v>
      </c>
      <c r="I319" s="9">
        <v>2</v>
      </c>
      <c r="J319" s="9">
        <v>2</v>
      </c>
      <c r="K319" s="159">
        <f t="shared" si="5"/>
        <v>0.35859414261160716</v>
      </c>
      <c r="L319" s="52" t="s">
        <v>111</v>
      </c>
    </row>
    <row r="320" spans="1:12" ht="15.75" hidden="1" thickBot="1">
      <c r="A320" s="151" t="s">
        <v>114</v>
      </c>
      <c r="B320" s="59">
        <v>2007</v>
      </c>
      <c r="C320" s="339" t="s">
        <v>85</v>
      </c>
      <c r="D320" s="59">
        <v>4175</v>
      </c>
      <c r="E320" s="339" t="s">
        <v>126</v>
      </c>
      <c r="F320" s="29">
        <v>1</v>
      </c>
      <c r="G320" s="9">
        <v>1</v>
      </c>
      <c r="H320" s="9">
        <v>1</v>
      </c>
      <c r="I320" s="9">
        <v>2</v>
      </c>
      <c r="J320" s="9">
        <v>2</v>
      </c>
      <c r="K320" s="159">
        <f t="shared" si="5"/>
        <v>0.35859414261160716</v>
      </c>
      <c r="L320" s="52" t="s">
        <v>111</v>
      </c>
    </row>
    <row r="321" spans="1:12" ht="15.75" hidden="1" thickBot="1">
      <c r="A321" s="151" t="s">
        <v>114</v>
      </c>
      <c r="B321" s="59">
        <v>2007</v>
      </c>
      <c r="C321" s="339" t="s">
        <v>86</v>
      </c>
      <c r="D321" s="59">
        <v>1552</v>
      </c>
      <c r="E321" s="339" t="s">
        <v>126</v>
      </c>
      <c r="F321" s="29">
        <v>1</v>
      </c>
      <c r="G321" s="9">
        <v>1</v>
      </c>
      <c r="H321" s="9">
        <v>1</v>
      </c>
      <c r="I321" s="9">
        <v>2</v>
      </c>
      <c r="J321" s="9">
        <v>2</v>
      </c>
      <c r="K321" s="159">
        <f t="shared" si="5"/>
        <v>0.35859414261160716</v>
      </c>
      <c r="L321" s="52" t="s">
        <v>111</v>
      </c>
    </row>
    <row r="322" spans="1:12" ht="15.75" hidden="1" thickBot="1">
      <c r="A322" s="151" t="s">
        <v>114</v>
      </c>
      <c r="B322" s="59">
        <v>2007</v>
      </c>
      <c r="C322" s="339" t="s">
        <v>87</v>
      </c>
      <c r="D322" s="59">
        <v>1332</v>
      </c>
      <c r="E322" s="339" t="s">
        <v>126</v>
      </c>
      <c r="F322" s="29">
        <v>1</v>
      </c>
      <c r="G322" s="9">
        <v>1</v>
      </c>
      <c r="H322" s="9">
        <v>1</v>
      </c>
      <c r="I322" s="9">
        <v>2</v>
      </c>
      <c r="J322" s="9">
        <v>2</v>
      </c>
      <c r="K322" s="159">
        <f t="shared" si="5"/>
        <v>0.35859414261160716</v>
      </c>
      <c r="L322" s="52" t="s">
        <v>111</v>
      </c>
    </row>
    <row r="323" spans="1:12" ht="15.75" hidden="1" thickBot="1">
      <c r="A323" s="151" t="s">
        <v>114</v>
      </c>
      <c r="B323" s="59">
        <v>2007</v>
      </c>
      <c r="C323" s="339" t="s">
        <v>88</v>
      </c>
      <c r="D323" s="59">
        <v>125</v>
      </c>
      <c r="E323" s="339" t="s">
        <v>126</v>
      </c>
      <c r="F323" s="29">
        <v>1</v>
      </c>
      <c r="G323" s="9">
        <v>1</v>
      </c>
      <c r="H323" s="9">
        <v>1</v>
      </c>
      <c r="I323" s="9">
        <v>2</v>
      </c>
      <c r="J323" s="9">
        <v>2</v>
      </c>
      <c r="K323" s="159">
        <f t="shared" si="5"/>
        <v>0.35859414261160716</v>
      </c>
      <c r="L323" s="52" t="s">
        <v>111</v>
      </c>
    </row>
    <row r="324" spans="1:12" ht="15.75" hidden="1" thickBot="1">
      <c r="A324" s="151" t="s">
        <v>114</v>
      </c>
      <c r="B324" s="59">
        <v>2007</v>
      </c>
      <c r="C324" s="339" t="s">
        <v>89</v>
      </c>
      <c r="D324" s="59">
        <v>45</v>
      </c>
      <c r="E324" s="339" t="s">
        <v>126</v>
      </c>
      <c r="F324" s="29">
        <v>1</v>
      </c>
      <c r="G324" s="9">
        <v>1</v>
      </c>
      <c r="H324" s="9">
        <v>1</v>
      </c>
      <c r="I324" s="9">
        <v>2</v>
      </c>
      <c r="J324" s="9">
        <v>2</v>
      </c>
      <c r="K324" s="159">
        <f t="shared" si="5"/>
        <v>0.35859414261160716</v>
      </c>
      <c r="L324" s="52" t="s">
        <v>111</v>
      </c>
    </row>
    <row r="325" spans="1:12" ht="15.75" hidden="1" thickBot="1">
      <c r="A325" s="151" t="s">
        <v>114</v>
      </c>
      <c r="B325" s="59">
        <v>2007</v>
      </c>
      <c r="C325" s="339" t="s">
        <v>90</v>
      </c>
      <c r="D325" s="59">
        <v>553</v>
      </c>
      <c r="E325" s="339" t="s">
        <v>126</v>
      </c>
      <c r="F325" s="29">
        <v>1</v>
      </c>
      <c r="G325" s="9">
        <v>1</v>
      </c>
      <c r="H325" s="9">
        <v>1</v>
      </c>
      <c r="I325" s="9">
        <v>2</v>
      </c>
      <c r="J325" s="9">
        <v>2</v>
      </c>
      <c r="K325" s="159">
        <f t="shared" si="5"/>
        <v>0.35859414261160716</v>
      </c>
      <c r="L325" s="52" t="s">
        <v>111</v>
      </c>
    </row>
    <row r="326" spans="1:12" ht="15.75" hidden="1" thickBot="1">
      <c r="A326" s="151" t="s">
        <v>114</v>
      </c>
      <c r="B326" s="59">
        <v>2007</v>
      </c>
      <c r="C326" s="339" t="s">
        <v>91</v>
      </c>
      <c r="D326" s="59">
        <v>1108</v>
      </c>
      <c r="E326" s="339" t="s">
        <v>126</v>
      </c>
      <c r="F326" s="29">
        <v>1</v>
      </c>
      <c r="G326" s="9">
        <v>1</v>
      </c>
      <c r="H326" s="9">
        <v>1</v>
      </c>
      <c r="I326" s="9">
        <v>2</v>
      </c>
      <c r="J326" s="9">
        <v>2</v>
      </c>
      <c r="K326" s="159">
        <f t="shared" si="5"/>
        <v>0.35859414261160716</v>
      </c>
      <c r="L326" s="52" t="s">
        <v>111</v>
      </c>
    </row>
    <row r="327" spans="1:12" ht="15.75" hidden="1" thickBot="1">
      <c r="A327" s="151" t="s">
        <v>114</v>
      </c>
      <c r="B327" s="59">
        <v>2007</v>
      </c>
      <c r="C327" s="339" t="s">
        <v>94</v>
      </c>
      <c r="D327" s="59">
        <v>245</v>
      </c>
      <c r="E327" s="339" t="s">
        <v>126</v>
      </c>
      <c r="F327" s="29">
        <v>1</v>
      </c>
      <c r="G327" s="9">
        <v>1</v>
      </c>
      <c r="H327" s="9">
        <v>1</v>
      </c>
      <c r="I327" s="9">
        <v>2</v>
      </c>
      <c r="J327" s="9">
        <v>2</v>
      </c>
      <c r="K327" s="159">
        <f t="shared" si="5"/>
        <v>0.35859414261160716</v>
      </c>
      <c r="L327" s="52" t="s">
        <v>111</v>
      </c>
    </row>
    <row r="328" spans="1:12" ht="15.75" hidden="1" thickBot="1">
      <c r="A328" s="151" t="s">
        <v>114</v>
      </c>
      <c r="B328" s="59">
        <v>2007</v>
      </c>
      <c r="C328" s="339" t="s">
        <v>96</v>
      </c>
      <c r="D328" s="59">
        <v>83</v>
      </c>
      <c r="E328" s="339" t="s">
        <v>126</v>
      </c>
      <c r="F328" s="29">
        <v>1</v>
      </c>
      <c r="G328" s="9">
        <v>1</v>
      </c>
      <c r="H328" s="9">
        <v>1</v>
      </c>
      <c r="I328" s="9">
        <v>2</v>
      </c>
      <c r="J328" s="9">
        <v>2</v>
      </c>
      <c r="K328" s="159">
        <f t="shared" si="5"/>
        <v>0.35859414261160716</v>
      </c>
      <c r="L328" s="52" t="s">
        <v>111</v>
      </c>
    </row>
    <row r="329" spans="1:12" ht="15.75" hidden="1" thickBot="1">
      <c r="A329" s="151" t="s">
        <v>114</v>
      </c>
      <c r="B329" s="59">
        <v>2007</v>
      </c>
      <c r="C329" s="339" t="s">
        <v>97</v>
      </c>
      <c r="D329" s="59">
        <v>451</v>
      </c>
      <c r="E329" s="339" t="s">
        <v>126</v>
      </c>
      <c r="F329" s="29">
        <v>1</v>
      </c>
      <c r="G329" s="9">
        <v>1</v>
      </c>
      <c r="H329" s="9">
        <v>1</v>
      </c>
      <c r="I329" s="9">
        <v>2</v>
      </c>
      <c r="J329" s="9">
        <v>2</v>
      </c>
      <c r="K329" s="159">
        <f t="shared" si="5"/>
        <v>0.35859414261160716</v>
      </c>
      <c r="L329" s="52" t="s">
        <v>111</v>
      </c>
    </row>
    <row r="330" spans="1:12" ht="15.75" hidden="1" thickBot="1">
      <c r="A330" s="151" t="s">
        <v>114</v>
      </c>
      <c r="B330" s="59">
        <v>2007</v>
      </c>
      <c r="C330" s="339" t="s">
        <v>95</v>
      </c>
      <c r="D330" s="59">
        <v>342</v>
      </c>
      <c r="E330" s="339" t="s">
        <v>126</v>
      </c>
      <c r="F330" s="29">
        <v>1</v>
      </c>
      <c r="G330" s="9">
        <v>1</v>
      </c>
      <c r="H330" s="9">
        <v>1</v>
      </c>
      <c r="I330" s="9">
        <v>2</v>
      </c>
      <c r="J330" s="9">
        <v>2</v>
      </c>
      <c r="K330" s="159">
        <f t="shared" si="5"/>
        <v>0.35859414261160716</v>
      </c>
      <c r="L330" s="52" t="s">
        <v>111</v>
      </c>
    </row>
    <row r="331" spans="1:12" ht="15.75" hidden="1" thickBot="1">
      <c r="A331" s="151" t="s">
        <v>114</v>
      </c>
      <c r="B331" s="59">
        <v>2007</v>
      </c>
      <c r="C331" s="339" t="s">
        <v>93</v>
      </c>
      <c r="D331" s="59">
        <v>76</v>
      </c>
      <c r="E331" s="339" t="s">
        <v>126</v>
      </c>
      <c r="F331" s="29">
        <v>1</v>
      </c>
      <c r="G331" s="9">
        <v>1</v>
      </c>
      <c r="H331" s="9">
        <v>1</v>
      </c>
      <c r="I331" s="9">
        <v>2</v>
      </c>
      <c r="J331" s="9">
        <v>2</v>
      </c>
      <c r="K331" s="159">
        <f t="shared" si="5"/>
        <v>0.35859414261160716</v>
      </c>
      <c r="L331" s="52" t="s">
        <v>111</v>
      </c>
    </row>
    <row r="332" spans="1:12" ht="15.75" hidden="1" thickBot="1">
      <c r="A332" s="151" t="s">
        <v>114</v>
      </c>
      <c r="B332" s="59">
        <v>2007</v>
      </c>
      <c r="C332" s="339" t="s">
        <v>98</v>
      </c>
      <c r="D332" s="59">
        <v>2912</v>
      </c>
      <c r="E332" s="339" t="s">
        <v>126</v>
      </c>
      <c r="F332" s="29">
        <v>1</v>
      </c>
      <c r="G332" s="9">
        <v>1</v>
      </c>
      <c r="H332" s="9">
        <v>1</v>
      </c>
      <c r="I332" s="9">
        <v>2</v>
      </c>
      <c r="J332" s="9">
        <v>2</v>
      </c>
      <c r="K332" s="159">
        <f t="shared" si="5"/>
        <v>0.35859414261160716</v>
      </c>
      <c r="L332" s="52" t="s">
        <v>111</v>
      </c>
    </row>
    <row r="333" spans="1:12" ht="15.75" hidden="1" thickBot="1">
      <c r="A333" s="151" t="s">
        <v>114</v>
      </c>
      <c r="B333" s="59">
        <v>2008</v>
      </c>
      <c r="C333" s="339" t="s">
        <v>85</v>
      </c>
      <c r="D333" s="59">
        <v>3692</v>
      </c>
      <c r="E333" s="339" t="s">
        <v>126</v>
      </c>
      <c r="F333" s="29">
        <v>1</v>
      </c>
      <c r="G333" s="9">
        <v>1</v>
      </c>
      <c r="H333" s="9">
        <v>1</v>
      </c>
      <c r="I333" s="9">
        <v>2</v>
      </c>
      <c r="J333" s="9">
        <v>2</v>
      </c>
      <c r="K333" s="159">
        <f t="shared" si="5"/>
        <v>0.35859414261160716</v>
      </c>
      <c r="L333" s="52" t="s">
        <v>111</v>
      </c>
    </row>
    <row r="334" spans="1:12" ht="15.75" hidden="1" thickBot="1">
      <c r="A334" s="151" t="s">
        <v>114</v>
      </c>
      <c r="B334" s="59">
        <v>2008</v>
      </c>
      <c r="C334" s="339" t="s">
        <v>86</v>
      </c>
      <c r="D334" s="59">
        <v>1598</v>
      </c>
      <c r="E334" s="339" t="s">
        <v>126</v>
      </c>
      <c r="F334" s="29">
        <v>1</v>
      </c>
      <c r="G334" s="9">
        <v>1</v>
      </c>
      <c r="H334" s="9">
        <v>1</v>
      </c>
      <c r="I334" s="9">
        <v>2</v>
      </c>
      <c r="J334" s="9">
        <v>2</v>
      </c>
      <c r="K334" s="159">
        <f t="shared" si="5"/>
        <v>0.35859414261160716</v>
      </c>
      <c r="L334" s="52" t="s">
        <v>111</v>
      </c>
    </row>
    <row r="335" spans="1:12" ht="15.75" hidden="1" thickBot="1">
      <c r="A335" s="151" t="s">
        <v>114</v>
      </c>
      <c r="B335" s="59">
        <v>2008</v>
      </c>
      <c r="C335" s="339" t="s">
        <v>87</v>
      </c>
      <c r="D335" s="59">
        <v>1292</v>
      </c>
      <c r="E335" s="339" t="s">
        <v>126</v>
      </c>
      <c r="F335" s="29">
        <v>1</v>
      </c>
      <c r="G335" s="9">
        <v>1</v>
      </c>
      <c r="H335" s="9">
        <v>1</v>
      </c>
      <c r="I335" s="9">
        <v>2</v>
      </c>
      <c r="J335" s="9">
        <v>2</v>
      </c>
      <c r="K335" s="159">
        <f t="shared" si="5"/>
        <v>0.35859414261160716</v>
      </c>
      <c r="L335" s="52" t="s">
        <v>111</v>
      </c>
    </row>
    <row r="336" spans="1:12" ht="15.75" hidden="1" thickBot="1">
      <c r="A336" s="151" t="s">
        <v>114</v>
      </c>
      <c r="B336" s="59">
        <v>2008</v>
      </c>
      <c r="C336" s="339" t="s">
        <v>88</v>
      </c>
      <c r="D336" s="59">
        <v>114</v>
      </c>
      <c r="E336" s="339" t="s">
        <v>126</v>
      </c>
      <c r="F336" s="29">
        <v>1</v>
      </c>
      <c r="G336" s="9">
        <v>1</v>
      </c>
      <c r="H336" s="9">
        <v>1</v>
      </c>
      <c r="I336" s="9">
        <v>2</v>
      </c>
      <c r="J336" s="9">
        <v>2</v>
      </c>
      <c r="K336" s="159">
        <f t="shared" si="5"/>
        <v>0.35859414261160716</v>
      </c>
      <c r="L336" s="52" t="s">
        <v>111</v>
      </c>
    </row>
    <row r="337" spans="1:12" ht="15.75" hidden="1" thickBot="1">
      <c r="A337" s="151" t="s">
        <v>114</v>
      </c>
      <c r="B337" s="59">
        <v>2008</v>
      </c>
      <c r="C337" s="339" t="s">
        <v>89</v>
      </c>
      <c r="D337" s="59">
        <v>84</v>
      </c>
      <c r="E337" s="339" t="s">
        <v>126</v>
      </c>
      <c r="F337" s="29">
        <v>1</v>
      </c>
      <c r="G337" s="9">
        <v>1</v>
      </c>
      <c r="H337" s="9">
        <v>1</v>
      </c>
      <c r="I337" s="9">
        <v>2</v>
      </c>
      <c r="J337" s="9">
        <v>2</v>
      </c>
      <c r="K337" s="159">
        <f t="shared" si="5"/>
        <v>0.35859414261160716</v>
      </c>
      <c r="L337" s="52" t="s">
        <v>111</v>
      </c>
    </row>
    <row r="338" spans="1:12" ht="15.75" hidden="1" thickBot="1">
      <c r="A338" s="151" t="s">
        <v>114</v>
      </c>
      <c r="B338" s="59">
        <v>2008</v>
      </c>
      <c r="C338" s="339" t="s">
        <v>90</v>
      </c>
      <c r="D338" s="59">
        <v>669</v>
      </c>
      <c r="E338" s="339" t="s">
        <v>126</v>
      </c>
      <c r="F338" s="29">
        <v>1</v>
      </c>
      <c r="G338" s="9">
        <v>1</v>
      </c>
      <c r="H338" s="9">
        <v>1</v>
      </c>
      <c r="I338" s="9">
        <v>2</v>
      </c>
      <c r="J338" s="9">
        <v>2</v>
      </c>
      <c r="K338" s="159">
        <f t="shared" si="5"/>
        <v>0.35859414261160716</v>
      </c>
      <c r="L338" s="52" t="s">
        <v>111</v>
      </c>
    </row>
    <row r="339" spans="1:12" ht="15.75" hidden="1" thickBot="1">
      <c r="A339" s="151" t="s">
        <v>114</v>
      </c>
      <c r="B339" s="59">
        <v>2008</v>
      </c>
      <c r="C339" s="339" t="s">
        <v>91</v>
      </c>
      <c r="D339" s="59">
        <v>1161</v>
      </c>
      <c r="E339" s="339" t="s">
        <v>126</v>
      </c>
      <c r="F339" s="29">
        <v>1</v>
      </c>
      <c r="G339" s="9">
        <v>1</v>
      </c>
      <c r="H339" s="9">
        <v>1</v>
      </c>
      <c r="I339" s="9">
        <v>2</v>
      </c>
      <c r="J339" s="9">
        <v>2</v>
      </c>
      <c r="K339" s="159">
        <f t="shared" si="5"/>
        <v>0.35859414261160716</v>
      </c>
      <c r="L339" s="52" t="s">
        <v>111</v>
      </c>
    </row>
    <row r="340" spans="1:12" ht="15.75" hidden="1" thickBot="1">
      <c r="A340" s="151" t="s">
        <v>114</v>
      </c>
      <c r="B340" s="59">
        <v>2008</v>
      </c>
      <c r="C340" s="339" t="s">
        <v>94</v>
      </c>
      <c r="D340" s="59">
        <v>257</v>
      </c>
      <c r="E340" s="339" t="s">
        <v>126</v>
      </c>
      <c r="F340" s="29">
        <v>1</v>
      </c>
      <c r="G340" s="9">
        <v>1</v>
      </c>
      <c r="H340" s="9">
        <v>1</v>
      </c>
      <c r="I340" s="9">
        <v>2</v>
      </c>
      <c r="J340" s="9">
        <v>2</v>
      </c>
      <c r="K340" s="159">
        <f t="shared" si="5"/>
        <v>0.35859414261160716</v>
      </c>
      <c r="L340" s="52" t="s">
        <v>111</v>
      </c>
    </row>
    <row r="341" spans="1:12" ht="15.75" hidden="1" thickBot="1">
      <c r="A341" s="151" t="s">
        <v>114</v>
      </c>
      <c r="B341" s="59">
        <v>2008</v>
      </c>
      <c r="C341" s="339" t="s">
        <v>96</v>
      </c>
      <c r="D341" s="59">
        <v>86</v>
      </c>
      <c r="E341" s="339" t="s">
        <v>126</v>
      </c>
      <c r="F341" s="29">
        <v>1</v>
      </c>
      <c r="G341" s="9">
        <v>1</v>
      </c>
      <c r="H341" s="9">
        <v>1</v>
      </c>
      <c r="I341" s="9">
        <v>2</v>
      </c>
      <c r="J341" s="9">
        <v>2</v>
      </c>
      <c r="K341" s="159">
        <f t="shared" si="5"/>
        <v>0.35859414261160716</v>
      </c>
      <c r="L341" s="52" t="s">
        <v>111</v>
      </c>
    </row>
    <row r="342" spans="1:12" ht="15.75" hidden="1" thickBot="1">
      <c r="A342" s="151" t="s">
        <v>114</v>
      </c>
      <c r="B342" s="59">
        <v>2008</v>
      </c>
      <c r="C342" s="339" t="s">
        <v>97</v>
      </c>
      <c r="D342" s="59">
        <v>444</v>
      </c>
      <c r="E342" s="339" t="s">
        <v>126</v>
      </c>
      <c r="F342" s="29">
        <v>1</v>
      </c>
      <c r="G342" s="9">
        <v>1</v>
      </c>
      <c r="H342" s="9">
        <v>1</v>
      </c>
      <c r="I342" s="9">
        <v>2</v>
      </c>
      <c r="J342" s="9">
        <v>2</v>
      </c>
      <c r="K342" s="159">
        <f t="shared" si="5"/>
        <v>0.35859414261160716</v>
      </c>
      <c r="L342" s="52" t="s">
        <v>111</v>
      </c>
    </row>
    <row r="343" spans="1:12" ht="15.75" hidden="1" thickBot="1">
      <c r="A343" s="151" t="s">
        <v>114</v>
      </c>
      <c r="B343" s="59">
        <v>2008</v>
      </c>
      <c r="C343" s="339" t="s">
        <v>95</v>
      </c>
      <c r="D343" s="59">
        <v>361</v>
      </c>
      <c r="E343" s="339" t="s">
        <v>126</v>
      </c>
      <c r="F343" s="29">
        <v>1</v>
      </c>
      <c r="G343" s="9">
        <v>1</v>
      </c>
      <c r="H343" s="9">
        <v>1</v>
      </c>
      <c r="I343" s="9">
        <v>2</v>
      </c>
      <c r="J343" s="9">
        <v>2</v>
      </c>
      <c r="K343" s="159">
        <f t="shared" si="5"/>
        <v>0.35859414261160716</v>
      </c>
      <c r="L343" s="52" t="s">
        <v>111</v>
      </c>
    </row>
    <row r="344" spans="1:12" ht="15.75" hidden="1" thickBot="1">
      <c r="A344" s="151" t="s">
        <v>114</v>
      </c>
      <c r="B344" s="59">
        <v>2008</v>
      </c>
      <c r="C344" s="339" t="s">
        <v>93</v>
      </c>
      <c r="D344" s="59">
        <v>80</v>
      </c>
      <c r="E344" s="339" t="s">
        <v>126</v>
      </c>
      <c r="F344" s="29">
        <v>1</v>
      </c>
      <c r="G344" s="9">
        <v>1</v>
      </c>
      <c r="H344" s="9">
        <v>1</v>
      </c>
      <c r="I344" s="9">
        <v>2</v>
      </c>
      <c r="J344" s="9">
        <v>2</v>
      </c>
      <c r="K344" s="159">
        <f t="shared" si="5"/>
        <v>0.35859414261160716</v>
      </c>
      <c r="L344" s="52" t="s">
        <v>111</v>
      </c>
    </row>
    <row r="345" spans="1:12" ht="15.75" hidden="1" thickBot="1">
      <c r="A345" s="151" t="s">
        <v>114</v>
      </c>
      <c r="B345" s="59">
        <v>2008</v>
      </c>
      <c r="C345" s="339" t="s">
        <v>98</v>
      </c>
      <c r="D345" s="59">
        <v>3399</v>
      </c>
      <c r="E345" s="339" t="s">
        <v>126</v>
      </c>
      <c r="F345" s="29">
        <v>1</v>
      </c>
      <c r="G345" s="9">
        <v>1</v>
      </c>
      <c r="H345" s="9">
        <v>1</v>
      </c>
      <c r="I345" s="9">
        <v>2</v>
      </c>
      <c r="J345" s="9">
        <v>2</v>
      </c>
      <c r="K345" s="159">
        <f t="shared" si="5"/>
        <v>0.35859414261160716</v>
      </c>
      <c r="L345" s="52" t="s">
        <v>111</v>
      </c>
    </row>
    <row r="346" spans="1:12" ht="15.75" hidden="1" thickBot="1">
      <c r="A346" s="151" t="s">
        <v>114</v>
      </c>
      <c r="B346" s="59">
        <v>2009</v>
      </c>
      <c r="C346" s="339" t="s">
        <v>85</v>
      </c>
      <c r="D346" s="59">
        <v>3276</v>
      </c>
      <c r="E346" s="339" t="s">
        <v>126</v>
      </c>
      <c r="F346" s="29">
        <v>1</v>
      </c>
      <c r="G346" s="9">
        <v>1</v>
      </c>
      <c r="H346" s="9">
        <v>1</v>
      </c>
      <c r="I346" s="9">
        <v>2</v>
      </c>
      <c r="J346" s="9">
        <v>2</v>
      </c>
      <c r="K346" s="159">
        <f t="shared" si="5"/>
        <v>0.35859414261160716</v>
      </c>
      <c r="L346" s="52" t="s">
        <v>111</v>
      </c>
    </row>
    <row r="347" spans="1:12" ht="15.75" hidden="1" thickBot="1">
      <c r="A347" s="151" t="s">
        <v>114</v>
      </c>
      <c r="B347" s="59">
        <v>2009</v>
      </c>
      <c r="C347" s="339" t="s">
        <v>86</v>
      </c>
      <c r="D347" s="59">
        <v>1953</v>
      </c>
      <c r="E347" s="339" t="s">
        <v>126</v>
      </c>
      <c r="F347" s="29">
        <v>1</v>
      </c>
      <c r="G347" s="9">
        <v>1</v>
      </c>
      <c r="H347" s="9">
        <v>1</v>
      </c>
      <c r="I347" s="9">
        <v>2</v>
      </c>
      <c r="J347" s="9">
        <v>2</v>
      </c>
      <c r="K347" s="159">
        <f t="shared" si="5"/>
        <v>0.35859414261160716</v>
      </c>
      <c r="L347" s="52" t="s">
        <v>111</v>
      </c>
    </row>
    <row r="348" spans="1:12" ht="15.75" hidden="1" thickBot="1">
      <c r="A348" s="151" t="s">
        <v>114</v>
      </c>
      <c r="B348" s="59">
        <v>2009</v>
      </c>
      <c r="C348" s="339" t="s">
        <v>87</v>
      </c>
      <c r="D348" s="59">
        <v>1367</v>
      </c>
      <c r="E348" s="339" t="s">
        <v>126</v>
      </c>
      <c r="F348" s="29">
        <v>1</v>
      </c>
      <c r="G348" s="9">
        <v>1</v>
      </c>
      <c r="H348" s="9">
        <v>1</v>
      </c>
      <c r="I348" s="9">
        <v>2</v>
      </c>
      <c r="J348" s="9">
        <v>2</v>
      </c>
      <c r="K348" s="159">
        <f t="shared" si="5"/>
        <v>0.35859414261160716</v>
      </c>
      <c r="L348" s="52" t="s">
        <v>111</v>
      </c>
    </row>
    <row r="349" spans="1:12" ht="15.75" hidden="1" thickBot="1">
      <c r="A349" s="151" t="s">
        <v>114</v>
      </c>
      <c r="B349" s="59">
        <v>2009</v>
      </c>
      <c r="C349" s="339" t="s">
        <v>88</v>
      </c>
      <c r="D349" s="59">
        <v>199</v>
      </c>
      <c r="E349" s="339" t="s">
        <v>126</v>
      </c>
      <c r="F349" s="29">
        <v>1</v>
      </c>
      <c r="G349" s="9">
        <v>1</v>
      </c>
      <c r="H349" s="9">
        <v>1</v>
      </c>
      <c r="I349" s="9">
        <v>2</v>
      </c>
      <c r="J349" s="9">
        <v>2</v>
      </c>
      <c r="K349" s="159">
        <f t="shared" si="5"/>
        <v>0.35859414261160716</v>
      </c>
      <c r="L349" s="52" t="s">
        <v>111</v>
      </c>
    </row>
    <row r="350" spans="1:12" ht="15.75" hidden="1" thickBot="1">
      <c r="A350" s="151" t="s">
        <v>114</v>
      </c>
      <c r="B350" s="59">
        <v>2009</v>
      </c>
      <c r="C350" s="339" t="s">
        <v>89</v>
      </c>
      <c r="D350" s="59">
        <v>101</v>
      </c>
      <c r="E350" s="339" t="s">
        <v>126</v>
      </c>
      <c r="F350" s="29">
        <v>1</v>
      </c>
      <c r="G350" s="9">
        <v>1</v>
      </c>
      <c r="H350" s="9">
        <v>1</v>
      </c>
      <c r="I350" s="9">
        <v>2</v>
      </c>
      <c r="J350" s="9">
        <v>2</v>
      </c>
      <c r="K350" s="159">
        <f t="shared" si="5"/>
        <v>0.35859414261160716</v>
      </c>
      <c r="L350" s="52" t="s">
        <v>111</v>
      </c>
    </row>
    <row r="351" spans="1:12" ht="15.75" hidden="1" thickBot="1">
      <c r="A351" s="151" t="s">
        <v>114</v>
      </c>
      <c r="B351" s="59">
        <v>2009</v>
      </c>
      <c r="C351" s="339" t="s">
        <v>90</v>
      </c>
      <c r="D351" s="59">
        <v>580</v>
      </c>
      <c r="E351" s="339" t="s">
        <v>126</v>
      </c>
      <c r="F351" s="29">
        <v>1</v>
      </c>
      <c r="G351" s="9">
        <v>1</v>
      </c>
      <c r="H351" s="9">
        <v>1</v>
      </c>
      <c r="I351" s="9">
        <v>2</v>
      </c>
      <c r="J351" s="9">
        <v>2</v>
      </c>
      <c r="K351" s="159">
        <f t="shared" si="5"/>
        <v>0.35859414261160716</v>
      </c>
      <c r="L351" s="52" t="s">
        <v>111</v>
      </c>
    </row>
    <row r="352" spans="1:12" ht="15.75" hidden="1" thickBot="1">
      <c r="A352" s="151" t="s">
        <v>114</v>
      </c>
      <c r="B352" s="59">
        <v>2009</v>
      </c>
      <c r="C352" s="339" t="s">
        <v>91</v>
      </c>
      <c r="D352" s="59">
        <v>1397</v>
      </c>
      <c r="E352" s="339" t="s">
        <v>126</v>
      </c>
      <c r="F352" s="29">
        <v>1</v>
      </c>
      <c r="G352" s="9">
        <v>1</v>
      </c>
      <c r="H352" s="9">
        <v>1</v>
      </c>
      <c r="I352" s="9">
        <v>2</v>
      </c>
      <c r="J352" s="9">
        <v>2</v>
      </c>
      <c r="K352" s="159">
        <f t="shared" si="5"/>
        <v>0.35859414261160716</v>
      </c>
      <c r="L352" s="52" t="s">
        <v>111</v>
      </c>
    </row>
    <row r="353" spans="1:12" ht="15.75" hidden="1" thickBot="1">
      <c r="A353" s="151" t="s">
        <v>114</v>
      </c>
      <c r="B353" s="59">
        <v>2009</v>
      </c>
      <c r="C353" s="339" t="s">
        <v>94</v>
      </c>
      <c r="D353" s="59">
        <v>238</v>
      </c>
      <c r="E353" s="339" t="s">
        <v>126</v>
      </c>
      <c r="F353" s="29">
        <v>1</v>
      </c>
      <c r="G353" s="9">
        <v>1</v>
      </c>
      <c r="H353" s="9">
        <v>1</v>
      </c>
      <c r="I353" s="9">
        <v>2</v>
      </c>
      <c r="J353" s="9">
        <v>2</v>
      </c>
      <c r="K353" s="159">
        <f t="shared" si="5"/>
        <v>0.35859414261160716</v>
      </c>
      <c r="L353" s="52" t="s">
        <v>111</v>
      </c>
    </row>
    <row r="354" spans="1:12" ht="15.75" hidden="1" thickBot="1">
      <c r="A354" s="151" t="s">
        <v>114</v>
      </c>
      <c r="B354" s="59">
        <v>2009</v>
      </c>
      <c r="C354" s="339" t="s">
        <v>96</v>
      </c>
      <c r="D354" s="59">
        <v>91</v>
      </c>
      <c r="E354" s="339" t="s">
        <v>126</v>
      </c>
      <c r="F354" s="29">
        <v>1</v>
      </c>
      <c r="G354" s="9">
        <v>1</v>
      </c>
      <c r="H354" s="9">
        <v>1</v>
      </c>
      <c r="I354" s="9">
        <v>2</v>
      </c>
      <c r="J354" s="9">
        <v>2</v>
      </c>
      <c r="K354" s="159">
        <f t="shared" si="5"/>
        <v>0.35859414261160716</v>
      </c>
      <c r="L354" s="52" t="s">
        <v>111</v>
      </c>
    </row>
    <row r="355" spans="1:12" ht="15.75" hidden="1" thickBot="1">
      <c r="A355" s="151" t="s">
        <v>114</v>
      </c>
      <c r="B355" s="59">
        <v>2009</v>
      </c>
      <c r="C355" s="339" t="s">
        <v>97</v>
      </c>
      <c r="D355" s="59">
        <v>464</v>
      </c>
      <c r="E355" s="339" t="s">
        <v>126</v>
      </c>
      <c r="F355" s="29">
        <v>1</v>
      </c>
      <c r="G355" s="9">
        <v>1</v>
      </c>
      <c r="H355" s="9">
        <v>1</v>
      </c>
      <c r="I355" s="9">
        <v>2</v>
      </c>
      <c r="J355" s="9">
        <v>2</v>
      </c>
      <c r="K355" s="159">
        <f t="shared" si="5"/>
        <v>0.35859414261160716</v>
      </c>
      <c r="L355" s="52" t="s">
        <v>111</v>
      </c>
    </row>
    <row r="356" spans="1:12" ht="15.75" hidden="1" thickBot="1">
      <c r="A356" s="151" t="s">
        <v>114</v>
      </c>
      <c r="B356" s="59">
        <v>2009</v>
      </c>
      <c r="C356" s="339" t="s">
        <v>95</v>
      </c>
      <c r="D356" s="59">
        <v>325</v>
      </c>
      <c r="E356" s="339" t="s">
        <v>126</v>
      </c>
      <c r="F356" s="29">
        <v>1</v>
      </c>
      <c r="G356" s="9">
        <v>1</v>
      </c>
      <c r="H356" s="9">
        <v>1</v>
      </c>
      <c r="I356" s="9">
        <v>2</v>
      </c>
      <c r="J356" s="9">
        <v>2</v>
      </c>
      <c r="K356" s="159">
        <f t="shared" si="5"/>
        <v>0.35859414261160716</v>
      </c>
      <c r="L356" s="52" t="s">
        <v>111</v>
      </c>
    </row>
    <row r="357" spans="1:12" ht="15.75" hidden="1" thickBot="1">
      <c r="A357" s="151" t="s">
        <v>114</v>
      </c>
      <c r="B357" s="59">
        <v>2009</v>
      </c>
      <c r="C357" s="339" t="s">
        <v>93</v>
      </c>
      <c r="D357" s="59">
        <v>82</v>
      </c>
      <c r="E357" s="339" t="s">
        <v>126</v>
      </c>
      <c r="F357" s="29">
        <v>1</v>
      </c>
      <c r="G357" s="9">
        <v>1</v>
      </c>
      <c r="H357" s="9">
        <v>1</v>
      </c>
      <c r="I357" s="9">
        <v>2</v>
      </c>
      <c r="J357" s="9">
        <v>2</v>
      </c>
      <c r="K357" s="159">
        <f t="shared" si="5"/>
        <v>0.35859414261160716</v>
      </c>
      <c r="L357" s="52" t="s">
        <v>111</v>
      </c>
    </row>
    <row r="358" spans="1:12" ht="15.75" hidden="1" thickBot="1">
      <c r="A358" s="151" t="s">
        <v>114</v>
      </c>
      <c r="B358" s="59">
        <v>2009</v>
      </c>
      <c r="C358" s="339" t="s">
        <v>98</v>
      </c>
      <c r="D358" s="59">
        <v>3768</v>
      </c>
      <c r="E358" s="339" t="s">
        <v>126</v>
      </c>
      <c r="F358" s="29">
        <v>1</v>
      </c>
      <c r="G358" s="9">
        <v>1</v>
      </c>
      <c r="H358" s="9">
        <v>1</v>
      </c>
      <c r="I358" s="9">
        <v>2</v>
      </c>
      <c r="J358" s="9">
        <v>2</v>
      </c>
      <c r="K358" s="159">
        <f t="shared" si="5"/>
        <v>0.35859414261160716</v>
      </c>
      <c r="L358" s="52" t="s">
        <v>111</v>
      </c>
    </row>
    <row r="359" spans="1:12" ht="15.75" hidden="1" thickBot="1">
      <c r="A359" s="151" t="s">
        <v>114</v>
      </c>
      <c r="B359" s="59">
        <v>2010</v>
      </c>
      <c r="C359" s="339" t="s">
        <v>85</v>
      </c>
      <c r="D359" s="59">
        <v>2773</v>
      </c>
      <c r="E359" s="339" t="s">
        <v>126</v>
      </c>
      <c r="F359" s="29">
        <v>1</v>
      </c>
      <c r="G359" s="9">
        <v>1</v>
      </c>
      <c r="H359" s="9">
        <v>1</v>
      </c>
      <c r="I359" s="9">
        <v>2</v>
      </c>
      <c r="J359" s="9">
        <v>2</v>
      </c>
      <c r="K359" s="159">
        <f t="shared" si="5"/>
        <v>0.35859414261160716</v>
      </c>
      <c r="L359" s="52" t="s">
        <v>111</v>
      </c>
    </row>
    <row r="360" spans="1:12" ht="15.75" hidden="1" thickBot="1">
      <c r="A360" s="151" t="s">
        <v>114</v>
      </c>
      <c r="B360" s="59">
        <v>2010</v>
      </c>
      <c r="C360" s="339" t="s">
        <v>86</v>
      </c>
      <c r="D360" s="59">
        <v>1804</v>
      </c>
      <c r="E360" s="339" t="s">
        <v>126</v>
      </c>
      <c r="F360" s="29">
        <v>1</v>
      </c>
      <c r="G360" s="9">
        <v>1</v>
      </c>
      <c r="H360" s="9">
        <v>1</v>
      </c>
      <c r="I360" s="9">
        <v>2</v>
      </c>
      <c r="J360" s="9">
        <v>2</v>
      </c>
      <c r="K360" s="159">
        <f t="shared" si="5"/>
        <v>0.35859414261160716</v>
      </c>
      <c r="L360" s="52" t="s">
        <v>111</v>
      </c>
    </row>
    <row r="361" spans="1:12" ht="15.75" hidden="1" thickBot="1">
      <c r="A361" s="151" t="s">
        <v>114</v>
      </c>
      <c r="B361" s="59">
        <v>2010</v>
      </c>
      <c r="C361" s="339" t="s">
        <v>87</v>
      </c>
      <c r="D361" s="59">
        <v>1342</v>
      </c>
      <c r="E361" s="339" t="s">
        <v>126</v>
      </c>
      <c r="F361" s="29">
        <v>1</v>
      </c>
      <c r="G361" s="9">
        <v>1</v>
      </c>
      <c r="H361" s="9">
        <v>1</v>
      </c>
      <c r="I361" s="9">
        <v>2</v>
      </c>
      <c r="J361" s="9">
        <v>2</v>
      </c>
      <c r="K361" s="159">
        <f t="shared" si="5"/>
        <v>0.35859414261160716</v>
      </c>
      <c r="L361" s="52" t="s">
        <v>111</v>
      </c>
    </row>
    <row r="362" spans="1:12" ht="15.75" hidden="1" thickBot="1">
      <c r="A362" s="151" t="s">
        <v>114</v>
      </c>
      <c r="B362" s="59">
        <v>2010</v>
      </c>
      <c r="C362" s="339" t="s">
        <v>88</v>
      </c>
      <c r="D362" s="59">
        <v>93</v>
      </c>
      <c r="E362" s="339" t="s">
        <v>126</v>
      </c>
      <c r="F362" s="29">
        <v>1</v>
      </c>
      <c r="G362" s="9">
        <v>1</v>
      </c>
      <c r="H362" s="9">
        <v>1</v>
      </c>
      <c r="I362" s="9">
        <v>2</v>
      </c>
      <c r="J362" s="9">
        <v>2</v>
      </c>
      <c r="K362" s="159">
        <f t="shared" si="5"/>
        <v>0.35859414261160716</v>
      </c>
      <c r="L362" s="52" t="s">
        <v>111</v>
      </c>
    </row>
    <row r="363" spans="1:12" ht="15.75" hidden="1" thickBot="1">
      <c r="A363" s="151" t="s">
        <v>114</v>
      </c>
      <c r="B363" s="59">
        <v>2010</v>
      </c>
      <c r="C363" s="339" t="s">
        <v>89</v>
      </c>
      <c r="D363" s="59">
        <v>112</v>
      </c>
      <c r="E363" s="339" t="s">
        <v>126</v>
      </c>
      <c r="F363" s="29">
        <v>1</v>
      </c>
      <c r="G363" s="9">
        <v>1</v>
      </c>
      <c r="H363" s="9">
        <v>1</v>
      </c>
      <c r="I363" s="9">
        <v>2</v>
      </c>
      <c r="J363" s="9">
        <v>2</v>
      </c>
      <c r="K363" s="159">
        <f t="shared" si="5"/>
        <v>0.35859414261160716</v>
      </c>
      <c r="L363" s="52" t="s">
        <v>111</v>
      </c>
    </row>
    <row r="364" spans="1:12" ht="15.75" hidden="1" thickBot="1">
      <c r="A364" s="151" t="s">
        <v>114</v>
      </c>
      <c r="B364" s="59">
        <v>2010</v>
      </c>
      <c r="C364" s="339" t="s">
        <v>90</v>
      </c>
      <c r="D364" s="59">
        <v>444</v>
      </c>
      <c r="E364" s="339" t="s">
        <v>126</v>
      </c>
      <c r="F364" s="29">
        <v>1</v>
      </c>
      <c r="G364" s="9">
        <v>1</v>
      </c>
      <c r="H364" s="9">
        <v>1</v>
      </c>
      <c r="I364" s="9">
        <v>2</v>
      </c>
      <c r="J364" s="9">
        <v>2</v>
      </c>
      <c r="K364" s="159">
        <f t="shared" si="5"/>
        <v>0.35859414261160716</v>
      </c>
      <c r="L364" s="52" t="s">
        <v>111</v>
      </c>
    </row>
    <row r="365" spans="1:12" ht="15.75" hidden="1" thickBot="1">
      <c r="A365" s="151" t="s">
        <v>114</v>
      </c>
      <c r="B365" s="59">
        <v>2010</v>
      </c>
      <c r="C365" s="339" t="s">
        <v>91</v>
      </c>
      <c r="D365" s="59">
        <v>1193</v>
      </c>
      <c r="E365" s="339" t="s">
        <v>126</v>
      </c>
      <c r="F365" s="29">
        <v>1</v>
      </c>
      <c r="G365" s="9">
        <v>1</v>
      </c>
      <c r="H365" s="9">
        <v>1</v>
      </c>
      <c r="I365" s="9">
        <v>2</v>
      </c>
      <c r="J365" s="9">
        <v>2</v>
      </c>
      <c r="K365" s="159">
        <f t="shared" si="5"/>
        <v>0.35859414261160716</v>
      </c>
      <c r="L365" s="52" t="s">
        <v>111</v>
      </c>
    </row>
    <row r="366" spans="1:12" ht="15.75" hidden="1" thickBot="1">
      <c r="A366" s="151" t="s">
        <v>114</v>
      </c>
      <c r="B366" s="59">
        <v>2010</v>
      </c>
      <c r="C366" s="339" t="s">
        <v>94</v>
      </c>
      <c r="D366" s="59">
        <v>182</v>
      </c>
      <c r="E366" s="339" t="s">
        <v>126</v>
      </c>
      <c r="F366" s="29">
        <v>1</v>
      </c>
      <c r="G366" s="9">
        <v>1</v>
      </c>
      <c r="H366" s="9">
        <v>1</v>
      </c>
      <c r="I366" s="9">
        <v>2</v>
      </c>
      <c r="J366" s="9">
        <v>2</v>
      </c>
      <c r="K366" s="159">
        <f t="shared" si="5"/>
        <v>0.35859414261160716</v>
      </c>
      <c r="L366" s="52" t="s">
        <v>111</v>
      </c>
    </row>
    <row r="367" spans="1:12" ht="15.75" hidden="1" thickBot="1">
      <c r="A367" s="151" t="s">
        <v>114</v>
      </c>
      <c r="B367" s="59">
        <v>2010</v>
      </c>
      <c r="C367" s="339" t="s">
        <v>96</v>
      </c>
      <c r="D367" s="59">
        <v>102</v>
      </c>
      <c r="E367" s="339" t="s">
        <v>126</v>
      </c>
      <c r="F367" s="29">
        <v>1</v>
      </c>
      <c r="G367" s="9">
        <v>1</v>
      </c>
      <c r="H367" s="9">
        <v>1</v>
      </c>
      <c r="I367" s="9">
        <v>2</v>
      </c>
      <c r="J367" s="9">
        <v>2</v>
      </c>
      <c r="K367" s="159">
        <f t="shared" si="5"/>
        <v>0.35859414261160716</v>
      </c>
      <c r="L367" s="52" t="s">
        <v>111</v>
      </c>
    </row>
    <row r="368" spans="1:12" ht="15.75" hidden="1" thickBot="1">
      <c r="A368" s="151" t="s">
        <v>114</v>
      </c>
      <c r="B368" s="59">
        <v>2010</v>
      </c>
      <c r="C368" s="339" t="s">
        <v>97</v>
      </c>
      <c r="D368" s="59">
        <v>525</v>
      </c>
      <c r="E368" s="339" t="s">
        <v>126</v>
      </c>
      <c r="F368" s="29">
        <v>1</v>
      </c>
      <c r="G368" s="9">
        <v>1</v>
      </c>
      <c r="H368" s="9">
        <v>1</v>
      </c>
      <c r="I368" s="9">
        <v>2</v>
      </c>
      <c r="J368" s="9">
        <v>2</v>
      </c>
      <c r="K368" s="159">
        <f t="shared" si="5"/>
        <v>0.35859414261160716</v>
      </c>
      <c r="L368" s="52" t="s">
        <v>111</v>
      </c>
    </row>
    <row r="369" spans="1:12" ht="15.75" hidden="1" thickBot="1">
      <c r="A369" s="151" t="s">
        <v>114</v>
      </c>
      <c r="B369" s="59">
        <v>2010</v>
      </c>
      <c r="C369" s="339" t="s">
        <v>95</v>
      </c>
      <c r="D369" s="59">
        <v>286</v>
      </c>
      <c r="E369" s="339" t="s">
        <v>126</v>
      </c>
      <c r="F369" s="29">
        <v>1</v>
      </c>
      <c r="G369" s="9">
        <v>1</v>
      </c>
      <c r="H369" s="9">
        <v>1</v>
      </c>
      <c r="I369" s="9">
        <v>2</v>
      </c>
      <c r="J369" s="9">
        <v>2</v>
      </c>
      <c r="K369" s="159">
        <f t="shared" si="5"/>
        <v>0.35859414261160716</v>
      </c>
      <c r="L369" s="52" t="s">
        <v>111</v>
      </c>
    </row>
    <row r="370" spans="1:12" ht="15.75" hidden="1" thickBot="1">
      <c r="A370" s="151" t="s">
        <v>114</v>
      </c>
      <c r="B370" s="59">
        <v>2010</v>
      </c>
      <c r="C370" s="339" t="s">
        <v>93</v>
      </c>
      <c r="D370" s="59">
        <v>77</v>
      </c>
      <c r="E370" s="339" t="s">
        <v>126</v>
      </c>
      <c r="F370" s="29">
        <v>1</v>
      </c>
      <c r="G370" s="9">
        <v>1</v>
      </c>
      <c r="H370" s="9">
        <v>1</v>
      </c>
      <c r="I370" s="9">
        <v>2</v>
      </c>
      <c r="J370" s="9">
        <v>2</v>
      </c>
      <c r="K370" s="159">
        <f t="shared" si="5"/>
        <v>0.35859414261160716</v>
      </c>
      <c r="L370" s="52" t="s">
        <v>111</v>
      </c>
    </row>
    <row r="371" spans="1:12" ht="15.75" hidden="1" thickBot="1">
      <c r="A371" s="151" t="s">
        <v>114</v>
      </c>
      <c r="B371" s="59">
        <v>2010</v>
      </c>
      <c r="C371" s="339" t="s">
        <v>98</v>
      </c>
      <c r="D371" s="59">
        <v>3675</v>
      </c>
      <c r="E371" s="339" t="s">
        <v>126</v>
      </c>
      <c r="F371" s="29">
        <v>1</v>
      </c>
      <c r="G371" s="9">
        <v>1</v>
      </c>
      <c r="H371" s="9">
        <v>1</v>
      </c>
      <c r="I371" s="9">
        <v>2</v>
      </c>
      <c r="J371" s="9">
        <v>2</v>
      </c>
      <c r="K371" s="159">
        <f t="shared" si="5"/>
        <v>0.35859414261160716</v>
      </c>
      <c r="L371" s="52" t="s">
        <v>111</v>
      </c>
    </row>
    <row r="372" spans="1:12" ht="15.75" hidden="1" thickBot="1">
      <c r="A372" s="151" t="s">
        <v>114</v>
      </c>
      <c r="B372" s="59">
        <v>2011</v>
      </c>
      <c r="C372" s="339" t="s">
        <v>85</v>
      </c>
      <c r="D372" s="59">
        <v>3130</v>
      </c>
      <c r="E372" s="339" t="s">
        <v>126</v>
      </c>
      <c r="F372" s="29">
        <v>1</v>
      </c>
      <c r="G372" s="9">
        <v>1</v>
      </c>
      <c r="H372" s="9">
        <v>1</v>
      </c>
      <c r="I372" s="9">
        <v>2</v>
      </c>
      <c r="J372" s="9">
        <v>2</v>
      </c>
      <c r="K372" s="159">
        <f t="shared" si="5"/>
        <v>0.35859414261160716</v>
      </c>
      <c r="L372" s="52" t="s">
        <v>111</v>
      </c>
    </row>
    <row r="373" spans="1:12" ht="15.75" hidden="1" thickBot="1">
      <c r="A373" s="151" t="s">
        <v>114</v>
      </c>
      <c r="B373" s="59">
        <v>2011</v>
      </c>
      <c r="C373" s="339" t="s">
        <v>86</v>
      </c>
      <c r="D373" s="59">
        <v>1771</v>
      </c>
      <c r="E373" s="339" t="s">
        <v>126</v>
      </c>
      <c r="F373" s="29">
        <v>1</v>
      </c>
      <c r="G373" s="9">
        <v>1</v>
      </c>
      <c r="H373" s="9">
        <v>1</v>
      </c>
      <c r="I373" s="9">
        <v>2</v>
      </c>
      <c r="J373" s="9">
        <v>2</v>
      </c>
      <c r="K373" s="159">
        <f t="shared" si="5"/>
        <v>0.35859414261160716</v>
      </c>
      <c r="L373" s="52" t="s">
        <v>111</v>
      </c>
    </row>
    <row r="374" spans="1:12" ht="15.75" hidden="1" thickBot="1">
      <c r="A374" s="151" t="s">
        <v>114</v>
      </c>
      <c r="B374" s="59">
        <v>2011</v>
      </c>
      <c r="C374" s="339" t="s">
        <v>87</v>
      </c>
      <c r="D374" s="59">
        <v>1720</v>
      </c>
      <c r="E374" s="339" t="s">
        <v>126</v>
      </c>
      <c r="F374" s="29">
        <v>1</v>
      </c>
      <c r="G374" s="9">
        <v>1</v>
      </c>
      <c r="H374" s="9">
        <v>1</v>
      </c>
      <c r="I374" s="9">
        <v>2</v>
      </c>
      <c r="J374" s="9">
        <v>2</v>
      </c>
      <c r="K374" s="159">
        <f t="shared" si="5"/>
        <v>0.35859414261160716</v>
      </c>
      <c r="L374" s="52" t="s">
        <v>111</v>
      </c>
    </row>
    <row r="375" spans="1:12" ht="15.75" hidden="1" thickBot="1">
      <c r="A375" s="151" t="s">
        <v>114</v>
      </c>
      <c r="B375" s="59">
        <v>2011</v>
      </c>
      <c r="C375" s="339" t="s">
        <v>88</v>
      </c>
      <c r="D375" s="59">
        <v>83</v>
      </c>
      <c r="E375" s="339" t="s">
        <v>126</v>
      </c>
      <c r="F375" s="29">
        <v>1</v>
      </c>
      <c r="G375" s="9">
        <v>1</v>
      </c>
      <c r="H375" s="9">
        <v>1</v>
      </c>
      <c r="I375" s="9">
        <v>2</v>
      </c>
      <c r="J375" s="9">
        <v>2</v>
      </c>
      <c r="K375" s="159">
        <f t="shared" si="5"/>
        <v>0.35859414261160716</v>
      </c>
      <c r="L375" s="52" t="s">
        <v>111</v>
      </c>
    </row>
    <row r="376" spans="1:12" ht="15.75" hidden="1" thickBot="1">
      <c r="A376" s="151" t="s">
        <v>114</v>
      </c>
      <c r="B376" s="59">
        <v>2011</v>
      </c>
      <c r="C376" s="339" t="s">
        <v>89</v>
      </c>
      <c r="D376" s="59">
        <v>173</v>
      </c>
      <c r="E376" s="339" t="s">
        <v>126</v>
      </c>
      <c r="F376" s="29">
        <v>1</v>
      </c>
      <c r="G376" s="9">
        <v>1</v>
      </c>
      <c r="H376" s="9">
        <v>1</v>
      </c>
      <c r="I376" s="9">
        <v>2</v>
      </c>
      <c r="J376" s="9">
        <v>2</v>
      </c>
      <c r="K376" s="159">
        <f t="shared" si="5"/>
        <v>0.35859414261160716</v>
      </c>
      <c r="L376" s="52" t="s">
        <v>111</v>
      </c>
    </row>
    <row r="377" spans="1:12" ht="15.75" hidden="1" thickBot="1">
      <c r="A377" s="151" t="s">
        <v>114</v>
      </c>
      <c r="B377" s="59">
        <v>2011</v>
      </c>
      <c r="C377" s="339" t="s">
        <v>90</v>
      </c>
      <c r="D377" s="59">
        <v>599</v>
      </c>
      <c r="E377" s="339"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ht="15.75" hidden="1" thickBot="1">
      <c r="A378" s="151" t="s">
        <v>114</v>
      </c>
      <c r="B378" s="59">
        <v>2011</v>
      </c>
      <c r="C378" s="339" t="s">
        <v>91</v>
      </c>
      <c r="D378" s="59">
        <v>1095</v>
      </c>
      <c r="E378" s="339" t="s">
        <v>126</v>
      </c>
      <c r="F378" s="29">
        <v>1</v>
      </c>
      <c r="G378" s="9">
        <v>1</v>
      </c>
      <c r="H378" s="9">
        <v>1</v>
      </c>
      <c r="I378" s="9">
        <v>2</v>
      </c>
      <c r="J378" s="9">
        <v>2</v>
      </c>
      <c r="K378" s="159">
        <f t="shared" si="6"/>
        <v>0.35859414261160716</v>
      </c>
      <c r="L378" s="52" t="s">
        <v>111</v>
      </c>
    </row>
    <row r="379" spans="1:12" ht="15.75" hidden="1" thickBot="1">
      <c r="A379" s="151" t="s">
        <v>114</v>
      </c>
      <c r="B379" s="59">
        <v>2011</v>
      </c>
      <c r="C379" s="339" t="s">
        <v>94</v>
      </c>
      <c r="D379" s="59">
        <v>225</v>
      </c>
      <c r="E379" s="339" t="s">
        <v>126</v>
      </c>
      <c r="F379" s="29">
        <v>1</v>
      </c>
      <c r="G379" s="9">
        <v>1</v>
      </c>
      <c r="H379" s="9">
        <v>1</v>
      </c>
      <c r="I379" s="9">
        <v>2</v>
      </c>
      <c r="J379" s="9">
        <v>2</v>
      </c>
      <c r="K379" s="159">
        <f t="shared" si="6"/>
        <v>0.35859414261160716</v>
      </c>
      <c r="L379" s="52" t="s">
        <v>111</v>
      </c>
    </row>
    <row r="380" spans="1:12" ht="15.75" hidden="1" thickBot="1">
      <c r="A380" s="151" t="s">
        <v>114</v>
      </c>
      <c r="B380" s="59">
        <v>2011</v>
      </c>
      <c r="C380" s="339" t="s">
        <v>96</v>
      </c>
      <c r="D380" s="59">
        <v>142</v>
      </c>
      <c r="E380" s="339" t="s">
        <v>126</v>
      </c>
      <c r="F380" s="29">
        <v>1</v>
      </c>
      <c r="G380" s="9">
        <v>1</v>
      </c>
      <c r="H380" s="9">
        <v>1</v>
      </c>
      <c r="I380" s="9">
        <v>2</v>
      </c>
      <c r="J380" s="9">
        <v>2</v>
      </c>
      <c r="K380" s="159">
        <f t="shared" si="6"/>
        <v>0.35859414261160716</v>
      </c>
      <c r="L380" s="52" t="s">
        <v>111</v>
      </c>
    </row>
    <row r="381" spans="1:12" ht="15.75" hidden="1" thickBot="1">
      <c r="A381" s="151" t="s">
        <v>114</v>
      </c>
      <c r="B381" s="59">
        <v>2011</v>
      </c>
      <c r="C381" s="339" t="s">
        <v>97</v>
      </c>
      <c r="D381" s="59">
        <v>545</v>
      </c>
      <c r="E381" s="339" t="s">
        <v>126</v>
      </c>
      <c r="F381" s="29">
        <v>1</v>
      </c>
      <c r="G381" s="9">
        <v>1</v>
      </c>
      <c r="H381" s="9">
        <v>1</v>
      </c>
      <c r="I381" s="9">
        <v>2</v>
      </c>
      <c r="J381" s="9">
        <v>2</v>
      </c>
      <c r="K381" s="159">
        <f t="shared" si="6"/>
        <v>0.35859414261160716</v>
      </c>
      <c r="L381" s="52" t="s">
        <v>111</v>
      </c>
    </row>
    <row r="382" spans="1:12" ht="15.75" hidden="1" thickBot="1">
      <c r="A382" s="151" t="s">
        <v>114</v>
      </c>
      <c r="B382" s="59">
        <v>2011</v>
      </c>
      <c r="C382" s="339" t="s">
        <v>95</v>
      </c>
      <c r="D382" s="59">
        <v>339</v>
      </c>
      <c r="E382" s="339" t="s">
        <v>126</v>
      </c>
      <c r="F382" s="29">
        <v>1</v>
      </c>
      <c r="G382" s="9">
        <v>1</v>
      </c>
      <c r="H382" s="9">
        <v>1</v>
      </c>
      <c r="I382" s="9">
        <v>2</v>
      </c>
      <c r="J382" s="9">
        <v>2</v>
      </c>
      <c r="K382" s="159">
        <f t="shared" si="6"/>
        <v>0.35859414261160716</v>
      </c>
      <c r="L382" s="52" t="s">
        <v>111</v>
      </c>
    </row>
    <row r="383" spans="1:12" ht="15.75" hidden="1" thickBot="1">
      <c r="A383" s="151" t="s">
        <v>114</v>
      </c>
      <c r="B383" s="59">
        <v>2011</v>
      </c>
      <c r="C383" s="339" t="s">
        <v>93</v>
      </c>
      <c r="D383" s="59">
        <v>82</v>
      </c>
      <c r="E383" s="339" t="s">
        <v>126</v>
      </c>
      <c r="F383" s="29">
        <v>1</v>
      </c>
      <c r="G383" s="9">
        <v>1</v>
      </c>
      <c r="H383" s="9">
        <v>1</v>
      </c>
      <c r="I383" s="9">
        <v>2</v>
      </c>
      <c r="J383" s="9">
        <v>2</v>
      </c>
      <c r="K383" s="159">
        <f t="shared" si="6"/>
        <v>0.35859414261160716</v>
      </c>
      <c r="L383" s="52" t="s">
        <v>111</v>
      </c>
    </row>
    <row r="384" spans="1:12" ht="15.75" hidden="1" thickBot="1">
      <c r="A384" s="151" t="s">
        <v>114</v>
      </c>
      <c r="B384" s="59">
        <v>2011</v>
      </c>
      <c r="C384" s="339" t="s">
        <v>98</v>
      </c>
      <c r="D384" s="59">
        <v>3989</v>
      </c>
      <c r="E384" s="339" t="s">
        <v>126</v>
      </c>
      <c r="F384" s="29">
        <v>1</v>
      </c>
      <c r="G384" s="9">
        <v>1</v>
      </c>
      <c r="H384" s="9">
        <v>1</v>
      </c>
      <c r="I384" s="9">
        <v>2</v>
      </c>
      <c r="J384" s="9">
        <v>2</v>
      </c>
      <c r="K384" s="159">
        <f t="shared" si="6"/>
        <v>0.35859414261160716</v>
      </c>
      <c r="L384" s="52" t="s">
        <v>111</v>
      </c>
    </row>
    <row r="385" spans="1:12" ht="15.75" hidden="1" thickBot="1">
      <c r="A385" s="151" t="s">
        <v>114</v>
      </c>
      <c r="B385" s="59">
        <v>2012</v>
      </c>
      <c r="C385" s="339" t="s">
        <v>85</v>
      </c>
      <c r="D385" s="59">
        <v>2747</v>
      </c>
      <c r="E385" s="339" t="s">
        <v>126</v>
      </c>
      <c r="F385" s="29">
        <v>1</v>
      </c>
      <c r="G385" s="9">
        <v>1</v>
      </c>
      <c r="H385" s="9">
        <v>1</v>
      </c>
      <c r="I385" s="9">
        <v>2</v>
      </c>
      <c r="J385" s="9">
        <v>2</v>
      </c>
      <c r="K385" s="159">
        <f t="shared" si="6"/>
        <v>0.35859414261160716</v>
      </c>
      <c r="L385" s="52" t="s">
        <v>111</v>
      </c>
    </row>
    <row r="386" spans="1:12" ht="15.75" hidden="1" thickBot="1">
      <c r="A386" s="151" t="s">
        <v>114</v>
      </c>
      <c r="B386" s="59">
        <v>2012</v>
      </c>
      <c r="C386" s="339" t="s">
        <v>86</v>
      </c>
      <c r="D386" s="59">
        <v>918</v>
      </c>
      <c r="E386" s="339" t="s">
        <v>126</v>
      </c>
      <c r="F386" s="29">
        <v>1</v>
      </c>
      <c r="G386" s="9">
        <v>1</v>
      </c>
      <c r="H386" s="9">
        <v>1</v>
      </c>
      <c r="I386" s="9">
        <v>2</v>
      </c>
      <c r="J386" s="9">
        <v>2</v>
      </c>
      <c r="K386" s="159">
        <f t="shared" si="6"/>
        <v>0.35859414261160716</v>
      </c>
      <c r="L386" s="52" t="s">
        <v>111</v>
      </c>
    </row>
    <row r="387" spans="1:12" ht="15.75" hidden="1" thickBot="1">
      <c r="A387" s="151" t="s">
        <v>114</v>
      </c>
      <c r="B387" s="59">
        <v>2012</v>
      </c>
      <c r="C387" s="339" t="s">
        <v>87</v>
      </c>
      <c r="D387" s="59">
        <v>571</v>
      </c>
      <c r="E387" s="339" t="s">
        <v>126</v>
      </c>
      <c r="F387" s="29">
        <v>1</v>
      </c>
      <c r="G387" s="9">
        <v>1</v>
      </c>
      <c r="H387" s="9">
        <v>1</v>
      </c>
      <c r="I387" s="9">
        <v>2</v>
      </c>
      <c r="J387" s="9">
        <v>2</v>
      </c>
      <c r="K387" s="159">
        <f t="shared" si="6"/>
        <v>0.35859414261160716</v>
      </c>
      <c r="L387" s="52" t="s">
        <v>111</v>
      </c>
    </row>
    <row r="388" spans="1:12" ht="15.75" hidden="1" thickBot="1">
      <c r="A388" s="151" t="s">
        <v>114</v>
      </c>
      <c r="B388" s="59">
        <v>2012</v>
      </c>
      <c r="C388" s="339" t="s">
        <v>88</v>
      </c>
      <c r="D388" s="59">
        <v>128</v>
      </c>
      <c r="E388" s="339" t="s">
        <v>126</v>
      </c>
      <c r="F388" s="29">
        <v>1</v>
      </c>
      <c r="G388" s="9">
        <v>1</v>
      </c>
      <c r="H388" s="9">
        <v>1</v>
      </c>
      <c r="I388" s="9">
        <v>2</v>
      </c>
      <c r="J388" s="9">
        <v>2</v>
      </c>
      <c r="K388" s="159">
        <f t="shared" si="6"/>
        <v>0.35859414261160716</v>
      </c>
      <c r="L388" s="52" t="s">
        <v>111</v>
      </c>
    </row>
    <row r="389" spans="1:12" ht="15.75" hidden="1" thickBot="1">
      <c r="A389" s="151" t="s">
        <v>114</v>
      </c>
      <c r="B389" s="59">
        <v>2012</v>
      </c>
      <c r="C389" s="339" t="s">
        <v>89</v>
      </c>
      <c r="D389" s="59">
        <v>95</v>
      </c>
      <c r="E389" s="339" t="s">
        <v>126</v>
      </c>
      <c r="F389" s="29">
        <v>1</v>
      </c>
      <c r="G389" s="9">
        <v>1</v>
      </c>
      <c r="H389" s="9">
        <v>1</v>
      </c>
      <c r="I389" s="9">
        <v>2</v>
      </c>
      <c r="J389" s="9">
        <v>2</v>
      </c>
      <c r="K389" s="159">
        <f t="shared" si="6"/>
        <v>0.35859414261160716</v>
      </c>
      <c r="L389" s="52" t="s">
        <v>111</v>
      </c>
    </row>
    <row r="390" spans="1:12" ht="15.75" hidden="1" thickBot="1">
      <c r="A390" s="151" t="s">
        <v>114</v>
      </c>
      <c r="B390" s="59">
        <v>2012</v>
      </c>
      <c r="C390" s="339" t="s">
        <v>90</v>
      </c>
      <c r="D390" s="59">
        <v>408</v>
      </c>
      <c r="E390" s="339" t="s">
        <v>126</v>
      </c>
      <c r="F390" s="29">
        <v>1</v>
      </c>
      <c r="G390" s="9">
        <v>1</v>
      </c>
      <c r="H390" s="9">
        <v>1</v>
      </c>
      <c r="I390" s="9">
        <v>2</v>
      </c>
      <c r="J390" s="9">
        <v>2</v>
      </c>
      <c r="K390" s="159">
        <f t="shared" si="6"/>
        <v>0.35859414261160716</v>
      </c>
      <c r="L390" s="52" t="s">
        <v>111</v>
      </c>
    </row>
    <row r="391" spans="1:12" ht="15.75" hidden="1" thickBot="1">
      <c r="A391" s="151" t="s">
        <v>114</v>
      </c>
      <c r="B391" s="59">
        <v>2012</v>
      </c>
      <c r="C391" s="339" t="s">
        <v>91</v>
      </c>
      <c r="D391" s="59">
        <v>879</v>
      </c>
      <c r="E391" s="339" t="s">
        <v>126</v>
      </c>
      <c r="F391" s="29">
        <v>1</v>
      </c>
      <c r="G391" s="9">
        <v>1</v>
      </c>
      <c r="H391" s="9">
        <v>1</v>
      </c>
      <c r="I391" s="9">
        <v>2</v>
      </c>
      <c r="J391" s="9">
        <v>2</v>
      </c>
      <c r="K391" s="159">
        <f t="shared" si="6"/>
        <v>0.35859414261160716</v>
      </c>
      <c r="L391" s="52" t="s">
        <v>111</v>
      </c>
    </row>
    <row r="392" spans="1:12" ht="15.75" hidden="1" thickBot="1">
      <c r="A392" s="151" t="s">
        <v>114</v>
      </c>
      <c r="B392" s="59">
        <v>2012</v>
      </c>
      <c r="C392" s="339" t="s">
        <v>94</v>
      </c>
      <c r="D392" s="59">
        <v>237</v>
      </c>
      <c r="E392" s="339" t="s">
        <v>126</v>
      </c>
      <c r="F392" s="29">
        <v>1</v>
      </c>
      <c r="G392" s="9">
        <v>1</v>
      </c>
      <c r="H392" s="9">
        <v>1</v>
      </c>
      <c r="I392" s="9">
        <v>2</v>
      </c>
      <c r="J392" s="9">
        <v>2</v>
      </c>
      <c r="K392" s="159">
        <f t="shared" si="6"/>
        <v>0.35859414261160716</v>
      </c>
      <c r="L392" s="52" t="s">
        <v>111</v>
      </c>
    </row>
    <row r="393" spans="1:12" ht="15.75" hidden="1" thickBot="1">
      <c r="A393" s="151" t="s">
        <v>114</v>
      </c>
      <c r="B393" s="59">
        <v>2012</v>
      </c>
      <c r="C393" s="339" t="s">
        <v>96</v>
      </c>
      <c r="D393" s="59">
        <v>109</v>
      </c>
      <c r="E393" s="339" t="s">
        <v>126</v>
      </c>
      <c r="F393" s="29">
        <v>1</v>
      </c>
      <c r="G393" s="9">
        <v>1</v>
      </c>
      <c r="H393" s="9">
        <v>1</v>
      </c>
      <c r="I393" s="9">
        <v>2</v>
      </c>
      <c r="J393" s="9">
        <v>2</v>
      </c>
      <c r="K393" s="159">
        <f t="shared" si="6"/>
        <v>0.35859414261160716</v>
      </c>
      <c r="L393" s="52" t="s">
        <v>111</v>
      </c>
    </row>
    <row r="394" spans="1:12" ht="15.75" hidden="1" thickBot="1">
      <c r="A394" s="151" t="s">
        <v>114</v>
      </c>
      <c r="B394" s="59">
        <v>2012</v>
      </c>
      <c r="C394" s="339" t="s">
        <v>97</v>
      </c>
      <c r="D394" s="59">
        <v>348</v>
      </c>
      <c r="E394" s="339" t="s">
        <v>126</v>
      </c>
      <c r="F394" s="29">
        <v>1</v>
      </c>
      <c r="G394" s="9">
        <v>1</v>
      </c>
      <c r="H394" s="9">
        <v>1</v>
      </c>
      <c r="I394" s="9">
        <v>2</v>
      </c>
      <c r="J394" s="9">
        <v>2</v>
      </c>
      <c r="K394" s="159">
        <f t="shared" si="6"/>
        <v>0.35859414261160716</v>
      </c>
      <c r="L394" s="52" t="s">
        <v>111</v>
      </c>
    </row>
    <row r="395" spans="1:12" ht="15.75" hidden="1" thickBot="1">
      <c r="A395" s="151" t="s">
        <v>114</v>
      </c>
      <c r="B395" s="59">
        <v>2012</v>
      </c>
      <c r="C395" s="339" t="s">
        <v>95</v>
      </c>
      <c r="D395" s="59">
        <v>311</v>
      </c>
      <c r="E395" s="339" t="s">
        <v>126</v>
      </c>
      <c r="F395" s="29">
        <v>1</v>
      </c>
      <c r="G395" s="9">
        <v>1</v>
      </c>
      <c r="H395" s="9">
        <v>1</v>
      </c>
      <c r="I395" s="9">
        <v>2</v>
      </c>
      <c r="J395" s="9">
        <v>2</v>
      </c>
      <c r="K395" s="159">
        <f t="shared" si="6"/>
        <v>0.35859414261160716</v>
      </c>
      <c r="L395" s="52" t="s">
        <v>111</v>
      </c>
    </row>
    <row r="396" spans="1:12" ht="15.75" hidden="1" thickBot="1">
      <c r="A396" s="151" t="s">
        <v>114</v>
      </c>
      <c r="B396" s="59">
        <v>2012</v>
      </c>
      <c r="C396" s="339" t="s">
        <v>93</v>
      </c>
      <c r="D396" s="59">
        <v>80</v>
      </c>
      <c r="E396" s="339" t="s">
        <v>126</v>
      </c>
      <c r="F396" s="29">
        <v>1</v>
      </c>
      <c r="G396" s="9">
        <v>1</v>
      </c>
      <c r="H396" s="9">
        <v>1</v>
      </c>
      <c r="I396" s="9">
        <v>2</v>
      </c>
      <c r="J396" s="9">
        <v>2</v>
      </c>
      <c r="K396" s="159">
        <f t="shared" si="6"/>
        <v>0.35859414261160716</v>
      </c>
      <c r="L396" s="52" t="s">
        <v>111</v>
      </c>
    </row>
    <row r="397" spans="1:12" ht="15.75" hidden="1" thickBot="1">
      <c r="A397" s="151" t="s">
        <v>114</v>
      </c>
      <c r="B397" s="59">
        <v>2012</v>
      </c>
      <c r="C397" s="339" t="s">
        <v>98</v>
      </c>
      <c r="D397" s="59">
        <v>1624</v>
      </c>
      <c r="E397" s="339" t="s">
        <v>126</v>
      </c>
      <c r="F397" s="29">
        <v>1</v>
      </c>
      <c r="G397" s="9">
        <v>1</v>
      </c>
      <c r="H397" s="9">
        <v>1</v>
      </c>
      <c r="I397" s="9">
        <v>2</v>
      </c>
      <c r="J397" s="9">
        <v>2</v>
      </c>
      <c r="K397" s="159">
        <f t="shared" si="6"/>
        <v>0.35859414261160716</v>
      </c>
      <c r="L397" s="52" t="s">
        <v>111</v>
      </c>
    </row>
    <row r="398" spans="1:12" ht="15.75" hidden="1" thickBot="1">
      <c r="A398" s="151" t="s">
        <v>114</v>
      </c>
      <c r="B398" s="59">
        <v>2013</v>
      </c>
      <c r="C398" s="339" t="s">
        <v>85</v>
      </c>
      <c r="D398" s="59">
        <v>2361</v>
      </c>
      <c r="E398" s="339" t="s">
        <v>126</v>
      </c>
      <c r="F398" s="29">
        <v>1</v>
      </c>
      <c r="G398" s="9">
        <v>1</v>
      </c>
      <c r="H398" s="9">
        <v>1</v>
      </c>
      <c r="I398" s="9">
        <v>2</v>
      </c>
      <c r="J398" s="9">
        <v>2</v>
      </c>
      <c r="K398" s="159">
        <f t="shared" si="6"/>
        <v>0.35859414261160716</v>
      </c>
      <c r="L398" s="52" t="s">
        <v>111</v>
      </c>
    </row>
    <row r="399" spans="1:12" ht="15.75" hidden="1" thickBot="1">
      <c r="A399" s="151" t="s">
        <v>114</v>
      </c>
      <c r="B399" s="59">
        <v>2013</v>
      </c>
      <c r="C399" s="339" t="s">
        <v>86</v>
      </c>
      <c r="D399" s="59">
        <v>998</v>
      </c>
      <c r="E399" s="339" t="s">
        <v>126</v>
      </c>
      <c r="F399" s="29">
        <v>1</v>
      </c>
      <c r="G399" s="9">
        <v>1</v>
      </c>
      <c r="H399" s="9">
        <v>1</v>
      </c>
      <c r="I399" s="9">
        <v>2</v>
      </c>
      <c r="J399" s="9">
        <v>2</v>
      </c>
      <c r="K399" s="159">
        <f t="shared" si="6"/>
        <v>0.35859414261160716</v>
      </c>
      <c r="L399" s="52" t="s">
        <v>111</v>
      </c>
    </row>
    <row r="400" spans="1:12" ht="15.75" hidden="1" thickBot="1">
      <c r="A400" s="151" t="s">
        <v>114</v>
      </c>
      <c r="B400" s="59">
        <v>2013</v>
      </c>
      <c r="C400" s="339" t="s">
        <v>87</v>
      </c>
      <c r="D400" s="59">
        <v>487</v>
      </c>
      <c r="E400" s="339" t="s">
        <v>126</v>
      </c>
      <c r="F400" s="29">
        <v>1</v>
      </c>
      <c r="G400" s="9">
        <v>1</v>
      </c>
      <c r="H400" s="9">
        <v>1</v>
      </c>
      <c r="I400" s="9">
        <v>2</v>
      </c>
      <c r="J400" s="9">
        <v>2</v>
      </c>
      <c r="K400" s="159">
        <f t="shared" si="6"/>
        <v>0.35859414261160716</v>
      </c>
      <c r="L400" s="52" t="s">
        <v>111</v>
      </c>
    </row>
    <row r="401" spans="1:12" ht="15.75" hidden="1" thickBot="1">
      <c r="A401" s="151" t="s">
        <v>114</v>
      </c>
      <c r="B401" s="59">
        <v>2013</v>
      </c>
      <c r="C401" s="339" t="s">
        <v>88</v>
      </c>
      <c r="D401" s="59">
        <v>97</v>
      </c>
      <c r="E401" s="339" t="s">
        <v>126</v>
      </c>
      <c r="F401" s="29">
        <v>1</v>
      </c>
      <c r="G401" s="9">
        <v>1</v>
      </c>
      <c r="H401" s="9">
        <v>1</v>
      </c>
      <c r="I401" s="9">
        <v>2</v>
      </c>
      <c r="J401" s="9">
        <v>2</v>
      </c>
      <c r="K401" s="159">
        <f t="shared" si="6"/>
        <v>0.35859414261160716</v>
      </c>
      <c r="L401" s="52" t="s">
        <v>111</v>
      </c>
    </row>
    <row r="402" spans="1:12" ht="15.75" hidden="1" thickBot="1">
      <c r="A402" s="151" t="s">
        <v>114</v>
      </c>
      <c r="B402" s="59">
        <v>2013</v>
      </c>
      <c r="C402" s="339" t="s">
        <v>89</v>
      </c>
      <c r="D402" s="59">
        <v>71</v>
      </c>
      <c r="E402" s="339" t="s">
        <v>126</v>
      </c>
      <c r="F402" s="29">
        <v>1</v>
      </c>
      <c r="G402" s="9">
        <v>1</v>
      </c>
      <c r="H402" s="9">
        <v>1</v>
      </c>
      <c r="I402" s="9">
        <v>2</v>
      </c>
      <c r="J402" s="9">
        <v>2</v>
      </c>
      <c r="K402" s="159">
        <f t="shared" si="6"/>
        <v>0.35859414261160716</v>
      </c>
      <c r="L402" s="52" t="s">
        <v>111</v>
      </c>
    </row>
    <row r="403" spans="1:12" ht="15.75" hidden="1" thickBot="1">
      <c r="A403" s="151" t="s">
        <v>114</v>
      </c>
      <c r="B403" s="59">
        <v>2013</v>
      </c>
      <c r="C403" s="339" t="s">
        <v>90</v>
      </c>
      <c r="D403" s="59">
        <v>392</v>
      </c>
      <c r="E403" s="339" t="s">
        <v>126</v>
      </c>
      <c r="F403" s="29">
        <v>1</v>
      </c>
      <c r="G403" s="9">
        <v>1</v>
      </c>
      <c r="H403" s="9">
        <v>1</v>
      </c>
      <c r="I403" s="9">
        <v>2</v>
      </c>
      <c r="J403" s="9">
        <v>2</v>
      </c>
      <c r="K403" s="159">
        <f t="shared" si="6"/>
        <v>0.35859414261160716</v>
      </c>
      <c r="L403" s="52" t="s">
        <v>111</v>
      </c>
    </row>
    <row r="404" spans="1:12" ht="15.75" hidden="1" thickBot="1">
      <c r="A404" s="151" t="s">
        <v>114</v>
      </c>
      <c r="B404" s="59">
        <v>2013</v>
      </c>
      <c r="C404" s="339" t="s">
        <v>91</v>
      </c>
      <c r="D404" s="59">
        <v>1106</v>
      </c>
      <c r="E404" s="339" t="s">
        <v>126</v>
      </c>
      <c r="F404" s="29">
        <v>1</v>
      </c>
      <c r="G404" s="9">
        <v>1</v>
      </c>
      <c r="H404" s="9">
        <v>1</v>
      </c>
      <c r="I404" s="9">
        <v>2</v>
      </c>
      <c r="J404" s="9">
        <v>2</v>
      </c>
      <c r="K404" s="159">
        <f t="shared" si="6"/>
        <v>0.35859414261160716</v>
      </c>
      <c r="L404" s="52" t="s">
        <v>111</v>
      </c>
    </row>
    <row r="405" spans="1:12" ht="15.75" hidden="1" thickBot="1">
      <c r="A405" s="151" t="s">
        <v>114</v>
      </c>
      <c r="B405" s="59">
        <v>2013</v>
      </c>
      <c r="C405" s="339" t="s">
        <v>94</v>
      </c>
      <c r="D405" s="59">
        <v>172</v>
      </c>
      <c r="E405" s="339" t="s">
        <v>126</v>
      </c>
      <c r="F405" s="29">
        <v>1</v>
      </c>
      <c r="G405" s="9">
        <v>1</v>
      </c>
      <c r="H405" s="9">
        <v>1</v>
      </c>
      <c r="I405" s="9">
        <v>2</v>
      </c>
      <c r="J405" s="9">
        <v>2</v>
      </c>
      <c r="K405" s="159">
        <f t="shared" si="6"/>
        <v>0.35859414261160716</v>
      </c>
      <c r="L405" s="52" t="s">
        <v>111</v>
      </c>
    </row>
    <row r="406" spans="1:12" ht="15.75" hidden="1" thickBot="1">
      <c r="A406" s="151" t="s">
        <v>114</v>
      </c>
      <c r="B406" s="59">
        <v>2013</v>
      </c>
      <c r="C406" s="339" t="s">
        <v>96</v>
      </c>
      <c r="D406" s="59">
        <v>65</v>
      </c>
      <c r="E406" s="339" t="s">
        <v>126</v>
      </c>
      <c r="F406" s="29">
        <v>1</v>
      </c>
      <c r="G406" s="9">
        <v>1</v>
      </c>
      <c r="H406" s="9">
        <v>1</v>
      </c>
      <c r="I406" s="9">
        <v>2</v>
      </c>
      <c r="J406" s="9">
        <v>2</v>
      </c>
      <c r="K406" s="159">
        <f t="shared" si="6"/>
        <v>0.35859414261160716</v>
      </c>
      <c r="L406" s="52" t="s">
        <v>111</v>
      </c>
    </row>
    <row r="407" spans="1:12" ht="15.75" hidden="1" thickBot="1">
      <c r="A407" s="151" t="s">
        <v>114</v>
      </c>
      <c r="B407" s="59">
        <v>2013</v>
      </c>
      <c r="C407" s="339" t="s">
        <v>97</v>
      </c>
      <c r="D407" s="59">
        <v>285</v>
      </c>
      <c r="E407" s="339" t="s">
        <v>126</v>
      </c>
      <c r="F407" s="29">
        <v>1</v>
      </c>
      <c r="G407" s="9">
        <v>1</v>
      </c>
      <c r="H407" s="9">
        <v>1</v>
      </c>
      <c r="I407" s="9">
        <v>2</v>
      </c>
      <c r="J407" s="9">
        <v>2</v>
      </c>
      <c r="K407" s="159">
        <f t="shared" si="6"/>
        <v>0.35859414261160716</v>
      </c>
      <c r="L407" s="52" t="s">
        <v>111</v>
      </c>
    </row>
    <row r="408" spans="1:12" ht="15.75" hidden="1" thickBot="1">
      <c r="A408" s="151" t="s">
        <v>114</v>
      </c>
      <c r="B408" s="59">
        <v>2013</v>
      </c>
      <c r="C408" s="339" t="s">
        <v>95</v>
      </c>
      <c r="D408" s="59">
        <v>169</v>
      </c>
      <c r="E408" s="339" t="s">
        <v>126</v>
      </c>
      <c r="F408" s="29">
        <v>1</v>
      </c>
      <c r="G408" s="9">
        <v>1</v>
      </c>
      <c r="H408" s="9">
        <v>1</v>
      </c>
      <c r="I408" s="9">
        <v>2</v>
      </c>
      <c r="J408" s="9">
        <v>2</v>
      </c>
      <c r="K408" s="159">
        <f t="shared" si="6"/>
        <v>0.35859414261160716</v>
      </c>
      <c r="L408" s="52" t="s">
        <v>111</v>
      </c>
    </row>
    <row r="409" spans="1:12" ht="15.75" hidden="1" thickBot="1">
      <c r="A409" s="151" t="s">
        <v>114</v>
      </c>
      <c r="B409" s="59">
        <v>2013</v>
      </c>
      <c r="C409" s="339" t="s">
        <v>93</v>
      </c>
      <c r="D409" s="59">
        <v>61</v>
      </c>
      <c r="E409" s="339" t="s">
        <v>126</v>
      </c>
      <c r="F409" s="29">
        <v>1</v>
      </c>
      <c r="G409" s="9">
        <v>1</v>
      </c>
      <c r="H409" s="9">
        <v>1</v>
      </c>
      <c r="I409" s="9">
        <v>2</v>
      </c>
      <c r="J409" s="9">
        <v>2</v>
      </c>
      <c r="K409" s="159">
        <f t="shared" si="6"/>
        <v>0.35859414261160716</v>
      </c>
      <c r="L409" s="52" t="s">
        <v>111</v>
      </c>
    </row>
    <row r="410" spans="1:12" ht="15.75" hidden="1" thickBot="1">
      <c r="A410" s="151" t="s">
        <v>114</v>
      </c>
      <c r="B410" s="59">
        <v>2013</v>
      </c>
      <c r="C410" s="339" t="s">
        <v>98</v>
      </c>
      <c r="D410" s="59">
        <v>1270</v>
      </c>
      <c r="E410" s="339" t="s">
        <v>126</v>
      </c>
      <c r="F410" s="29">
        <v>1</v>
      </c>
      <c r="G410" s="9">
        <v>1</v>
      </c>
      <c r="H410" s="9">
        <v>1</v>
      </c>
      <c r="I410" s="9">
        <v>2</v>
      </c>
      <c r="J410" s="9">
        <v>2</v>
      </c>
      <c r="K410" s="159">
        <f t="shared" si="6"/>
        <v>0.35859414261160716</v>
      </c>
      <c r="L410" s="52" t="s">
        <v>111</v>
      </c>
    </row>
    <row r="411" spans="1:12" ht="15.75" hidden="1" thickBot="1">
      <c r="A411" s="151" t="s">
        <v>114</v>
      </c>
      <c r="B411" s="59">
        <v>2014</v>
      </c>
      <c r="C411" s="339" t="s">
        <v>85</v>
      </c>
      <c r="D411" s="59">
        <v>3216</v>
      </c>
      <c r="E411" s="339" t="s">
        <v>126</v>
      </c>
      <c r="F411" s="29">
        <v>1</v>
      </c>
      <c r="G411" s="9">
        <v>1</v>
      </c>
      <c r="H411" s="9">
        <v>1</v>
      </c>
      <c r="I411" s="9">
        <v>2</v>
      </c>
      <c r="J411" s="9">
        <v>2</v>
      </c>
      <c r="K411" s="159">
        <f t="shared" si="6"/>
        <v>0.35859414261160716</v>
      </c>
      <c r="L411" s="52" t="s">
        <v>111</v>
      </c>
    </row>
    <row r="412" spans="1:12" ht="15.75" hidden="1" thickBot="1">
      <c r="A412" s="151" t="s">
        <v>114</v>
      </c>
      <c r="B412" s="59">
        <v>2014</v>
      </c>
      <c r="C412" s="339" t="s">
        <v>86</v>
      </c>
      <c r="D412" s="59">
        <v>1112</v>
      </c>
      <c r="E412" s="339" t="s">
        <v>126</v>
      </c>
      <c r="F412" s="29">
        <v>1</v>
      </c>
      <c r="G412" s="9">
        <v>1</v>
      </c>
      <c r="H412" s="9">
        <v>1</v>
      </c>
      <c r="I412" s="9">
        <v>2</v>
      </c>
      <c r="J412" s="9">
        <v>2</v>
      </c>
      <c r="K412" s="159">
        <f t="shared" si="6"/>
        <v>0.35859414261160716</v>
      </c>
      <c r="L412" s="52" t="s">
        <v>111</v>
      </c>
    </row>
    <row r="413" spans="1:12" ht="15.75" hidden="1" thickBot="1">
      <c r="A413" s="151" t="s">
        <v>114</v>
      </c>
      <c r="B413" s="59">
        <v>2014</v>
      </c>
      <c r="C413" s="339" t="s">
        <v>87</v>
      </c>
      <c r="D413" s="59">
        <v>718</v>
      </c>
      <c r="E413" s="339" t="s">
        <v>126</v>
      </c>
      <c r="F413" s="29">
        <v>1</v>
      </c>
      <c r="G413" s="9">
        <v>1</v>
      </c>
      <c r="H413" s="9">
        <v>1</v>
      </c>
      <c r="I413" s="9">
        <v>2</v>
      </c>
      <c r="J413" s="9">
        <v>2</v>
      </c>
      <c r="K413" s="159">
        <f t="shared" si="6"/>
        <v>0.35859414261160716</v>
      </c>
      <c r="L413" s="52" t="s">
        <v>111</v>
      </c>
    </row>
    <row r="414" spans="1:12" ht="15.75" hidden="1" thickBot="1">
      <c r="A414" s="151" t="s">
        <v>114</v>
      </c>
      <c r="B414" s="59">
        <v>2014</v>
      </c>
      <c r="C414" s="339" t="s">
        <v>88</v>
      </c>
      <c r="D414" s="59">
        <v>68</v>
      </c>
      <c r="E414" s="339" t="s">
        <v>126</v>
      </c>
      <c r="F414" s="29">
        <v>1</v>
      </c>
      <c r="G414" s="9">
        <v>1</v>
      </c>
      <c r="H414" s="9">
        <v>1</v>
      </c>
      <c r="I414" s="9">
        <v>2</v>
      </c>
      <c r="J414" s="9">
        <v>2</v>
      </c>
      <c r="K414" s="159">
        <f t="shared" si="6"/>
        <v>0.35859414261160716</v>
      </c>
      <c r="L414" s="52" t="s">
        <v>111</v>
      </c>
    </row>
    <row r="415" spans="1:12" ht="15.75" hidden="1" thickBot="1">
      <c r="A415" s="151" t="s">
        <v>114</v>
      </c>
      <c r="B415" s="59">
        <v>2014</v>
      </c>
      <c r="C415" s="339" t="s">
        <v>89</v>
      </c>
      <c r="D415" s="59">
        <v>58</v>
      </c>
      <c r="E415" s="339" t="s">
        <v>126</v>
      </c>
      <c r="F415" s="29">
        <v>1</v>
      </c>
      <c r="G415" s="9">
        <v>1</v>
      </c>
      <c r="H415" s="9">
        <v>1</v>
      </c>
      <c r="I415" s="9">
        <v>2</v>
      </c>
      <c r="J415" s="9">
        <v>2</v>
      </c>
      <c r="K415" s="159">
        <f t="shared" si="6"/>
        <v>0.35859414261160716</v>
      </c>
      <c r="L415" s="52" t="s">
        <v>111</v>
      </c>
    </row>
    <row r="416" spans="1:12" ht="15.75" hidden="1" thickBot="1">
      <c r="A416" s="151" t="s">
        <v>114</v>
      </c>
      <c r="B416" s="59">
        <v>2014</v>
      </c>
      <c r="C416" s="339" t="s">
        <v>90</v>
      </c>
      <c r="D416" s="59">
        <v>378</v>
      </c>
      <c r="E416" s="339" t="s">
        <v>126</v>
      </c>
      <c r="F416" s="29">
        <v>1</v>
      </c>
      <c r="G416" s="9">
        <v>1</v>
      </c>
      <c r="H416" s="9">
        <v>1</v>
      </c>
      <c r="I416" s="9">
        <v>2</v>
      </c>
      <c r="J416" s="9">
        <v>2</v>
      </c>
      <c r="K416" s="159">
        <f t="shared" si="6"/>
        <v>0.35859414261160716</v>
      </c>
      <c r="L416" s="52" t="s">
        <v>111</v>
      </c>
    </row>
    <row r="417" spans="1:12" ht="15.75" hidden="1" thickBot="1">
      <c r="A417" s="151" t="s">
        <v>114</v>
      </c>
      <c r="B417" s="59">
        <v>2014</v>
      </c>
      <c r="C417" s="339" t="s">
        <v>91</v>
      </c>
      <c r="D417" s="59">
        <v>960</v>
      </c>
      <c r="E417" s="339" t="s">
        <v>126</v>
      </c>
      <c r="F417" s="29">
        <v>1</v>
      </c>
      <c r="G417" s="9">
        <v>1</v>
      </c>
      <c r="H417" s="9">
        <v>1</v>
      </c>
      <c r="I417" s="9">
        <v>2</v>
      </c>
      <c r="J417" s="9">
        <v>2</v>
      </c>
      <c r="K417" s="159">
        <f t="shared" si="6"/>
        <v>0.35859414261160716</v>
      </c>
      <c r="L417" s="52" t="s">
        <v>111</v>
      </c>
    </row>
    <row r="418" spans="1:12" ht="15.75" hidden="1" thickBot="1">
      <c r="A418" s="151" t="s">
        <v>114</v>
      </c>
      <c r="B418" s="59">
        <v>2014</v>
      </c>
      <c r="C418" s="339" t="s">
        <v>94</v>
      </c>
      <c r="D418" s="59">
        <v>179</v>
      </c>
      <c r="E418" s="339" t="s">
        <v>126</v>
      </c>
      <c r="F418" s="29">
        <v>1</v>
      </c>
      <c r="G418" s="9">
        <v>1</v>
      </c>
      <c r="H418" s="9">
        <v>1</v>
      </c>
      <c r="I418" s="9">
        <v>2</v>
      </c>
      <c r="J418" s="9">
        <v>2</v>
      </c>
      <c r="K418" s="159">
        <f t="shared" si="6"/>
        <v>0.35859414261160716</v>
      </c>
      <c r="L418" s="52" t="s">
        <v>111</v>
      </c>
    </row>
    <row r="419" spans="1:12" ht="15.75" hidden="1" thickBot="1">
      <c r="A419" s="151" t="s">
        <v>114</v>
      </c>
      <c r="B419" s="59">
        <v>2014</v>
      </c>
      <c r="C419" s="339" t="s">
        <v>96</v>
      </c>
      <c r="D419" s="59">
        <v>95</v>
      </c>
      <c r="E419" s="339" t="s">
        <v>126</v>
      </c>
      <c r="F419" s="29">
        <v>1</v>
      </c>
      <c r="G419" s="9">
        <v>1</v>
      </c>
      <c r="H419" s="9">
        <v>1</v>
      </c>
      <c r="I419" s="9">
        <v>2</v>
      </c>
      <c r="J419" s="9">
        <v>2</v>
      </c>
      <c r="K419" s="159">
        <f t="shared" si="6"/>
        <v>0.35859414261160716</v>
      </c>
      <c r="L419" s="52" t="s">
        <v>111</v>
      </c>
    </row>
    <row r="420" spans="1:12" ht="15.75" hidden="1" thickBot="1">
      <c r="A420" s="151" t="s">
        <v>114</v>
      </c>
      <c r="B420" s="59">
        <v>2014</v>
      </c>
      <c r="C420" s="339" t="s">
        <v>97</v>
      </c>
      <c r="D420" s="59">
        <v>329</v>
      </c>
      <c r="E420" s="339" t="s">
        <v>126</v>
      </c>
      <c r="F420" s="29">
        <v>1</v>
      </c>
      <c r="G420" s="9">
        <v>1</v>
      </c>
      <c r="H420" s="9">
        <v>1</v>
      </c>
      <c r="I420" s="9">
        <v>2</v>
      </c>
      <c r="J420" s="9">
        <v>2</v>
      </c>
      <c r="K420" s="159">
        <f t="shared" si="6"/>
        <v>0.35859414261160716</v>
      </c>
      <c r="L420" s="52" t="s">
        <v>111</v>
      </c>
    </row>
    <row r="421" spans="1:12" ht="15.75" hidden="1" thickBot="1">
      <c r="A421" s="151" t="s">
        <v>114</v>
      </c>
      <c r="B421" s="59">
        <v>2014</v>
      </c>
      <c r="C421" s="339" t="s">
        <v>95</v>
      </c>
      <c r="D421" s="59">
        <v>214</v>
      </c>
      <c r="E421" s="339" t="s">
        <v>126</v>
      </c>
      <c r="F421" s="29">
        <v>1</v>
      </c>
      <c r="G421" s="9">
        <v>1</v>
      </c>
      <c r="H421" s="9">
        <v>1</v>
      </c>
      <c r="I421" s="9">
        <v>2</v>
      </c>
      <c r="J421" s="9">
        <v>2</v>
      </c>
      <c r="K421" s="159">
        <f t="shared" si="6"/>
        <v>0.35859414261160716</v>
      </c>
      <c r="L421" s="52" t="s">
        <v>111</v>
      </c>
    </row>
    <row r="422" spans="1:12" ht="15.75" hidden="1" thickBot="1">
      <c r="A422" s="151" t="s">
        <v>114</v>
      </c>
      <c r="B422" s="59">
        <v>2014</v>
      </c>
      <c r="C422" s="339" t="s">
        <v>93</v>
      </c>
      <c r="D422" s="59">
        <v>66</v>
      </c>
      <c r="E422" s="339" t="s">
        <v>126</v>
      </c>
      <c r="F422" s="29">
        <v>1</v>
      </c>
      <c r="G422" s="9">
        <v>1</v>
      </c>
      <c r="H422" s="9">
        <v>1</v>
      </c>
      <c r="I422" s="9">
        <v>2</v>
      </c>
      <c r="J422" s="9">
        <v>2</v>
      </c>
      <c r="K422" s="159">
        <f t="shared" si="6"/>
        <v>0.35859414261160716</v>
      </c>
      <c r="L422" s="52" t="s">
        <v>111</v>
      </c>
    </row>
    <row r="423" spans="1:12" ht="15.75" hidden="1" thickBot="1">
      <c r="A423" s="151" t="s">
        <v>114</v>
      </c>
      <c r="B423" s="59">
        <v>2014</v>
      </c>
      <c r="C423" s="339" t="s">
        <v>98</v>
      </c>
      <c r="D423" s="59">
        <v>1633</v>
      </c>
      <c r="E423" s="339" t="s">
        <v>126</v>
      </c>
      <c r="F423" s="29">
        <v>1</v>
      </c>
      <c r="G423" s="9">
        <v>1</v>
      </c>
      <c r="H423" s="9">
        <v>1</v>
      </c>
      <c r="I423" s="9">
        <v>2</v>
      </c>
      <c r="J423" s="9">
        <v>2</v>
      </c>
      <c r="K423" s="159">
        <f t="shared" si="6"/>
        <v>0.35859414261160716</v>
      </c>
      <c r="L423" s="52" t="s">
        <v>111</v>
      </c>
    </row>
    <row r="424" spans="1:12" ht="15.75" hidden="1" thickBot="1">
      <c r="A424" s="151" t="s">
        <v>114</v>
      </c>
      <c r="B424" s="59">
        <v>2015</v>
      </c>
      <c r="C424" s="339" t="s">
        <v>85</v>
      </c>
      <c r="D424" s="59">
        <v>3427</v>
      </c>
      <c r="E424" s="339" t="s">
        <v>126</v>
      </c>
      <c r="F424" s="29">
        <v>1</v>
      </c>
      <c r="G424" s="9">
        <v>1</v>
      </c>
      <c r="H424" s="9">
        <v>1</v>
      </c>
      <c r="I424" s="9">
        <v>2</v>
      </c>
      <c r="J424" s="9">
        <v>2</v>
      </c>
      <c r="K424" s="159">
        <f t="shared" si="6"/>
        <v>0.35859414261160716</v>
      </c>
      <c r="L424" s="52" t="s">
        <v>111</v>
      </c>
    </row>
    <row r="425" spans="1:12" ht="15.75" hidden="1" thickBot="1">
      <c r="A425" s="151" t="s">
        <v>114</v>
      </c>
      <c r="B425" s="59">
        <v>2015</v>
      </c>
      <c r="C425" s="339" t="s">
        <v>86</v>
      </c>
      <c r="D425" s="59">
        <v>1146</v>
      </c>
      <c r="E425" s="339" t="s">
        <v>126</v>
      </c>
      <c r="F425" s="29">
        <v>1</v>
      </c>
      <c r="G425" s="9">
        <v>1</v>
      </c>
      <c r="H425" s="9">
        <v>1</v>
      </c>
      <c r="I425" s="9">
        <v>2</v>
      </c>
      <c r="J425" s="9">
        <v>2</v>
      </c>
      <c r="K425" s="159">
        <f t="shared" si="6"/>
        <v>0.35859414261160716</v>
      </c>
      <c r="L425" s="52" t="s">
        <v>111</v>
      </c>
    </row>
    <row r="426" spans="1:12" ht="15.75" hidden="1" thickBot="1">
      <c r="A426" s="151" t="s">
        <v>114</v>
      </c>
      <c r="B426" s="59">
        <v>2015</v>
      </c>
      <c r="C426" s="339" t="s">
        <v>87</v>
      </c>
      <c r="D426" s="59">
        <v>886</v>
      </c>
      <c r="E426" s="339" t="s">
        <v>126</v>
      </c>
      <c r="F426" s="29">
        <v>1</v>
      </c>
      <c r="G426" s="9">
        <v>1</v>
      </c>
      <c r="H426" s="9">
        <v>1</v>
      </c>
      <c r="I426" s="9">
        <v>2</v>
      </c>
      <c r="J426" s="9">
        <v>2</v>
      </c>
      <c r="K426" s="159">
        <f t="shared" si="6"/>
        <v>0.35859414261160716</v>
      </c>
      <c r="L426" s="52" t="s">
        <v>111</v>
      </c>
    </row>
    <row r="427" spans="1:12" ht="15.75" hidden="1" thickBot="1">
      <c r="A427" s="151" t="s">
        <v>114</v>
      </c>
      <c r="B427" s="59">
        <v>2015</v>
      </c>
      <c r="C427" s="339" t="s">
        <v>88</v>
      </c>
      <c r="D427" s="59">
        <v>93</v>
      </c>
      <c r="E427" s="339" t="s">
        <v>126</v>
      </c>
      <c r="F427" s="29">
        <v>1</v>
      </c>
      <c r="G427" s="9">
        <v>1</v>
      </c>
      <c r="H427" s="9">
        <v>1</v>
      </c>
      <c r="I427" s="9">
        <v>2</v>
      </c>
      <c r="J427" s="9">
        <v>2</v>
      </c>
      <c r="K427" s="159">
        <f t="shared" si="6"/>
        <v>0.35859414261160716</v>
      </c>
      <c r="L427" s="52" t="s">
        <v>111</v>
      </c>
    </row>
    <row r="428" spans="1:12" ht="15.75" hidden="1" thickBot="1">
      <c r="A428" s="151" t="s">
        <v>114</v>
      </c>
      <c r="B428" s="59">
        <v>2015</v>
      </c>
      <c r="C428" s="339" t="s">
        <v>89</v>
      </c>
      <c r="D428" s="59">
        <v>72</v>
      </c>
      <c r="E428" s="339" t="s">
        <v>126</v>
      </c>
      <c r="F428" s="29">
        <v>1</v>
      </c>
      <c r="G428" s="9">
        <v>1</v>
      </c>
      <c r="H428" s="9">
        <v>1</v>
      </c>
      <c r="I428" s="9">
        <v>2</v>
      </c>
      <c r="J428" s="9">
        <v>2</v>
      </c>
      <c r="K428" s="159">
        <f t="shared" si="6"/>
        <v>0.35859414261160716</v>
      </c>
      <c r="L428" s="52" t="s">
        <v>111</v>
      </c>
    </row>
    <row r="429" spans="1:12" ht="15.75" hidden="1" thickBot="1">
      <c r="A429" s="151" t="s">
        <v>114</v>
      </c>
      <c r="B429" s="59">
        <v>2015</v>
      </c>
      <c r="C429" s="339" t="s">
        <v>90</v>
      </c>
      <c r="D429" s="59">
        <v>388</v>
      </c>
      <c r="E429" s="339" t="s">
        <v>126</v>
      </c>
      <c r="F429" s="29">
        <v>1</v>
      </c>
      <c r="G429" s="9">
        <v>1</v>
      </c>
      <c r="H429" s="9">
        <v>1</v>
      </c>
      <c r="I429" s="9">
        <v>2</v>
      </c>
      <c r="J429" s="9">
        <v>2</v>
      </c>
      <c r="K429" s="159">
        <f t="shared" si="6"/>
        <v>0.35859414261160716</v>
      </c>
      <c r="L429" s="52" t="s">
        <v>111</v>
      </c>
    </row>
    <row r="430" spans="1:12" ht="15.75" hidden="1" thickBot="1">
      <c r="A430" s="151" t="s">
        <v>114</v>
      </c>
      <c r="B430" s="59">
        <v>2015</v>
      </c>
      <c r="C430" s="339" t="s">
        <v>91</v>
      </c>
      <c r="D430" s="59">
        <v>871</v>
      </c>
      <c r="E430" s="339" t="s">
        <v>126</v>
      </c>
      <c r="F430" s="29">
        <v>1</v>
      </c>
      <c r="G430" s="9">
        <v>1</v>
      </c>
      <c r="H430" s="9">
        <v>1</v>
      </c>
      <c r="I430" s="9">
        <v>2</v>
      </c>
      <c r="J430" s="9">
        <v>2</v>
      </c>
      <c r="K430" s="159">
        <f t="shared" si="6"/>
        <v>0.35859414261160716</v>
      </c>
      <c r="L430" s="52" t="s">
        <v>111</v>
      </c>
    </row>
    <row r="431" spans="1:12" ht="15.75" hidden="1" thickBot="1">
      <c r="A431" s="151" t="s">
        <v>114</v>
      </c>
      <c r="B431" s="59">
        <v>2015</v>
      </c>
      <c r="C431" s="339" t="s">
        <v>94</v>
      </c>
      <c r="D431" s="59">
        <v>163</v>
      </c>
      <c r="E431" s="339" t="s">
        <v>126</v>
      </c>
      <c r="F431" s="29">
        <v>1</v>
      </c>
      <c r="G431" s="9">
        <v>1</v>
      </c>
      <c r="H431" s="9">
        <v>1</v>
      </c>
      <c r="I431" s="9">
        <v>2</v>
      </c>
      <c r="J431" s="9">
        <v>2</v>
      </c>
      <c r="K431" s="159">
        <f t="shared" si="6"/>
        <v>0.35859414261160716</v>
      </c>
      <c r="L431" s="52" t="s">
        <v>111</v>
      </c>
    </row>
    <row r="432" spans="1:12" ht="15.75" hidden="1" thickBot="1">
      <c r="A432" s="151" t="s">
        <v>114</v>
      </c>
      <c r="B432" s="59">
        <v>2015</v>
      </c>
      <c r="C432" s="339" t="s">
        <v>96</v>
      </c>
      <c r="D432" s="59">
        <v>82</v>
      </c>
      <c r="E432" s="339" t="s">
        <v>126</v>
      </c>
      <c r="F432" s="29">
        <v>1</v>
      </c>
      <c r="G432" s="9">
        <v>1</v>
      </c>
      <c r="H432" s="9">
        <v>1</v>
      </c>
      <c r="I432" s="9">
        <v>2</v>
      </c>
      <c r="J432" s="9">
        <v>2</v>
      </c>
      <c r="K432" s="159">
        <f t="shared" si="6"/>
        <v>0.35859414261160716</v>
      </c>
      <c r="L432" s="52" t="s">
        <v>111</v>
      </c>
    </row>
    <row r="433" spans="1:12" ht="15.75" hidden="1" thickBot="1">
      <c r="A433" s="151" t="s">
        <v>114</v>
      </c>
      <c r="B433" s="59">
        <v>2015</v>
      </c>
      <c r="C433" s="339" t="s">
        <v>97</v>
      </c>
      <c r="D433" s="59">
        <v>324</v>
      </c>
      <c r="E433" s="339" t="s">
        <v>126</v>
      </c>
      <c r="F433" s="29">
        <v>1</v>
      </c>
      <c r="G433" s="9">
        <v>1</v>
      </c>
      <c r="H433" s="9">
        <v>1</v>
      </c>
      <c r="I433" s="9">
        <v>2</v>
      </c>
      <c r="J433" s="9">
        <v>2</v>
      </c>
      <c r="K433" s="159">
        <f t="shared" si="6"/>
        <v>0.35859414261160716</v>
      </c>
      <c r="L433" s="52" t="s">
        <v>111</v>
      </c>
    </row>
    <row r="434" spans="1:12" ht="15.75" hidden="1" thickBot="1">
      <c r="A434" s="151" t="s">
        <v>114</v>
      </c>
      <c r="B434" s="59">
        <v>2015</v>
      </c>
      <c r="C434" s="339" t="s">
        <v>95</v>
      </c>
      <c r="D434" s="59">
        <v>236</v>
      </c>
      <c r="E434" s="339" t="s">
        <v>126</v>
      </c>
      <c r="F434" s="29">
        <v>1</v>
      </c>
      <c r="G434" s="9">
        <v>1</v>
      </c>
      <c r="H434" s="9">
        <v>1</v>
      </c>
      <c r="I434" s="9">
        <v>2</v>
      </c>
      <c r="J434" s="9">
        <v>2</v>
      </c>
      <c r="K434" s="159">
        <f t="shared" si="6"/>
        <v>0.35859414261160716</v>
      </c>
      <c r="L434" s="52" t="s">
        <v>111</v>
      </c>
    </row>
    <row r="435" spans="1:12" ht="15.75" hidden="1" thickBot="1">
      <c r="A435" s="151" t="s">
        <v>114</v>
      </c>
      <c r="B435" s="59">
        <v>2015</v>
      </c>
      <c r="C435" s="339" t="s">
        <v>93</v>
      </c>
      <c r="D435" s="59">
        <v>64</v>
      </c>
      <c r="E435" s="339" t="s">
        <v>126</v>
      </c>
      <c r="F435" s="29">
        <v>1</v>
      </c>
      <c r="G435" s="9">
        <v>1</v>
      </c>
      <c r="H435" s="9">
        <v>1</v>
      </c>
      <c r="I435" s="9">
        <v>2</v>
      </c>
      <c r="J435" s="9">
        <v>2</v>
      </c>
      <c r="K435" s="159">
        <f t="shared" si="6"/>
        <v>0.35859414261160716</v>
      </c>
      <c r="L435" s="52" t="s">
        <v>111</v>
      </c>
    </row>
    <row r="436" spans="1:12" ht="15.75" hidden="1" thickBot="1">
      <c r="A436" s="151" t="s">
        <v>114</v>
      </c>
      <c r="B436" s="59">
        <v>2015</v>
      </c>
      <c r="C436" s="339" t="s">
        <v>98</v>
      </c>
      <c r="D436" s="59">
        <v>1809</v>
      </c>
      <c r="E436" s="339" t="s">
        <v>126</v>
      </c>
      <c r="F436" s="29">
        <v>1</v>
      </c>
      <c r="G436" s="9">
        <v>1</v>
      </c>
      <c r="H436" s="9">
        <v>1</v>
      </c>
      <c r="I436" s="9">
        <v>2</v>
      </c>
      <c r="J436" s="9">
        <v>2</v>
      </c>
      <c r="K436" s="159">
        <f t="shared" si="6"/>
        <v>0.35859414261160716</v>
      </c>
      <c r="L436" s="52" t="s">
        <v>111</v>
      </c>
    </row>
    <row r="437" spans="1:12" ht="15.75" hidden="1" thickBot="1">
      <c r="A437" s="151" t="s">
        <v>114</v>
      </c>
      <c r="B437" s="59">
        <v>2016</v>
      </c>
      <c r="C437" s="339" t="s">
        <v>85</v>
      </c>
      <c r="D437" s="59">
        <v>3642</v>
      </c>
      <c r="E437" s="339" t="s">
        <v>126</v>
      </c>
      <c r="F437" s="29">
        <v>1</v>
      </c>
      <c r="G437" s="9">
        <v>1</v>
      </c>
      <c r="H437" s="9">
        <v>1</v>
      </c>
      <c r="I437" s="9">
        <v>2</v>
      </c>
      <c r="J437" s="9">
        <v>2</v>
      </c>
      <c r="K437" s="159">
        <f t="shared" si="6"/>
        <v>0.35859414261160716</v>
      </c>
      <c r="L437" s="52" t="s">
        <v>111</v>
      </c>
    </row>
    <row r="438" spans="1:12" ht="15.75" hidden="1" thickBot="1">
      <c r="A438" s="151" t="s">
        <v>114</v>
      </c>
      <c r="B438" s="59">
        <v>2016</v>
      </c>
      <c r="C438" s="339" t="s">
        <v>86</v>
      </c>
      <c r="D438" s="59">
        <v>1070</v>
      </c>
      <c r="E438" s="339" t="s">
        <v>126</v>
      </c>
      <c r="F438" s="29">
        <v>1</v>
      </c>
      <c r="G438" s="9">
        <v>1</v>
      </c>
      <c r="H438" s="9">
        <v>1</v>
      </c>
      <c r="I438" s="9">
        <v>2</v>
      </c>
      <c r="J438" s="9">
        <v>2</v>
      </c>
      <c r="K438" s="159">
        <f t="shared" si="6"/>
        <v>0.35859414261160716</v>
      </c>
      <c r="L438" s="52" t="s">
        <v>111</v>
      </c>
    </row>
    <row r="439" spans="1:12" ht="15.75" hidden="1" thickBot="1">
      <c r="A439" s="151" t="s">
        <v>114</v>
      </c>
      <c r="B439" s="59">
        <v>2016</v>
      </c>
      <c r="C439" s="339" t="s">
        <v>87</v>
      </c>
      <c r="D439" s="59">
        <v>968</v>
      </c>
      <c r="E439" s="339" t="s">
        <v>126</v>
      </c>
      <c r="F439" s="29">
        <v>1</v>
      </c>
      <c r="G439" s="9">
        <v>1</v>
      </c>
      <c r="H439" s="9">
        <v>1</v>
      </c>
      <c r="I439" s="9">
        <v>2</v>
      </c>
      <c r="J439" s="9">
        <v>2</v>
      </c>
      <c r="K439" s="159">
        <f t="shared" si="6"/>
        <v>0.35859414261160716</v>
      </c>
      <c r="L439" s="52" t="s">
        <v>111</v>
      </c>
    </row>
    <row r="440" spans="1:12" ht="15.75" hidden="1" thickBot="1">
      <c r="A440" s="151" t="s">
        <v>114</v>
      </c>
      <c r="B440" s="59">
        <v>2016</v>
      </c>
      <c r="C440" s="339" t="s">
        <v>88</v>
      </c>
      <c r="D440" s="59">
        <v>63</v>
      </c>
      <c r="E440" s="339" t="s">
        <v>126</v>
      </c>
      <c r="F440" s="29">
        <v>1</v>
      </c>
      <c r="G440" s="9">
        <v>1</v>
      </c>
      <c r="H440" s="9">
        <v>1</v>
      </c>
      <c r="I440" s="9">
        <v>2</v>
      </c>
      <c r="J440" s="9">
        <v>2</v>
      </c>
      <c r="K440" s="159">
        <f t="shared" si="6"/>
        <v>0.35859414261160716</v>
      </c>
      <c r="L440" s="52" t="s">
        <v>111</v>
      </c>
    </row>
    <row r="441" spans="1:12" ht="15.75" hidden="1" thickBot="1">
      <c r="A441" s="151" t="s">
        <v>114</v>
      </c>
      <c r="B441" s="59">
        <v>2016</v>
      </c>
      <c r="C441" s="339" t="s">
        <v>89</v>
      </c>
      <c r="D441" s="59">
        <v>69</v>
      </c>
      <c r="E441" s="339"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ht="15.75" hidden="1" thickBot="1">
      <c r="A442" s="151" t="s">
        <v>114</v>
      </c>
      <c r="B442" s="59">
        <v>2016</v>
      </c>
      <c r="C442" s="339" t="s">
        <v>90</v>
      </c>
      <c r="D442" s="59">
        <v>316</v>
      </c>
      <c r="E442" s="339" t="s">
        <v>126</v>
      </c>
      <c r="F442" s="29">
        <v>1</v>
      </c>
      <c r="G442" s="9">
        <v>1</v>
      </c>
      <c r="H442" s="9">
        <v>1</v>
      </c>
      <c r="I442" s="9">
        <v>2</v>
      </c>
      <c r="J442" s="9">
        <v>2</v>
      </c>
      <c r="K442" s="159">
        <f t="shared" si="7"/>
        <v>0.35859414261160716</v>
      </c>
      <c r="L442" s="52" t="s">
        <v>111</v>
      </c>
    </row>
    <row r="443" spans="1:12" ht="15.75" hidden="1" thickBot="1">
      <c r="A443" s="151" t="s">
        <v>114</v>
      </c>
      <c r="B443" s="59">
        <v>2016</v>
      </c>
      <c r="C443" s="339" t="s">
        <v>91</v>
      </c>
      <c r="D443" s="59">
        <v>706</v>
      </c>
      <c r="E443" s="339" t="s">
        <v>126</v>
      </c>
      <c r="F443" s="29">
        <v>1</v>
      </c>
      <c r="G443" s="9">
        <v>1</v>
      </c>
      <c r="H443" s="9">
        <v>1</v>
      </c>
      <c r="I443" s="9">
        <v>2</v>
      </c>
      <c r="J443" s="9">
        <v>2</v>
      </c>
      <c r="K443" s="159">
        <f t="shared" si="7"/>
        <v>0.35859414261160716</v>
      </c>
      <c r="L443" s="52" t="s">
        <v>111</v>
      </c>
    </row>
    <row r="444" spans="1:12" ht="15.75" hidden="1" thickBot="1">
      <c r="A444" s="151" t="s">
        <v>114</v>
      </c>
      <c r="B444" s="59">
        <v>2016</v>
      </c>
      <c r="C444" s="339" t="s">
        <v>94</v>
      </c>
      <c r="D444" s="59">
        <v>158</v>
      </c>
      <c r="E444" s="339" t="s">
        <v>126</v>
      </c>
      <c r="F444" s="29">
        <v>1</v>
      </c>
      <c r="G444" s="9">
        <v>1</v>
      </c>
      <c r="H444" s="9">
        <v>1</v>
      </c>
      <c r="I444" s="9">
        <v>2</v>
      </c>
      <c r="J444" s="9">
        <v>2</v>
      </c>
      <c r="K444" s="159">
        <f t="shared" si="7"/>
        <v>0.35859414261160716</v>
      </c>
      <c r="L444" s="52" t="s">
        <v>111</v>
      </c>
    </row>
    <row r="445" spans="1:12" ht="15.75" hidden="1" thickBot="1">
      <c r="A445" s="151" t="s">
        <v>114</v>
      </c>
      <c r="B445" s="59">
        <v>2016</v>
      </c>
      <c r="C445" s="339" t="s">
        <v>96</v>
      </c>
      <c r="D445" s="59">
        <v>101</v>
      </c>
      <c r="E445" s="339" t="s">
        <v>126</v>
      </c>
      <c r="F445" s="29">
        <v>1</v>
      </c>
      <c r="G445" s="9">
        <v>1</v>
      </c>
      <c r="H445" s="9">
        <v>1</v>
      </c>
      <c r="I445" s="9">
        <v>2</v>
      </c>
      <c r="J445" s="9">
        <v>2</v>
      </c>
      <c r="K445" s="159">
        <f t="shared" si="7"/>
        <v>0.35859414261160716</v>
      </c>
      <c r="L445" s="52" t="s">
        <v>111</v>
      </c>
    </row>
    <row r="446" spans="1:12" ht="15.75" hidden="1" thickBot="1">
      <c r="A446" s="151" t="s">
        <v>114</v>
      </c>
      <c r="B446" s="59">
        <v>2016</v>
      </c>
      <c r="C446" s="339" t="s">
        <v>97</v>
      </c>
      <c r="D446" s="59">
        <v>309</v>
      </c>
      <c r="E446" s="339" t="s">
        <v>126</v>
      </c>
      <c r="F446" s="29">
        <v>1</v>
      </c>
      <c r="G446" s="9">
        <v>1</v>
      </c>
      <c r="H446" s="9">
        <v>1</v>
      </c>
      <c r="I446" s="9">
        <v>2</v>
      </c>
      <c r="J446" s="9">
        <v>2</v>
      </c>
      <c r="K446" s="159">
        <f t="shared" si="7"/>
        <v>0.35859414261160716</v>
      </c>
      <c r="L446" s="52" t="s">
        <v>111</v>
      </c>
    </row>
    <row r="447" spans="1:12" ht="15.75" hidden="1" thickBot="1">
      <c r="A447" s="151" t="s">
        <v>114</v>
      </c>
      <c r="B447" s="59">
        <v>2016</v>
      </c>
      <c r="C447" s="339" t="s">
        <v>95</v>
      </c>
      <c r="D447" s="59">
        <v>249</v>
      </c>
      <c r="E447" s="339" t="s">
        <v>126</v>
      </c>
      <c r="F447" s="29">
        <v>1</v>
      </c>
      <c r="G447" s="9">
        <v>1</v>
      </c>
      <c r="H447" s="9">
        <v>1</v>
      </c>
      <c r="I447" s="9">
        <v>2</v>
      </c>
      <c r="J447" s="9">
        <v>2</v>
      </c>
      <c r="K447" s="159">
        <f t="shared" si="7"/>
        <v>0.35859414261160716</v>
      </c>
      <c r="L447" s="52" t="s">
        <v>111</v>
      </c>
    </row>
    <row r="448" spans="1:12" ht="15.75" hidden="1" thickBot="1">
      <c r="A448" s="151" t="s">
        <v>114</v>
      </c>
      <c r="B448" s="59">
        <v>2016</v>
      </c>
      <c r="C448" s="339" t="s">
        <v>93</v>
      </c>
      <c r="D448" s="59">
        <v>55</v>
      </c>
      <c r="E448" s="339" t="s">
        <v>126</v>
      </c>
      <c r="F448" s="29">
        <v>1</v>
      </c>
      <c r="G448" s="9">
        <v>1</v>
      </c>
      <c r="H448" s="9">
        <v>1</v>
      </c>
      <c r="I448" s="9">
        <v>2</v>
      </c>
      <c r="J448" s="9">
        <v>2</v>
      </c>
      <c r="K448" s="159">
        <f t="shared" si="7"/>
        <v>0.35859414261160716</v>
      </c>
      <c r="L448" s="52" t="s">
        <v>111</v>
      </c>
    </row>
    <row r="449" spans="1:12" ht="15.75" hidden="1" thickBot="1">
      <c r="A449" s="151" t="s">
        <v>114</v>
      </c>
      <c r="B449" s="59">
        <v>2016</v>
      </c>
      <c r="C449" s="339" t="s">
        <v>98</v>
      </c>
      <c r="D449" s="59">
        <v>1838</v>
      </c>
      <c r="E449" s="339" t="s">
        <v>126</v>
      </c>
      <c r="F449" s="29">
        <v>1</v>
      </c>
      <c r="G449" s="9">
        <v>1</v>
      </c>
      <c r="H449" s="9">
        <v>1</v>
      </c>
      <c r="I449" s="9">
        <v>2</v>
      </c>
      <c r="J449" s="9">
        <v>2</v>
      </c>
      <c r="K449" s="159">
        <f t="shared" si="7"/>
        <v>0.35859414261160716</v>
      </c>
      <c r="L449" s="52" t="s">
        <v>111</v>
      </c>
    </row>
    <row r="450" spans="1:12" ht="15.75" hidden="1" thickBot="1">
      <c r="A450" s="151" t="s">
        <v>114</v>
      </c>
      <c r="B450" s="59">
        <v>2017</v>
      </c>
      <c r="C450" s="339" t="s">
        <v>85</v>
      </c>
      <c r="D450" s="59">
        <v>1911</v>
      </c>
      <c r="E450" s="339" t="s">
        <v>126</v>
      </c>
      <c r="F450" s="29">
        <v>1</v>
      </c>
      <c r="G450" s="9">
        <v>1</v>
      </c>
      <c r="H450" s="9">
        <v>1</v>
      </c>
      <c r="I450" s="9">
        <v>2</v>
      </c>
      <c r="J450" s="9">
        <v>2</v>
      </c>
      <c r="K450" s="159">
        <f t="shared" si="7"/>
        <v>0.35859414261160716</v>
      </c>
      <c r="L450" s="52" t="s">
        <v>111</v>
      </c>
    </row>
    <row r="451" spans="1:12" ht="15.75" hidden="1" thickBot="1">
      <c r="A451" s="151" t="s">
        <v>114</v>
      </c>
      <c r="B451" s="59">
        <v>2017</v>
      </c>
      <c r="C451" s="339" t="s">
        <v>86</v>
      </c>
      <c r="D451" s="59">
        <v>1075</v>
      </c>
      <c r="E451" s="339" t="s">
        <v>126</v>
      </c>
      <c r="F451" s="29">
        <v>1</v>
      </c>
      <c r="G451" s="9">
        <v>1</v>
      </c>
      <c r="H451" s="9">
        <v>1</v>
      </c>
      <c r="I451" s="9">
        <v>2</v>
      </c>
      <c r="J451" s="9">
        <v>2</v>
      </c>
      <c r="K451" s="159">
        <f t="shared" si="7"/>
        <v>0.35859414261160716</v>
      </c>
      <c r="L451" s="52" t="s">
        <v>111</v>
      </c>
    </row>
    <row r="452" spans="1:12" ht="15.75" hidden="1" thickBot="1">
      <c r="A452" s="151" t="s">
        <v>114</v>
      </c>
      <c r="B452" s="59">
        <v>2017</v>
      </c>
      <c r="C452" s="339" t="s">
        <v>87</v>
      </c>
      <c r="D452" s="59">
        <v>467</v>
      </c>
      <c r="E452" s="339" t="s">
        <v>126</v>
      </c>
      <c r="F452" s="29">
        <v>1</v>
      </c>
      <c r="G452" s="9">
        <v>1</v>
      </c>
      <c r="H452" s="9">
        <v>1</v>
      </c>
      <c r="I452" s="9">
        <v>2</v>
      </c>
      <c r="J452" s="9">
        <v>2</v>
      </c>
      <c r="K452" s="159">
        <f t="shared" si="7"/>
        <v>0.35859414261160716</v>
      </c>
      <c r="L452" s="52" t="s">
        <v>111</v>
      </c>
    </row>
    <row r="453" spans="1:12" ht="15.75" hidden="1" thickBot="1">
      <c r="A453" s="151" t="s">
        <v>114</v>
      </c>
      <c r="B453" s="59">
        <v>2017</v>
      </c>
      <c r="C453" s="339" t="s">
        <v>88</v>
      </c>
      <c r="D453" s="59">
        <v>216</v>
      </c>
      <c r="E453" s="339" t="s">
        <v>126</v>
      </c>
      <c r="F453" s="29">
        <v>1</v>
      </c>
      <c r="G453" s="9">
        <v>1</v>
      </c>
      <c r="H453" s="9">
        <v>1</v>
      </c>
      <c r="I453" s="9">
        <v>2</v>
      </c>
      <c r="J453" s="9">
        <v>2</v>
      </c>
      <c r="K453" s="159">
        <f t="shared" si="7"/>
        <v>0.35859414261160716</v>
      </c>
      <c r="L453" s="52" t="s">
        <v>111</v>
      </c>
    </row>
    <row r="454" spans="1:12" ht="15.75" hidden="1" thickBot="1">
      <c r="A454" s="151" t="s">
        <v>114</v>
      </c>
      <c r="B454" s="59">
        <v>2017</v>
      </c>
      <c r="C454" s="339" t="s">
        <v>89</v>
      </c>
      <c r="D454" s="59">
        <v>46</v>
      </c>
      <c r="E454" s="339" t="s">
        <v>126</v>
      </c>
      <c r="F454" s="29">
        <v>1</v>
      </c>
      <c r="G454" s="9">
        <v>1</v>
      </c>
      <c r="H454" s="9">
        <v>1</v>
      </c>
      <c r="I454" s="9">
        <v>2</v>
      </c>
      <c r="J454" s="9">
        <v>2</v>
      </c>
      <c r="K454" s="159">
        <f t="shared" si="7"/>
        <v>0.35859414261160716</v>
      </c>
      <c r="L454" s="52" t="s">
        <v>111</v>
      </c>
    </row>
    <row r="455" spans="1:12" ht="15.75" hidden="1" thickBot="1">
      <c r="A455" s="151" t="s">
        <v>114</v>
      </c>
      <c r="B455" s="59">
        <v>2017</v>
      </c>
      <c r="C455" s="339" t="s">
        <v>90</v>
      </c>
      <c r="D455" s="59">
        <v>297</v>
      </c>
      <c r="E455" s="339" t="s">
        <v>126</v>
      </c>
      <c r="F455" s="29">
        <v>1</v>
      </c>
      <c r="G455" s="9">
        <v>1</v>
      </c>
      <c r="H455" s="9">
        <v>1</v>
      </c>
      <c r="I455" s="9">
        <v>2</v>
      </c>
      <c r="J455" s="9">
        <v>2</v>
      </c>
      <c r="K455" s="159">
        <f t="shared" si="7"/>
        <v>0.35859414261160716</v>
      </c>
      <c r="L455" s="52" t="s">
        <v>111</v>
      </c>
    </row>
    <row r="456" spans="1:12" ht="15.75" hidden="1" thickBot="1">
      <c r="A456" s="151" t="s">
        <v>114</v>
      </c>
      <c r="B456" s="59">
        <v>2017</v>
      </c>
      <c r="C456" s="339" t="s">
        <v>91</v>
      </c>
      <c r="D456" s="59">
        <v>909</v>
      </c>
      <c r="E456" s="339" t="s">
        <v>126</v>
      </c>
      <c r="F456" s="29">
        <v>1</v>
      </c>
      <c r="G456" s="9">
        <v>1</v>
      </c>
      <c r="H456" s="9">
        <v>1</v>
      </c>
      <c r="I456" s="9">
        <v>2</v>
      </c>
      <c r="J456" s="9">
        <v>2</v>
      </c>
      <c r="K456" s="159">
        <f t="shared" si="7"/>
        <v>0.35859414261160716</v>
      </c>
      <c r="L456" s="52" t="s">
        <v>111</v>
      </c>
    </row>
    <row r="457" spans="1:12" ht="15.75" hidden="1" thickBot="1">
      <c r="A457" s="151" t="s">
        <v>114</v>
      </c>
      <c r="B457" s="59">
        <v>2017</v>
      </c>
      <c r="C457" s="339" t="s">
        <v>94</v>
      </c>
      <c r="D457" s="59">
        <v>213</v>
      </c>
      <c r="E457" s="339" t="s">
        <v>126</v>
      </c>
      <c r="F457" s="29">
        <v>1</v>
      </c>
      <c r="G457" s="9">
        <v>1</v>
      </c>
      <c r="H457" s="9">
        <v>1</v>
      </c>
      <c r="I457" s="9">
        <v>2</v>
      </c>
      <c r="J457" s="9">
        <v>2</v>
      </c>
      <c r="K457" s="159">
        <f t="shared" si="7"/>
        <v>0.35859414261160716</v>
      </c>
      <c r="L457" s="52" t="s">
        <v>111</v>
      </c>
    </row>
    <row r="458" spans="1:12" ht="15.75" hidden="1" thickBot="1">
      <c r="A458" s="151" t="s">
        <v>114</v>
      </c>
      <c r="B458" s="59">
        <v>2017</v>
      </c>
      <c r="C458" s="339" t="s">
        <v>96</v>
      </c>
      <c r="D458" s="59">
        <v>106</v>
      </c>
      <c r="E458" s="339" t="s">
        <v>126</v>
      </c>
      <c r="F458" s="29">
        <v>1</v>
      </c>
      <c r="G458" s="9">
        <v>1</v>
      </c>
      <c r="H458" s="9">
        <v>1</v>
      </c>
      <c r="I458" s="9">
        <v>2</v>
      </c>
      <c r="J458" s="9">
        <v>2</v>
      </c>
      <c r="K458" s="159">
        <f t="shared" si="7"/>
        <v>0.35859414261160716</v>
      </c>
      <c r="L458" s="52" t="s">
        <v>111</v>
      </c>
    </row>
    <row r="459" spans="1:12" ht="15.75" hidden="1" thickBot="1">
      <c r="A459" s="151" t="s">
        <v>114</v>
      </c>
      <c r="B459" s="59">
        <v>2017</v>
      </c>
      <c r="C459" s="339" t="s">
        <v>97</v>
      </c>
      <c r="D459" s="59">
        <v>306</v>
      </c>
      <c r="E459" s="339" t="s">
        <v>126</v>
      </c>
      <c r="F459" s="29">
        <v>1</v>
      </c>
      <c r="G459" s="9">
        <v>1</v>
      </c>
      <c r="H459" s="9">
        <v>1</v>
      </c>
      <c r="I459" s="9">
        <v>2</v>
      </c>
      <c r="J459" s="9">
        <v>2</v>
      </c>
      <c r="K459" s="159">
        <f t="shared" si="7"/>
        <v>0.35859414261160716</v>
      </c>
      <c r="L459" s="52" t="s">
        <v>111</v>
      </c>
    </row>
    <row r="460" spans="1:12" ht="15.75" hidden="1" thickBot="1">
      <c r="A460" s="151" t="s">
        <v>114</v>
      </c>
      <c r="B460" s="59">
        <v>2017</v>
      </c>
      <c r="C460" s="339" t="s">
        <v>95</v>
      </c>
      <c r="D460" s="59">
        <v>214</v>
      </c>
      <c r="E460" s="339" t="s">
        <v>126</v>
      </c>
      <c r="F460" s="29">
        <v>1</v>
      </c>
      <c r="G460" s="9">
        <v>1</v>
      </c>
      <c r="H460" s="9">
        <v>1</v>
      </c>
      <c r="I460" s="9">
        <v>2</v>
      </c>
      <c r="J460" s="9">
        <v>2</v>
      </c>
      <c r="K460" s="159">
        <f t="shared" si="7"/>
        <v>0.35859414261160716</v>
      </c>
      <c r="L460" s="52" t="s">
        <v>111</v>
      </c>
    </row>
    <row r="461" spans="1:12" ht="15.75" hidden="1" thickBot="1">
      <c r="A461" s="151" t="s">
        <v>114</v>
      </c>
      <c r="B461" s="59">
        <v>2017</v>
      </c>
      <c r="C461" s="339" t="s">
        <v>93</v>
      </c>
      <c r="D461" s="59">
        <v>52</v>
      </c>
      <c r="E461" s="339" t="s">
        <v>126</v>
      </c>
      <c r="F461" s="29">
        <v>1</v>
      </c>
      <c r="G461" s="9">
        <v>1</v>
      </c>
      <c r="H461" s="9">
        <v>1</v>
      </c>
      <c r="I461" s="9">
        <v>2</v>
      </c>
      <c r="J461" s="9">
        <v>2</v>
      </c>
      <c r="K461" s="159">
        <f t="shared" si="7"/>
        <v>0.35859414261160716</v>
      </c>
      <c r="L461" s="52" t="s">
        <v>111</v>
      </c>
    </row>
    <row r="462" spans="1:12" ht="15.75" hidden="1" thickBot="1">
      <c r="A462" s="151" t="s">
        <v>114</v>
      </c>
      <c r="B462" s="59">
        <v>2017</v>
      </c>
      <c r="C462" s="339" t="s">
        <v>98</v>
      </c>
      <c r="D462" s="59">
        <v>1465</v>
      </c>
      <c r="E462" s="339" t="s">
        <v>126</v>
      </c>
      <c r="F462" s="29">
        <v>1</v>
      </c>
      <c r="G462" s="9">
        <v>1</v>
      </c>
      <c r="H462" s="9">
        <v>1</v>
      </c>
      <c r="I462" s="9">
        <v>2</v>
      </c>
      <c r="J462" s="9">
        <v>2</v>
      </c>
      <c r="K462" s="159">
        <f t="shared" si="7"/>
        <v>0.35859414261160716</v>
      </c>
      <c r="L462" s="52" t="s">
        <v>111</v>
      </c>
    </row>
    <row r="463" spans="1:12" ht="15.75" hidden="1" thickBot="1">
      <c r="A463" s="151" t="s">
        <v>114</v>
      </c>
      <c r="B463" s="59">
        <v>2018</v>
      </c>
      <c r="C463" s="339" t="s">
        <v>85</v>
      </c>
      <c r="D463" s="59">
        <v>2104</v>
      </c>
      <c r="E463" s="339" t="s">
        <v>126</v>
      </c>
      <c r="F463" s="29">
        <v>1</v>
      </c>
      <c r="G463" s="9">
        <v>1</v>
      </c>
      <c r="H463" s="9">
        <v>1</v>
      </c>
      <c r="I463" s="9">
        <v>2</v>
      </c>
      <c r="J463" s="9">
        <v>2</v>
      </c>
      <c r="K463" s="159">
        <f t="shared" si="7"/>
        <v>0.35859414261160716</v>
      </c>
      <c r="L463" s="52" t="s">
        <v>111</v>
      </c>
    </row>
    <row r="464" spans="1:12" ht="15.75" hidden="1" thickBot="1">
      <c r="A464" s="151" t="s">
        <v>114</v>
      </c>
      <c r="B464" s="59">
        <v>2018</v>
      </c>
      <c r="C464" s="339" t="s">
        <v>86</v>
      </c>
      <c r="D464" s="59">
        <v>967</v>
      </c>
      <c r="E464" s="339" t="s">
        <v>126</v>
      </c>
      <c r="F464" s="29">
        <v>1</v>
      </c>
      <c r="G464" s="9">
        <v>1</v>
      </c>
      <c r="H464" s="9">
        <v>1</v>
      </c>
      <c r="I464" s="9">
        <v>2</v>
      </c>
      <c r="J464" s="9">
        <v>2</v>
      </c>
      <c r="K464" s="159">
        <f t="shared" si="7"/>
        <v>0.35859414261160716</v>
      </c>
      <c r="L464" s="52" t="s">
        <v>111</v>
      </c>
    </row>
    <row r="465" spans="1:12" ht="15.75" hidden="1" thickBot="1">
      <c r="A465" s="151" t="s">
        <v>114</v>
      </c>
      <c r="B465" s="59">
        <v>2018</v>
      </c>
      <c r="C465" s="339" t="s">
        <v>87</v>
      </c>
      <c r="D465" s="59">
        <v>423</v>
      </c>
      <c r="E465" s="339" t="s">
        <v>126</v>
      </c>
      <c r="F465" s="29">
        <v>1</v>
      </c>
      <c r="G465" s="9">
        <v>1</v>
      </c>
      <c r="H465" s="9">
        <v>1</v>
      </c>
      <c r="I465" s="9">
        <v>2</v>
      </c>
      <c r="J465" s="9">
        <v>2</v>
      </c>
      <c r="K465" s="159">
        <f t="shared" si="7"/>
        <v>0.35859414261160716</v>
      </c>
      <c r="L465" s="52" t="s">
        <v>111</v>
      </c>
    </row>
    <row r="466" spans="1:12" ht="15.75" hidden="1" thickBot="1">
      <c r="A466" s="151" t="s">
        <v>114</v>
      </c>
      <c r="B466" s="59">
        <v>2018</v>
      </c>
      <c r="C466" s="339" t="s">
        <v>88</v>
      </c>
      <c r="D466" s="59">
        <v>198</v>
      </c>
      <c r="E466" s="339" t="s">
        <v>126</v>
      </c>
      <c r="F466" s="29">
        <v>1</v>
      </c>
      <c r="G466" s="9">
        <v>1</v>
      </c>
      <c r="H466" s="9">
        <v>1</v>
      </c>
      <c r="I466" s="9">
        <v>2</v>
      </c>
      <c r="J466" s="9">
        <v>2</v>
      </c>
      <c r="K466" s="159">
        <f t="shared" si="7"/>
        <v>0.35859414261160716</v>
      </c>
      <c r="L466" s="52" t="s">
        <v>111</v>
      </c>
    </row>
    <row r="467" spans="1:12" ht="15.75" hidden="1" thickBot="1">
      <c r="A467" s="151" t="s">
        <v>114</v>
      </c>
      <c r="B467" s="59">
        <v>2018</v>
      </c>
      <c r="C467" s="339" t="s">
        <v>89</v>
      </c>
      <c r="D467" s="59">
        <v>48</v>
      </c>
      <c r="E467" s="339" t="s">
        <v>126</v>
      </c>
      <c r="F467" s="29">
        <v>1</v>
      </c>
      <c r="G467" s="9">
        <v>1</v>
      </c>
      <c r="H467" s="9">
        <v>1</v>
      </c>
      <c r="I467" s="9">
        <v>2</v>
      </c>
      <c r="J467" s="9">
        <v>2</v>
      </c>
      <c r="K467" s="159">
        <f t="shared" si="7"/>
        <v>0.35859414261160716</v>
      </c>
      <c r="L467" s="52" t="s">
        <v>111</v>
      </c>
    </row>
    <row r="468" spans="1:12" ht="15.75" hidden="1" thickBot="1">
      <c r="A468" s="151" t="s">
        <v>114</v>
      </c>
      <c r="B468" s="59">
        <v>2018</v>
      </c>
      <c r="C468" s="339" t="s">
        <v>90</v>
      </c>
      <c r="D468" s="59">
        <v>267</v>
      </c>
      <c r="E468" s="339" t="s">
        <v>126</v>
      </c>
      <c r="F468" s="29">
        <v>1</v>
      </c>
      <c r="G468" s="9">
        <v>1</v>
      </c>
      <c r="H468" s="9">
        <v>1</v>
      </c>
      <c r="I468" s="9">
        <v>2</v>
      </c>
      <c r="J468" s="9">
        <v>2</v>
      </c>
      <c r="K468" s="159">
        <f t="shared" si="7"/>
        <v>0.35859414261160716</v>
      </c>
      <c r="L468" s="52" t="s">
        <v>111</v>
      </c>
    </row>
    <row r="469" spans="1:12" ht="15.75" hidden="1" thickBot="1">
      <c r="A469" s="151" t="s">
        <v>114</v>
      </c>
      <c r="B469" s="59">
        <v>2018</v>
      </c>
      <c r="C469" s="339" t="s">
        <v>91</v>
      </c>
      <c r="D469" s="59">
        <v>831</v>
      </c>
      <c r="E469" s="339" t="s">
        <v>126</v>
      </c>
      <c r="F469" s="29">
        <v>1</v>
      </c>
      <c r="G469" s="9">
        <v>1</v>
      </c>
      <c r="H469" s="9">
        <v>1</v>
      </c>
      <c r="I469" s="9">
        <v>2</v>
      </c>
      <c r="J469" s="9">
        <v>2</v>
      </c>
      <c r="K469" s="159">
        <f t="shared" si="7"/>
        <v>0.35859414261160716</v>
      </c>
      <c r="L469" s="52" t="s">
        <v>111</v>
      </c>
    </row>
    <row r="470" spans="1:12" ht="15.75" hidden="1" thickBot="1">
      <c r="A470" s="151" t="s">
        <v>114</v>
      </c>
      <c r="B470" s="59">
        <v>2018</v>
      </c>
      <c r="C470" s="339" t="s">
        <v>94</v>
      </c>
      <c r="D470" s="59">
        <v>194</v>
      </c>
      <c r="E470" s="339" t="s">
        <v>126</v>
      </c>
      <c r="F470" s="29">
        <v>1</v>
      </c>
      <c r="G470" s="9">
        <v>1</v>
      </c>
      <c r="H470" s="9">
        <v>1</v>
      </c>
      <c r="I470" s="9">
        <v>2</v>
      </c>
      <c r="J470" s="9">
        <v>2</v>
      </c>
      <c r="K470" s="159">
        <f t="shared" si="7"/>
        <v>0.35859414261160716</v>
      </c>
      <c r="L470" s="52" t="s">
        <v>111</v>
      </c>
    </row>
    <row r="471" spans="1:12" ht="15.75" hidden="1" thickBot="1">
      <c r="A471" s="151" t="s">
        <v>114</v>
      </c>
      <c r="B471" s="59">
        <v>2018</v>
      </c>
      <c r="C471" s="339" t="s">
        <v>96</v>
      </c>
      <c r="D471" s="59">
        <v>103</v>
      </c>
      <c r="E471" s="339" t="s">
        <v>126</v>
      </c>
      <c r="F471" s="29">
        <v>1</v>
      </c>
      <c r="G471" s="9">
        <v>1</v>
      </c>
      <c r="H471" s="9">
        <v>1</v>
      </c>
      <c r="I471" s="9">
        <v>2</v>
      </c>
      <c r="J471" s="9">
        <v>2</v>
      </c>
      <c r="K471" s="159">
        <f t="shared" si="7"/>
        <v>0.35859414261160716</v>
      </c>
      <c r="L471" s="52" t="s">
        <v>111</v>
      </c>
    </row>
    <row r="472" spans="1:12" ht="15.75" hidden="1" thickBot="1">
      <c r="A472" s="151" t="s">
        <v>114</v>
      </c>
      <c r="B472" s="59">
        <v>2018</v>
      </c>
      <c r="C472" s="339" t="s">
        <v>97</v>
      </c>
      <c r="D472" s="59">
        <v>489</v>
      </c>
      <c r="E472" s="339" t="s">
        <v>126</v>
      </c>
      <c r="F472" s="29">
        <v>1</v>
      </c>
      <c r="G472" s="9">
        <v>1</v>
      </c>
      <c r="H472" s="9">
        <v>1</v>
      </c>
      <c r="I472" s="9">
        <v>2</v>
      </c>
      <c r="J472" s="9">
        <v>2</v>
      </c>
      <c r="K472" s="159">
        <f t="shared" si="7"/>
        <v>0.35859414261160716</v>
      </c>
      <c r="L472" s="52" t="s">
        <v>111</v>
      </c>
    </row>
    <row r="473" spans="1:12" ht="15.75" hidden="1" thickBot="1">
      <c r="A473" s="151" t="s">
        <v>114</v>
      </c>
      <c r="B473" s="59">
        <v>2018</v>
      </c>
      <c r="C473" s="339" t="s">
        <v>95</v>
      </c>
      <c r="D473" s="59">
        <v>242</v>
      </c>
      <c r="E473" s="339" t="s">
        <v>126</v>
      </c>
      <c r="F473" s="29">
        <v>1</v>
      </c>
      <c r="G473" s="9">
        <v>1</v>
      </c>
      <c r="H473" s="9">
        <v>1</v>
      </c>
      <c r="I473" s="9">
        <v>2</v>
      </c>
      <c r="J473" s="9">
        <v>2</v>
      </c>
      <c r="K473" s="159">
        <f t="shared" si="7"/>
        <v>0.35859414261160716</v>
      </c>
      <c r="L473" s="52" t="s">
        <v>111</v>
      </c>
    </row>
    <row r="474" spans="1:12" ht="15.75" hidden="1" thickBot="1">
      <c r="A474" s="151" t="s">
        <v>114</v>
      </c>
      <c r="B474" s="59">
        <v>2018</v>
      </c>
      <c r="C474" s="339" t="s">
        <v>93</v>
      </c>
      <c r="D474" s="59">
        <v>56</v>
      </c>
      <c r="E474" s="339" t="s">
        <v>126</v>
      </c>
      <c r="F474" s="29">
        <v>1</v>
      </c>
      <c r="G474" s="9">
        <v>1</v>
      </c>
      <c r="H474" s="9">
        <v>1</v>
      </c>
      <c r="I474" s="9">
        <v>2</v>
      </c>
      <c r="J474" s="9">
        <v>2</v>
      </c>
      <c r="K474" s="159">
        <f t="shared" si="7"/>
        <v>0.35859414261160716</v>
      </c>
      <c r="L474" s="52" t="s">
        <v>111</v>
      </c>
    </row>
    <row r="475" spans="1:12" ht="15.75" hidden="1" thickBot="1">
      <c r="A475" s="151" t="s">
        <v>114</v>
      </c>
      <c r="B475" s="59">
        <v>2018</v>
      </c>
      <c r="C475" s="339" t="s">
        <v>98</v>
      </c>
      <c r="D475" s="59">
        <v>1475</v>
      </c>
      <c r="E475" s="339" t="s">
        <v>126</v>
      </c>
      <c r="F475" s="29">
        <v>1</v>
      </c>
      <c r="G475" s="9">
        <v>1</v>
      </c>
      <c r="H475" s="9">
        <v>1</v>
      </c>
      <c r="I475" s="9">
        <v>2</v>
      </c>
      <c r="J475" s="9">
        <v>2</v>
      </c>
      <c r="K475" s="159">
        <f t="shared" si="7"/>
        <v>0.35859414261160716</v>
      </c>
      <c r="L475" s="52" t="s">
        <v>111</v>
      </c>
    </row>
    <row r="476" spans="1:12" ht="15.75" hidden="1" thickBot="1">
      <c r="A476" s="151" t="s">
        <v>114</v>
      </c>
      <c r="B476" s="59">
        <v>2019</v>
      </c>
      <c r="C476" s="339" t="s">
        <v>85</v>
      </c>
      <c r="D476" s="59">
        <v>3179</v>
      </c>
      <c r="E476" s="339" t="s">
        <v>126</v>
      </c>
      <c r="F476" s="29">
        <v>1</v>
      </c>
      <c r="G476" s="9">
        <v>1</v>
      </c>
      <c r="H476" s="9">
        <v>1</v>
      </c>
      <c r="I476" s="9">
        <v>2</v>
      </c>
      <c r="J476" s="9">
        <v>2</v>
      </c>
      <c r="K476" s="159">
        <f t="shared" si="7"/>
        <v>0.35859414261160716</v>
      </c>
      <c r="L476" s="52" t="s">
        <v>111</v>
      </c>
    </row>
    <row r="477" spans="1:12" ht="15.75" hidden="1" thickBot="1">
      <c r="A477" s="151" t="s">
        <v>114</v>
      </c>
      <c r="B477" s="59">
        <v>2019</v>
      </c>
      <c r="C477" s="339" t="s">
        <v>86</v>
      </c>
      <c r="D477" s="59">
        <v>1314</v>
      </c>
      <c r="E477" s="339" t="s">
        <v>126</v>
      </c>
      <c r="F477" s="29">
        <v>1</v>
      </c>
      <c r="G477" s="9">
        <v>1</v>
      </c>
      <c r="H477" s="9">
        <v>1</v>
      </c>
      <c r="I477" s="9">
        <v>2</v>
      </c>
      <c r="J477" s="9">
        <v>2</v>
      </c>
      <c r="K477" s="159">
        <f t="shared" si="7"/>
        <v>0.35859414261160716</v>
      </c>
      <c r="L477" s="52" t="s">
        <v>111</v>
      </c>
    </row>
    <row r="478" spans="1:12" ht="15.75" hidden="1" thickBot="1">
      <c r="A478" s="151" t="s">
        <v>114</v>
      </c>
      <c r="B478" s="59">
        <v>2019</v>
      </c>
      <c r="C478" s="339" t="s">
        <v>87</v>
      </c>
      <c r="D478" s="59">
        <v>938</v>
      </c>
      <c r="E478" s="339" t="s">
        <v>126</v>
      </c>
      <c r="F478" s="29">
        <v>1</v>
      </c>
      <c r="G478" s="9">
        <v>1</v>
      </c>
      <c r="H478" s="9">
        <v>1</v>
      </c>
      <c r="I478" s="9">
        <v>2</v>
      </c>
      <c r="J478" s="9">
        <v>2</v>
      </c>
      <c r="K478" s="159">
        <f t="shared" si="7"/>
        <v>0.35859414261160716</v>
      </c>
      <c r="L478" s="52" t="s">
        <v>111</v>
      </c>
    </row>
    <row r="479" spans="1:12" ht="15.75" hidden="1" thickBot="1">
      <c r="A479" s="151" t="s">
        <v>114</v>
      </c>
      <c r="B479" s="59">
        <v>2019</v>
      </c>
      <c r="C479" s="339" t="s">
        <v>88</v>
      </c>
      <c r="D479" s="59">
        <v>127</v>
      </c>
      <c r="E479" s="339" t="s">
        <v>126</v>
      </c>
      <c r="F479" s="29">
        <v>1</v>
      </c>
      <c r="G479" s="9">
        <v>1</v>
      </c>
      <c r="H479" s="9">
        <v>1</v>
      </c>
      <c r="I479" s="9">
        <v>2</v>
      </c>
      <c r="J479" s="9">
        <v>2</v>
      </c>
      <c r="K479" s="159">
        <f t="shared" si="7"/>
        <v>0.35859414261160716</v>
      </c>
      <c r="L479" s="52" t="s">
        <v>111</v>
      </c>
    </row>
    <row r="480" spans="1:12" ht="15.75" hidden="1" thickBot="1">
      <c r="A480" s="151" t="s">
        <v>114</v>
      </c>
      <c r="B480" s="59">
        <v>2019</v>
      </c>
      <c r="C480" s="339" t="s">
        <v>89</v>
      </c>
      <c r="D480" s="59">
        <v>78</v>
      </c>
      <c r="E480" s="339" t="s">
        <v>126</v>
      </c>
      <c r="F480" s="29">
        <v>1</v>
      </c>
      <c r="G480" s="9">
        <v>1</v>
      </c>
      <c r="H480" s="9">
        <v>1</v>
      </c>
      <c r="I480" s="9">
        <v>2</v>
      </c>
      <c r="J480" s="9">
        <v>2</v>
      </c>
      <c r="K480" s="159">
        <f t="shared" si="7"/>
        <v>0.35859414261160716</v>
      </c>
      <c r="L480" s="52" t="s">
        <v>111</v>
      </c>
    </row>
    <row r="481" spans="1:12" ht="15.75" hidden="1" thickBot="1">
      <c r="A481" s="151" t="s">
        <v>114</v>
      </c>
      <c r="B481" s="59">
        <v>2019</v>
      </c>
      <c r="C481" s="339" t="s">
        <v>90</v>
      </c>
      <c r="D481" s="59">
        <v>438</v>
      </c>
      <c r="E481" s="339" t="s">
        <v>126</v>
      </c>
      <c r="F481" s="29">
        <v>1</v>
      </c>
      <c r="G481" s="9">
        <v>1</v>
      </c>
      <c r="H481" s="9">
        <v>1</v>
      </c>
      <c r="I481" s="9">
        <v>2</v>
      </c>
      <c r="J481" s="9">
        <v>2</v>
      </c>
      <c r="K481" s="159">
        <f t="shared" si="7"/>
        <v>0.35859414261160716</v>
      </c>
      <c r="L481" s="52" t="s">
        <v>111</v>
      </c>
    </row>
    <row r="482" spans="1:12" ht="15.75" hidden="1" thickBot="1">
      <c r="A482" s="151" t="s">
        <v>114</v>
      </c>
      <c r="B482" s="59">
        <v>2019</v>
      </c>
      <c r="C482" s="339" t="s">
        <v>91</v>
      </c>
      <c r="D482" s="59">
        <v>980</v>
      </c>
      <c r="E482" s="339" t="s">
        <v>126</v>
      </c>
      <c r="F482" s="29">
        <v>1</v>
      </c>
      <c r="G482" s="9">
        <v>1</v>
      </c>
      <c r="H482" s="9">
        <v>1</v>
      </c>
      <c r="I482" s="9">
        <v>2</v>
      </c>
      <c r="J482" s="9">
        <v>2</v>
      </c>
      <c r="K482" s="159">
        <f t="shared" si="7"/>
        <v>0.35859414261160716</v>
      </c>
      <c r="L482" s="52" t="s">
        <v>111</v>
      </c>
    </row>
    <row r="483" spans="1:12" ht="15.75" hidden="1" thickBot="1">
      <c r="A483" s="151" t="s">
        <v>114</v>
      </c>
      <c r="B483" s="59">
        <v>2019</v>
      </c>
      <c r="C483" s="339" t="s">
        <v>94</v>
      </c>
      <c r="D483" s="59">
        <v>203</v>
      </c>
      <c r="E483" s="339" t="s">
        <v>126</v>
      </c>
      <c r="F483" s="29">
        <v>1</v>
      </c>
      <c r="G483" s="9">
        <v>1</v>
      </c>
      <c r="H483" s="9">
        <v>1</v>
      </c>
      <c r="I483" s="9">
        <v>2</v>
      </c>
      <c r="J483" s="9">
        <v>2</v>
      </c>
      <c r="K483" s="159">
        <f t="shared" si="7"/>
        <v>0.35859414261160716</v>
      </c>
      <c r="L483" s="52" t="s">
        <v>111</v>
      </c>
    </row>
    <row r="484" spans="1:12" ht="15.75" hidden="1" thickBot="1">
      <c r="A484" s="151" t="s">
        <v>114</v>
      </c>
      <c r="B484" s="59">
        <v>2019</v>
      </c>
      <c r="C484" s="339" t="s">
        <v>96</v>
      </c>
      <c r="D484" s="59">
        <v>95</v>
      </c>
      <c r="E484" s="339" t="s">
        <v>126</v>
      </c>
      <c r="F484" s="29">
        <v>1</v>
      </c>
      <c r="G484" s="9">
        <v>1</v>
      </c>
      <c r="H484" s="9">
        <v>1</v>
      </c>
      <c r="I484" s="9">
        <v>2</v>
      </c>
      <c r="J484" s="9">
        <v>2</v>
      </c>
      <c r="K484" s="159">
        <f t="shared" si="7"/>
        <v>0.35859414261160716</v>
      </c>
      <c r="L484" s="52" t="s">
        <v>111</v>
      </c>
    </row>
    <row r="485" spans="1:12" ht="15.75" hidden="1" thickBot="1">
      <c r="A485" s="151" t="s">
        <v>114</v>
      </c>
      <c r="B485" s="59">
        <v>2019</v>
      </c>
      <c r="C485" s="339" t="s">
        <v>97</v>
      </c>
      <c r="D485" s="59">
        <v>394</v>
      </c>
      <c r="E485" s="339" t="s">
        <v>126</v>
      </c>
      <c r="F485" s="29">
        <v>1</v>
      </c>
      <c r="G485" s="9">
        <v>1</v>
      </c>
      <c r="H485" s="9">
        <v>1</v>
      </c>
      <c r="I485" s="9">
        <v>2</v>
      </c>
      <c r="J485" s="9">
        <v>2</v>
      </c>
      <c r="K485" s="159">
        <f t="shared" si="7"/>
        <v>0.35859414261160716</v>
      </c>
      <c r="L485" s="52" t="s">
        <v>111</v>
      </c>
    </row>
    <row r="486" spans="1:12" ht="15.75" hidden="1" thickBot="1">
      <c r="A486" s="151" t="s">
        <v>114</v>
      </c>
      <c r="B486" s="59">
        <v>2019</v>
      </c>
      <c r="C486" s="339" t="s">
        <v>95</v>
      </c>
      <c r="D486" s="59">
        <v>280</v>
      </c>
      <c r="E486" s="339" t="s">
        <v>126</v>
      </c>
      <c r="F486" s="29">
        <v>1</v>
      </c>
      <c r="G486" s="9">
        <v>1</v>
      </c>
      <c r="H486" s="9">
        <v>1</v>
      </c>
      <c r="I486" s="9">
        <v>2</v>
      </c>
      <c r="J486" s="9">
        <v>2</v>
      </c>
      <c r="K486" s="159">
        <f t="shared" si="7"/>
        <v>0.35859414261160716</v>
      </c>
      <c r="L486" s="52" t="s">
        <v>111</v>
      </c>
    </row>
    <row r="487" spans="1:12" ht="15.75" hidden="1" thickBot="1">
      <c r="A487" s="151" t="s">
        <v>114</v>
      </c>
      <c r="B487" s="59">
        <v>2019</v>
      </c>
      <c r="C487" s="339" t="s">
        <v>93</v>
      </c>
      <c r="D487" s="59">
        <v>68</v>
      </c>
      <c r="E487" s="339" t="s">
        <v>126</v>
      </c>
      <c r="F487" s="29">
        <v>1</v>
      </c>
      <c r="G487" s="9">
        <v>1</v>
      </c>
      <c r="H487" s="9">
        <v>1</v>
      </c>
      <c r="I487" s="9">
        <v>2</v>
      </c>
      <c r="J487" s="9">
        <v>2</v>
      </c>
      <c r="K487" s="159">
        <f t="shared" si="7"/>
        <v>0.35859414261160716</v>
      </c>
      <c r="L487" s="52" t="s">
        <v>111</v>
      </c>
    </row>
    <row r="488" spans="1:12" ht="15.75" hidden="1" thickBot="1">
      <c r="A488" s="151" t="s">
        <v>114</v>
      </c>
      <c r="B488" s="59">
        <v>2019</v>
      </c>
      <c r="C488" s="339" t="s">
        <v>98</v>
      </c>
      <c r="D488" s="59">
        <v>2300</v>
      </c>
      <c r="E488" s="339" t="s">
        <v>126</v>
      </c>
      <c r="F488" s="29">
        <v>1</v>
      </c>
      <c r="G488" s="9">
        <v>1</v>
      </c>
      <c r="H488" s="9">
        <v>1</v>
      </c>
      <c r="I488" s="9">
        <v>2</v>
      </c>
      <c r="J488" s="9">
        <v>2</v>
      </c>
      <c r="K488" s="159">
        <f t="shared" si="7"/>
        <v>0.35859414261160716</v>
      </c>
      <c r="L488" s="52" t="s">
        <v>111</v>
      </c>
    </row>
    <row r="489" spans="1:12" ht="15.75" hidden="1" thickBot="1">
      <c r="A489" s="151" t="s">
        <v>114</v>
      </c>
      <c r="B489" s="59">
        <v>2020</v>
      </c>
      <c r="C489" s="339" t="s">
        <v>85</v>
      </c>
      <c r="D489" s="59">
        <v>2799</v>
      </c>
      <c r="E489" s="339" t="s">
        <v>126</v>
      </c>
      <c r="F489" s="29">
        <v>1</v>
      </c>
      <c r="G489" s="9">
        <v>1</v>
      </c>
      <c r="H489" s="9">
        <v>1</v>
      </c>
      <c r="I489" s="9">
        <v>2</v>
      </c>
      <c r="J489" s="9">
        <v>2</v>
      </c>
      <c r="K489" s="159">
        <f t="shared" si="7"/>
        <v>0.35859414261160716</v>
      </c>
      <c r="L489" s="52" t="s">
        <v>111</v>
      </c>
    </row>
    <row r="490" spans="1:12" ht="15.75" hidden="1" thickBot="1">
      <c r="A490" s="151" t="s">
        <v>114</v>
      </c>
      <c r="B490" s="59">
        <v>2020</v>
      </c>
      <c r="C490" s="339" t="s">
        <v>86</v>
      </c>
      <c r="D490" s="59">
        <v>971</v>
      </c>
      <c r="E490" s="339" t="s">
        <v>126</v>
      </c>
      <c r="F490" s="29">
        <v>1</v>
      </c>
      <c r="G490" s="9">
        <v>1</v>
      </c>
      <c r="H490" s="9">
        <v>1</v>
      </c>
      <c r="I490" s="9">
        <v>2</v>
      </c>
      <c r="J490" s="9">
        <v>2</v>
      </c>
      <c r="K490" s="159">
        <f t="shared" si="7"/>
        <v>0.35859414261160716</v>
      </c>
      <c r="L490" s="52" t="s">
        <v>111</v>
      </c>
    </row>
    <row r="491" spans="1:12" ht="15.75" hidden="1" thickBot="1">
      <c r="A491" s="151" t="s">
        <v>114</v>
      </c>
      <c r="B491" s="59">
        <v>2020</v>
      </c>
      <c r="C491" s="339" t="s">
        <v>87</v>
      </c>
      <c r="D491" s="59">
        <v>490</v>
      </c>
      <c r="E491" s="339" t="s">
        <v>126</v>
      </c>
      <c r="F491" s="29">
        <v>1</v>
      </c>
      <c r="G491" s="9">
        <v>1</v>
      </c>
      <c r="H491" s="9">
        <v>1</v>
      </c>
      <c r="I491" s="9">
        <v>2</v>
      </c>
      <c r="J491" s="9">
        <v>2</v>
      </c>
      <c r="K491" s="159">
        <f t="shared" si="7"/>
        <v>0.35859414261160716</v>
      </c>
      <c r="L491" s="52" t="s">
        <v>111</v>
      </c>
    </row>
    <row r="492" spans="1:12" ht="15.75" hidden="1" thickBot="1">
      <c r="A492" s="151" t="s">
        <v>114</v>
      </c>
      <c r="B492" s="59">
        <v>2020</v>
      </c>
      <c r="C492" s="339" t="s">
        <v>88</v>
      </c>
      <c r="D492" s="59">
        <v>149</v>
      </c>
      <c r="E492" s="339" t="s">
        <v>126</v>
      </c>
      <c r="F492" s="29">
        <v>1</v>
      </c>
      <c r="G492" s="9">
        <v>1</v>
      </c>
      <c r="H492" s="9">
        <v>1</v>
      </c>
      <c r="I492" s="9">
        <v>2</v>
      </c>
      <c r="J492" s="9">
        <v>2</v>
      </c>
      <c r="K492" s="159">
        <f t="shared" si="7"/>
        <v>0.35859414261160716</v>
      </c>
      <c r="L492" s="52" t="s">
        <v>111</v>
      </c>
    </row>
    <row r="493" spans="1:12" ht="15.75" hidden="1" thickBot="1">
      <c r="A493" s="151" t="s">
        <v>114</v>
      </c>
      <c r="B493" s="59">
        <v>2020</v>
      </c>
      <c r="C493" s="339" t="s">
        <v>89</v>
      </c>
      <c r="D493" s="59">
        <v>62</v>
      </c>
      <c r="E493" s="339" t="s">
        <v>126</v>
      </c>
      <c r="F493" s="29">
        <v>1</v>
      </c>
      <c r="G493" s="9">
        <v>1</v>
      </c>
      <c r="H493" s="9">
        <v>1</v>
      </c>
      <c r="I493" s="9">
        <v>2</v>
      </c>
      <c r="J493" s="9">
        <v>2</v>
      </c>
      <c r="K493" s="159">
        <f t="shared" si="7"/>
        <v>0.35859414261160716</v>
      </c>
      <c r="L493" s="52" t="s">
        <v>111</v>
      </c>
    </row>
    <row r="494" spans="1:12" ht="15.75" hidden="1" thickBot="1">
      <c r="A494" s="151" t="s">
        <v>114</v>
      </c>
      <c r="B494" s="59">
        <v>2020</v>
      </c>
      <c r="C494" s="339" t="s">
        <v>90</v>
      </c>
      <c r="D494" s="59">
        <v>378</v>
      </c>
      <c r="E494" s="339" t="s">
        <v>126</v>
      </c>
      <c r="F494" s="29">
        <v>1</v>
      </c>
      <c r="G494" s="9">
        <v>1</v>
      </c>
      <c r="H494" s="9">
        <v>1</v>
      </c>
      <c r="I494" s="9">
        <v>2</v>
      </c>
      <c r="J494" s="9">
        <v>2</v>
      </c>
      <c r="K494" s="159">
        <f t="shared" si="7"/>
        <v>0.35859414261160716</v>
      </c>
      <c r="L494" s="52" t="s">
        <v>111</v>
      </c>
    </row>
    <row r="495" spans="1:12" ht="15.75" hidden="1" thickBot="1">
      <c r="A495" s="151" t="s">
        <v>114</v>
      </c>
      <c r="B495" s="59">
        <v>2020</v>
      </c>
      <c r="C495" s="339" t="s">
        <v>91</v>
      </c>
      <c r="D495" s="59">
        <v>853</v>
      </c>
      <c r="E495" s="339" t="s">
        <v>126</v>
      </c>
      <c r="F495" s="29">
        <v>1</v>
      </c>
      <c r="G495" s="9">
        <v>1</v>
      </c>
      <c r="H495" s="9">
        <v>1</v>
      </c>
      <c r="I495" s="9">
        <v>2</v>
      </c>
      <c r="J495" s="9">
        <v>2</v>
      </c>
      <c r="K495" s="159">
        <f t="shared" si="7"/>
        <v>0.35859414261160716</v>
      </c>
      <c r="L495" s="52" t="s">
        <v>111</v>
      </c>
    </row>
    <row r="496" spans="1:12" ht="15.75" hidden="1" thickBot="1">
      <c r="A496" s="151" t="s">
        <v>114</v>
      </c>
      <c r="B496" s="59">
        <v>2020</v>
      </c>
      <c r="C496" s="339" t="s">
        <v>94</v>
      </c>
      <c r="D496" s="59">
        <v>172</v>
      </c>
      <c r="E496" s="339" t="s">
        <v>126</v>
      </c>
      <c r="F496" s="29">
        <v>1</v>
      </c>
      <c r="G496" s="9">
        <v>1</v>
      </c>
      <c r="H496" s="9">
        <v>1</v>
      </c>
      <c r="I496" s="9">
        <v>2</v>
      </c>
      <c r="J496" s="9">
        <v>2</v>
      </c>
      <c r="K496" s="159">
        <f t="shared" si="7"/>
        <v>0.35859414261160716</v>
      </c>
      <c r="L496" s="52" t="s">
        <v>111</v>
      </c>
    </row>
    <row r="497" spans="1:12" ht="15.75" hidden="1" thickBot="1">
      <c r="A497" s="151" t="s">
        <v>114</v>
      </c>
      <c r="B497" s="59">
        <v>2020</v>
      </c>
      <c r="C497" s="339" t="s">
        <v>96</v>
      </c>
      <c r="D497" s="59">
        <v>88</v>
      </c>
      <c r="E497" s="339" t="s">
        <v>126</v>
      </c>
      <c r="F497" s="29">
        <v>1</v>
      </c>
      <c r="G497" s="9">
        <v>1</v>
      </c>
      <c r="H497" s="9">
        <v>1</v>
      </c>
      <c r="I497" s="9">
        <v>2</v>
      </c>
      <c r="J497" s="9">
        <v>2</v>
      </c>
      <c r="K497" s="159">
        <f t="shared" si="7"/>
        <v>0.35859414261160716</v>
      </c>
      <c r="L497" s="52" t="s">
        <v>111</v>
      </c>
    </row>
    <row r="498" spans="1:12" ht="15.75" hidden="1" thickBot="1">
      <c r="A498" s="151" t="s">
        <v>114</v>
      </c>
      <c r="B498" s="59">
        <v>2020</v>
      </c>
      <c r="C498" s="339" t="s">
        <v>97</v>
      </c>
      <c r="D498" s="59">
        <v>418</v>
      </c>
      <c r="E498" s="339" t="s">
        <v>126</v>
      </c>
      <c r="F498" s="29">
        <v>1</v>
      </c>
      <c r="G498" s="9">
        <v>1</v>
      </c>
      <c r="H498" s="9">
        <v>1</v>
      </c>
      <c r="I498" s="9">
        <v>2</v>
      </c>
      <c r="J498" s="9">
        <v>2</v>
      </c>
      <c r="K498" s="159">
        <f t="shared" si="7"/>
        <v>0.35859414261160716</v>
      </c>
      <c r="L498" s="52" t="s">
        <v>111</v>
      </c>
    </row>
    <row r="499" spans="1:12" ht="15.75" hidden="1" thickBot="1">
      <c r="A499" s="151" t="s">
        <v>114</v>
      </c>
      <c r="B499" s="59">
        <v>2020</v>
      </c>
      <c r="C499" s="339" t="s">
        <v>95</v>
      </c>
      <c r="D499" s="59">
        <v>292</v>
      </c>
      <c r="E499" s="339" t="s">
        <v>126</v>
      </c>
      <c r="F499" s="29">
        <v>1</v>
      </c>
      <c r="G499" s="9">
        <v>1</v>
      </c>
      <c r="H499" s="9">
        <v>1</v>
      </c>
      <c r="I499" s="9">
        <v>2</v>
      </c>
      <c r="J499" s="9">
        <v>2</v>
      </c>
      <c r="K499" s="159">
        <f t="shared" si="7"/>
        <v>0.35859414261160716</v>
      </c>
      <c r="L499" s="52" t="s">
        <v>111</v>
      </c>
    </row>
    <row r="500" spans="1:12" ht="15.75" hidden="1" thickBot="1">
      <c r="A500" s="151" t="s">
        <v>114</v>
      </c>
      <c r="B500" s="59">
        <v>2020</v>
      </c>
      <c r="C500" s="339" t="s">
        <v>93</v>
      </c>
      <c r="D500" s="59">
        <v>66</v>
      </c>
      <c r="E500" s="339" t="s">
        <v>126</v>
      </c>
      <c r="F500" s="29">
        <v>1</v>
      </c>
      <c r="G500" s="9">
        <v>1</v>
      </c>
      <c r="H500" s="9">
        <v>1</v>
      </c>
      <c r="I500" s="9">
        <v>2</v>
      </c>
      <c r="J500" s="9">
        <v>2</v>
      </c>
      <c r="K500" s="159">
        <f t="shared" si="7"/>
        <v>0.35859414261160716</v>
      </c>
      <c r="L500" s="52" t="s">
        <v>111</v>
      </c>
    </row>
    <row r="501" spans="1:12" ht="15.75" hidden="1" thickBot="1">
      <c r="A501" s="151" t="s">
        <v>114</v>
      </c>
      <c r="B501" s="59">
        <v>2020</v>
      </c>
      <c r="C501" s="339" t="s">
        <v>98</v>
      </c>
      <c r="D501" s="59">
        <v>1580</v>
      </c>
      <c r="E501" s="339" t="s">
        <v>126</v>
      </c>
      <c r="F501" s="29">
        <v>1</v>
      </c>
      <c r="G501" s="9">
        <v>1</v>
      </c>
      <c r="H501" s="9">
        <v>1</v>
      </c>
      <c r="I501" s="9">
        <v>2</v>
      </c>
      <c r="J501" s="9">
        <v>2</v>
      </c>
      <c r="K501" s="159">
        <f t="shared" si="7"/>
        <v>0.35859414261160716</v>
      </c>
      <c r="L501" s="52" t="s">
        <v>111</v>
      </c>
    </row>
    <row r="502" spans="1:12" ht="15.75" hidden="1" thickBot="1">
      <c r="A502" s="151" t="s">
        <v>114</v>
      </c>
      <c r="B502" s="59">
        <v>2021</v>
      </c>
      <c r="C502" s="339" t="s">
        <v>85</v>
      </c>
      <c r="D502" s="59">
        <v>2883</v>
      </c>
      <c r="E502" s="339" t="s">
        <v>126</v>
      </c>
      <c r="F502" s="29">
        <v>1</v>
      </c>
      <c r="G502" s="9">
        <v>1</v>
      </c>
      <c r="H502" s="9">
        <v>1</v>
      </c>
      <c r="I502" s="9">
        <v>2</v>
      </c>
      <c r="J502" s="9">
        <v>2</v>
      </c>
      <c r="K502" s="159">
        <f t="shared" si="7"/>
        <v>0.35859414261160716</v>
      </c>
      <c r="L502" s="52" t="s">
        <v>111</v>
      </c>
    </row>
    <row r="503" spans="1:12" ht="15.75" hidden="1" thickBot="1">
      <c r="A503" s="151" t="s">
        <v>114</v>
      </c>
      <c r="B503" s="59">
        <v>2021</v>
      </c>
      <c r="C503" s="339" t="s">
        <v>86</v>
      </c>
      <c r="D503" s="59">
        <v>1213</v>
      </c>
      <c r="E503" s="339" t="s">
        <v>126</v>
      </c>
      <c r="F503" s="29">
        <v>1</v>
      </c>
      <c r="G503" s="9">
        <v>1</v>
      </c>
      <c r="H503" s="9">
        <v>1</v>
      </c>
      <c r="I503" s="9">
        <v>2</v>
      </c>
      <c r="J503" s="9">
        <v>2</v>
      </c>
      <c r="K503" s="159">
        <f t="shared" si="7"/>
        <v>0.35859414261160716</v>
      </c>
      <c r="L503" s="52" t="s">
        <v>111</v>
      </c>
    </row>
    <row r="504" spans="1:12" ht="15.75" hidden="1" thickBot="1">
      <c r="A504" s="151" t="s">
        <v>114</v>
      </c>
      <c r="B504" s="59">
        <v>2021</v>
      </c>
      <c r="C504" s="339" t="s">
        <v>87</v>
      </c>
      <c r="D504" s="59">
        <v>617</v>
      </c>
      <c r="E504" s="339" t="s">
        <v>126</v>
      </c>
      <c r="F504" s="29">
        <v>1</v>
      </c>
      <c r="G504" s="9">
        <v>1</v>
      </c>
      <c r="H504" s="9">
        <v>1</v>
      </c>
      <c r="I504" s="9">
        <v>2</v>
      </c>
      <c r="J504" s="9">
        <v>2</v>
      </c>
      <c r="K504" s="159">
        <f t="shared" si="7"/>
        <v>0.35859414261160716</v>
      </c>
      <c r="L504" s="52" t="s">
        <v>111</v>
      </c>
    </row>
    <row r="505" spans="1:12" ht="15.75" hidden="1" thickBot="1">
      <c r="A505" s="151" t="s">
        <v>114</v>
      </c>
      <c r="B505" s="59">
        <v>2021</v>
      </c>
      <c r="C505" s="339" t="s">
        <v>88</v>
      </c>
      <c r="D505" s="59">
        <v>117</v>
      </c>
      <c r="E505" s="339"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ht="15.75" hidden="1" thickBot="1">
      <c r="A506" s="151" t="s">
        <v>114</v>
      </c>
      <c r="B506" s="59">
        <v>2021</v>
      </c>
      <c r="C506" s="339" t="s">
        <v>89</v>
      </c>
      <c r="D506" s="59">
        <v>180</v>
      </c>
      <c r="E506" s="339" t="s">
        <v>126</v>
      </c>
      <c r="F506" s="29">
        <v>1</v>
      </c>
      <c r="G506" s="9">
        <v>1</v>
      </c>
      <c r="H506" s="9">
        <v>1</v>
      </c>
      <c r="I506" s="9">
        <v>2</v>
      </c>
      <c r="J506" s="9">
        <v>2</v>
      </c>
      <c r="K506" s="159">
        <f t="shared" si="8"/>
        <v>0.35859414261160716</v>
      </c>
      <c r="L506" s="52" t="s">
        <v>111</v>
      </c>
    </row>
    <row r="507" spans="1:12" ht="15.75" hidden="1" thickBot="1">
      <c r="A507" s="151" t="s">
        <v>114</v>
      </c>
      <c r="B507" s="59">
        <v>2021</v>
      </c>
      <c r="C507" s="339" t="s">
        <v>90</v>
      </c>
      <c r="D507" s="59">
        <v>508</v>
      </c>
      <c r="E507" s="339" t="s">
        <v>126</v>
      </c>
      <c r="F507" s="29">
        <v>1</v>
      </c>
      <c r="G507" s="9">
        <v>1</v>
      </c>
      <c r="H507" s="9">
        <v>1</v>
      </c>
      <c r="I507" s="9">
        <v>2</v>
      </c>
      <c r="J507" s="9">
        <v>2</v>
      </c>
      <c r="K507" s="159">
        <f t="shared" si="8"/>
        <v>0.35859414261160716</v>
      </c>
      <c r="L507" s="52" t="s">
        <v>111</v>
      </c>
    </row>
    <row r="508" spans="1:12" ht="15.75" hidden="1" thickBot="1">
      <c r="A508" s="151" t="s">
        <v>114</v>
      </c>
      <c r="B508" s="59">
        <v>2021</v>
      </c>
      <c r="C508" s="339" t="s">
        <v>91</v>
      </c>
      <c r="D508" s="59">
        <v>824</v>
      </c>
      <c r="E508" s="339" t="s">
        <v>126</v>
      </c>
      <c r="F508" s="29">
        <v>1</v>
      </c>
      <c r="G508" s="9">
        <v>1</v>
      </c>
      <c r="H508" s="9">
        <v>1</v>
      </c>
      <c r="I508" s="9">
        <v>2</v>
      </c>
      <c r="J508" s="9">
        <v>2</v>
      </c>
      <c r="K508" s="159">
        <f t="shared" si="8"/>
        <v>0.35859414261160716</v>
      </c>
      <c r="L508" s="52" t="s">
        <v>111</v>
      </c>
    </row>
    <row r="509" spans="1:12" ht="15.75" hidden="1" thickBot="1">
      <c r="A509" s="151" t="s">
        <v>114</v>
      </c>
      <c r="B509" s="59">
        <v>2021</v>
      </c>
      <c r="C509" s="339" t="s">
        <v>94</v>
      </c>
      <c r="D509" s="59">
        <v>228</v>
      </c>
      <c r="E509" s="339" t="s">
        <v>126</v>
      </c>
      <c r="F509" s="29">
        <v>1</v>
      </c>
      <c r="G509" s="9">
        <v>1</v>
      </c>
      <c r="H509" s="9">
        <v>1</v>
      </c>
      <c r="I509" s="9">
        <v>2</v>
      </c>
      <c r="J509" s="9">
        <v>2</v>
      </c>
      <c r="K509" s="159">
        <f t="shared" si="8"/>
        <v>0.35859414261160716</v>
      </c>
      <c r="L509" s="52" t="s">
        <v>111</v>
      </c>
    </row>
    <row r="510" spans="1:12" ht="15.75" hidden="1" thickBot="1">
      <c r="A510" s="151" t="s">
        <v>114</v>
      </c>
      <c r="B510" s="59">
        <v>2021</v>
      </c>
      <c r="C510" s="339" t="s">
        <v>96</v>
      </c>
      <c r="D510" s="59">
        <v>103</v>
      </c>
      <c r="E510" s="339" t="s">
        <v>126</v>
      </c>
      <c r="F510" s="29">
        <v>1</v>
      </c>
      <c r="G510" s="9">
        <v>1</v>
      </c>
      <c r="H510" s="9">
        <v>1</v>
      </c>
      <c r="I510" s="9">
        <v>2</v>
      </c>
      <c r="J510" s="9">
        <v>2</v>
      </c>
      <c r="K510" s="159">
        <f t="shared" si="8"/>
        <v>0.35859414261160716</v>
      </c>
      <c r="L510" s="52" t="s">
        <v>111</v>
      </c>
    </row>
    <row r="511" spans="1:12" ht="15.75" hidden="1" thickBot="1">
      <c r="A511" s="151" t="s">
        <v>114</v>
      </c>
      <c r="B511" s="59">
        <v>2021</v>
      </c>
      <c r="C511" s="339" t="s">
        <v>97</v>
      </c>
      <c r="D511" s="59">
        <v>408</v>
      </c>
      <c r="E511" s="339" t="s">
        <v>126</v>
      </c>
      <c r="F511" s="29">
        <v>1</v>
      </c>
      <c r="G511" s="9">
        <v>1</v>
      </c>
      <c r="H511" s="9">
        <v>1</v>
      </c>
      <c r="I511" s="9">
        <v>2</v>
      </c>
      <c r="J511" s="9">
        <v>2</v>
      </c>
      <c r="K511" s="159">
        <f t="shared" si="8"/>
        <v>0.35859414261160716</v>
      </c>
      <c r="L511" s="52" t="s">
        <v>111</v>
      </c>
    </row>
    <row r="512" spans="1:12" ht="15.75" hidden="1" thickBot="1">
      <c r="A512" s="151" t="s">
        <v>114</v>
      </c>
      <c r="B512" s="59">
        <v>2021</v>
      </c>
      <c r="C512" s="339" t="s">
        <v>95</v>
      </c>
      <c r="D512" s="59">
        <v>317</v>
      </c>
      <c r="E512" s="339" t="s">
        <v>126</v>
      </c>
      <c r="F512" s="29">
        <v>1</v>
      </c>
      <c r="G512" s="9">
        <v>1</v>
      </c>
      <c r="H512" s="9">
        <v>1</v>
      </c>
      <c r="I512" s="9">
        <v>2</v>
      </c>
      <c r="J512" s="9">
        <v>2</v>
      </c>
      <c r="K512" s="159">
        <f t="shared" si="8"/>
        <v>0.35859414261160716</v>
      </c>
      <c r="L512" s="52" t="s">
        <v>111</v>
      </c>
    </row>
    <row r="513" spans="1:12" ht="15.75" hidden="1" thickBot="1">
      <c r="A513" s="151" t="s">
        <v>114</v>
      </c>
      <c r="B513" s="59">
        <v>2021</v>
      </c>
      <c r="C513" s="339" t="s">
        <v>93</v>
      </c>
      <c r="D513" s="59">
        <v>72</v>
      </c>
      <c r="E513" s="339" t="s">
        <v>126</v>
      </c>
      <c r="F513" s="29">
        <v>1</v>
      </c>
      <c r="G513" s="9">
        <v>1</v>
      </c>
      <c r="H513" s="9">
        <v>1</v>
      </c>
      <c r="I513" s="9">
        <v>2</v>
      </c>
      <c r="J513" s="9">
        <v>2</v>
      </c>
      <c r="K513" s="159">
        <f t="shared" si="8"/>
        <v>0.35859414261160716</v>
      </c>
      <c r="L513" s="52" t="s">
        <v>111</v>
      </c>
    </row>
    <row r="514" spans="1:12" ht="15.75" hidden="1" thickBot="1">
      <c r="A514" s="227" t="s">
        <v>114</v>
      </c>
      <c r="B514" s="802">
        <v>2021</v>
      </c>
      <c r="C514" s="642" t="s">
        <v>98</v>
      </c>
      <c r="D514" s="802">
        <v>1687</v>
      </c>
      <c r="E514" s="642" t="s">
        <v>126</v>
      </c>
      <c r="F514" s="154">
        <v>1</v>
      </c>
      <c r="G514" s="119">
        <v>1</v>
      </c>
      <c r="H514" s="119">
        <v>1</v>
      </c>
      <c r="I514" s="119">
        <v>2</v>
      </c>
      <c r="J514" s="119">
        <v>2</v>
      </c>
      <c r="K514" s="813">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7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hidden="1">
      <c r="A529" s="230" t="str">
        <f>Packaging!AF59</f>
        <v>Packaging</v>
      </c>
      <c r="B529" s="234">
        <f>Packaging!AG59</f>
        <v>2017</v>
      </c>
      <c r="C529" s="161" t="str">
        <f>Packaging!AI59</f>
        <v>EPS</v>
      </c>
      <c r="D529" s="157">
        <f>Packaging!AJ59</f>
        <v>196.16893694434862</v>
      </c>
      <c r="E529" s="161" t="s">
        <v>117</v>
      </c>
      <c r="F529" s="659">
        <v>1</v>
      </c>
      <c r="G529" s="118">
        <v>1</v>
      </c>
      <c r="H529" s="118">
        <v>2</v>
      </c>
      <c r="I529" s="118">
        <v>1</v>
      </c>
      <c r="J529" s="118">
        <v>2</v>
      </c>
      <c r="K529" s="815">
        <f t="shared" si="8"/>
        <v>0.35859414261160716</v>
      </c>
      <c r="L529" s="661"/>
    </row>
    <row r="530" spans="1:12" hidden="1">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hidden="1">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hidden="1">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hidden="1">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hidden="1">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hidden="1">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hidden="1">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hidden="1">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hidden="1">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hidden="1">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hidden="1">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hidden="1">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hidden="1">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hidden="1">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hidden="1">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hidden="1">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hidden="1">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hidden="1">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hidden="1">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hidden="1">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hidden="1">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hidden="1">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hidden="1">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hidden="1">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hidden="1">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hidden="1">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hidden="1">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hidden="1">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hidden="1">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hidden="1">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hidden="1">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hidden="1">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hidden="1">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hidden="1">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hidden="1">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hidden="1">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hidden="1">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hidden="1">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idden="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13">
        <f t="shared" si="8"/>
        <v>0.35859414261160716</v>
      </c>
      <c r="L568" s="61"/>
    </row>
    <row r="569" spans="1:12" ht="15.75" hidden="1" thickBot="1">
      <c r="A569" s="228" t="s">
        <v>118</v>
      </c>
      <c r="B569" s="236">
        <v>2019</v>
      </c>
      <c r="C569" s="166" t="s">
        <v>99</v>
      </c>
      <c r="D569" s="574">
        <v>2326</v>
      </c>
      <c r="E569" s="166" t="s">
        <v>128</v>
      </c>
      <c r="F569" s="779">
        <v>1</v>
      </c>
      <c r="G569" s="750">
        <v>1</v>
      </c>
      <c r="H569" s="750">
        <v>3</v>
      </c>
      <c r="I569" s="750">
        <v>1</v>
      </c>
      <c r="J569" s="750">
        <v>2</v>
      </c>
      <c r="K569" s="816">
        <f t="shared" ref="K569:K578" si="9">IF( OR( ISBLANK(F569),ISBLANK(G569), ISBLANK(H569), ISBLANK(I569), ISBLANK(J569) ), "", 1.5*SQRT(   EXP(2.21*(F569-1)) + EXP(2.21*(G569-1)) + EXP(2.21*(H569-1)) + EXP(2.21*(I569-1)) + EXP(2.21*J569)   )/100*2.45 )</f>
        <v>0.47802211380704585</v>
      </c>
      <c r="L569" s="817"/>
    </row>
    <row r="570" spans="1:12" hidden="1">
      <c r="A570" s="230" t="s">
        <v>121</v>
      </c>
      <c r="B570" s="234">
        <v>2017</v>
      </c>
      <c r="C570" s="161" t="s">
        <v>85</v>
      </c>
      <c r="D570" s="805">
        <v>0</v>
      </c>
      <c r="E570" s="814" t="s">
        <v>124</v>
      </c>
      <c r="F570" s="659">
        <v>1</v>
      </c>
      <c r="G570" s="118">
        <v>1</v>
      </c>
      <c r="H570" s="118">
        <v>3</v>
      </c>
      <c r="I570" s="118">
        <v>1</v>
      </c>
      <c r="J570" s="118">
        <v>2</v>
      </c>
      <c r="K570" s="815">
        <f t="shared" si="9"/>
        <v>0.47802211380704585</v>
      </c>
      <c r="L570" s="229" t="s">
        <v>125</v>
      </c>
    </row>
    <row r="571" spans="1:12" hidden="1">
      <c r="A571" s="151" t="s">
        <v>121</v>
      </c>
      <c r="B571" s="232">
        <v>2017</v>
      </c>
      <c r="C571" s="40" t="s">
        <v>86</v>
      </c>
      <c r="D571" s="59">
        <v>4</v>
      </c>
      <c r="E571" s="790" t="s">
        <v>124</v>
      </c>
      <c r="F571" s="29">
        <v>1</v>
      </c>
      <c r="G571" s="9">
        <v>1</v>
      </c>
      <c r="H571" s="9">
        <v>3</v>
      </c>
      <c r="I571" s="9">
        <v>1</v>
      </c>
      <c r="J571" s="9">
        <v>2</v>
      </c>
      <c r="K571" s="159">
        <f t="shared" si="9"/>
        <v>0.47802211380704585</v>
      </c>
      <c r="L571" s="63" t="s">
        <v>125</v>
      </c>
    </row>
    <row r="572" spans="1:12" hidden="1">
      <c r="A572" s="151" t="s">
        <v>121</v>
      </c>
      <c r="B572" s="232">
        <v>2017</v>
      </c>
      <c r="C572" s="40" t="s">
        <v>87</v>
      </c>
      <c r="D572" s="59">
        <v>1903.3411817515153</v>
      </c>
      <c r="E572" s="790" t="s">
        <v>124</v>
      </c>
      <c r="F572" s="29">
        <v>1</v>
      </c>
      <c r="G572" s="9">
        <v>1</v>
      </c>
      <c r="H572" s="9">
        <v>3</v>
      </c>
      <c r="I572" s="9">
        <v>1</v>
      </c>
      <c r="J572" s="9">
        <v>2</v>
      </c>
      <c r="K572" s="159">
        <f t="shared" si="9"/>
        <v>0.47802211380704585</v>
      </c>
      <c r="L572" s="63" t="s">
        <v>125</v>
      </c>
    </row>
    <row r="573" spans="1:12" hidden="1">
      <c r="A573" s="151" t="s">
        <v>121</v>
      </c>
      <c r="B573" s="232">
        <v>2017</v>
      </c>
      <c r="C573" s="40" t="s">
        <v>88</v>
      </c>
      <c r="D573" s="59">
        <v>0</v>
      </c>
      <c r="E573" s="790" t="s">
        <v>124</v>
      </c>
      <c r="F573" s="29">
        <v>1</v>
      </c>
      <c r="G573" s="9">
        <v>1</v>
      </c>
      <c r="H573" s="9">
        <v>3</v>
      </c>
      <c r="I573" s="9">
        <v>1</v>
      </c>
      <c r="J573" s="9">
        <v>2</v>
      </c>
      <c r="K573" s="159">
        <f t="shared" si="9"/>
        <v>0.47802211380704585</v>
      </c>
      <c r="L573" s="63" t="s">
        <v>125</v>
      </c>
    </row>
    <row r="574" spans="1:12" hidden="1">
      <c r="A574" s="151" t="s">
        <v>121</v>
      </c>
      <c r="B574" s="232">
        <v>2017</v>
      </c>
      <c r="C574" s="40" t="s">
        <v>89</v>
      </c>
      <c r="D574" s="59">
        <v>0</v>
      </c>
      <c r="E574" s="790" t="s">
        <v>124</v>
      </c>
      <c r="F574" s="29">
        <v>1</v>
      </c>
      <c r="G574" s="9">
        <v>1</v>
      </c>
      <c r="H574" s="9">
        <v>3</v>
      </c>
      <c r="I574" s="9">
        <v>1</v>
      </c>
      <c r="J574" s="9">
        <v>2</v>
      </c>
      <c r="K574" s="159">
        <f t="shared" si="9"/>
        <v>0.47802211380704585</v>
      </c>
      <c r="L574" s="63" t="s">
        <v>125</v>
      </c>
    </row>
    <row r="575" spans="1:12" hidden="1">
      <c r="A575" s="151" t="s">
        <v>121</v>
      </c>
      <c r="B575" s="232">
        <v>2017</v>
      </c>
      <c r="C575" s="40" t="s">
        <v>90</v>
      </c>
      <c r="D575" s="59">
        <v>208.87860763636365</v>
      </c>
      <c r="E575" s="790" t="s">
        <v>124</v>
      </c>
      <c r="F575" s="29">
        <v>1</v>
      </c>
      <c r="G575" s="9">
        <v>1</v>
      </c>
      <c r="H575" s="9">
        <v>3</v>
      </c>
      <c r="I575" s="9">
        <v>1</v>
      </c>
      <c r="J575" s="9">
        <v>2</v>
      </c>
      <c r="K575" s="159">
        <f t="shared" si="9"/>
        <v>0.47802211380704585</v>
      </c>
      <c r="L575" s="63" t="s">
        <v>125</v>
      </c>
    </row>
    <row r="576" spans="1:12" hidden="1">
      <c r="A576" s="151" t="s">
        <v>121</v>
      </c>
      <c r="B576" s="232">
        <v>2017</v>
      </c>
      <c r="C576" s="40" t="s">
        <v>91</v>
      </c>
      <c r="D576" s="59">
        <v>1840.5618588333332</v>
      </c>
      <c r="E576" s="790" t="s">
        <v>124</v>
      </c>
      <c r="F576" s="29">
        <v>1</v>
      </c>
      <c r="G576" s="9">
        <v>1</v>
      </c>
      <c r="H576" s="9">
        <v>3</v>
      </c>
      <c r="I576" s="9">
        <v>1</v>
      </c>
      <c r="J576" s="9">
        <v>2</v>
      </c>
      <c r="K576" s="159">
        <f t="shared" si="9"/>
        <v>0.47802211380704585</v>
      </c>
      <c r="L576" s="63" t="s">
        <v>125</v>
      </c>
    </row>
    <row r="577" spans="1:12" hidden="1">
      <c r="A577" s="151" t="s">
        <v>121</v>
      </c>
      <c r="B577" s="232">
        <v>2017</v>
      </c>
      <c r="C577" s="40" t="s">
        <v>95</v>
      </c>
      <c r="D577" s="59">
        <v>2388.6652442424243</v>
      </c>
      <c r="E577" s="790" t="s">
        <v>124</v>
      </c>
      <c r="F577" s="29">
        <v>1</v>
      </c>
      <c r="G577" s="9">
        <v>1</v>
      </c>
      <c r="H577" s="9">
        <v>3</v>
      </c>
      <c r="I577" s="9">
        <v>1</v>
      </c>
      <c r="J577" s="9">
        <v>2</v>
      </c>
      <c r="K577" s="159">
        <f t="shared" si="9"/>
        <v>0.47802211380704585</v>
      </c>
      <c r="L577" s="63" t="s">
        <v>125</v>
      </c>
    </row>
    <row r="578" spans="1:12" hidden="1">
      <c r="A578" s="227" t="s">
        <v>121</v>
      </c>
      <c r="B578" s="235">
        <v>2017</v>
      </c>
      <c r="C578" s="153" t="s">
        <v>99</v>
      </c>
      <c r="D578" s="802">
        <v>403.50709808181819</v>
      </c>
      <c r="E578" s="812" t="s">
        <v>124</v>
      </c>
      <c r="F578" s="154">
        <v>1</v>
      </c>
      <c r="G578" s="119">
        <v>1</v>
      </c>
      <c r="H578" s="119">
        <v>3</v>
      </c>
      <c r="I578" s="119">
        <v>1</v>
      </c>
      <c r="J578" s="119">
        <v>2</v>
      </c>
      <c r="K578" s="813">
        <f t="shared" si="9"/>
        <v>0.47802211380704585</v>
      </c>
      <c r="L578" s="505" t="s">
        <v>125</v>
      </c>
    </row>
    <row r="579" spans="1:12" hidden="1">
      <c r="A579" s="806"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hidden="1">
      <c r="A580" s="609"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hidden="1">
      <c r="A581" s="609"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hidden="1">
      <c r="A582" s="609"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hidden="1">
      <c r="A583" s="609"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hidden="1">
      <c r="A584" s="609"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hidden="1">
      <c r="A585" s="609"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hidden="1">
      <c r="A586" s="609"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hidden="1">
      <c r="A587" s="609"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hidden="1">
      <c r="A588" s="609"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hidden="1">
      <c r="A589" s="609"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hidden="1">
      <c r="A590" s="609"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hidden="1">
      <c r="A591" s="609"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hidden="1">
      <c r="A592" s="609"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hidden="1">
      <c r="A593" s="609"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75" hidden="1" thickBot="1">
      <c r="A594" s="807" t="str">
        <f>'Tyre wear'!B61</f>
        <v>Tyre wear</v>
      </c>
      <c r="B594" s="233">
        <f>'Tyre wear'!C61</f>
        <v>2019</v>
      </c>
      <c r="C594" s="41" t="str">
        <f>'Tyre wear'!D61</f>
        <v>RUBBER</v>
      </c>
      <c r="D594" s="56">
        <f>'Tyre wear'!E61</f>
        <v>639.96099532777771</v>
      </c>
      <c r="E594" s="41" t="str">
        <f>'Tyre wear'!F61</f>
        <v>HIGH - Scaling from NL to EU using population</v>
      </c>
      <c r="F594" s="30">
        <f>'Tyre wear'!G61</f>
        <v>1</v>
      </c>
      <c r="G594" s="12">
        <f>'Tyre wear'!H61</f>
        <v>1</v>
      </c>
      <c r="H594" s="12">
        <f>'Tyre wear'!I61</f>
        <v>1</v>
      </c>
      <c r="I594" s="12">
        <f>'Tyre wear'!J61</f>
        <v>1</v>
      </c>
      <c r="J594" s="12">
        <f>'Tyre wear'!K61</f>
        <v>2</v>
      </c>
      <c r="K594" s="160">
        <v>0.61786151866399042</v>
      </c>
      <c r="L594" s="53"/>
    </row>
    <row r="595" spans="1:12" hidden="1">
      <c r="A595" s="7" t="s">
        <v>2046</v>
      </c>
      <c r="B595" s="7">
        <f>[1]Clothing!B109</f>
        <v>2011</v>
      </c>
      <c r="C595" s="7" t="str">
        <f>[1]Clothing!C109</f>
        <v>Acryl</v>
      </c>
      <c r="D595" s="64">
        <f>[1]Clothing!K109</f>
        <v>128.00471822053382</v>
      </c>
      <c r="E595" s="7" t="str">
        <f>[1]Input_NL!$E$812</f>
        <v>https://ec.europa.eu/eurostat/databrowser/view/DS-056120__custom_15192557/default/table?lang=en - Low estimate</v>
      </c>
      <c r="F595" s="7">
        <f>[1]Clothing!O109</f>
        <v>1</v>
      </c>
      <c r="G595" s="7">
        <f>[1]Clothing!P109</f>
        <v>1</v>
      </c>
      <c r="H595" s="7">
        <f>[1]Clothing!Q109</f>
        <v>2</v>
      </c>
      <c r="I595" s="7">
        <f>[1]Clothing!R109</f>
        <v>2</v>
      </c>
      <c r="J595" s="7">
        <f>[1]Clothing!S109</f>
        <v>2</v>
      </c>
      <c r="K595" s="159">
        <f t="shared" ref="K595:K658" si="10">IF( OR( ISBLANK(F595),ISBLANK(G595), ISBLANK(H595), ISBLANK(I595), ISBLANK(J595) ), "", 1.5*SQRT(   EXP(2.21*(F595-1)) + EXP(2.21*(G595-1)) + EXP(2.21*(H595-1)) + EXP(2.21*(I595-1)) + EXP(2.21*J595)   )/100*2.45 )</f>
        <v>0.37356464144298934</v>
      </c>
    </row>
    <row r="596" spans="1:12" hidden="1">
      <c r="A596" s="7" t="s">
        <v>2046</v>
      </c>
      <c r="B596" s="7">
        <f>[1]Clothing!B110</f>
        <v>2011</v>
      </c>
      <c r="C596" s="7" t="str">
        <f>[1]Clothing!C110</f>
        <v>OTHER</v>
      </c>
      <c r="D596" s="64">
        <f>[1]Clothing!K110</f>
        <v>209.81733355425601</v>
      </c>
      <c r="E596" s="7" t="str">
        <f>[1]Input_NL!$E$812</f>
        <v>https://ec.europa.eu/eurostat/databrowser/view/DS-056120__custom_15192557/default/table?lang=en - Low estimate</v>
      </c>
      <c r="F596" s="7">
        <f>[1]Clothing!O110</f>
        <v>1</v>
      </c>
      <c r="G596" s="7">
        <f>[1]Clothing!P110</f>
        <v>1</v>
      </c>
      <c r="H596" s="7">
        <f>[1]Clothing!Q110</f>
        <v>2</v>
      </c>
      <c r="I596" s="7">
        <f>[1]Clothing!R110</f>
        <v>2</v>
      </c>
      <c r="J596" s="7">
        <f>[1]Clothing!S110</f>
        <v>2</v>
      </c>
      <c r="K596" s="159">
        <f t="shared" si="10"/>
        <v>0.37356464144298934</v>
      </c>
    </row>
    <row r="597" spans="1:12" hidden="1">
      <c r="A597" s="7" t="s">
        <v>2046</v>
      </c>
      <c r="B597" s="7">
        <f>[1]Clothing!B111</f>
        <v>2011</v>
      </c>
      <c r="C597" s="7" t="str">
        <f>[1]Clothing!C111</f>
        <v>PA</v>
      </c>
      <c r="D597" s="64">
        <f>[1]Clothing!K111</f>
        <v>280.47351795825369</v>
      </c>
      <c r="E597" s="7" t="str">
        <f>[1]Input_NL!$E$812</f>
        <v>https://ec.europa.eu/eurostat/databrowser/view/DS-056120__custom_15192557/default/table?lang=en - Low estimate</v>
      </c>
      <c r="F597" s="7">
        <f>[1]Clothing!O111</f>
        <v>1</v>
      </c>
      <c r="G597" s="7">
        <f>[1]Clothing!P111</f>
        <v>1</v>
      </c>
      <c r="H597" s="7">
        <f>[1]Clothing!Q111</f>
        <v>2</v>
      </c>
      <c r="I597" s="7">
        <f>[1]Clothing!R111</f>
        <v>2</v>
      </c>
      <c r="J597" s="7">
        <f>[1]Clothing!S111</f>
        <v>2</v>
      </c>
      <c r="K597" s="159">
        <f t="shared" si="10"/>
        <v>0.37356464144298934</v>
      </c>
    </row>
    <row r="598" spans="1:12" hidden="1">
      <c r="A598" s="7" t="s">
        <v>2046</v>
      </c>
      <c r="B598" s="7">
        <f>[1]Clothing!B112</f>
        <v>2011</v>
      </c>
      <c r="C598" s="7" t="str">
        <f>[1]Clothing!C112</f>
        <v>PET</v>
      </c>
      <c r="D598" s="64">
        <f>[1]Clothing!K112</f>
        <v>1255.6099534356335</v>
      </c>
      <c r="E598" s="7" t="str">
        <f>[1]Input_NL!$E$812</f>
        <v>https://ec.europa.eu/eurostat/databrowser/view/DS-056120__custom_15192557/default/table?lang=en - Low estimate</v>
      </c>
      <c r="F598" s="7">
        <f>[1]Clothing!O112</f>
        <v>1</v>
      </c>
      <c r="G598" s="7">
        <f>[1]Clothing!P112</f>
        <v>1</v>
      </c>
      <c r="H598" s="7">
        <f>[1]Clothing!Q112</f>
        <v>2</v>
      </c>
      <c r="I598" s="7">
        <f>[1]Clothing!R112</f>
        <v>2</v>
      </c>
      <c r="J598" s="7">
        <f>[1]Clothing!S112</f>
        <v>2</v>
      </c>
      <c r="K598" s="159">
        <f t="shared" si="10"/>
        <v>0.37356464144298934</v>
      </c>
    </row>
    <row r="599" spans="1:12" hidden="1">
      <c r="A599" s="7" t="s">
        <v>2046</v>
      </c>
      <c r="B599" s="7">
        <f>[1]Clothing!B113</f>
        <v>2011</v>
      </c>
      <c r="C599" s="7" t="str">
        <f>[1]Clothing!C113</f>
        <v>PUR</v>
      </c>
      <c r="D599" s="64">
        <f>[1]Clothing!K113</f>
        <v>152.60514814044893</v>
      </c>
      <c r="E599" s="7" t="str">
        <f>[1]Input_NL!$E$812</f>
        <v>https://ec.europa.eu/eurostat/databrowser/view/DS-056120__custom_15192557/default/table?lang=en - Low estimate</v>
      </c>
      <c r="F599" s="7">
        <f>[1]Clothing!O113</f>
        <v>1</v>
      </c>
      <c r="G599" s="7">
        <f>[1]Clothing!P113</f>
        <v>1</v>
      </c>
      <c r="H599" s="7">
        <f>[1]Clothing!Q113</f>
        <v>2</v>
      </c>
      <c r="I599" s="7">
        <f>[1]Clothing!R113</f>
        <v>2</v>
      </c>
      <c r="J599" s="7">
        <f>[1]Clothing!S113</f>
        <v>2</v>
      </c>
      <c r="K599" s="159">
        <f t="shared" si="10"/>
        <v>0.37356464144298934</v>
      </c>
    </row>
    <row r="600" spans="1:12" hidden="1">
      <c r="A600" s="7" t="s">
        <v>2046</v>
      </c>
      <c r="B600" s="7">
        <f>[1]Clothing!B114</f>
        <v>2011</v>
      </c>
      <c r="C600" s="7" t="str">
        <f>[1]Clothing!C114</f>
        <v>PVC</v>
      </c>
      <c r="D600" s="64">
        <f>[1]Clothing!K114</f>
        <v>99.107873413830859</v>
      </c>
      <c r="E600" s="7" t="str">
        <f>[1]Input_NL!$E$812</f>
        <v>https://ec.europa.eu/eurostat/databrowser/view/DS-056120__custom_15192557/default/table?lang=en - Low estimate</v>
      </c>
      <c r="F600" s="7">
        <f>[1]Clothing!O114</f>
        <v>1</v>
      </c>
      <c r="G600" s="7">
        <f>[1]Clothing!P114</f>
        <v>1</v>
      </c>
      <c r="H600" s="7">
        <f>[1]Clothing!Q114</f>
        <v>2</v>
      </c>
      <c r="I600" s="7">
        <f>[1]Clothing!R114</f>
        <v>2</v>
      </c>
      <c r="J600" s="7">
        <f>[1]Clothing!S114</f>
        <v>2</v>
      </c>
      <c r="K600" s="159">
        <f t="shared" si="10"/>
        <v>0.37356464144298934</v>
      </c>
    </row>
    <row r="601" spans="1:12" hidden="1">
      <c r="A601" s="7" t="s">
        <v>2046</v>
      </c>
      <c r="B601" s="7">
        <f>[1]Clothing!B115</f>
        <v>2011</v>
      </c>
      <c r="C601" s="7" t="str">
        <f>[1]Clothing!C115</f>
        <v>RUBBER</v>
      </c>
      <c r="D601" s="64">
        <f>[1]Clothing!K115</f>
        <v>215.80381803166551</v>
      </c>
      <c r="E601" s="7" t="str">
        <f>[1]Input_NL!$E$812</f>
        <v>https://ec.europa.eu/eurostat/databrowser/view/DS-056120__custom_15192557/default/table?lang=en - Low estimate</v>
      </c>
      <c r="F601" s="7">
        <f>[1]Clothing!O115</f>
        <v>1</v>
      </c>
      <c r="G601" s="7">
        <f>[1]Clothing!P115</f>
        <v>1</v>
      </c>
      <c r="H601" s="7">
        <f>[1]Clothing!Q115</f>
        <v>2</v>
      </c>
      <c r="I601" s="7">
        <f>[1]Clothing!R115</f>
        <v>2</v>
      </c>
      <c r="J601" s="7">
        <f>[1]Clothing!S115</f>
        <v>2</v>
      </c>
      <c r="K601" s="159">
        <f t="shared" si="10"/>
        <v>0.37356464144298934</v>
      </c>
    </row>
    <row r="602" spans="1:12" hidden="1">
      <c r="A602" s="7" t="s">
        <v>2046</v>
      </c>
      <c r="B602" s="7">
        <f>[1]Clothing!B116</f>
        <v>2012</v>
      </c>
      <c r="C602" s="7" t="str">
        <f>[1]Clothing!C116</f>
        <v>Acryl</v>
      </c>
      <c r="D602" s="64">
        <f>[1]Clothing!K116</f>
        <v>95.679475975761164</v>
      </c>
      <c r="E602" s="7" t="str">
        <f>[1]Input_NL!$E$812</f>
        <v>https://ec.europa.eu/eurostat/databrowser/view/DS-056120__custom_15192557/default/table?lang=en - Low estimate</v>
      </c>
      <c r="F602" s="7">
        <f>[1]Clothing!O116</f>
        <v>1</v>
      </c>
      <c r="G602" s="7">
        <f>[1]Clothing!P116</f>
        <v>1</v>
      </c>
      <c r="H602" s="7">
        <f>[1]Clothing!Q116</f>
        <v>2</v>
      </c>
      <c r="I602" s="7">
        <f>[1]Clothing!R116</f>
        <v>2</v>
      </c>
      <c r="J602" s="7">
        <f>[1]Clothing!S116</f>
        <v>2</v>
      </c>
      <c r="K602" s="159">
        <f t="shared" si="10"/>
        <v>0.37356464144298934</v>
      </c>
    </row>
    <row r="603" spans="1:12" hidden="1">
      <c r="A603" s="7" t="s">
        <v>2046</v>
      </c>
      <c r="B603" s="7">
        <f>[1]Clothing!B117</f>
        <v>2012</v>
      </c>
      <c r="C603" s="7" t="str">
        <f>[1]Clothing!C117</f>
        <v>OTHER</v>
      </c>
      <c r="D603" s="64">
        <f>[1]Clothing!K117</f>
        <v>165.87520937884773</v>
      </c>
      <c r="E603" s="7" t="str">
        <f>[1]Input_NL!$E$812</f>
        <v>https://ec.europa.eu/eurostat/databrowser/view/DS-056120__custom_15192557/default/table?lang=en - Low estimate</v>
      </c>
      <c r="F603" s="7">
        <f>[1]Clothing!O117</f>
        <v>1</v>
      </c>
      <c r="G603" s="7">
        <f>[1]Clothing!P117</f>
        <v>1</v>
      </c>
      <c r="H603" s="7">
        <f>[1]Clothing!Q117</f>
        <v>2</v>
      </c>
      <c r="I603" s="7">
        <f>[1]Clothing!R117</f>
        <v>2</v>
      </c>
      <c r="J603" s="7">
        <f>[1]Clothing!S117</f>
        <v>2</v>
      </c>
      <c r="K603" s="159">
        <f t="shared" si="10"/>
        <v>0.37356464144298934</v>
      </c>
    </row>
    <row r="604" spans="1:12" hidden="1">
      <c r="A604" s="7" t="s">
        <v>2046</v>
      </c>
      <c r="B604" s="7">
        <f>[1]Clothing!B118</f>
        <v>2012</v>
      </c>
      <c r="C604" s="7" t="str">
        <f>[1]Clothing!C118</f>
        <v>PA</v>
      </c>
      <c r="D604" s="64">
        <f>[1]Clothing!K118</f>
        <v>203.80363075095224</v>
      </c>
      <c r="E604" s="7" t="str">
        <f>[1]Input_NL!$E$812</f>
        <v>https://ec.europa.eu/eurostat/databrowser/view/DS-056120__custom_15192557/default/table?lang=en - Low estimate</v>
      </c>
      <c r="F604" s="7">
        <f>[1]Clothing!O118</f>
        <v>1</v>
      </c>
      <c r="G604" s="7">
        <f>[1]Clothing!P118</f>
        <v>1</v>
      </c>
      <c r="H604" s="7">
        <f>[1]Clothing!Q118</f>
        <v>2</v>
      </c>
      <c r="I604" s="7">
        <f>[1]Clothing!R118</f>
        <v>2</v>
      </c>
      <c r="J604" s="7">
        <f>[1]Clothing!S118</f>
        <v>2</v>
      </c>
      <c r="K604" s="159">
        <f t="shared" si="10"/>
        <v>0.37356464144298934</v>
      </c>
    </row>
    <row r="605" spans="1:12" hidden="1">
      <c r="A605" s="7" t="s">
        <v>2046</v>
      </c>
      <c r="B605" s="7">
        <f>[1]Clothing!B119</f>
        <v>2012</v>
      </c>
      <c r="C605" s="7" t="str">
        <f>[1]Clothing!C119</f>
        <v>PET</v>
      </c>
      <c r="D605" s="64">
        <f>[1]Clothing!K119</f>
        <v>1074.6175373409505</v>
      </c>
      <c r="E605" s="7" t="str">
        <f>[1]Input_NL!$E$812</f>
        <v>https://ec.europa.eu/eurostat/databrowser/view/DS-056120__custom_15192557/default/table?lang=en - Low estimate</v>
      </c>
      <c r="F605" s="7">
        <f>[1]Clothing!O119</f>
        <v>1</v>
      </c>
      <c r="G605" s="7">
        <f>[1]Clothing!P119</f>
        <v>1</v>
      </c>
      <c r="H605" s="7">
        <f>[1]Clothing!Q119</f>
        <v>2</v>
      </c>
      <c r="I605" s="7">
        <f>[1]Clothing!R119</f>
        <v>2</v>
      </c>
      <c r="J605" s="7">
        <f>[1]Clothing!S119</f>
        <v>2</v>
      </c>
      <c r="K605" s="159">
        <f t="shared" si="10"/>
        <v>0.37356464144298934</v>
      </c>
    </row>
    <row r="606" spans="1:12" hidden="1">
      <c r="A606" s="7" t="s">
        <v>2046</v>
      </c>
      <c r="B606" s="7">
        <f>[1]Clothing!B120</f>
        <v>2012</v>
      </c>
      <c r="C606" s="7" t="str">
        <f>[1]Clothing!C120</f>
        <v>PUR</v>
      </c>
      <c r="D606" s="64">
        <f>[1]Clothing!K120</f>
        <v>136.00551465713366</v>
      </c>
      <c r="E606" s="7" t="str">
        <f>[1]Input_NL!$E$812</f>
        <v>https://ec.europa.eu/eurostat/databrowser/view/DS-056120__custom_15192557/default/table?lang=en - Low estimate</v>
      </c>
      <c r="F606" s="7">
        <f>[1]Clothing!O120</f>
        <v>1</v>
      </c>
      <c r="G606" s="7">
        <f>[1]Clothing!P120</f>
        <v>1</v>
      </c>
      <c r="H606" s="7">
        <f>[1]Clothing!Q120</f>
        <v>2</v>
      </c>
      <c r="I606" s="7">
        <f>[1]Clothing!R120</f>
        <v>2</v>
      </c>
      <c r="J606" s="7">
        <f>[1]Clothing!S120</f>
        <v>2</v>
      </c>
      <c r="K606" s="159">
        <f t="shared" si="10"/>
        <v>0.37356464144298934</v>
      </c>
    </row>
    <row r="607" spans="1:12" hidden="1">
      <c r="A607" s="7" t="s">
        <v>2046</v>
      </c>
      <c r="B607" s="7">
        <f>[1]Clothing!B121</f>
        <v>2012</v>
      </c>
      <c r="C607" s="7" t="str">
        <f>[1]Clothing!C121</f>
        <v>PVC</v>
      </c>
      <c r="D607" s="64">
        <f>[1]Clothing!K121</f>
        <v>87.815772141648651</v>
      </c>
      <c r="E607" s="7" t="str">
        <f>[1]Input_NL!$E$812</f>
        <v>https://ec.europa.eu/eurostat/databrowser/view/DS-056120__custom_15192557/default/table?lang=en - Low estimate</v>
      </c>
      <c r="F607" s="7">
        <f>[1]Clothing!O121</f>
        <v>1</v>
      </c>
      <c r="G607" s="7">
        <f>[1]Clothing!P121</f>
        <v>1</v>
      </c>
      <c r="H607" s="7">
        <f>[1]Clothing!Q121</f>
        <v>2</v>
      </c>
      <c r="I607" s="7">
        <f>[1]Clothing!R121</f>
        <v>2</v>
      </c>
      <c r="J607" s="7">
        <f>[1]Clothing!S121</f>
        <v>2</v>
      </c>
      <c r="K607" s="159">
        <f t="shared" si="10"/>
        <v>0.37356464144298934</v>
      </c>
    </row>
    <row r="608" spans="1:12" hidden="1">
      <c r="A608" s="7" t="s">
        <v>2046</v>
      </c>
      <c r="B608" s="7">
        <f>[1]Clothing!B122</f>
        <v>2012</v>
      </c>
      <c r="C608" s="7" t="str">
        <f>[1]Clothing!C122</f>
        <v>RUBBER</v>
      </c>
      <c r="D608" s="64">
        <f>[1]Clothing!K122</f>
        <v>186.02629325631176</v>
      </c>
      <c r="E608" s="7" t="str">
        <f>[1]Input_NL!$E$812</f>
        <v>https://ec.europa.eu/eurostat/databrowser/view/DS-056120__custom_15192557/default/table?lang=en - Low estimate</v>
      </c>
      <c r="F608" s="7">
        <f>[1]Clothing!O122</f>
        <v>1</v>
      </c>
      <c r="G608" s="7">
        <f>[1]Clothing!P122</f>
        <v>1</v>
      </c>
      <c r="H608" s="7">
        <f>[1]Clothing!Q122</f>
        <v>2</v>
      </c>
      <c r="I608" s="7">
        <f>[1]Clothing!R122</f>
        <v>2</v>
      </c>
      <c r="J608" s="7">
        <f>[1]Clothing!S122</f>
        <v>2</v>
      </c>
      <c r="K608" s="159">
        <f t="shared" si="10"/>
        <v>0.37356464144298934</v>
      </c>
    </row>
    <row r="609" spans="1:11" hidden="1">
      <c r="A609" s="7" t="s">
        <v>2046</v>
      </c>
      <c r="B609" s="7">
        <f>[1]Clothing!B123</f>
        <v>2013</v>
      </c>
      <c r="C609" s="7" t="str">
        <f>[1]Clothing!C123</f>
        <v>Acryl</v>
      </c>
      <c r="D609" s="64">
        <f>[1]Clothing!K123</f>
        <v>101.37217451932561</v>
      </c>
      <c r="E609" s="7" t="str">
        <f>[1]Input_NL!$E$812</f>
        <v>https://ec.europa.eu/eurostat/databrowser/view/DS-056120__custom_15192557/default/table?lang=en - Low estimate</v>
      </c>
      <c r="F609" s="7">
        <f>[1]Clothing!O123</f>
        <v>1</v>
      </c>
      <c r="G609" s="7">
        <f>[1]Clothing!P123</f>
        <v>1</v>
      </c>
      <c r="H609" s="7">
        <f>[1]Clothing!Q123</f>
        <v>2</v>
      </c>
      <c r="I609" s="7">
        <f>[1]Clothing!R123</f>
        <v>2</v>
      </c>
      <c r="J609" s="7">
        <f>[1]Clothing!S123</f>
        <v>2</v>
      </c>
      <c r="K609" s="159">
        <f t="shared" si="10"/>
        <v>0.37356464144298934</v>
      </c>
    </row>
    <row r="610" spans="1:11" hidden="1">
      <c r="A610" s="7" t="s">
        <v>2046</v>
      </c>
      <c r="B610" s="7">
        <f>[1]Clothing!B124</f>
        <v>2013</v>
      </c>
      <c r="C610" s="7" t="str">
        <f>[1]Clothing!C124</f>
        <v>OTHER</v>
      </c>
      <c r="D610" s="64">
        <f>[1]Clothing!K124</f>
        <v>172.72011454363258</v>
      </c>
      <c r="E610" s="7" t="str">
        <f>[1]Input_NL!$E$812</f>
        <v>https://ec.europa.eu/eurostat/databrowser/view/DS-056120__custom_15192557/default/table?lang=en - Low estimate</v>
      </c>
      <c r="F610" s="7">
        <f>[1]Clothing!O124</f>
        <v>1</v>
      </c>
      <c r="G610" s="7">
        <f>[1]Clothing!P124</f>
        <v>1</v>
      </c>
      <c r="H610" s="7">
        <f>[1]Clothing!Q124</f>
        <v>2</v>
      </c>
      <c r="I610" s="7">
        <f>[1]Clothing!R124</f>
        <v>2</v>
      </c>
      <c r="J610" s="7">
        <f>[1]Clothing!S124</f>
        <v>2</v>
      </c>
      <c r="K610" s="159">
        <f t="shared" si="10"/>
        <v>0.37356464144298934</v>
      </c>
    </row>
    <row r="611" spans="1:11" hidden="1">
      <c r="A611" s="7" t="s">
        <v>2046</v>
      </c>
      <c r="B611" s="7">
        <f>[1]Clothing!B125</f>
        <v>2013</v>
      </c>
      <c r="C611" s="7" t="str">
        <f>[1]Clothing!C125</f>
        <v>PA</v>
      </c>
      <c r="D611" s="64">
        <f>[1]Clothing!K125</f>
        <v>213.02135330109527</v>
      </c>
      <c r="E611" s="7" t="str">
        <f>[1]Input_NL!$E$812</f>
        <v>https://ec.europa.eu/eurostat/databrowser/view/DS-056120__custom_15192557/default/table?lang=en - Low estimate</v>
      </c>
      <c r="F611" s="7">
        <f>[1]Clothing!O125</f>
        <v>1</v>
      </c>
      <c r="G611" s="7">
        <f>[1]Clothing!P125</f>
        <v>1</v>
      </c>
      <c r="H611" s="7">
        <f>[1]Clothing!Q125</f>
        <v>2</v>
      </c>
      <c r="I611" s="7">
        <f>[1]Clothing!R125</f>
        <v>2</v>
      </c>
      <c r="J611" s="7">
        <f>[1]Clothing!S125</f>
        <v>2</v>
      </c>
      <c r="K611" s="159">
        <f t="shared" si="10"/>
        <v>0.37356464144298934</v>
      </c>
    </row>
    <row r="612" spans="1:11" hidden="1">
      <c r="A612" s="7" t="s">
        <v>2046</v>
      </c>
      <c r="B612" s="7">
        <f>[1]Clothing!B126</f>
        <v>2013</v>
      </c>
      <c r="C612" s="7" t="str">
        <f>[1]Clothing!C126</f>
        <v>PET</v>
      </c>
      <c r="D612" s="64">
        <f>[1]Clothing!K126</f>
        <v>1129.5225554743433</v>
      </c>
      <c r="E612" s="7" t="str">
        <f>[1]Input_NL!$E$812</f>
        <v>https://ec.europa.eu/eurostat/databrowser/view/DS-056120__custom_15192557/default/table?lang=en - Low estimate</v>
      </c>
      <c r="F612" s="7">
        <f>[1]Clothing!O126</f>
        <v>1</v>
      </c>
      <c r="G612" s="7">
        <f>[1]Clothing!P126</f>
        <v>1</v>
      </c>
      <c r="H612" s="7">
        <f>[1]Clothing!Q126</f>
        <v>2</v>
      </c>
      <c r="I612" s="7">
        <f>[1]Clothing!R126</f>
        <v>2</v>
      </c>
      <c r="J612" s="7">
        <f>[1]Clothing!S126</f>
        <v>2</v>
      </c>
      <c r="K612" s="159">
        <f t="shared" si="10"/>
        <v>0.37356464144298934</v>
      </c>
    </row>
    <row r="613" spans="1:11" hidden="1">
      <c r="A613" s="7" t="s">
        <v>2046</v>
      </c>
      <c r="B613" s="7">
        <f>[1]Clothing!B127</f>
        <v>2013</v>
      </c>
      <c r="C613" s="7" t="str">
        <f>[1]Clothing!C127</f>
        <v>PUR</v>
      </c>
      <c r="D613" s="64">
        <f>[1]Clothing!K127</f>
        <v>139.32868413165403</v>
      </c>
      <c r="E613" s="7" t="str">
        <f>[1]Input_NL!$E$812</f>
        <v>https://ec.europa.eu/eurostat/databrowser/view/DS-056120__custom_15192557/default/table?lang=en - Low estimate</v>
      </c>
      <c r="F613" s="7">
        <f>[1]Clothing!O127</f>
        <v>1</v>
      </c>
      <c r="G613" s="7">
        <f>[1]Clothing!P127</f>
        <v>1</v>
      </c>
      <c r="H613" s="7">
        <f>[1]Clothing!Q127</f>
        <v>2</v>
      </c>
      <c r="I613" s="7">
        <f>[1]Clothing!R127</f>
        <v>2</v>
      </c>
      <c r="J613" s="7">
        <f>[1]Clothing!S127</f>
        <v>2</v>
      </c>
      <c r="K613" s="159">
        <f t="shared" si="10"/>
        <v>0.37356464144298934</v>
      </c>
    </row>
    <row r="614" spans="1:11" hidden="1">
      <c r="A614" s="7" t="s">
        <v>2046</v>
      </c>
      <c r="B614" s="7">
        <f>[1]Clothing!B128</f>
        <v>2013</v>
      </c>
      <c r="C614" s="7" t="str">
        <f>[1]Clothing!C128</f>
        <v>PVC</v>
      </c>
      <c r="D614" s="64">
        <f>[1]Clothing!K128</f>
        <v>90.048788857326286</v>
      </c>
      <c r="E614" s="7" t="str">
        <f>[1]Input_NL!$E$812</f>
        <v>https://ec.europa.eu/eurostat/databrowser/view/DS-056120__custom_15192557/default/table?lang=en - Low estimate</v>
      </c>
      <c r="F614" s="7">
        <f>[1]Clothing!O128</f>
        <v>1</v>
      </c>
      <c r="G614" s="7">
        <f>[1]Clothing!P128</f>
        <v>1</v>
      </c>
      <c r="H614" s="7">
        <f>[1]Clothing!Q128</f>
        <v>2</v>
      </c>
      <c r="I614" s="7">
        <f>[1]Clothing!R128</f>
        <v>2</v>
      </c>
      <c r="J614" s="7">
        <f>[1]Clothing!S128</f>
        <v>2</v>
      </c>
      <c r="K614" s="159">
        <f t="shared" si="10"/>
        <v>0.37356464144298934</v>
      </c>
    </row>
    <row r="615" spans="1:11" hidden="1">
      <c r="A615" s="7" t="s">
        <v>2046</v>
      </c>
      <c r="B615" s="7">
        <f>[1]Clothing!B129</f>
        <v>2013</v>
      </c>
      <c r="C615" s="7" t="str">
        <f>[1]Clothing!C129</f>
        <v>RUBBER</v>
      </c>
      <c r="D615" s="64">
        <f>[1]Clothing!K129</f>
        <v>191.98337676717932</v>
      </c>
      <c r="E615" s="7" t="str">
        <f>[1]Input_NL!$E$812</f>
        <v>https://ec.europa.eu/eurostat/databrowser/view/DS-056120__custom_15192557/default/table?lang=en - Low estimate</v>
      </c>
      <c r="F615" s="7">
        <f>[1]Clothing!O129</f>
        <v>1</v>
      </c>
      <c r="G615" s="7">
        <f>[1]Clothing!P129</f>
        <v>1</v>
      </c>
      <c r="H615" s="7">
        <f>[1]Clothing!Q129</f>
        <v>2</v>
      </c>
      <c r="I615" s="7">
        <f>[1]Clothing!R129</f>
        <v>2</v>
      </c>
      <c r="J615" s="7">
        <f>[1]Clothing!S129</f>
        <v>2</v>
      </c>
      <c r="K615" s="159">
        <f t="shared" si="10"/>
        <v>0.37356464144298934</v>
      </c>
    </row>
    <row r="616" spans="1:11" hidden="1">
      <c r="A616" s="7" t="s">
        <v>2046</v>
      </c>
      <c r="B616" s="7">
        <f>[1]Clothing!B130</f>
        <v>2014</v>
      </c>
      <c r="C616" s="7" t="str">
        <f>[1]Clothing!C130</f>
        <v>Acryl</v>
      </c>
      <c r="D616" s="64">
        <f>[1]Clothing!K130</f>
        <v>114.60964804554116</v>
      </c>
      <c r="E616" s="7" t="str">
        <f>[1]Input_NL!$E$812</f>
        <v>https://ec.europa.eu/eurostat/databrowser/view/DS-056120__custom_15192557/default/table?lang=en - Low estimate</v>
      </c>
      <c r="F616" s="7">
        <f>[1]Clothing!O130</f>
        <v>1</v>
      </c>
      <c r="G616" s="7">
        <f>[1]Clothing!P130</f>
        <v>1</v>
      </c>
      <c r="H616" s="7">
        <f>[1]Clothing!Q130</f>
        <v>2</v>
      </c>
      <c r="I616" s="7">
        <f>[1]Clothing!R130</f>
        <v>2</v>
      </c>
      <c r="J616" s="7">
        <f>[1]Clothing!S130</f>
        <v>2</v>
      </c>
      <c r="K616" s="159">
        <f t="shared" si="10"/>
        <v>0.37356464144298934</v>
      </c>
    </row>
    <row r="617" spans="1:11" hidden="1">
      <c r="A617" s="7" t="s">
        <v>2046</v>
      </c>
      <c r="B617" s="7">
        <f>[1]Clothing!B131</f>
        <v>2014</v>
      </c>
      <c r="C617" s="7" t="str">
        <f>[1]Clothing!C131</f>
        <v>OTHER</v>
      </c>
      <c r="D617" s="64">
        <f>[1]Clothing!K131</f>
        <v>190.75321928450364</v>
      </c>
      <c r="E617" s="7" t="str">
        <f>[1]Input_NL!$E$812</f>
        <v>https://ec.europa.eu/eurostat/databrowser/view/DS-056120__custom_15192557/default/table?lang=en - Low estimate</v>
      </c>
      <c r="F617" s="7">
        <f>[1]Clothing!O131</f>
        <v>1</v>
      </c>
      <c r="G617" s="7">
        <f>[1]Clothing!P131</f>
        <v>1</v>
      </c>
      <c r="H617" s="7">
        <f>[1]Clothing!Q131</f>
        <v>2</v>
      </c>
      <c r="I617" s="7">
        <f>[1]Clothing!R131</f>
        <v>2</v>
      </c>
      <c r="J617" s="7">
        <f>[1]Clothing!S131</f>
        <v>2</v>
      </c>
      <c r="K617" s="159">
        <f t="shared" si="10"/>
        <v>0.37356464144298934</v>
      </c>
    </row>
    <row r="618" spans="1:11" hidden="1">
      <c r="A618" s="7" t="s">
        <v>2046</v>
      </c>
      <c r="B618" s="7">
        <f>[1]Clothing!B132</f>
        <v>2014</v>
      </c>
      <c r="C618" s="7" t="str">
        <f>[1]Clothing!C132</f>
        <v>PA</v>
      </c>
      <c r="D618" s="64">
        <f>[1]Clothing!K132</f>
        <v>234.78523689282349</v>
      </c>
      <c r="E618" s="7" t="str">
        <f>[1]Input_NL!$E$812</f>
        <v>https://ec.europa.eu/eurostat/databrowser/view/DS-056120__custom_15192557/default/table?lang=en - Low estimate</v>
      </c>
      <c r="F618" s="7">
        <f>[1]Clothing!O132</f>
        <v>1</v>
      </c>
      <c r="G618" s="7">
        <f>[1]Clothing!P132</f>
        <v>1</v>
      </c>
      <c r="H618" s="7">
        <f>[1]Clothing!Q132</f>
        <v>2</v>
      </c>
      <c r="I618" s="7">
        <f>[1]Clothing!R132</f>
        <v>2</v>
      </c>
      <c r="J618" s="7">
        <f>[1]Clothing!S132</f>
        <v>2</v>
      </c>
      <c r="K618" s="159">
        <f t="shared" si="10"/>
        <v>0.37356464144298934</v>
      </c>
    </row>
    <row r="619" spans="1:11" hidden="1">
      <c r="A619" s="7" t="s">
        <v>2046</v>
      </c>
      <c r="B619" s="7">
        <f>[1]Clothing!B133</f>
        <v>2014</v>
      </c>
      <c r="C619" s="7" t="str">
        <f>[1]Clothing!C133</f>
        <v>PET</v>
      </c>
      <c r="D619" s="64">
        <f>[1]Clothing!K133</f>
        <v>1237.8019722043498</v>
      </c>
      <c r="E619" s="7" t="str">
        <f>[1]Input_NL!$E$812</f>
        <v>https://ec.europa.eu/eurostat/databrowser/view/DS-056120__custom_15192557/default/table?lang=en - Low estimate</v>
      </c>
      <c r="F619" s="7">
        <f>[1]Clothing!O133</f>
        <v>1</v>
      </c>
      <c r="G619" s="7">
        <f>[1]Clothing!P133</f>
        <v>1</v>
      </c>
      <c r="H619" s="7">
        <f>[1]Clothing!Q133</f>
        <v>2</v>
      </c>
      <c r="I619" s="7">
        <f>[1]Clothing!R133</f>
        <v>2</v>
      </c>
      <c r="J619" s="7">
        <f>[1]Clothing!S133</f>
        <v>2</v>
      </c>
      <c r="K619" s="159">
        <f t="shared" si="10"/>
        <v>0.37356464144298934</v>
      </c>
    </row>
    <row r="620" spans="1:11" hidden="1">
      <c r="A620" s="7" t="s">
        <v>2046</v>
      </c>
      <c r="B620" s="7">
        <f>[1]Clothing!B134</f>
        <v>2014</v>
      </c>
      <c r="C620" s="7" t="str">
        <f>[1]Clothing!C134</f>
        <v>PUR</v>
      </c>
      <c r="D620" s="64">
        <f>[1]Clothing!K134</f>
        <v>151.55793255507916</v>
      </c>
      <c r="E620" s="7" t="str">
        <f>[1]Input_NL!$E$812</f>
        <v>https://ec.europa.eu/eurostat/databrowser/view/DS-056120__custom_15192557/default/table?lang=en - Low estimate</v>
      </c>
      <c r="F620" s="7">
        <f>[1]Clothing!O134</f>
        <v>1</v>
      </c>
      <c r="G620" s="7">
        <f>[1]Clothing!P134</f>
        <v>1</v>
      </c>
      <c r="H620" s="7">
        <f>[1]Clothing!Q134</f>
        <v>2</v>
      </c>
      <c r="I620" s="7">
        <f>[1]Clothing!R134</f>
        <v>2</v>
      </c>
      <c r="J620" s="7">
        <f>[1]Clothing!S134</f>
        <v>2</v>
      </c>
      <c r="K620" s="159">
        <f t="shared" si="10"/>
        <v>0.37356464144298934</v>
      </c>
    </row>
    <row r="621" spans="1:11" hidden="1">
      <c r="A621" s="7" t="s">
        <v>2046</v>
      </c>
      <c r="B621" s="7">
        <f>[1]Clothing!B135</f>
        <v>2014</v>
      </c>
      <c r="C621" s="7" t="str">
        <f>[1]Clothing!C135</f>
        <v>PVC</v>
      </c>
      <c r="D621" s="64">
        <f>[1]Clothing!K135</f>
        <v>97.987899486336815</v>
      </c>
      <c r="E621" s="7" t="str">
        <f>[1]Input_NL!$E$812</f>
        <v>https://ec.europa.eu/eurostat/databrowser/view/DS-056120__custom_15192557/default/table?lang=en - Low estimate</v>
      </c>
      <c r="F621" s="7">
        <f>[1]Clothing!O135</f>
        <v>1</v>
      </c>
      <c r="G621" s="7">
        <f>[1]Clothing!P135</f>
        <v>1</v>
      </c>
      <c r="H621" s="7">
        <f>[1]Clothing!Q135</f>
        <v>2</v>
      </c>
      <c r="I621" s="7">
        <f>[1]Clothing!R135</f>
        <v>2</v>
      </c>
      <c r="J621" s="7">
        <f>[1]Clothing!S135</f>
        <v>2</v>
      </c>
      <c r="K621" s="159">
        <f t="shared" si="10"/>
        <v>0.37356464144298934</v>
      </c>
    </row>
    <row r="622" spans="1:11" hidden="1">
      <c r="A622" s="7" t="s">
        <v>2046</v>
      </c>
      <c r="B622" s="7">
        <f>[1]Clothing!B136</f>
        <v>2014</v>
      </c>
      <c r="C622" s="7" t="str">
        <f>[1]Clothing!C136</f>
        <v>RUBBER</v>
      </c>
      <c r="D622" s="64">
        <f>[1]Clothing!K136</f>
        <v>208.23906228848693</v>
      </c>
      <c r="E622" s="7" t="str">
        <f>[1]Input_NL!$E$812</f>
        <v>https://ec.europa.eu/eurostat/databrowser/view/DS-056120__custom_15192557/default/table?lang=en - Low estimate</v>
      </c>
      <c r="F622" s="7">
        <f>[1]Clothing!O136</f>
        <v>1</v>
      </c>
      <c r="G622" s="7">
        <f>[1]Clothing!P136</f>
        <v>1</v>
      </c>
      <c r="H622" s="7">
        <f>[1]Clothing!Q136</f>
        <v>2</v>
      </c>
      <c r="I622" s="7">
        <f>[1]Clothing!R136</f>
        <v>2</v>
      </c>
      <c r="J622" s="7">
        <f>[1]Clothing!S136</f>
        <v>2</v>
      </c>
      <c r="K622" s="159">
        <f t="shared" si="10"/>
        <v>0.37356464144298934</v>
      </c>
    </row>
    <row r="623" spans="1:11" hidden="1">
      <c r="A623" s="7" t="s">
        <v>2046</v>
      </c>
      <c r="B623" s="7">
        <f>[1]Clothing!B137</f>
        <v>2015</v>
      </c>
      <c r="C623" s="7" t="str">
        <f>[1]Clothing!C137</f>
        <v>Acryl</v>
      </c>
      <c r="D623" s="64">
        <f>[1]Clothing!K137</f>
        <v>107.03086293533588</v>
      </c>
      <c r="E623" s="7" t="str">
        <f>[1]Input_NL!$E$812</f>
        <v>https://ec.europa.eu/eurostat/databrowser/view/DS-056120__custom_15192557/default/table?lang=en - Low estimate</v>
      </c>
      <c r="F623" s="7">
        <f>[1]Clothing!O137</f>
        <v>1</v>
      </c>
      <c r="G623" s="7">
        <f>[1]Clothing!P137</f>
        <v>1</v>
      </c>
      <c r="H623" s="7">
        <f>[1]Clothing!Q137</f>
        <v>2</v>
      </c>
      <c r="I623" s="7">
        <f>[1]Clothing!R137</f>
        <v>2</v>
      </c>
      <c r="J623" s="7">
        <f>[1]Clothing!S137</f>
        <v>2</v>
      </c>
      <c r="K623" s="159">
        <f t="shared" si="10"/>
        <v>0.37356464144298934</v>
      </c>
    </row>
    <row r="624" spans="1:11" hidden="1">
      <c r="A624" s="7" t="s">
        <v>2046</v>
      </c>
      <c r="B624" s="7">
        <f>[1]Clothing!B138</f>
        <v>2015</v>
      </c>
      <c r="C624" s="7" t="str">
        <f>[1]Clothing!C138</f>
        <v>OTHER</v>
      </c>
      <c r="D624" s="64">
        <f>[1]Clothing!K138</f>
        <v>172.59820103270866</v>
      </c>
      <c r="E624" s="7" t="str">
        <f>[1]Input_NL!$E$812</f>
        <v>https://ec.europa.eu/eurostat/databrowser/view/DS-056120__custom_15192557/default/table?lang=en - Low estimate</v>
      </c>
      <c r="F624" s="7">
        <f>[1]Clothing!O138</f>
        <v>1</v>
      </c>
      <c r="G624" s="7">
        <f>[1]Clothing!P138</f>
        <v>1</v>
      </c>
      <c r="H624" s="7">
        <f>[1]Clothing!Q138</f>
        <v>2</v>
      </c>
      <c r="I624" s="7">
        <f>[1]Clothing!R138</f>
        <v>2</v>
      </c>
      <c r="J624" s="7">
        <f>[1]Clothing!S138</f>
        <v>2</v>
      </c>
      <c r="K624" s="159">
        <f t="shared" si="10"/>
        <v>0.37356464144298934</v>
      </c>
    </row>
    <row r="625" spans="1:11" hidden="1">
      <c r="A625" s="7" t="s">
        <v>2046</v>
      </c>
      <c r="B625" s="7">
        <f>[1]Clothing!B139</f>
        <v>2015</v>
      </c>
      <c r="C625" s="7" t="str">
        <f>[1]Clothing!C139</f>
        <v>PA</v>
      </c>
      <c r="D625" s="64">
        <f>[1]Clothing!K139</f>
        <v>221.28909889497507</v>
      </c>
      <c r="E625" s="7" t="str">
        <f>[1]Input_NL!$E$812</f>
        <v>https://ec.europa.eu/eurostat/databrowser/view/DS-056120__custom_15192557/default/table?lang=en - Low estimate</v>
      </c>
      <c r="F625" s="7">
        <f>[1]Clothing!O139</f>
        <v>1</v>
      </c>
      <c r="G625" s="7">
        <f>[1]Clothing!P139</f>
        <v>1</v>
      </c>
      <c r="H625" s="7">
        <f>[1]Clothing!Q139</f>
        <v>2</v>
      </c>
      <c r="I625" s="7">
        <f>[1]Clothing!R139</f>
        <v>2</v>
      </c>
      <c r="J625" s="7">
        <f>[1]Clothing!S139</f>
        <v>2</v>
      </c>
      <c r="K625" s="159">
        <f t="shared" si="10"/>
        <v>0.37356464144298934</v>
      </c>
    </row>
    <row r="626" spans="1:11" hidden="1">
      <c r="A626" s="7" t="s">
        <v>2046</v>
      </c>
      <c r="B626" s="7">
        <f>[1]Clothing!B140</f>
        <v>2015</v>
      </c>
      <c r="C626" s="7" t="str">
        <f>[1]Clothing!C140</f>
        <v>PET</v>
      </c>
      <c r="D626" s="64">
        <f>[1]Clothing!K140</f>
        <v>1175.1946983691003</v>
      </c>
      <c r="E626" s="7" t="str">
        <f>[1]Input_NL!$E$812</f>
        <v>https://ec.europa.eu/eurostat/databrowser/view/DS-056120__custom_15192557/default/table?lang=en - Low estimate</v>
      </c>
      <c r="F626" s="7">
        <f>[1]Clothing!O140</f>
        <v>1</v>
      </c>
      <c r="G626" s="7">
        <f>[1]Clothing!P140</f>
        <v>1</v>
      </c>
      <c r="H626" s="7">
        <f>[1]Clothing!Q140</f>
        <v>2</v>
      </c>
      <c r="I626" s="7">
        <f>[1]Clothing!R140</f>
        <v>2</v>
      </c>
      <c r="J626" s="7">
        <f>[1]Clothing!S140</f>
        <v>2</v>
      </c>
      <c r="K626" s="159">
        <f t="shared" si="10"/>
        <v>0.37356464144298934</v>
      </c>
    </row>
    <row r="627" spans="1:11" hidden="1">
      <c r="A627" s="7" t="s">
        <v>2046</v>
      </c>
      <c r="B627" s="7">
        <f>[1]Clothing!B141</f>
        <v>2015</v>
      </c>
      <c r="C627" s="7" t="str">
        <f>[1]Clothing!C141</f>
        <v>PUR</v>
      </c>
      <c r="D627" s="64">
        <f>[1]Clothing!K141</f>
        <v>143.54856737159724</v>
      </c>
      <c r="E627" s="7" t="str">
        <f>[1]Input_NL!$E$812</f>
        <v>https://ec.europa.eu/eurostat/databrowser/view/DS-056120__custom_15192557/default/table?lang=en - Low estimate</v>
      </c>
      <c r="F627" s="7">
        <f>[1]Clothing!O141</f>
        <v>1</v>
      </c>
      <c r="G627" s="7">
        <f>[1]Clothing!P141</f>
        <v>1</v>
      </c>
      <c r="H627" s="7">
        <f>[1]Clothing!Q141</f>
        <v>2</v>
      </c>
      <c r="I627" s="7">
        <f>[1]Clothing!R141</f>
        <v>2</v>
      </c>
      <c r="J627" s="7">
        <f>[1]Clothing!S141</f>
        <v>2</v>
      </c>
      <c r="K627" s="159">
        <f t="shared" si="10"/>
        <v>0.37356464144298934</v>
      </c>
    </row>
    <row r="628" spans="1:11" hidden="1">
      <c r="A628" s="7" t="s">
        <v>2046</v>
      </c>
      <c r="B628" s="7">
        <f>[1]Clothing!B142</f>
        <v>2015</v>
      </c>
      <c r="C628" s="7" t="str">
        <f>[1]Clothing!C142</f>
        <v>PVC</v>
      </c>
      <c r="D628" s="64">
        <f>[1]Clothing!K142</f>
        <v>92.333783098464409</v>
      </c>
      <c r="E628" s="7" t="str">
        <f>[1]Input_NL!$E$812</f>
        <v>https://ec.europa.eu/eurostat/databrowser/view/DS-056120__custom_15192557/default/table?lang=en - Low estimate</v>
      </c>
      <c r="F628" s="7">
        <f>[1]Clothing!O142</f>
        <v>1</v>
      </c>
      <c r="G628" s="7">
        <f>[1]Clothing!P142</f>
        <v>1</v>
      </c>
      <c r="H628" s="7">
        <f>[1]Clothing!Q142</f>
        <v>2</v>
      </c>
      <c r="I628" s="7">
        <f>[1]Clothing!R142</f>
        <v>2</v>
      </c>
      <c r="J628" s="7">
        <f>[1]Clothing!S142</f>
        <v>2</v>
      </c>
      <c r="K628" s="159">
        <f t="shared" si="10"/>
        <v>0.37356464144298934</v>
      </c>
    </row>
    <row r="629" spans="1:11" hidden="1">
      <c r="A629" s="7" t="s">
        <v>2046</v>
      </c>
      <c r="B629" s="7">
        <f>[1]Clothing!B143</f>
        <v>2015</v>
      </c>
      <c r="C629" s="7" t="str">
        <f>[1]Clothing!C143</f>
        <v>RUBBER</v>
      </c>
      <c r="D629" s="64">
        <f>[1]Clothing!K143</f>
        <v>190.87933040780692</v>
      </c>
      <c r="E629" s="7" t="str">
        <f>[1]Input_NL!$E$812</f>
        <v>https://ec.europa.eu/eurostat/databrowser/view/DS-056120__custom_15192557/default/table?lang=en - Low estimate</v>
      </c>
      <c r="F629" s="7">
        <f>[1]Clothing!O143</f>
        <v>1</v>
      </c>
      <c r="G629" s="7">
        <f>[1]Clothing!P143</f>
        <v>1</v>
      </c>
      <c r="H629" s="7">
        <f>[1]Clothing!Q143</f>
        <v>2</v>
      </c>
      <c r="I629" s="7">
        <f>[1]Clothing!R143</f>
        <v>2</v>
      </c>
      <c r="J629" s="7">
        <f>[1]Clothing!S143</f>
        <v>2</v>
      </c>
      <c r="K629" s="159">
        <f t="shared" si="10"/>
        <v>0.37356464144298934</v>
      </c>
    </row>
    <row r="630" spans="1:11" hidden="1">
      <c r="A630" s="7" t="s">
        <v>2046</v>
      </c>
      <c r="B630" s="7">
        <f>[1]Clothing!B144</f>
        <v>2016</v>
      </c>
      <c r="C630" s="7" t="str">
        <f>[1]Clothing!C144</f>
        <v>Acryl</v>
      </c>
      <c r="D630" s="64">
        <f>[1]Clothing!K144</f>
        <v>111.6723129886563</v>
      </c>
      <c r="E630" s="7" t="str">
        <f>[1]Input_NL!$E$812</f>
        <v>https://ec.europa.eu/eurostat/databrowser/view/DS-056120__custom_15192557/default/table?lang=en - Low estimate</v>
      </c>
      <c r="F630" s="7">
        <f>[1]Clothing!O144</f>
        <v>1</v>
      </c>
      <c r="G630" s="7">
        <f>[1]Clothing!P144</f>
        <v>1</v>
      </c>
      <c r="H630" s="7">
        <f>[1]Clothing!Q144</f>
        <v>2</v>
      </c>
      <c r="I630" s="7">
        <f>[1]Clothing!R144</f>
        <v>2</v>
      </c>
      <c r="J630" s="7">
        <f>[1]Clothing!S144</f>
        <v>2</v>
      </c>
      <c r="K630" s="159">
        <f t="shared" si="10"/>
        <v>0.37356464144298934</v>
      </c>
    </row>
    <row r="631" spans="1:11" hidden="1">
      <c r="A631" s="7" t="s">
        <v>2046</v>
      </c>
      <c r="B631" s="7">
        <f>[1]Clothing!B145</f>
        <v>2016</v>
      </c>
      <c r="C631" s="7" t="str">
        <f>[1]Clothing!C145</f>
        <v>OTHER</v>
      </c>
      <c r="D631" s="64">
        <f>[1]Clothing!K145</f>
        <v>172.89598699386963</v>
      </c>
      <c r="E631" s="7" t="str">
        <f>[1]Input_NL!$E$812</f>
        <v>https://ec.europa.eu/eurostat/databrowser/view/DS-056120__custom_15192557/default/table?lang=en - Low estimate</v>
      </c>
      <c r="F631" s="7">
        <f>[1]Clothing!O145</f>
        <v>1</v>
      </c>
      <c r="G631" s="7">
        <f>[1]Clothing!P145</f>
        <v>1</v>
      </c>
      <c r="H631" s="7">
        <f>[1]Clothing!Q145</f>
        <v>2</v>
      </c>
      <c r="I631" s="7">
        <f>[1]Clothing!R145</f>
        <v>2</v>
      </c>
      <c r="J631" s="7">
        <f>[1]Clothing!S145</f>
        <v>2</v>
      </c>
      <c r="K631" s="159">
        <f t="shared" si="10"/>
        <v>0.37356464144298934</v>
      </c>
    </row>
    <row r="632" spans="1:11" hidden="1">
      <c r="A632" s="7" t="s">
        <v>2046</v>
      </c>
      <c r="B632" s="7">
        <f>[1]Clothing!B146</f>
        <v>2016</v>
      </c>
      <c r="C632" s="7" t="str">
        <f>[1]Clothing!C146</f>
        <v>PA</v>
      </c>
      <c r="D632" s="64">
        <f>[1]Clothing!K146</f>
        <v>230.42517837354072</v>
      </c>
      <c r="E632" s="7" t="str">
        <f>[1]Input_NL!$E$812</f>
        <v>https://ec.europa.eu/eurostat/databrowser/view/DS-056120__custom_15192557/default/table?lang=en - Low estimate</v>
      </c>
      <c r="F632" s="7">
        <f>[1]Clothing!O146</f>
        <v>1</v>
      </c>
      <c r="G632" s="7">
        <f>[1]Clothing!P146</f>
        <v>1</v>
      </c>
      <c r="H632" s="7">
        <f>[1]Clothing!Q146</f>
        <v>2</v>
      </c>
      <c r="I632" s="7">
        <f>[1]Clothing!R146</f>
        <v>2</v>
      </c>
      <c r="J632" s="7">
        <f>[1]Clothing!S146</f>
        <v>2</v>
      </c>
      <c r="K632" s="159">
        <f t="shared" si="10"/>
        <v>0.37356464144298934</v>
      </c>
    </row>
    <row r="633" spans="1:11" hidden="1">
      <c r="A633" s="7" t="s">
        <v>2046</v>
      </c>
      <c r="B633" s="7">
        <f>[1]Clothing!B147</f>
        <v>2016</v>
      </c>
      <c r="C633" s="7" t="str">
        <f>[1]Clothing!C147</f>
        <v>PET</v>
      </c>
      <c r="D633" s="64">
        <f>[1]Clothing!K147</f>
        <v>1215.7818340634547</v>
      </c>
      <c r="E633" s="7" t="str">
        <f>[1]Input_NL!$E$812</f>
        <v>https://ec.europa.eu/eurostat/databrowser/view/DS-056120__custom_15192557/default/table?lang=en - Low estimate</v>
      </c>
      <c r="F633" s="7">
        <f>[1]Clothing!O147</f>
        <v>1</v>
      </c>
      <c r="G633" s="7">
        <f>[1]Clothing!P147</f>
        <v>1</v>
      </c>
      <c r="H633" s="7">
        <f>[1]Clothing!Q147</f>
        <v>2</v>
      </c>
      <c r="I633" s="7">
        <f>[1]Clothing!R147</f>
        <v>2</v>
      </c>
      <c r="J633" s="7">
        <f>[1]Clothing!S147</f>
        <v>2</v>
      </c>
      <c r="K633" s="159">
        <f t="shared" si="10"/>
        <v>0.37356464144298934</v>
      </c>
    </row>
    <row r="634" spans="1:11" hidden="1">
      <c r="A634" s="7" t="s">
        <v>2046</v>
      </c>
      <c r="B634" s="7">
        <f>[1]Clothing!B148</f>
        <v>2016</v>
      </c>
      <c r="C634" s="7" t="str">
        <f>[1]Clothing!C148</f>
        <v>PUR</v>
      </c>
      <c r="D634" s="64">
        <f>[1]Clothing!K148</f>
        <v>141.48615135444686</v>
      </c>
      <c r="E634" s="7" t="str">
        <f>[1]Input_NL!$E$812</f>
        <v>https://ec.europa.eu/eurostat/databrowser/view/DS-056120__custom_15192557/default/table?lang=en - Low estimate</v>
      </c>
      <c r="F634" s="7">
        <f>[1]Clothing!O148</f>
        <v>1</v>
      </c>
      <c r="G634" s="7">
        <f>[1]Clothing!P148</f>
        <v>1</v>
      </c>
      <c r="H634" s="7">
        <f>[1]Clothing!Q148</f>
        <v>2</v>
      </c>
      <c r="I634" s="7">
        <f>[1]Clothing!R148</f>
        <v>2</v>
      </c>
      <c r="J634" s="7">
        <f>[1]Clothing!S148</f>
        <v>2</v>
      </c>
      <c r="K634" s="159">
        <f t="shared" si="10"/>
        <v>0.37356464144298934</v>
      </c>
    </row>
    <row r="635" spans="1:11" hidden="1">
      <c r="A635" s="7" t="s">
        <v>2046</v>
      </c>
      <c r="B635" s="7">
        <f>[1]Clothing!B149</f>
        <v>2016</v>
      </c>
      <c r="C635" s="7" t="str">
        <f>[1]Clothing!C149</f>
        <v>PVC</v>
      </c>
      <c r="D635" s="64">
        <f>[1]Clothing!K149</f>
        <v>90.958735185302729</v>
      </c>
      <c r="E635" s="7" t="str">
        <f>[1]Input_NL!$E$812</f>
        <v>https://ec.europa.eu/eurostat/databrowser/view/DS-056120__custom_15192557/default/table?lang=en - Low estimate</v>
      </c>
      <c r="F635" s="7">
        <f>[1]Clothing!O149</f>
        <v>1</v>
      </c>
      <c r="G635" s="7">
        <f>[1]Clothing!P149</f>
        <v>1</v>
      </c>
      <c r="H635" s="7">
        <f>[1]Clothing!Q149</f>
        <v>2</v>
      </c>
      <c r="I635" s="7">
        <f>[1]Clothing!R149</f>
        <v>2</v>
      </c>
      <c r="J635" s="7">
        <f>[1]Clothing!S149</f>
        <v>2</v>
      </c>
      <c r="K635" s="159">
        <f t="shared" si="10"/>
        <v>0.37356464144298934</v>
      </c>
    </row>
    <row r="636" spans="1:11" hidden="1">
      <c r="A636" s="7" t="s">
        <v>2046</v>
      </c>
      <c r="B636" s="7">
        <f>[1]Clothing!B150</f>
        <v>2016</v>
      </c>
      <c r="C636" s="7" t="str">
        <f>[1]Clothing!C150</f>
        <v>RUBBER</v>
      </c>
      <c r="D636" s="64">
        <f>[1]Clothing!K150</f>
        <v>187.48697148510038</v>
      </c>
      <c r="E636" s="7" t="str">
        <f>[1]Input_NL!$E$812</f>
        <v>https://ec.europa.eu/eurostat/databrowser/view/DS-056120__custom_15192557/default/table?lang=en - Low estimate</v>
      </c>
      <c r="F636" s="7">
        <f>[1]Clothing!O150</f>
        <v>1</v>
      </c>
      <c r="G636" s="7">
        <f>[1]Clothing!P150</f>
        <v>1</v>
      </c>
      <c r="H636" s="7">
        <f>[1]Clothing!Q150</f>
        <v>2</v>
      </c>
      <c r="I636" s="7">
        <f>[1]Clothing!R150</f>
        <v>2</v>
      </c>
      <c r="J636" s="7">
        <f>[1]Clothing!S150</f>
        <v>2</v>
      </c>
      <c r="K636" s="159">
        <f t="shared" si="10"/>
        <v>0.37356464144298934</v>
      </c>
    </row>
    <row r="637" spans="1:11" hidden="1">
      <c r="A637" s="7" t="s">
        <v>2046</v>
      </c>
      <c r="B637" s="7">
        <f>[1]Clothing!B151</f>
        <v>2017</v>
      </c>
      <c r="C637" s="7" t="str">
        <f>[1]Clothing!C151</f>
        <v>Acryl</v>
      </c>
      <c r="D637" s="64">
        <f>[1]Clothing!K151</f>
        <v>117.21644909596564</v>
      </c>
      <c r="E637" s="7" t="str">
        <f>[1]Input_NL!$E$812</f>
        <v>https://ec.europa.eu/eurostat/databrowser/view/DS-056120__custom_15192557/default/table?lang=en - Low estimate</v>
      </c>
      <c r="F637" s="7">
        <f>[1]Clothing!O151</f>
        <v>1</v>
      </c>
      <c r="G637" s="7">
        <f>[1]Clothing!P151</f>
        <v>1</v>
      </c>
      <c r="H637" s="7">
        <f>[1]Clothing!Q151</f>
        <v>2</v>
      </c>
      <c r="I637" s="7">
        <f>[1]Clothing!R151</f>
        <v>2</v>
      </c>
      <c r="J637" s="7">
        <f>[1]Clothing!S151</f>
        <v>2</v>
      </c>
      <c r="K637" s="159">
        <f t="shared" si="10"/>
        <v>0.37356464144298934</v>
      </c>
    </row>
    <row r="638" spans="1:11" hidden="1">
      <c r="A638" s="7" t="s">
        <v>2046</v>
      </c>
      <c r="B638" s="7">
        <f>[1]Clothing!B152</f>
        <v>2017</v>
      </c>
      <c r="C638" s="7" t="str">
        <f>[1]Clothing!C152</f>
        <v>OTHER</v>
      </c>
      <c r="D638" s="64">
        <f>[1]Clothing!K152</f>
        <v>181.5643065133624</v>
      </c>
      <c r="E638" s="7" t="str">
        <f>[1]Input_NL!$E$812</f>
        <v>https://ec.europa.eu/eurostat/databrowser/view/DS-056120__custom_15192557/default/table?lang=en - Low estimate</v>
      </c>
      <c r="F638" s="7">
        <f>[1]Clothing!O152</f>
        <v>1</v>
      </c>
      <c r="G638" s="7">
        <f>[1]Clothing!P152</f>
        <v>1</v>
      </c>
      <c r="H638" s="7">
        <f>[1]Clothing!Q152</f>
        <v>2</v>
      </c>
      <c r="I638" s="7">
        <f>[1]Clothing!R152</f>
        <v>2</v>
      </c>
      <c r="J638" s="7">
        <f>[1]Clothing!S152</f>
        <v>2</v>
      </c>
      <c r="K638" s="159">
        <f t="shared" si="10"/>
        <v>0.37356464144298934</v>
      </c>
    </row>
    <row r="639" spans="1:11" hidden="1">
      <c r="A639" s="7" t="s">
        <v>2046</v>
      </c>
      <c r="B639" s="7">
        <f>[1]Clothing!B153</f>
        <v>2017</v>
      </c>
      <c r="C639" s="7" t="str">
        <f>[1]Clothing!C153</f>
        <v>PA</v>
      </c>
      <c r="D639" s="64">
        <f>[1]Clothing!K153</f>
        <v>241.68568640267645</v>
      </c>
      <c r="E639" s="7" t="str">
        <f>[1]Input_NL!$E$812</f>
        <v>https://ec.europa.eu/eurostat/databrowser/view/DS-056120__custom_15192557/default/table?lang=en - Low estimate</v>
      </c>
      <c r="F639" s="7">
        <f>[1]Clothing!O153</f>
        <v>1</v>
      </c>
      <c r="G639" s="7">
        <f>[1]Clothing!P153</f>
        <v>1</v>
      </c>
      <c r="H639" s="7">
        <f>[1]Clothing!Q153</f>
        <v>2</v>
      </c>
      <c r="I639" s="7">
        <f>[1]Clothing!R153</f>
        <v>2</v>
      </c>
      <c r="J639" s="7">
        <f>[1]Clothing!S153</f>
        <v>2</v>
      </c>
      <c r="K639" s="159">
        <f t="shared" si="10"/>
        <v>0.37356464144298934</v>
      </c>
    </row>
    <row r="640" spans="1:11" hidden="1">
      <c r="A640" s="7" t="s">
        <v>2046</v>
      </c>
      <c r="B640" s="7">
        <f>[1]Clothing!B154</f>
        <v>2017</v>
      </c>
      <c r="C640" s="7" t="str">
        <f>[1]Clothing!C154</f>
        <v>PET</v>
      </c>
      <c r="D640" s="64">
        <f>[1]Clothing!K154</f>
        <v>1260.3782346850405</v>
      </c>
      <c r="E640" s="7" t="str">
        <f>[1]Input_NL!$E$812</f>
        <v>https://ec.europa.eu/eurostat/databrowser/view/DS-056120__custom_15192557/default/table?lang=en - Low estimate</v>
      </c>
      <c r="F640" s="7">
        <f>[1]Clothing!O154</f>
        <v>1</v>
      </c>
      <c r="G640" s="7">
        <f>[1]Clothing!P154</f>
        <v>1</v>
      </c>
      <c r="H640" s="7">
        <f>[1]Clothing!Q154</f>
        <v>2</v>
      </c>
      <c r="I640" s="7">
        <f>[1]Clothing!R154</f>
        <v>2</v>
      </c>
      <c r="J640" s="7">
        <f>[1]Clothing!S154</f>
        <v>2</v>
      </c>
      <c r="K640" s="159">
        <f t="shared" si="10"/>
        <v>0.37356464144298934</v>
      </c>
    </row>
    <row r="641" spans="1:11" hidden="1">
      <c r="A641" s="7" t="s">
        <v>2046</v>
      </c>
      <c r="B641" s="7">
        <f>[1]Clothing!B155</f>
        <v>2017</v>
      </c>
      <c r="C641" s="7" t="str">
        <f>[1]Clothing!C155</f>
        <v>PUR</v>
      </c>
      <c r="D641" s="64">
        <f>[1]Clothing!K155</f>
        <v>147.4829835861708</v>
      </c>
      <c r="E641" s="7" t="str">
        <f>[1]Input_NL!$E$812</f>
        <v>https://ec.europa.eu/eurostat/databrowser/view/DS-056120__custom_15192557/default/table?lang=en - Low estimate</v>
      </c>
      <c r="F641" s="7">
        <f>[1]Clothing!O155</f>
        <v>1</v>
      </c>
      <c r="G641" s="7">
        <f>[1]Clothing!P155</f>
        <v>1</v>
      </c>
      <c r="H641" s="7">
        <f>[1]Clothing!Q155</f>
        <v>2</v>
      </c>
      <c r="I641" s="7">
        <f>[1]Clothing!R155</f>
        <v>2</v>
      </c>
      <c r="J641" s="7">
        <f>[1]Clothing!S155</f>
        <v>2</v>
      </c>
      <c r="K641" s="159">
        <f t="shared" si="10"/>
        <v>0.37356464144298934</v>
      </c>
    </row>
    <row r="642" spans="1:11" hidden="1">
      <c r="A642" s="7" t="s">
        <v>2046</v>
      </c>
      <c r="B642" s="7">
        <f>[1]Clothing!B156</f>
        <v>2017</v>
      </c>
      <c r="C642" s="7" t="str">
        <f>[1]Clothing!C156</f>
        <v>PVC</v>
      </c>
      <c r="D642" s="64">
        <f>[1]Clothing!K156</f>
        <v>94.900427986266862</v>
      </c>
      <c r="E642" s="7" t="str">
        <f>[1]Input_NL!$E$812</f>
        <v>https://ec.europa.eu/eurostat/databrowser/view/DS-056120__custom_15192557/default/table?lang=en - Low estimate</v>
      </c>
      <c r="F642" s="7">
        <f>[1]Clothing!O156</f>
        <v>1</v>
      </c>
      <c r="G642" s="7">
        <f>[1]Clothing!P156</f>
        <v>1</v>
      </c>
      <c r="H642" s="7">
        <f>[1]Clothing!Q156</f>
        <v>2</v>
      </c>
      <c r="I642" s="7">
        <f>[1]Clothing!R156</f>
        <v>2</v>
      </c>
      <c r="J642" s="7">
        <f>[1]Clothing!S156</f>
        <v>2</v>
      </c>
      <c r="K642" s="159">
        <f t="shared" si="10"/>
        <v>0.37356464144298934</v>
      </c>
    </row>
    <row r="643" spans="1:11" hidden="1">
      <c r="A643" s="7" t="s">
        <v>2046</v>
      </c>
      <c r="B643" s="7">
        <f>[1]Clothing!B157</f>
        <v>2017</v>
      </c>
      <c r="C643" s="7" t="str">
        <f>[1]Clothing!C157</f>
        <v>RUBBER</v>
      </c>
      <c r="D643" s="64">
        <f>[1]Clothing!K157</f>
        <v>196.69152581052009</v>
      </c>
      <c r="E643" s="7" t="str">
        <f>[1]Input_NL!$E$812</f>
        <v>https://ec.europa.eu/eurostat/databrowser/view/DS-056120__custom_15192557/default/table?lang=en - Low estimate</v>
      </c>
      <c r="F643" s="7">
        <f>[1]Clothing!O157</f>
        <v>1</v>
      </c>
      <c r="G643" s="7">
        <f>[1]Clothing!P157</f>
        <v>1</v>
      </c>
      <c r="H643" s="7">
        <f>[1]Clothing!Q157</f>
        <v>2</v>
      </c>
      <c r="I643" s="7">
        <f>[1]Clothing!R157</f>
        <v>2</v>
      </c>
      <c r="J643" s="7">
        <f>[1]Clothing!S157</f>
        <v>2</v>
      </c>
      <c r="K643" s="159">
        <f t="shared" si="10"/>
        <v>0.37356464144298934</v>
      </c>
    </row>
    <row r="644" spans="1:11" hidden="1">
      <c r="A644" s="7" t="s">
        <v>2046</v>
      </c>
      <c r="B644" s="7">
        <f>[1]Clothing!B158</f>
        <v>2018</v>
      </c>
      <c r="C644" s="7" t="str">
        <f>[1]Clothing!C158</f>
        <v>Acryl</v>
      </c>
      <c r="D644" s="64">
        <f>[1]Clothing!K158</f>
        <v>129.1984027866045</v>
      </c>
      <c r="E644" s="7" t="str">
        <f>[1]Input_NL!$E$812</f>
        <v>https://ec.europa.eu/eurostat/databrowser/view/DS-056120__custom_15192557/default/table?lang=en - Low estimate</v>
      </c>
      <c r="F644" s="7">
        <f>[1]Clothing!O158</f>
        <v>1</v>
      </c>
      <c r="G644" s="7">
        <f>[1]Clothing!P158</f>
        <v>1</v>
      </c>
      <c r="H644" s="7">
        <f>[1]Clothing!Q158</f>
        <v>2</v>
      </c>
      <c r="I644" s="7">
        <f>[1]Clothing!R158</f>
        <v>2</v>
      </c>
      <c r="J644" s="7">
        <f>[1]Clothing!S158</f>
        <v>2</v>
      </c>
      <c r="K644" s="159">
        <f t="shared" si="10"/>
        <v>0.37356464144298934</v>
      </c>
    </row>
    <row r="645" spans="1:11" hidden="1">
      <c r="A645" s="7" t="s">
        <v>2046</v>
      </c>
      <c r="B645" s="7">
        <f>[1]Clothing!B159</f>
        <v>2018</v>
      </c>
      <c r="C645" s="7" t="str">
        <f>[1]Clothing!C159</f>
        <v>OTHER</v>
      </c>
      <c r="D645" s="64">
        <f>[1]Clothing!K159</f>
        <v>208.41061381929524</v>
      </c>
      <c r="E645" s="7" t="str">
        <f>[1]Input_NL!$E$812</f>
        <v>https://ec.europa.eu/eurostat/databrowser/view/DS-056120__custom_15192557/default/table?lang=en - Low estimate</v>
      </c>
      <c r="F645" s="7">
        <f>[1]Clothing!O159</f>
        <v>1</v>
      </c>
      <c r="G645" s="7">
        <f>[1]Clothing!P159</f>
        <v>1</v>
      </c>
      <c r="H645" s="7">
        <f>[1]Clothing!Q159</f>
        <v>2</v>
      </c>
      <c r="I645" s="7">
        <f>[1]Clothing!R159</f>
        <v>2</v>
      </c>
      <c r="J645" s="7">
        <f>[1]Clothing!S159</f>
        <v>2</v>
      </c>
      <c r="K645" s="159">
        <f t="shared" si="10"/>
        <v>0.37356464144298934</v>
      </c>
    </row>
    <row r="646" spans="1:11" hidden="1">
      <c r="A646" s="7" t="s">
        <v>2046</v>
      </c>
      <c r="B646" s="7">
        <f>[1]Clothing!B160</f>
        <v>2018</v>
      </c>
      <c r="C646" s="7" t="str">
        <f>[1]Clothing!C160</f>
        <v>PA</v>
      </c>
      <c r="D646" s="64">
        <f>[1]Clothing!K160</f>
        <v>272.41057670050481</v>
      </c>
      <c r="E646" s="7" t="str">
        <f>[1]Input_NL!$E$812</f>
        <v>https://ec.europa.eu/eurostat/databrowser/view/DS-056120__custom_15192557/default/table?lang=en - Low estimate</v>
      </c>
      <c r="F646" s="7">
        <f>[1]Clothing!O160</f>
        <v>1</v>
      </c>
      <c r="G646" s="7">
        <f>[1]Clothing!P160</f>
        <v>1</v>
      </c>
      <c r="H646" s="7">
        <f>[1]Clothing!Q160</f>
        <v>2</v>
      </c>
      <c r="I646" s="7">
        <f>[1]Clothing!R160</f>
        <v>2</v>
      </c>
      <c r="J646" s="7">
        <f>[1]Clothing!S160</f>
        <v>2</v>
      </c>
      <c r="K646" s="159">
        <f t="shared" si="10"/>
        <v>0.37356464144298934</v>
      </c>
    </row>
    <row r="647" spans="1:11" hidden="1">
      <c r="A647" s="7" t="s">
        <v>2046</v>
      </c>
      <c r="B647" s="7">
        <f>[1]Clothing!B161</f>
        <v>2018</v>
      </c>
      <c r="C647" s="7" t="str">
        <f>[1]Clothing!C161</f>
        <v>PET</v>
      </c>
      <c r="D647" s="64">
        <f>[1]Clothing!K161</f>
        <v>1396.6419779793355</v>
      </c>
      <c r="E647" s="7" t="str">
        <f>[1]Input_NL!$E$812</f>
        <v>https://ec.europa.eu/eurostat/databrowser/view/DS-056120__custom_15192557/default/table?lang=en - Low estimate</v>
      </c>
      <c r="F647" s="7">
        <f>[1]Clothing!O161</f>
        <v>1</v>
      </c>
      <c r="G647" s="7">
        <f>[1]Clothing!P161</f>
        <v>1</v>
      </c>
      <c r="H647" s="7">
        <f>[1]Clothing!Q161</f>
        <v>2</v>
      </c>
      <c r="I647" s="7">
        <f>[1]Clothing!R161</f>
        <v>2</v>
      </c>
      <c r="J647" s="7">
        <f>[1]Clothing!S161</f>
        <v>2</v>
      </c>
      <c r="K647" s="159">
        <f t="shared" si="10"/>
        <v>0.37356464144298934</v>
      </c>
    </row>
    <row r="648" spans="1:11" hidden="1">
      <c r="A648" s="7" t="s">
        <v>2046</v>
      </c>
      <c r="B648" s="7">
        <f>[1]Clothing!B162</f>
        <v>2018</v>
      </c>
      <c r="C648" s="7" t="str">
        <f>[1]Clothing!C162</f>
        <v>PUR</v>
      </c>
      <c r="D648" s="64">
        <f>[1]Clothing!K162</f>
        <v>156.03206073115211</v>
      </c>
      <c r="E648" s="7" t="str">
        <f>[1]Input_NL!$E$812</f>
        <v>https://ec.europa.eu/eurostat/databrowser/view/DS-056120__custom_15192557/default/table?lang=en - Low estimate</v>
      </c>
      <c r="F648" s="7">
        <f>[1]Clothing!O162</f>
        <v>1</v>
      </c>
      <c r="G648" s="7">
        <f>[1]Clothing!P162</f>
        <v>1</v>
      </c>
      <c r="H648" s="7">
        <f>[1]Clothing!Q162</f>
        <v>2</v>
      </c>
      <c r="I648" s="7">
        <f>[1]Clothing!R162</f>
        <v>2</v>
      </c>
      <c r="J648" s="7">
        <f>[1]Clothing!S162</f>
        <v>2</v>
      </c>
      <c r="K648" s="159">
        <f t="shared" si="10"/>
        <v>0.37356464144298934</v>
      </c>
    </row>
    <row r="649" spans="1:11" hidden="1">
      <c r="A649" s="7" t="s">
        <v>2046</v>
      </c>
      <c r="B649" s="7">
        <f>[1]Clothing!B163</f>
        <v>2018</v>
      </c>
      <c r="C649" s="7" t="str">
        <f>[1]Clothing!C163</f>
        <v>PVC</v>
      </c>
      <c r="D649" s="64">
        <f>[1]Clothing!K163</f>
        <v>101.03765793704395</v>
      </c>
      <c r="E649" s="7" t="str">
        <f>[1]Input_NL!$E$812</f>
        <v>https://ec.europa.eu/eurostat/databrowser/view/DS-056120__custom_15192557/default/table?lang=en - Low estimate</v>
      </c>
      <c r="F649" s="7">
        <f>[1]Clothing!O163</f>
        <v>1</v>
      </c>
      <c r="G649" s="7">
        <f>[1]Clothing!P163</f>
        <v>1</v>
      </c>
      <c r="H649" s="7">
        <f>[1]Clothing!Q163</f>
        <v>2</v>
      </c>
      <c r="I649" s="7">
        <f>[1]Clothing!R163</f>
        <v>2</v>
      </c>
      <c r="J649" s="7">
        <f>[1]Clothing!S163</f>
        <v>2</v>
      </c>
      <c r="K649" s="159">
        <f t="shared" si="10"/>
        <v>0.37356464144298934</v>
      </c>
    </row>
    <row r="650" spans="1:11" hidden="1">
      <c r="A650" s="7" t="s">
        <v>2046</v>
      </c>
      <c r="B650" s="7">
        <f>[1]Clothing!B164</f>
        <v>2018</v>
      </c>
      <c r="C650" s="7" t="str">
        <f>[1]Clothing!C164</f>
        <v>RUBBER</v>
      </c>
      <c r="D650" s="64">
        <f>[1]Clothing!K164</f>
        <v>216.56189812521248</v>
      </c>
      <c r="E650" s="7" t="str">
        <f>[1]Input_NL!$E$812</f>
        <v>https://ec.europa.eu/eurostat/databrowser/view/DS-056120__custom_15192557/default/table?lang=en - Low estimate</v>
      </c>
      <c r="F650" s="7">
        <f>[1]Clothing!O164</f>
        <v>1</v>
      </c>
      <c r="G650" s="7">
        <f>[1]Clothing!P164</f>
        <v>1</v>
      </c>
      <c r="H650" s="7">
        <f>[1]Clothing!Q164</f>
        <v>2</v>
      </c>
      <c r="I650" s="7">
        <f>[1]Clothing!R164</f>
        <v>2</v>
      </c>
      <c r="J650" s="7">
        <f>[1]Clothing!S164</f>
        <v>2</v>
      </c>
      <c r="K650" s="159">
        <f t="shared" si="10"/>
        <v>0.37356464144298934</v>
      </c>
    </row>
    <row r="651" spans="1:11" hidden="1">
      <c r="A651" s="7" t="s">
        <v>2046</v>
      </c>
      <c r="B651" s="7">
        <f>[1]Clothing!B165</f>
        <v>2019</v>
      </c>
      <c r="C651" s="7" t="str">
        <f>[1]Clothing!C165</f>
        <v>Acryl</v>
      </c>
      <c r="D651" s="64">
        <f>[1]Clothing!K165</f>
        <v>124.75484124151612</v>
      </c>
      <c r="E651" s="7" t="str">
        <f>[1]Input_NL!$E$812</f>
        <v>https://ec.europa.eu/eurostat/databrowser/view/DS-056120__custom_15192557/default/table?lang=en - Low estimate</v>
      </c>
      <c r="F651" s="7">
        <f>[1]Clothing!O165</f>
        <v>1</v>
      </c>
      <c r="G651" s="7">
        <f>[1]Clothing!P165</f>
        <v>1</v>
      </c>
      <c r="H651" s="7">
        <f>[1]Clothing!Q165</f>
        <v>2</v>
      </c>
      <c r="I651" s="7">
        <f>[1]Clothing!R165</f>
        <v>2</v>
      </c>
      <c r="J651" s="7">
        <f>[1]Clothing!S165</f>
        <v>2</v>
      </c>
      <c r="K651" s="159">
        <f t="shared" si="10"/>
        <v>0.37356464144298934</v>
      </c>
    </row>
    <row r="652" spans="1:11" hidden="1">
      <c r="A652" s="7" t="s">
        <v>2046</v>
      </c>
      <c r="B652" s="7">
        <f>[1]Clothing!B166</f>
        <v>2019</v>
      </c>
      <c r="C652" s="7" t="str">
        <f>[1]Clothing!C166</f>
        <v>OTHER</v>
      </c>
      <c r="D652" s="64">
        <f>[1]Clothing!K166</f>
        <v>204.69046301822823</v>
      </c>
      <c r="E652" s="7" t="str">
        <f>[1]Input_NL!$E$812</f>
        <v>https://ec.europa.eu/eurostat/databrowser/view/DS-056120__custom_15192557/default/table?lang=en - Low estimate</v>
      </c>
      <c r="F652" s="7">
        <f>[1]Clothing!O166</f>
        <v>1</v>
      </c>
      <c r="G652" s="7">
        <f>[1]Clothing!P166</f>
        <v>1</v>
      </c>
      <c r="H652" s="7">
        <f>[1]Clothing!Q166</f>
        <v>2</v>
      </c>
      <c r="I652" s="7">
        <f>[1]Clothing!R166</f>
        <v>2</v>
      </c>
      <c r="J652" s="7">
        <f>[1]Clothing!S166</f>
        <v>2</v>
      </c>
      <c r="K652" s="159">
        <f t="shared" si="10"/>
        <v>0.37356464144298934</v>
      </c>
    </row>
    <row r="653" spans="1:11" hidden="1">
      <c r="A653" s="7" t="s">
        <v>2046</v>
      </c>
      <c r="B653" s="7">
        <f>[1]Clothing!B167</f>
        <v>2019</v>
      </c>
      <c r="C653" s="7" t="str">
        <f>[1]Clothing!C167</f>
        <v>PA</v>
      </c>
      <c r="D653" s="64">
        <f>[1]Clothing!K167</f>
        <v>264.6248485397233</v>
      </c>
      <c r="E653" s="7" t="str">
        <f>[1]Input_NL!$E$812</f>
        <v>https://ec.europa.eu/eurostat/databrowser/view/DS-056120__custom_15192557/default/table?lang=en - Low estimate</v>
      </c>
      <c r="F653" s="7">
        <f>[1]Clothing!O167</f>
        <v>1</v>
      </c>
      <c r="G653" s="7">
        <f>[1]Clothing!P167</f>
        <v>1</v>
      </c>
      <c r="H653" s="7">
        <f>[1]Clothing!Q167</f>
        <v>2</v>
      </c>
      <c r="I653" s="7">
        <f>[1]Clothing!R167</f>
        <v>2</v>
      </c>
      <c r="J653" s="7">
        <f>[1]Clothing!S167</f>
        <v>2</v>
      </c>
      <c r="K653" s="159">
        <f t="shared" si="10"/>
        <v>0.37356464144298934</v>
      </c>
    </row>
    <row r="654" spans="1:11" hidden="1">
      <c r="A654" s="7" t="s">
        <v>2046</v>
      </c>
      <c r="B654" s="7">
        <f>[1]Clothing!B168</f>
        <v>2019</v>
      </c>
      <c r="C654" s="7" t="str">
        <f>[1]Clothing!C168</f>
        <v>PET</v>
      </c>
      <c r="D654" s="64">
        <f>[1]Clothing!K168</f>
        <v>1358.6245419214561</v>
      </c>
      <c r="E654" s="7" t="str">
        <f>[1]Input_NL!$E$812</f>
        <v>https://ec.europa.eu/eurostat/databrowser/view/DS-056120__custom_15192557/default/table?lang=en - Low estimate</v>
      </c>
      <c r="F654" s="7">
        <f>[1]Clothing!O168</f>
        <v>1</v>
      </c>
      <c r="G654" s="7">
        <f>[1]Clothing!P168</f>
        <v>1</v>
      </c>
      <c r="H654" s="7">
        <f>[1]Clothing!Q168</f>
        <v>2</v>
      </c>
      <c r="I654" s="7">
        <f>[1]Clothing!R168</f>
        <v>2</v>
      </c>
      <c r="J654" s="7">
        <f>[1]Clothing!S168</f>
        <v>2</v>
      </c>
      <c r="K654" s="159">
        <f t="shared" si="10"/>
        <v>0.37356464144298934</v>
      </c>
    </row>
    <row r="655" spans="1:11" hidden="1">
      <c r="A655" s="7" t="s">
        <v>2046</v>
      </c>
      <c r="B655" s="7">
        <f>[1]Clothing!B169</f>
        <v>2019</v>
      </c>
      <c r="C655" s="7" t="str">
        <f>[1]Clothing!C169</f>
        <v>PUR</v>
      </c>
      <c r="D655" s="64">
        <f>[1]Clothing!K169</f>
        <v>154.02339582210601</v>
      </c>
      <c r="E655" s="7" t="str">
        <f>[1]Input_NL!$E$812</f>
        <v>https://ec.europa.eu/eurostat/databrowser/view/DS-056120__custom_15192557/default/table?lang=en - Low estimate</v>
      </c>
      <c r="F655" s="7">
        <f>[1]Clothing!O169</f>
        <v>1</v>
      </c>
      <c r="G655" s="7">
        <f>[1]Clothing!P169</f>
        <v>1</v>
      </c>
      <c r="H655" s="7">
        <f>[1]Clothing!Q169</f>
        <v>2</v>
      </c>
      <c r="I655" s="7">
        <f>[1]Clothing!R169</f>
        <v>2</v>
      </c>
      <c r="J655" s="7">
        <f>[1]Clothing!S169</f>
        <v>2</v>
      </c>
      <c r="K655" s="159">
        <f t="shared" si="10"/>
        <v>0.37356464144298934</v>
      </c>
    </row>
    <row r="656" spans="1:11" hidden="1">
      <c r="A656" s="7" t="s">
        <v>2046</v>
      </c>
      <c r="B656" s="7">
        <f>[1]Clothing!B170</f>
        <v>2019</v>
      </c>
      <c r="C656" s="7" t="str">
        <f>[1]Clothing!C170</f>
        <v>PVC</v>
      </c>
      <c r="D656" s="64">
        <f>[1]Clothing!K170</f>
        <v>99.579580821781335</v>
      </c>
      <c r="E656" s="7" t="str">
        <f>[1]Input_NL!$E$812</f>
        <v>https://ec.europa.eu/eurostat/databrowser/view/DS-056120__custom_15192557/default/table?lang=en - Low estimate</v>
      </c>
      <c r="F656" s="7">
        <f>[1]Clothing!O170</f>
        <v>1</v>
      </c>
      <c r="G656" s="7">
        <f>[1]Clothing!P170</f>
        <v>1</v>
      </c>
      <c r="H656" s="7">
        <f>[1]Clothing!Q170</f>
        <v>2</v>
      </c>
      <c r="I656" s="7">
        <f>[1]Clothing!R170</f>
        <v>2</v>
      </c>
      <c r="J656" s="7">
        <f>[1]Clothing!S170</f>
        <v>2</v>
      </c>
      <c r="K656" s="159">
        <f t="shared" si="10"/>
        <v>0.37356464144298934</v>
      </c>
    </row>
    <row r="657" spans="1:11" hidden="1">
      <c r="A657" s="7" t="s">
        <v>2046</v>
      </c>
      <c r="B657" s="7">
        <f>[1]Clothing!B171</f>
        <v>2019</v>
      </c>
      <c r="C657" s="7" t="str">
        <f>[1]Clothing!C171</f>
        <v>RUBBER</v>
      </c>
      <c r="D657" s="64">
        <f>[1]Clothing!K171</f>
        <v>210.78190944042822</v>
      </c>
      <c r="E657" s="7" t="str">
        <f>[1]Input_NL!$E$812</f>
        <v>https://ec.europa.eu/eurostat/databrowser/view/DS-056120__custom_15192557/default/table?lang=en - Low estimate</v>
      </c>
      <c r="F657" s="7">
        <f>[1]Clothing!O171</f>
        <v>1</v>
      </c>
      <c r="G657" s="7">
        <f>[1]Clothing!P171</f>
        <v>1</v>
      </c>
      <c r="H657" s="7">
        <f>[1]Clothing!Q171</f>
        <v>2</v>
      </c>
      <c r="I657" s="7">
        <f>[1]Clothing!R171</f>
        <v>2</v>
      </c>
      <c r="J657" s="7">
        <f>[1]Clothing!S171</f>
        <v>2</v>
      </c>
      <c r="K657" s="159">
        <f t="shared" si="10"/>
        <v>0.37356464144298934</v>
      </c>
    </row>
    <row r="658" spans="1:11" hidden="1">
      <c r="A658" s="7" t="s">
        <v>2046</v>
      </c>
      <c r="B658" s="7">
        <f>[1]Clothing!B172</f>
        <v>2020</v>
      </c>
      <c r="C658" s="7" t="str">
        <f>[1]Clothing!C172</f>
        <v>Acryl</v>
      </c>
      <c r="D658" s="64">
        <f>[1]Clothing!K172</f>
        <v>102.37632480198386</v>
      </c>
      <c r="E658" s="7" t="str">
        <f>[1]Input_NL!$E$812</f>
        <v>https://ec.europa.eu/eurostat/databrowser/view/DS-056120__custom_15192557/default/table?lang=en - Low estimate</v>
      </c>
      <c r="F658" s="7">
        <f>[1]Clothing!O172</f>
        <v>1</v>
      </c>
      <c r="G658" s="7">
        <f>[1]Clothing!P172</f>
        <v>1</v>
      </c>
      <c r="H658" s="7">
        <f>[1]Clothing!Q172</f>
        <v>2</v>
      </c>
      <c r="I658" s="7">
        <f>[1]Clothing!R172</f>
        <v>2</v>
      </c>
      <c r="J658" s="7">
        <f>[1]Clothing!S172</f>
        <v>2</v>
      </c>
      <c r="K658" s="159">
        <f t="shared" si="10"/>
        <v>0.37356464144298934</v>
      </c>
    </row>
    <row r="659" spans="1:11" hidden="1">
      <c r="A659" s="7" t="s">
        <v>2046</v>
      </c>
      <c r="B659" s="7">
        <f>[1]Clothing!B173</f>
        <v>2020</v>
      </c>
      <c r="C659" s="7" t="str">
        <f>[1]Clothing!C173</f>
        <v>OTHER</v>
      </c>
      <c r="D659" s="64">
        <f>[1]Clothing!K173</f>
        <v>161.33301867575491</v>
      </c>
      <c r="E659" s="7" t="str">
        <f>[1]Input_NL!$E$812</f>
        <v>https://ec.europa.eu/eurostat/databrowser/view/DS-056120__custom_15192557/default/table?lang=en - Low estimate</v>
      </c>
      <c r="F659" s="7">
        <f>[1]Clothing!O173</f>
        <v>1</v>
      </c>
      <c r="G659" s="7">
        <f>[1]Clothing!P173</f>
        <v>1</v>
      </c>
      <c r="H659" s="7">
        <f>[1]Clothing!Q173</f>
        <v>2</v>
      </c>
      <c r="I659" s="7">
        <f>[1]Clothing!R173</f>
        <v>2</v>
      </c>
      <c r="J659" s="7">
        <f>[1]Clothing!S173</f>
        <v>2</v>
      </c>
      <c r="K659" s="159">
        <f t="shared" ref="K659:K722" si="11">IF( OR( ISBLANK(F659),ISBLANK(G659), ISBLANK(H659), ISBLANK(I659), ISBLANK(J659) ), "", 1.5*SQRT(   EXP(2.21*(F659-1)) + EXP(2.21*(G659-1)) + EXP(2.21*(H659-1)) + EXP(2.21*(I659-1)) + EXP(2.21*J659)   )/100*2.45 )</f>
        <v>0.37356464144298934</v>
      </c>
    </row>
    <row r="660" spans="1:11" hidden="1">
      <c r="A660" s="7" t="s">
        <v>2046</v>
      </c>
      <c r="B660" s="7">
        <f>[1]Clothing!B174</f>
        <v>2020</v>
      </c>
      <c r="C660" s="7" t="str">
        <f>[1]Clothing!C174</f>
        <v>PA</v>
      </c>
      <c r="D660" s="64">
        <f>[1]Clothing!K174</f>
        <v>213.63852657389151</v>
      </c>
      <c r="E660" s="7" t="str">
        <f>[1]Input_NL!$E$812</f>
        <v>https://ec.europa.eu/eurostat/databrowser/view/DS-056120__custom_15192557/default/table?lang=en - Low estimate</v>
      </c>
      <c r="F660" s="7">
        <f>[1]Clothing!O174</f>
        <v>1</v>
      </c>
      <c r="G660" s="7">
        <f>[1]Clothing!P174</f>
        <v>1</v>
      </c>
      <c r="H660" s="7">
        <f>[1]Clothing!Q174</f>
        <v>2</v>
      </c>
      <c r="I660" s="7">
        <f>[1]Clothing!R174</f>
        <v>2</v>
      </c>
      <c r="J660" s="7">
        <f>[1]Clothing!S174</f>
        <v>2</v>
      </c>
      <c r="K660" s="159">
        <f t="shared" si="11"/>
        <v>0.37356464144298934</v>
      </c>
    </row>
    <row r="661" spans="1:11" hidden="1">
      <c r="A661" s="7" t="s">
        <v>2046</v>
      </c>
      <c r="B661" s="7">
        <f>[1]Clothing!B175</f>
        <v>2020</v>
      </c>
      <c r="C661" s="7" t="str">
        <f>[1]Clothing!C175</f>
        <v>PET</v>
      </c>
      <c r="D661" s="64">
        <f>[1]Clothing!K175</f>
        <v>1075.5216512168049</v>
      </c>
      <c r="E661" s="7" t="str">
        <f>[1]Input_NL!$E$812</f>
        <v>https://ec.europa.eu/eurostat/databrowser/view/DS-056120__custom_15192557/default/table?lang=en - Low estimate</v>
      </c>
      <c r="F661" s="7">
        <f>[1]Clothing!O175</f>
        <v>1</v>
      </c>
      <c r="G661" s="7">
        <f>[1]Clothing!P175</f>
        <v>1</v>
      </c>
      <c r="H661" s="7">
        <f>[1]Clothing!Q175</f>
        <v>2</v>
      </c>
      <c r="I661" s="7">
        <f>[1]Clothing!R175</f>
        <v>2</v>
      </c>
      <c r="J661" s="7">
        <f>[1]Clothing!S175</f>
        <v>2</v>
      </c>
      <c r="K661" s="159">
        <f t="shared" si="11"/>
        <v>0.37356464144298934</v>
      </c>
    </row>
    <row r="662" spans="1:11" hidden="1">
      <c r="A662" s="7" t="s">
        <v>2046</v>
      </c>
      <c r="B662" s="7">
        <f>[1]Clothing!B176</f>
        <v>2020</v>
      </c>
      <c r="C662" s="7" t="str">
        <f>[1]Clothing!C176</f>
        <v>PUR</v>
      </c>
      <c r="D662" s="64">
        <f>[1]Clothing!K176</f>
        <v>123.30334174942438</v>
      </c>
      <c r="E662" s="7" t="str">
        <f>[1]Input_NL!$E$812</f>
        <v>https://ec.europa.eu/eurostat/databrowser/view/DS-056120__custom_15192557/default/table?lang=en - Low estimate</v>
      </c>
      <c r="F662" s="7">
        <f>[1]Clothing!O176</f>
        <v>1</v>
      </c>
      <c r="G662" s="7">
        <f>[1]Clothing!P176</f>
        <v>1</v>
      </c>
      <c r="H662" s="7">
        <f>[1]Clothing!Q176</f>
        <v>2</v>
      </c>
      <c r="I662" s="7">
        <f>[1]Clothing!R176</f>
        <v>2</v>
      </c>
      <c r="J662" s="7">
        <f>[1]Clothing!S176</f>
        <v>2</v>
      </c>
      <c r="K662" s="159">
        <f t="shared" si="11"/>
        <v>0.37356464144298934</v>
      </c>
    </row>
    <row r="663" spans="1:11" hidden="1">
      <c r="A663" s="7" t="s">
        <v>2046</v>
      </c>
      <c r="B663" s="7">
        <f>[1]Clothing!B177</f>
        <v>2020</v>
      </c>
      <c r="C663" s="7" t="str">
        <f>[1]Clothing!C177</f>
        <v>PVC</v>
      </c>
      <c r="D663" s="64">
        <f>[1]Clothing!K177</f>
        <v>79.407485617291172</v>
      </c>
      <c r="E663" s="7" t="str">
        <f>[1]Input_NL!$E$812</f>
        <v>https://ec.europa.eu/eurostat/databrowser/view/DS-056120__custom_15192557/default/table?lang=en - Low estimate</v>
      </c>
      <c r="F663" s="7">
        <f>[1]Clothing!O177</f>
        <v>1</v>
      </c>
      <c r="G663" s="7">
        <f>[1]Clothing!P177</f>
        <v>1</v>
      </c>
      <c r="H663" s="7">
        <f>[1]Clothing!Q177</f>
        <v>2</v>
      </c>
      <c r="I663" s="7">
        <f>[1]Clothing!R177</f>
        <v>2</v>
      </c>
      <c r="J663" s="7">
        <f>[1]Clothing!S177</f>
        <v>2</v>
      </c>
      <c r="K663" s="159">
        <f t="shared" si="11"/>
        <v>0.37356464144298934</v>
      </c>
    </row>
    <row r="664" spans="1:11" hidden="1">
      <c r="A664" s="7" t="s">
        <v>2046</v>
      </c>
      <c r="B664" s="7">
        <f>[1]Clothing!B178</f>
        <v>2020</v>
      </c>
      <c r="C664" s="7" t="str">
        <f>[1]Clothing!C178</f>
        <v>RUBBER</v>
      </c>
      <c r="D664" s="64">
        <f>[1]Clothing!K178</f>
        <v>163.97255709559889</v>
      </c>
      <c r="E664" s="7" t="str">
        <f>[1]Input_NL!$E$812</f>
        <v>https://ec.europa.eu/eurostat/databrowser/view/DS-056120__custom_15192557/default/table?lang=en - Low estimate</v>
      </c>
      <c r="F664" s="7">
        <f>[1]Clothing!O178</f>
        <v>1</v>
      </c>
      <c r="G664" s="7">
        <f>[1]Clothing!P178</f>
        <v>1</v>
      </c>
      <c r="H664" s="7">
        <f>[1]Clothing!Q178</f>
        <v>2</v>
      </c>
      <c r="I664" s="7">
        <f>[1]Clothing!R178</f>
        <v>2</v>
      </c>
      <c r="J664" s="7">
        <f>[1]Clothing!S178</f>
        <v>2</v>
      </c>
      <c r="K664" s="159">
        <f t="shared" si="11"/>
        <v>0.37356464144298934</v>
      </c>
    </row>
    <row r="665" spans="1:11" hidden="1">
      <c r="A665" s="7" t="s">
        <v>2046</v>
      </c>
      <c r="B665" s="7">
        <f>[1]Clothing!B179</f>
        <v>2021</v>
      </c>
      <c r="C665" s="7" t="str">
        <f>[1]Clothing!C179</f>
        <v>Acryl</v>
      </c>
      <c r="D665" s="64">
        <f>[1]Clothing!K179</f>
        <v>113.3251195172403</v>
      </c>
      <c r="E665" s="7" t="str">
        <f>[1]Input_NL!$E$812</f>
        <v>https://ec.europa.eu/eurostat/databrowser/view/DS-056120__custom_15192557/default/table?lang=en - Low estimate</v>
      </c>
      <c r="F665" s="7">
        <f>[1]Clothing!O179</f>
        <v>1</v>
      </c>
      <c r="G665" s="7">
        <f>[1]Clothing!P179</f>
        <v>1</v>
      </c>
      <c r="H665" s="7">
        <f>[1]Clothing!Q179</f>
        <v>2</v>
      </c>
      <c r="I665" s="7">
        <f>[1]Clothing!R179</f>
        <v>2</v>
      </c>
      <c r="J665" s="7">
        <f>[1]Clothing!S179</f>
        <v>2</v>
      </c>
      <c r="K665" s="159">
        <f t="shared" si="11"/>
        <v>0.37356464144298934</v>
      </c>
    </row>
    <row r="666" spans="1:11" hidden="1">
      <c r="A666" s="7" t="s">
        <v>2046</v>
      </c>
      <c r="B666" s="7">
        <f>[1]Clothing!B180</f>
        <v>2021</v>
      </c>
      <c r="C666" s="7" t="str">
        <f>[1]Clothing!C180</f>
        <v>OTHER</v>
      </c>
      <c r="D666" s="64">
        <f>[1]Clothing!K180</f>
        <v>169.80710057016137</v>
      </c>
      <c r="E666" s="7" t="str">
        <f>[1]Input_NL!$E$812</f>
        <v>https://ec.europa.eu/eurostat/databrowser/view/DS-056120__custom_15192557/default/table?lang=en - Low estimate</v>
      </c>
      <c r="F666" s="7">
        <f>[1]Clothing!O180</f>
        <v>1</v>
      </c>
      <c r="G666" s="7">
        <f>[1]Clothing!P180</f>
        <v>1</v>
      </c>
      <c r="H666" s="7">
        <f>[1]Clothing!Q180</f>
        <v>2</v>
      </c>
      <c r="I666" s="7">
        <f>[1]Clothing!R180</f>
        <v>2</v>
      </c>
      <c r="J666" s="7">
        <f>[1]Clothing!S180</f>
        <v>2</v>
      </c>
      <c r="K666" s="159">
        <f t="shared" si="11"/>
        <v>0.37356464144298934</v>
      </c>
    </row>
    <row r="667" spans="1:11" hidden="1">
      <c r="A667" s="7" t="s">
        <v>2046</v>
      </c>
      <c r="B667" s="7">
        <f>[1]Clothing!B181</f>
        <v>2021</v>
      </c>
      <c r="C667" s="7" t="str">
        <f>[1]Clothing!C181</f>
        <v>PA</v>
      </c>
      <c r="D667" s="64">
        <f>[1]Clothing!K181</f>
        <v>235.40868887089127</v>
      </c>
      <c r="E667" s="7" t="str">
        <f>[1]Input_NL!$E$812</f>
        <v>https://ec.europa.eu/eurostat/databrowser/view/DS-056120__custom_15192557/default/table?lang=en - Low estimate</v>
      </c>
      <c r="F667" s="7">
        <f>[1]Clothing!O181</f>
        <v>1</v>
      </c>
      <c r="G667" s="7">
        <f>[1]Clothing!P181</f>
        <v>1</v>
      </c>
      <c r="H667" s="7">
        <f>[1]Clothing!Q181</f>
        <v>2</v>
      </c>
      <c r="I667" s="7">
        <f>[1]Clothing!R181</f>
        <v>2</v>
      </c>
      <c r="J667" s="7">
        <f>[1]Clothing!S181</f>
        <v>2</v>
      </c>
      <c r="K667" s="159">
        <f t="shared" si="11"/>
        <v>0.37356464144298934</v>
      </c>
    </row>
    <row r="668" spans="1:11" hidden="1">
      <c r="A668" s="7" t="s">
        <v>2046</v>
      </c>
      <c r="B668" s="7">
        <f>[1]Clothing!B182</f>
        <v>2021</v>
      </c>
      <c r="C668" s="7" t="str">
        <f>[1]Clothing!C182</f>
        <v>PET</v>
      </c>
      <c r="D668" s="64">
        <f>[1]Clothing!K182</f>
        <v>1165.0967021865949</v>
      </c>
      <c r="E668" s="7" t="str">
        <f>[1]Input_NL!$E$812</f>
        <v>https://ec.europa.eu/eurostat/databrowser/view/DS-056120__custom_15192557/default/table?lang=en - Low estimate</v>
      </c>
      <c r="F668" s="7">
        <f>[1]Clothing!O182</f>
        <v>1</v>
      </c>
      <c r="G668" s="7">
        <f>[1]Clothing!P182</f>
        <v>1</v>
      </c>
      <c r="H668" s="7">
        <f>[1]Clothing!Q182</f>
        <v>2</v>
      </c>
      <c r="I668" s="7">
        <f>[1]Clothing!R182</f>
        <v>2</v>
      </c>
      <c r="J668" s="7">
        <f>[1]Clothing!S182</f>
        <v>2</v>
      </c>
      <c r="K668" s="159">
        <f t="shared" si="11"/>
        <v>0.37356464144298934</v>
      </c>
    </row>
    <row r="669" spans="1:11" hidden="1">
      <c r="A669" s="7" t="s">
        <v>2046</v>
      </c>
      <c r="B669" s="7">
        <f>[1]Clothing!B183</f>
        <v>2021</v>
      </c>
      <c r="C669" s="7" t="str">
        <f>[1]Clothing!C183</f>
        <v>PUR</v>
      </c>
      <c r="D669" s="64">
        <f>[1]Clothing!K183</f>
        <v>121.49018578342412</v>
      </c>
      <c r="E669" s="7" t="str">
        <f>[1]Input_NL!$E$812</f>
        <v>https://ec.europa.eu/eurostat/databrowser/view/DS-056120__custom_15192557/default/table?lang=en - Low estimate</v>
      </c>
      <c r="F669" s="7">
        <f>[1]Clothing!O183</f>
        <v>1</v>
      </c>
      <c r="G669" s="7">
        <f>[1]Clothing!P183</f>
        <v>1</v>
      </c>
      <c r="H669" s="7">
        <f>[1]Clothing!Q183</f>
        <v>2</v>
      </c>
      <c r="I669" s="7">
        <f>[1]Clothing!R183</f>
        <v>2</v>
      </c>
      <c r="J669" s="7">
        <f>[1]Clothing!S183</f>
        <v>2</v>
      </c>
      <c r="K669" s="159">
        <f t="shared" si="11"/>
        <v>0.37356464144298934</v>
      </c>
    </row>
    <row r="670" spans="1:11" hidden="1">
      <c r="A670" s="7" t="s">
        <v>2046</v>
      </c>
      <c r="B670" s="7">
        <f>[1]Clothing!B184</f>
        <v>2021</v>
      </c>
      <c r="C670" s="7" t="str">
        <f>[1]Clothing!C184</f>
        <v>PVC</v>
      </c>
      <c r="D670" s="64">
        <f>[1]Clothing!K184</f>
        <v>78.395132887155654</v>
      </c>
      <c r="E670" s="7" t="str">
        <f>[1]Input_NL!$E$812</f>
        <v>https://ec.europa.eu/eurostat/databrowser/view/DS-056120__custom_15192557/default/table?lang=en - Low estimate</v>
      </c>
      <c r="F670" s="7">
        <f>[1]Clothing!O184</f>
        <v>1</v>
      </c>
      <c r="G670" s="7">
        <f>[1]Clothing!P184</f>
        <v>1</v>
      </c>
      <c r="H670" s="7">
        <f>[1]Clothing!Q184</f>
        <v>2</v>
      </c>
      <c r="I670" s="7">
        <f>[1]Clothing!R184</f>
        <v>2</v>
      </c>
      <c r="J670" s="7">
        <f>[1]Clothing!S184</f>
        <v>2</v>
      </c>
      <c r="K670" s="159">
        <f t="shared" si="11"/>
        <v>0.37356464144298934</v>
      </c>
    </row>
    <row r="671" spans="1:11" hidden="1">
      <c r="A671" s="7" t="s">
        <v>2046</v>
      </c>
      <c r="B671" s="7">
        <f>[1]Clothing!B185</f>
        <v>2021</v>
      </c>
      <c r="C671" s="7" t="str">
        <f>[1]Clothing!C185</f>
        <v>RUBBER</v>
      </c>
      <c r="D671" s="64">
        <f>[1]Clothing!K185</f>
        <v>163.59652100912916</v>
      </c>
      <c r="E671" s="7" t="str">
        <f>[1]Input_NL!$E$812</f>
        <v>https://ec.europa.eu/eurostat/databrowser/view/DS-056120__custom_15192557/default/table?lang=en - Low estimate</v>
      </c>
      <c r="F671" s="7">
        <f>[1]Clothing!O185</f>
        <v>1</v>
      </c>
      <c r="G671" s="7">
        <f>[1]Clothing!P185</f>
        <v>1</v>
      </c>
      <c r="H671" s="7">
        <f>[1]Clothing!Q185</f>
        <v>2</v>
      </c>
      <c r="I671" s="7">
        <f>[1]Clothing!R185</f>
        <v>2</v>
      </c>
      <c r="J671" s="7">
        <f>[1]Clothing!S185</f>
        <v>2</v>
      </c>
      <c r="K671" s="159">
        <f t="shared" si="11"/>
        <v>0.37356464144298934</v>
      </c>
    </row>
    <row r="672" spans="1:11" hidden="1">
      <c r="A672" s="7" t="s">
        <v>2046</v>
      </c>
      <c r="B672" s="7">
        <f>[1]Clothing!B186</f>
        <v>2022</v>
      </c>
      <c r="C672" s="7" t="str">
        <f>[1]Clothing!C186</f>
        <v>Acryl</v>
      </c>
      <c r="D672" s="64">
        <f>[1]Clothing!K186</f>
        <v>141.02659951072633</v>
      </c>
      <c r="E672" s="7" t="str">
        <f>[1]Input_NL!$E$812</f>
        <v>https://ec.europa.eu/eurostat/databrowser/view/DS-056120__custom_15192557/default/table?lang=en - Low estimate</v>
      </c>
      <c r="F672" s="7">
        <f>[1]Clothing!O186</f>
        <v>1</v>
      </c>
      <c r="G672" s="7">
        <f>[1]Clothing!P186</f>
        <v>1</v>
      </c>
      <c r="H672" s="7">
        <f>[1]Clothing!Q186</f>
        <v>2</v>
      </c>
      <c r="I672" s="7">
        <f>[1]Clothing!R186</f>
        <v>2</v>
      </c>
      <c r="J672" s="7">
        <f>[1]Clothing!S186</f>
        <v>2</v>
      </c>
      <c r="K672" s="159">
        <f t="shared" si="11"/>
        <v>0.37356464144298934</v>
      </c>
    </row>
    <row r="673" spans="1:11" hidden="1">
      <c r="A673" s="7" t="s">
        <v>2046</v>
      </c>
      <c r="B673" s="7">
        <f>[1]Clothing!B187</f>
        <v>2022</v>
      </c>
      <c r="C673" s="7" t="str">
        <f>[1]Clothing!C187</f>
        <v>OTHER</v>
      </c>
      <c r="D673" s="64">
        <f>[1]Clothing!K187</f>
        <v>216.28637948109096</v>
      </c>
      <c r="E673" s="7" t="str">
        <f>[1]Input_NL!$E$812</f>
        <v>https://ec.europa.eu/eurostat/databrowser/view/DS-056120__custom_15192557/default/table?lang=en - Low estimate</v>
      </c>
      <c r="F673" s="7">
        <f>[1]Clothing!O187</f>
        <v>1</v>
      </c>
      <c r="G673" s="7">
        <f>[1]Clothing!P187</f>
        <v>1</v>
      </c>
      <c r="H673" s="7">
        <f>[1]Clothing!Q187</f>
        <v>2</v>
      </c>
      <c r="I673" s="7">
        <f>[1]Clothing!R187</f>
        <v>2</v>
      </c>
      <c r="J673" s="7">
        <f>[1]Clothing!S187</f>
        <v>2</v>
      </c>
      <c r="K673" s="159">
        <f t="shared" si="11"/>
        <v>0.37356464144298934</v>
      </c>
    </row>
    <row r="674" spans="1:11" hidden="1">
      <c r="A674" s="7" t="s">
        <v>2046</v>
      </c>
      <c r="B674" s="7">
        <f>[1]Clothing!B188</f>
        <v>2022</v>
      </c>
      <c r="C674" s="7" t="str">
        <f>[1]Clothing!C188</f>
        <v>PA</v>
      </c>
      <c r="D674" s="64">
        <f>[1]Clothing!K188</f>
        <v>292.25351751807887</v>
      </c>
      <c r="E674" s="7" t="str">
        <f>[1]Input_NL!$E$812</f>
        <v>https://ec.europa.eu/eurostat/databrowser/view/DS-056120__custom_15192557/default/table?lang=en - Low estimate</v>
      </c>
      <c r="F674" s="7">
        <f>[1]Clothing!O188</f>
        <v>1</v>
      </c>
      <c r="G674" s="7">
        <f>[1]Clothing!P188</f>
        <v>1</v>
      </c>
      <c r="H674" s="7">
        <f>[1]Clothing!Q188</f>
        <v>2</v>
      </c>
      <c r="I674" s="7">
        <f>[1]Clothing!R188</f>
        <v>2</v>
      </c>
      <c r="J674" s="7">
        <f>[1]Clothing!S188</f>
        <v>2</v>
      </c>
      <c r="K674" s="159">
        <f t="shared" si="11"/>
        <v>0.37356464144298934</v>
      </c>
    </row>
    <row r="675" spans="1:11" hidden="1">
      <c r="A675" s="7" t="s">
        <v>2046</v>
      </c>
      <c r="B675" s="7">
        <f>[1]Clothing!B189</f>
        <v>2022</v>
      </c>
      <c r="C675" s="7" t="str">
        <f>[1]Clothing!C189</f>
        <v>PET</v>
      </c>
      <c r="D675" s="64">
        <f>[1]Clothing!K189</f>
        <v>1453.0307605512528</v>
      </c>
      <c r="E675" s="7" t="str">
        <f>[1]Input_NL!$E$812</f>
        <v>https://ec.europa.eu/eurostat/databrowser/view/DS-056120__custom_15192557/default/table?lang=en - Low estimate</v>
      </c>
      <c r="F675" s="7">
        <f>[1]Clothing!O189</f>
        <v>1</v>
      </c>
      <c r="G675" s="7">
        <f>[1]Clothing!P189</f>
        <v>1</v>
      </c>
      <c r="H675" s="7">
        <f>[1]Clothing!Q189</f>
        <v>2</v>
      </c>
      <c r="I675" s="7">
        <f>[1]Clothing!R189</f>
        <v>2</v>
      </c>
      <c r="J675" s="7">
        <f>[1]Clothing!S189</f>
        <v>2</v>
      </c>
      <c r="K675" s="159">
        <f t="shared" si="11"/>
        <v>0.37356464144298934</v>
      </c>
    </row>
    <row r="676" spans="1:11" hidden="1">
      <c r="A676" s="7" t="s">
        <v>2046</v>
      </c>
      <c r="B676" s="7">
        <f>[1]Clothing!B190</f>
        <v>2022</v>
      </c>
      <c r="C676" s="7" t="str">
        <f>[1]Clothing!C190</f>
        <v>PUR</v>
      </c>
      <c r="D676" s="64">
        <f>[1]Clothing!K190</f>
        <v>158.98860370720823</v>
      </c>
      <c r="E676" s="7" t="str">
        <f>[1]Input_NL!$E$812</f>
        <v>https://ec.europa.eu/eurostat/databrowser/view/DS-056120__custom_15192557/default/table?lang=en - Low estimate</v>
      </c>
      <c r="F676" s="7">
        <f>[1]Clothing!O190</f>
        <v>1</v>
      </c>
      <c r="G676" s="7">
        <f>[1]Clothing!P190</f>
        <v>1</v>
      </c>
      <c r="H676" s="7">
        <f>[1]Clothing!Q190</f>
        <v>2</v>
      </c>
      <c r="I676" s="7">
        <f>[1]Clothing!R190</f>
        <v>2</v>
      </c>
      <c r="J676" s="7">
        <f>[1]Clothing!S190</f>
        <v>2</v>
      </c>
      <c r="K676" s="159">
        <f t="shared" si="11"/>
        <v>0.37356464144298934</v>
      </c>
    </row>
    <row r="677" spans="1:11" hidden="1">
      <c r="A677" s="7" t="s">
        <v>2046</v>
      </c>
      <c r="B677" s="7">
        <f>[1]Clothing!B191</f>
        <v>2022</v>
      </c>
      <c r="C677" s="7" t="str">
        <f>[1]Clothing!C191</f>
        <v>PVC</v>
      </c>
      <c r="D677" s="64">
        <f>[1]Clothing!K191</f>
        <v>102.70798337367832</v>
      </c>
      <c r="E677" s="7" t="str">
        <f>[1]Input_NL!$E$812</f>
        <v>https://ec.europa.eu/eurostat/databrowser/view/DS-056120__custom_15192557/default/table?lang=en - Low estimate</v>
      </c>
      <c r="F677" s="7">
        <f>[1]Clothing!O191</f>
        <v>1</v>
      </c>
      <c r="G677" s="7">
        <f>[1]Clothing!P191</f>
        <v>1</v>
      </c>
      <c r="H677" s="7">
        <f>[1]Clothing!Q191</f>
        <v>2</v>
      </c>
      <c r="I677" s="7">
        <f>[1]Clothing!R191</f>
        <v>2</v>
      </c>
      <c r="J677" s="7">
        <f>[1]Clothing!S191</f>
        <v>2</v>
      </c>
      <c r="K677" s="159">
        <f t="shared" si="11"/>
        <v>0.37356464144298934</v>
      </c>
    </row>
    <row r="678" spans="1:11" hidden="1">
      <c r="A678" s="7" t="s">
        <v>2046</v>
      </c>
      <c r="B678" s="7">
        <f>[1]Clothing!B192</f>
        <v>2022</v>
      </c>
      <c r="C678" s="7" t="str">
        <f>[1]Clothing!C192</f>
        <v>RUBBER</v>
      </c>
      <c r="D678" s="64">
        <f>[1]Clothing!K192</f>
        <v>215.88536511890467</v>
      </c>
      <c r="E678" s="7" t="str">
        <f>[1]Input_NL!$E$812</f>
        <v>https://ec.europa.eu/eurostat/databrowser/view/DS-056120__custom_15192557/default/table?lang=en - Low estimate</v>
      </c>
      <c r="F678" s="7">
        <f>[1]Clothing!O192</f>
        <v>1</v>
      </c>
      <c r="G678" s="7">
        <f>[1]Clothing!P192</f>
        <v>1</v>
      </c>
      <c r="H678" s="7">
        <f>[1]Clothing!Q192</f>
        <v>2</v>
      </c>
      <c r="I678" s="7">
        <f>[1]Clothing!R192</f>
        <v>2</v>
      </c>
      <c r="J678" s="7">
        <f>[1]Clothing!S192</f>
        <v>2</v>
      </c>
      <c r="K678" s="159">
        <f t="shared" si="11"/>
        <v>0.37356464144298934</v>
      </c>
    </row>
    <row r="679" spans="1:11" hidden="1">
      <c r="A679" s="7" t="s">
        <v>2046</v>
      </c>
      <c r="B679" s="7">
        <f>[1]Clothing!B109</f>
        <v>2011</v>
      </c>
      <c r="C679" s="7" t="str">
        <f>[1]Clothing!C109</f>
        <v>Acryl</v>
      </c>
      <c r="D679" s="64">
        <f>[1]Clothing!L109</f>
        <v>156.45021115843022</v>
      </c>
      <c r="E679" s="7" t="s">
        <v>2045</v>
      </c>
      <c r="F679" s="7">
        <f>[1]Clothing!O109</f>
        <v>1</v>
      </c>
      <c r="G679" s="7">
        <f>[1]Clothing!P109</f>
        <v>1</v>
      </c>
      <c r="H679" s="7">
        <f>[1]Clothing!Q109</f>
        <v>2</v>
      </c>
      <c r="I679" s="7">
        <f>[1]Clothing!R109</f>
        <v>2</v>
      </c>
      <c r="J679" s="7">
        <f>[1]Clothing!S109</f>
        <v>2</v>
      </c>
      <c r="K679" s="159">
        <f t="shared" si="11"/>
        <v>0.37356464144298934</v>
      </c>
    </row>
    <row r="680" spans="1:11" hidden="1">
      <c r="A680" s="7" t="s">
        <v>2046</v>
      </c>
      <c r="B680" s="7">
        <f>[1]Clothing!B110</f>
        <v>2011</v>
      </c>
      <c r="C680" s="7" t="str">
        <f>[1]Clothing!C110</f>
        <v>OTHER</v>
      </c>
      <c r="D680" s="64">
        <f>[1]Clothing!L110</f>
        <v>256.44340767742403</v>
      </c>
      <c r="E680" s="7" t="s">
        <v>2045</v>
      </c>
      <c r="F680" s="7">
        <f>[1]Clothing!O110</f>
        <v>1</v>
      </c>
      <c r="G680" s="7">
        <f>[1]Clothing!P110</f>
        <v>1</v>
      </c>
      <c r="H680" s="7">
        <f>[1]Clothing!Q110</f>
        <v>2</v>
      </c>
      <c r="I680" s="7">
        <f>[1]Clothing!R110</f>
        <v>2</v>
      </c>
      <c r="J680" s="7">
        <f>[1]Clothing!S110</f>
        <v>2</v>
      </c>
      <c r="K680" s="159">
        <f t="shared" si="11"/>
        <v>0.37356464144298934</v>
      </c>
    </row>
    <row r="681" spans="1:11" hidden="1">
      <c r="A681" s="7" t="s">
        <v>2046</v>
      </c>
      <c r="B681" s="7">
        <f>[1]Clothing!B111</f>
        <v>2011</v>
      </c>
      <c r="C681" s="7" t="str">
        <f>[1]Clothing!C111</f>
        <v>PA</v>
      </c>
      <c r="D681" s="64">
        <f>[1]Clothing!L111</f>
        <v>342.80096639342116</v>
      </c>
      <c r="E681" s="7" t="s">
        <v>2045</v>
      </c>
      <c r="F681" s="7">
        <f>[1]Clothing!O111</f>
        <v>1</v>
      </c>
      <c r="G681" s="7">
        <f>[1]Clothing!P111</f>
        <v>1</v>
      </c>
      <c r="H681" s="7">
        <f>[1]Clothing!Q111</f>
        <v>2</v>
      </c>
      <c r="I681" s="7">
        <f>[1]Clothing!R111</f>
        <v>2</v>
      </c>
      <c r="J681" s="7">
        <f>[1]Clothing!S111</f>
        <v>2</v>
      </c>
      <c r="K681" s="159">
        <f t="shared" si="11"/>
        <v>0.37356464144298934</v>
      </c>
    </row>
    <row r="682" spans="1:11" hidden="1">
      <c r="A682" s="7" t="s">
        <v>2046</v>
      </c>
      <c r="B682" s="7">
        <f>[1]Clothing!B112</f>
        <v>2011</v>
      </c>
      <c r="C682" s="7" t="str">
        <f>[1]Clothing!C112</f>
        <v>PET</v>
      </c>
      <c r="D682" s="64">
        <f>[1]Clothing!L112</f>
        <v>1534.6343875324412</v>
      </c>
      <c r="E682" s="7" t="s">
        <v>2045</v>
      </c>
      <c r="F682" s="7">
        <f>[1]Clothing!O112</f>
        <v>1</v>
      </c>
      <c r="G682" s="7">
        <f>[1]Clothing!P112</f>
        <v>1</v>
      </c>
      <c r="H682" s="7">
        <f>[1]Clothing!Q112</f>
        <v>2</v>
      </c>
      <c r="I682" s="7">
        <f>[1]Clothing!R112</f>
        <v>2</v>
      </c>
      <c r="J682" s="7">
        <f>[1]Clothing!S112</f>
        <v>2</v>
      </c>
      <c r="K682" s="159">
        <f t="shared" si="11"/>
        <v>0.37356464144298934</v>
      </c>
    </row>
    <row r="683" spans="1:11" hidden="1">
      <c r="A683" s="7" t="s">
        <v>2046</v>
      </c>
      <c r="B683" s="7">
        <f>[1]Clothing!B113</f>
        <v>2011</v>
      </c>
      <c r="C683" s="7" t="str">
        <f>[1]Clothing!C113</f>
        <v>PUR</v>
      </c>
      <c r="D683" s="64">
        <f>[1]Clothing!L113</f>
        <v>186.51740328277091</v>
      </c>
      <c r="E683" s="7" t="s">
        <v>2045</v>
      </c>
      <c r="F683" s="7">
        <f>[1]Clothing!O113</f>
        <v>1</v>
      </c>
      <c r="G683" s="7">
        <f>[1]Clothing!P113</f>
        <v>1</v>
      </c>
      <c r="H683" s="7">
        <f>[1]Clothing!Q113</f>
        <v>2</v>
      </c>
      <c r="I683" s="7">
        <f>[1]Clothing!R113</f>
        <v>2</v>
      </c>
      <c r="J683" s="7">
        <f>[1]Clothing!S113</f>
        <v>2</v>
      </c>
      <c r="K683" s="159">
        <f t="shared" si="11"/>
        <v>0.37356464144298934</v>
      </c>
    </row>
    <row r="684" spans="1:11" hidden="1">
      <c r="A684" s="7" t="s">
        <v>2046</v>
      </c>
      <c r="B684" s="7">
        <f>[1]Clothing!B114</f>
        <v>2011</v>
      </c>
      <c r="C684" s="7" t="str">
        <f>[1]Clothing!C114</f>
        <v>PVC</v>
      </c>
      <c r="D684" s="64">
        <f>[1]Clothing!L114</f>
        <v>121.13184528357107</v>
      </c>
      <c r="E684" s="7" t="s">
        <v>2045</v>
      </c>
      <c r="F684" s="7">
        <f>[1]Clothing!O114</f>
        <v>1</v>
      </c>
      <c r="G684" s="7">
        <f>[1]Clothing!P114</f>
        <v>1</v>
      </c>
      <c r="H684" s="7">
        <f>[1]Clothing!Q114</f>
        <v>2</v>
      </c>
      <c r="I684" s="7">
        <f>[1]Clothing!R114</f>
        <v>2</v>
      </c>
      <c r="J684" s="7">
        <f>[1]Clothing!S114</f>
        <v>2</v>
      </c>
      <c r="K684" s="159">
        <f t="shared" si="11"/>
        <v>0.37356464144298934</v>
      </c>
    </row>
    <row r="685" spans="1:11" hidden="1">
      <c r="A685" s="7" t="s">
        <v>2046</v>
      </c>
      <c r="B685" s="7">
        <f>[1]Clothing!B115</f>
        <v>2011</v>
      </c>
      <c r="C685" s="7" t="str">
        <f>[1]Clothing!C115</f>
        <v>RUBBER</v>
      </c>
      <c r="D685" s="64">
        <f>[1]Clothing!L115</f>
        <v>263.7602220387023</v>
      </c>
      <c r="E685" s="7" t="s">
        <v>2045</v>
      </c>
      <c r="F685" s="7">
        <f>[1]Clothing!O115</f>
        <v>1</v>
      </c>
      <c r="G685" s="7">
        <f>[1]Clothing!P115</f>
        <v>1</v>
      </c>
      <c r="H685" s="7">
        <f>[1]Clothing!Q115</f>
        <v>2</v>
      </c>
      <c r="I685" s="7">
        <f>[1]Clothing!R115</f>
        <v>2</v>
      </c>
      <c r="J685" s="7">
        <f>[1]Clothing!S115</f>
        <v>2</v>
      </c>
      <c r="K685" s="159">
        <f t="shared" si="11"/>
        <v>0.37356464144298934</v>
      </c>
    </row>
    <row r="686" spans="1:11" hidden="1">
      <c r="A686" s="7" t="s">
        <v>2046</v>
      </c>
      <c r="B686" s="7">
        <f>[1]Clothing!B116</f>
        <v>2012</v>
      </c>
      <c r="C686" s="7" t="str">
        <f>[1]Clothing!C116</f>
        <v>Acryl</v>
      </c>
      <c r="D686" s="64">
        <f>[1]Clothing!L116</f>
        <v>116.94158174815253</v>
      </c>
      <c r="E686" s="7" t="s">
        <v>2045</v>
      </c>
      <c r="F686" s="7">
        <f>[1]Clothing!O116</f>
        <v>1</v>
      </c>
      <c r="G686" s="7">
        <f>[1]Clothing!P116</f>
        <v>1</v>
      </c>
      <c r="H686" s="7">
        <f>[1]Clothing!Q116</f>
        <v>2</v>
      </c>
      <c r="I686" s="7">
        <f>[1]Clothing!R116</f>
        <v>2</v>
      </c>
      <c r="J686" s="7">
        <f>[1]Clothing!S116</f>
        <v>2</v>
      </c>
      <c r="K686" s="159">
        <f t="shared" si="11"/>
        <v>0.37356464144298934</v>
      </c>
    </row>
    <row r="687" spans="1:11" hidden="1">
      <c r="A687" s="7" t="s">
        <v>2046</v>
      </c>
      <c r="B687" s="7">
        <f>[1]Clothing!B117</f>
        <v>2012</v>
      </c>
      <c r="C687" s="7" t="str">
        <f>[1]Clothing!C117</f>
        <v>OTHER</v>
      </c>
      <c r="D687" s="64">
        <f>[1]Clothing!L117</f>
        <v>202.73636701859166</v>
      </c>
      <c r="E687" s="7" t="s">
        <v>2045</v>
      </c>
      <c r="F687" s="7">
        <f>[1]Clothing!O117</f>
        <v>1</v>
      </c>
      <c r="G687" s="7">
        <f>[1]Clothing!P117</f>
        <v>1</v>
      </c>
      <c r="H687" s="7">
        <f>[1]Clothing!Q117</f>
        <v>2</v>
      </c>
      <c r="I687" s="7">
        <f>[1]Clothing!R117</f>
        <v>2</v>
      </c>
      <c r="J687" s="7">
        <f>[1]Clothing!S117</f>
        <v>2</v>
      </c>
      <c r="K687" s="159">
        <f t="shared" si="11"/>
        <v>0.37356464144298934</v>
      </c>
    </row>
    <row r="688" spans="1:11" hidden="1">
      <c r="A688" s="7" t="s">
        <v>2046</v>
      </c>
      <c r="B688" s="7">
        <f>[1]Clothing!B118</f>
        <v>2012</v>
      </c>
      <c r="C688" s="7" t="str">
        <f>[1]Clothing!C118</f>
        <v>PA</v>
      </c>
      <c r="D688" s="64">
        <f>[1]Clothing!L118</f>
        <v>249.09332647338607</v>
      </c>
      <c r="E688" s="7" t="s">
        <v>2045</v>
      </c>
      <c r="F688" s="7">
        <f>[1]Clothing!O118</f>
        <v>1</v>
      </c>
      <c r="G688" s="7">
        <f>[1]Clothing!P118</f>
        <v>1</v>
      </c>
      <c r="H688" s="7">
        <f>[1]Clothing!Q118</f>
        <v>2</v>
      </c>
      <c r="I688" s="7">
        <f>[1]Clothing!R118</f>
        <v>2</v>
      </c>
      <c r="J688" s="7">
        <f>[1]Clothing!S118</f>
        <v>2</v>
      </c>
      <c r="K688" s="159">
        <f t="shared" si="11"/>
        <v>0.37356464144298934</v>
      </c>
    </row>
    <row r="689" spans="1:11" hidden="1">
      <c r="A689" s="7" t="s">
        <v>2046</v>
      </c>
      <c r="B689" s="7">
        <f>[1]Clothing!B119</f>
        <v>2012</v>
      </c>
      <c r="C689" s="7" t="str">
        <f>[1]Clothing!C119</f>
        <v>PET</v>
      </c>
      <c r="D689" s="64">
        <f>[1]Clothing!L119</f>
        <v>1313.4214345278285</v>
      </c>
      <c r="E689" s="7" t="s">
        <v>2045</v>
      </c>
      <c r="F689" s="7">
        <f>[1]Clothing!O119</f>
        <v>1</v>
      </c>
      <c r="G689" s="7">
        <f>[1]Clothing!P119</f>
        <v>1</v>
      </c>
      <c r="H689" s="7">
        <f>[1]Clothing!Q119</f>
        <v>2</v>
      </c>
      <c r="I689" s="7">
        <f>[1]Clothing!R119</f>
        <v>2</v>
      </c>
      <c r="J689" s="7">
        <f>[1]Clothing!S119</f>
        <v>2</v>
      </c>
      <c r="K689" s="159">
        <f t="shared" si="11"/>
        <v>0.37356464144298934</v>
      </c>
    </row>
    <row r="690" spans="1:11" hidden="1">
      <c r="A690" s="7" t="s">
        <v>2046</v>
      </c>
      <c r="B690" s="7">
        <f>[1]Clothing!B120</f>
        <v>2012</v>
      </c>
      <c r="C690" s="7" t="str">
        <f>[1]Clothing!C120</f>
        <v>PUR</v>
      </c>
      <c r="D690" s="64">
        <f>[1]Clothing!L120</f>
        <v>166.22896235871892</v>
      </c>
      <c r="E690" s="7" t="s">
        <v>2045</v>
      </c>
      <c r="F690" s="7">
        <f>[1]Clothing!O120</f>
        <v>1</v>
      </c>
      <c r="G690" s="7">
        <f>[1]Clothing!P120</f>
        <v>1</v>
      </c>
      <c r="H690" s="7">
        <f>[1]Clothing!Q120</f>
        <v>2</v>
      </c>
      <c r="I690" s="7">
        <f>[1]Clothing!R120</f>
        <v>2</v>
      </c>
      <c r="J690" s="7">
        <f>[1]Clothing!S120</f>
        <v>2</v>
      </c>
      <c r="K690" s="159">
        <f t="shared" si="11"/>
        <v>0.37356464144298934</v>
      </c>
    </row>
    <row r="691" spans="1:11" hidden="1">
      <c r="A691" s="7" t="s">
        <v>2046</v>
      </c>
      <c r="B691" s="7">
        <f>[1]Clothing!B121</f>
        <v>2012</v>
      </c>
      <c r="C691" s="7" t="str">
        <f>[1]Clothing!C121</f>
        <v>PVC</v>
      </c>
      <c r="D691" s="64">
        <f>[1]Clothing!L121</f>
        <v>107.33038817312612</v>
      </c>
      <c r="E691" s="7" t="s">
        <v>2045</v>
      </c>
      <c r="F691" s="7">
        <f>[1]Clothing!O121</f>
        <v>1</v>
      </c>
      <c r="G691" s="7">
        <f>[1]Clothing!P121</f>
        <v>1</v>
      </c>
      <c r="H691" s="7">
        <f>[1]Clothing!Q121</f>
        <v>2</v>
      </c>
      <c r="I691" s="7">
        <f>[1]Clothing!R121</f>
        <v>2</v>
      </c>
      <c r="J691" s="7">
        <f>[1]Clothing!S121</f>
        <v>2</v>
      </c>
      <c r="K691" s="159">
        <f t="shared" si="11"/>
        <v>0.37356464144298934</v>
      </c>
    </row>
    <row r="692" spans="1:11" hidden="1">
      <c r="A692" s="7" t="s">
        <v>2046</v>
      </c>
      <c r="B692" s="7">
        <f>[1]Clothing!B122</f>
        <v>2012</v>
      </c>
      <c r="C692" s="7" t="str">
        <f>[1]Clothing!C122</f>
        <v>RUBBER</v>
      </c>
      <c r="D692" s="64">
        <f>[1]Clothing!L122</f>
        <v>227.36546953549217</v>
      </c>
      <c r="E692" s="7" t="s">
        <v>2045</v>
      </c>
      <c r="F692" s="7">
        <f>[1]Clothing!O122</f>
        <v>1</v>
      </c>
      <c r="G692" s="7">
        <f>[1]Clothing!P122</f>
        <v>1</v>
      </c>
      <c r="H692" s="7">
        <f>[1]Clothing!Q122</f>
        <v>2</v>
      </c>
      <c r="I692" s="7">
        <f>[1]Clothing!R122</f>
        <v>2</v>
      </c>
      <c r="J692" s="7">
        <f>[1]Clothing!S122</f>
        <v>2</v>
      </c>
      <c r="K692" s="159">
        <f t="shared" si="11"/>
        <v>0.37356464144298934</v>
      </c>
    </row>
    <row r="693" spans="1:11" hidden="1">
      <c r="A693" s="7" t="s">
        <v>2046</v>
      </c>
      <c r="B693" s="7">
        <f>[1]Clothing!B123</f>
        <v>2013</v>
      </c>
      <c r="C693" s="7" t="str">
        <f>[1]Clothing!C123</f>
        <v>Acryl</v>
      </c>
      <c r="D693" s="64">
        <f>[1]Clothing!L123</f>
        <v>123.89932441250909</v>
      </c>
      <c r="E693" s="7" t="s">
        <v>2045</v>
      </c>
      <c r="F693" s="7">
        <f>[1]Clothing!O123</f>
        <v>1</v>
      </c>
      <c r="G693" s="7">
        <f>[1]Clothing!P123</f>
        <v>1</v>
      </c>
      <c r="H693" s="7">
        <f>[1]Clothing!Q123</f>
        <v>2</v>
      </c>
      <c r="I693" s="7">
        <f>[1]Clothing!R123</f>
        <v>2</v>
      </c>
      <c r="J693" s="7">
        <f>[1]Clothing!S123</f>
        <v>2</v>
      </c>
      <c r="K693" s="159">
        <f t="shared" si="11"/>
        <v>0.37356464144298934</v>
      </c>
    </row>
    <row r="694" spans="1:11" hidden="1">
      <c r="A694" s="7" t="s">
        <v>2046</v>
      </c>
      <c r="B694" s="7">
        <f>[1]Clothing!B124</f>
        <v>2013</v>
      </c>
      <c r="C694" s="7" t="str">
        <f>[1]Clothing!C124</f>
        <v>OTHER</v>
      </c>
      <c r="D694" s="64">
        <f>[1]Clothing!L124</f>
        <v>211.1023622199954</v>
      </c>
      <c r="E694" s="7" t="s">
        <v>2045</v>
      </c>
      <c r="F694" s="7">
        <f>[1]Clothing!O124</f>
        <v>1</v>
      </c>
      <c r="G694" s="7">
        <f>[1]Clothing!P124</f>
        <v>1</v>
      </c>
      <c r="H694" s="7">
        <f>[1]Clothing!Q124</f>
        <v>2</v>
      </c>
      <c r="I694" s="7">
        <f>[1]Clothing!R124</f>
        <v>2</v>
      </c>
      <c r="J694" s="7">
        <f>[1]Clothing!S124</f>
        <v>2</v>
      </c>
      <c r="K694" s="159">
        <f t="shared" si="11"/>
        <v>0.37356464144298934</v>
      </c>
    </row>
    <row r="695" spans="1:11" hidden="1">
      <c r="A695" s="7" t="s">
        <v>2046</v>
      </c>
      <c r="B695" s="7">
        <f>[1]Clothing!B125</f>
        <v>2013</v>
      </c>
      <c r="C695" s="7" t="str">
        <f>[1]Clothing!C125</f>
        <v>PA</v>
      </c>
      <c r="D695" s="64">
        <f>[1]Clothing!L125</f>
        <v>260.35943181244977</v>
      </c>
      <c r="E695" s="7" t="s">
        <v>2045</v>
      </c>
      <c r="F695" s="7">
        <f>[1]Clothing!O125</f>
        <v>1</v>
      </c>
      <c r="G695" s="7">
        <f>[1]Clothing!P125</f>
        <v>1</v>
      </c>
      <c r="H695" s="7">
        <f>[1]Clothing!Q125</f>
        <v>2</v>
      </c>
      <c r="I695" s="7">
        <f>[1]Clothing!R125</f>
        <v>2</v>
      </c>
      <c r="J695" s="7">
        <f>[1]Clothing!S125</f>
        <v>2</v>
      </c>
      <c r="K695" s="159">
        <f t="shared" si="11"/>
        <v>0.37356464144298934</v>
      </c>
    </row>
    <row r="696" spans="1:11" hidden="1">
      <c r="A696" s="7" t="s">
        <v>2046</v>
      </c>
      <c r="B696" s="7">
        <f>[1]Clothing!B126</f>
        <v>2013</v>
      </c>
      <c r="C696" s="7" t="str">
        <f>[1]Clothing!C126</f>
        <v>PET</v>
      </c>
      <c r="D696" s="64">
        <f>[1]Clothing!L126</f>
        <v>1380.5275678019752</v>
      </c>
      <c r="E696" s="7" t="s">
        <v>2045</v>
      </c>
      <c r="F696" s="7">
        <f>[1]Clothing!O126</f>
        <v>1</v>
      </c>
      <c r="G696" s="7">
        <f>[1]Clothing!P126</f>
        <v>1</v>
      </c>
      <c r="H696" s="7">
        <f>[1]Clothing!Q126</f>
        <v>2</v>
      </c>
      <c r="I696" s="7">
        <f>[1]Clothing!R126</f>
        <v>2</v>
      </c>
      <c r="J696" s="7">
        <f>[1]Clothing!S126</f>
        <v>2</v>
      </c>
      <c r="K696" s="159">
        <f t="shared" si="11"/>
        <v>0.37356464144298934</v>
      </c>
    </row>
    <row r="697" spans="1:11" hidden="1">
      <c r="A697" s="7" t="s">
        <v>2046</v>
      </c>
      <c r="B697" s="7">
        <f>[1]Clothing!B127</f>
        <v>2013</v>
      </c>
      <c r="C697" s="7" t="str">
        <f>[1]Clothing!C127</f>
        <v>PUR</v>
      </c>
      <c r="D697" s="64">
        <f>[1]Clothing!L127</f>
        <v>170.29061393868827</v>
      </c>
      <c r="E697" s="7" t="s">
        <v>2045</v>
      </c>
      <c r="F697" s="7">
        <f>[1]Clothing!O127</f>
        <v>1</v>
      </c>
      <c r="G697" s="7">
        <f>[1]Clothing!P127</f>
        <v>1</v>
      </c>
      <c r="H697" s="7">
        <f>[1]Clothing!Q127</f>
        <v>2</v>
      </c>
      <c r="I697" s="7">
        <f>[1]Clothing!R127</f>
        <v>2</v>
      </c>
      <c r="J697" s="7">
        <f>[1]Clothing!S127</f>
        <v>2</v>
      </c>
      <c r="K697" s="159">
        <f t="shared" si="11"/>
        <v>0.37356464144298934</v>
      </c>
    </row>
    <row r="698" spans="1:11" hidden="1">
      <c r="A698" s="7" t="s">
        <v>2046</v>
      </c>
      <c r="B698" s="7">
        <f>[1]Clothing!B128</f>
        <v>2013</v>
      </c>
      <c r="C698" s="7" t="str">
        <f>[1]Clothing!C128</f>
        <v>PVC</v>
      </c>
      <c r="D698" s="64">
        <f>[1]Clothing!L128</f>
        <v>110.05963082562103</v>
      </c>
      <c r="E698" s="7" t="s">
        <v>2045</v>
      </c>
      <c r="F698" s="7">
        <f>[1]Clothing!O128</f>
        <v>1</v>
      </c>
      <c r="G698" s="7">
        <f>[1]Clothing!P128</f>
        <v>1</v>
      </c>
      <c r="H698" s="7">
        <f>[1]Clothing!Q128</f>
        <v>2</v>
      </c>
      <c r="I698" s="7">
        <f>[1]Clothing!R128</f>
        <v>2</v>
      </c>
      <c r="J698" s="7">
        <f>[1]Clothing!S128</f>
        <v>2</v>
      </c>
      <c r="K698" s="159">
        <f t="shared" si="11"/>
        <v>0.37356464144298934</v>
      </c>
    </row>
    <row r="699" spans="1:11" hidden="1">
      <c r="A699" s="7" t="s">
        <v>2046</v>
      </c>
      <c r="B699" s="7">
        <f>[1]Clothing!B129</f>
        <v>2013</v>
      </c>
      <c r="C699" s="7" t="str">
        <f>[1]Clothing!C129</f>
        <v>RUBBER</v>
      </c>
      <c r="D699" s="64">
        <f>[1]Clothing!L129</f>
        <v>234.64634938210807</v>
      </c>
      <c r="E699" s="7" t="s">
        <v>2045</v>
      </c>
      <c r="F699" s="7">
        <f>[1]Clothing!O129</f>
        <v>1</v>
      </c>
      <c r="G699" s="7">
        <f>[1]Clothing!P129</f>
        <v>1</v>
      </c>
      <c r="H699" s="7">
        <f>[1]Clothing!Q129</f>
        <v>2</v>
      </c>
      <c r="I699" s="7">
        <f>[1]Clothing!R129</f>
        <v>2</v>
      </c>
      <c r="J699" s="7">
        <f>[1]Clothing!S129</f>
        <v>2</v>
      </c>
      <c r="K699" s="159">
        <f t="shared" si="11"/>
        <v>0.37356464144298934</v>
      </c>
    </row>
    <row r="700" spans="1:11" hidden="1">
      <c r="A700" s="7" t="s">
        <v>2046</v>
      </c>
      <c r="B700" s="7">
        <f>[1]Clothing!B130</f>
        <v>2014</v>
      </c>
      <c r="C700" s="7" t="str">
        <f>[1]Clothing!C130</f>
        <v>Acryl</v>
      </c>
      <c r="D700" s="64">
        <f>[1]Clothing!L130</f>
        <v>140.07845872232809</v>
      </c>
      <c r="E700" s="7" t="s">
        <v>2045</v>
      </c>
      <c r="F700" s="7">
        <f>[1]Clothing!O130</f>
        <v>1</v>
      </c>
      <c r="G700" s="7">
        <f>[1]Clothing!P130</f>
        <v>1</v>
      </c>
      <c r="H700" s="7">
        <f>[1]Clothing!Q130</f>
        <v>2</v>
      </c>
      <c r="I700" s="7">
        <f>[1]Clothing!R130</f>
        <v>2</v>
      </c>
      <c r="J700" s="7">
        <f>[1]Clothing!S130</f>
        <v>2</v>
      </c>
      <c r="K700" s="159">
        <f t="shared" si="11"/>
        <v>0.37356464144298934</v>
      </c>
    </row>
    <row r="701" spans="1:11" hidden="1">
      <c r="A701" s="7" t="s">
        <v>2046</v>
      </c>
      <c r="B701" s="7">
        <f>[1]Clothing!B131</f>
        <v>2014</v>
      </c>
      <c r="C701" s="7" t="str">
        <f>[1]Clothing!C131</f>
        <v>OTHER</v>
      </c>
      <c r="D701" s="64">
        <f>[1]Clothing!L131</f>
        <v>233.14282356994889</v>
      </c>
      <c r="E701" s="7" t="s">
        <v>2045</v>
      </c>
      <c r="F701" s="7">
        <f>[1]Clothing!O131</f>
        <v>1</v>
      </c>
      <c r="G701" s="7">
        <f>[1]Clothing!P131</f>
        <v>1</v>
      </c>
      <c r="H701" s="7">
        <f>[1]Clothing!Q131</f>
        <v>2</v>
      </c>
      <c r="I701" s="7">
        <f>[1]Clothing!R131</f>
        <v>2</v>
      </c>
      <c r="J701" s="7">
        <f>[1]Clothing!S131</f>
        <v>2</v>
      </c>
      <c r="K701" s="159">
        <f t="shared" si="11"/>
        <v>0.37356464144298934</v>
      </c>
    </row>
    <row r="702" spans="1:11" hidden="1">
      <c r="A702" s="7" t="s">
        <v>2046</v>
      </c>
      <c r="B702" s="7">
        <f>[1]Clothing!B132</f>
        <v>2014</v>
      </c>
      <c r="C702" s="7" t="str">
        <f>[1]Clothing!C132</f>
        <v>PA</v>
      </c>
      <c r="D702" s="64">
        <f>[1]Clothing!L132</f>
        <v>286.95973398011762</v>
      </c>
      <c r="E702" s="7" t="s">
        <v>2045</v>
      </c>
      <c r="F702" s="7">
        <f>[1]Clothing!O132</f>
        <v>1</v>
      </c>
      <c r="G702" s="7">
        <f>[1]Clothing!P132</f>
        <v>1</v>
      </c>
      <c r="H702" s="7">
        <f>[1]Clothing!Q132</f>
        <v>2</v>
      </c>
      <c r="I702" s="7">
        <f>[1]Clothing!R132</f>
        <v>2</v>
      </c>
      <c r="J702" s="7">
        <f>[1]Clothing!S132</f>
        <v>2</v>
      </c>
      <c r="K702" s="159">
        <f t="shared" si="11"/>
        <v>0.37356464144298934</v>
      </c>
    </row>
    <row r="703" spans="1:11" hidden="1">
      <c r="A703" s="7" t="s">
        <v>2046</v>
      </c>
      <c r="B703" s="7">
        <f>[1]Clothing!B133</f>
        <v>2014</v>
      </c>
      <c r="C703" s="7" t="str">
        <f>[1]Clothing!C133</f>
        <v>PET</v>
      </c>
      <c r="D703" s="64">
        <f>[1]Clothing!L133</f>
        <v>1512.8690771386498</v>
      </c>
      <c r="E703" s="7" t="s">
        <v>2045</v>
      </c>
      <c r="F703" s="7">
        <f>[1]Clothing!O133</f>
        <v>1</v>
      </c>
      <c r="G703" s="7">
        <f>[1]Clothing!P133</f>
        <v>1</v>
      </c>
      <c r="H703" s="7">
        <f>[1]Clothing!Q133</f>
        <v>2</v>
      </c>
      <c r="I703" s="7">
        <f>[1]Clothing!R133</f>
        <v>2</v>
      </c>
      <c r="J703" s="7">
        <f>[1]Clothing!S133</f>
        <v>2</v>
      </c>
      <c r="K703" s="159">
        <f t="shared" si="11"/>
        <v>0.37356464144298934</v>
      </c>
    </row>
    <row r="704" spans="1:11" hidden="1">
      <c r="A704" s="7" t="s">
        <v>2046</v>
      </c>
      <c r="B704" s="7">
        <f>[1]Clothing!B134</f>
        <v>2014</v>
      </c>
      <c r="C704" s="7" t="str">
        <f>[1]Clothing!C134</f>
        <v>PUR</v>
      </c>
      <c r="D704" s="64">
        <f>[1]Clothing!L134</f>
        <v>185.23747312287455</v>
      </c>
      <c r="E704" s="7" t="s">
        <v>2045</v>
      </c>
      <c r="F704" s="7">
        <f>[1]Clothing!O134</f>
        <v>1</v>
      </c>
      <c r="G704" s="7">
        <f>[1]Clothing!P134</f>
        <v>1</v>
      </c>
      <c r="H704" s="7">
        <f>[1]Clothing!Q134</f>
        <v>2</v>
      </c>
      <c r="I704" s="7">
        <f>[1]Clothing!R134</f>
        <v>2</v>
      </c>
      <c r="J704" s="7">
        <f>[1]Clothing!S134</f>
        <v>2</v>
      </c>
      <c r="K704" s="159">
        <f t="shared" si="11"/>
        <v>0.37356464144298934</v>
      </c>
    </row>
    <row r="705" spans="1:11" hidden="1">
      <c r="A705" s="7" t="s">
        <v>2046</v>
      </c>
      <c r="B705" s="7">
        <f>[1]Clothing!B135</f>
        <v>2014</v>
      </c>
      <c r="C705" s="7" t="str">
        <f>[1]Clothing!C135</f>
        <v>PVC</v>
      </c>
      <c r="D705" s="64">
        <f>[1]Clothing!L135</f>
        <v>119.76298826107833</v>
      </c>
      <c r="E705" s="7" t="s">
        <v>2045</v>
      </c>
      <c r="F705" s="7">
        <f>[1]Clothing!O135</f>
        <v>1</v>
      </c>
      <c r="G705" s="7">
        <f>[1]Clothing!P135</f>
        <v>1</v>
      </c>
      <c r="H705" s="7">
        <f>[1]Clothing!Q135</f>
        <v>2</v>
      </c>
      <c r="I705" s="7">
        <f>[1]Clothing!R135</f>
        <v>2</v>
      </c>
      <c r="J705" s="7">
        <f>[1]Clothing!S135</f>
        <v>2</v>
      </c>
      <c r="K705" s="159">
        <f t="shared" si="11"/>
        <v>0.37356464144298934</v>
      </c>
    </row>
    <row r="706" spans="1:11" hidden="1">
      <c r="A706" s="7" t="s">
        <v>2046</v>
      </c>
      <c r="B706" s="7">
        <f>[1]Clothing!B136</f>
        <v>2014</v>
      </c>
      <c r="C706" s="7" t="str">
        <f>[1]Clothing!C136</f>
        <v>RUBBER</v>
      </c>
      <c r="D706" s="64">
        <f>[1]Clothing!L136</f>
        <v>254.51440946370624</v>
      </c>
      <c r="E706" s="7" t="s">
        <v>2045</v>
      </c>
      <c r="F706" s="7">
        <f>[1]Clothing!O136</f>
        <v>1</v>
      </c>
      <c r="G706" s="7">
        <f>[1]Clothing!P136</f>
        <v>1</v>
      </c>
      <c r="H706" s="7">
        <f>[1]Clothing!Q136</f>
        <v>2</v>
      </c>
      <c r="I706" s="7">
        <f>[1]Clothing!R136</f>
        <v>2</v>
      </c>
      <c r="J706" s="7">
        <f>[1]Clothing!S136</f>
        <v>2</v>
      </c>
      <c r="K706" s="159">
        <f t="shared" si="11"/>
        <v>0.37356464144298934</v>
      </c>
    </row>
    <row r="707" spans="1:11" hidden="1">
      <c r="A707" s="7" t="s">
        <v>2046</v>
      </c>
      <c r="B707" s="7">
        <f>[1]Clothing!B137</f>
        <v>2015</v>
      </c>
      <c r="C707" s="7" t="str">
        <f>[1]Clothing!C137</f>
        <v>Acryl</v>
      </c>
      <c r="D707" s="64">
        <f>[1]Clothing!L137</f>
        <v>130.8154991431883</v>
      </c>
      <c r="E707" s="7" t="s">
        <v>2045</v>
      </c>
      <c r="F707" s="7">
        <f>[1]Clothing!O137</f>
        <v>1</v>
      </c>
      <c r="G707" s="7">
        <f>[1]Clothing!P137</f>
        <v>1</v>
      </c>
      <c r="H707" s="7">
        <f>[1]Clothing!Q137</f>
        <v>2</v>
      </c>
      <c r="I707" s="7">
        <f>[1]Clothing!R137</f>
        <v>2</v>
      </c>
      <c r="J707" s="7">
        <f>[1]Clothing!S137</f>
        <v>2</v>
      </c>
      <c r="K707" s="159">
        <f t="shared" si="11"/>
        <v>0.37356464144298934</v>
      </c>
    </row>
    <row r="708" spans="1:11" hidden="1">
      <c r="A708" s="7" t="s">
        <v>2046</v>
      </c>
      <c r="B708" s="7">
        <f>[1]Clothing!B138</f>
        <v>2015</v>
      </c>
      <c r="C708" s="7" t="str">
        <f>[1]Clothing!C138</f>
        <v>OTHER</v>
      </c>
      <c r="D708" s="64">
        <f>[1]Clothing!L138</f>
        <v>210.95335681775504</v>
      </c>
      <c r="E708" s="7" t="s">
        <v>2045</v>
      </c>
      <c r="F708" s="7">
        <f>[1]Clothing!O138</f>
        <v>1</v>
      </c>
      <c r="G708" s="7">
        <f>[1]Clothing!P138</f>
        <v>1</v>
      </c>
      <c r="H708" s="7">
        <f>[1]Clothing!Q138</f>
        <v>2</v>
      </c>
      <c r="I708" s="7">
        <f>[1]Clothing!R138</f>
        <v>2</v>
      </c>
      <c r="J708" s="7">
        <f>[1]Clothing!S138</f>
        <v>2</v>
      </c>
      <c r="K708" s="159">
        <f t="shared" si="11"/>
        <v>0.37356464144298934</v>
      </c>
    </row>
    <row r="709" spans="1:11" hidden="1">
      <c r="A709" s="7" t="s">
        <v>2046</v>
      </c>
      <c r="B709" s="7">
        <f>[1]Clothing!B139</f>
        <v>2015</v>
      </c>
      <c r="C709" s="7" t="str">
        <f>[1]Clothing!C139</f>
        <v>PA</v>
      </c>
      <c r="D709" s="64">
        <f>[1]Clothing!L139</f>
        <v>270.46445420496957</v>
      </c>
      <c r="E709" s="7" t="s">
        <v>2045</v>
      </c>
      <c r="F709" s="7">
        <f>[1]Clothing!O139</f>
        <v>1</v>
      </c>
      <c r="G709" s="7">
        <f>[1]Clothing!P139</f>
        <v>1</v>
      </c>
      <c r="H709" s="7">
        <f>[1]Clothing!Q139</f>
        <v>2</v>
      </c>
      <c r="I709" s="7">
        <f>[1]Clothing!R139</f>
        <v>2</v>
      </c>
      <c r="J709" s="7">
        <f>[1]Clothing!S139</f>
        <v>2</v>
      </c>
      <c r="K709" s="159">
        <f t="shared" si="11"/>
        <v>0.37356464144298934</v>
      </c>
    </row>
    <row r="710" spans="1:11" hidden="1">
      <c r="A710" s="7" t="s">
        <v>2046</v>
      </c>
      <c r="B710" s="7">
        <f>[1]Clothing!B140</f>
        <v>2015</v>
      </c>
      <c r="C710" s="7" t="str">
        <f>[1]Clothing!C140</f>
        <v>PET</v>
      </c>
      <c r="D710" s="64">
        <f>[1]Clothing!L140</f>
        <v>1436.3490757844561</v>
      </c>
      <c r="E710" s="7" t="s">
        <v>2045</v>
      </c>
      <c r="F710" s="7">
        <f>[1]Clothing!O140</f>
        <v>1</v>
      </c>
      <c r="G710" s="7">
        <f>[1]Clothing!P140</f>
        <v>1</v>
      </c>
      <c r="H710" s="7">
        <f>[1]Clothing!Q140</f>
        <v>2</v>
      </c>
      <c r="I710" s="7">
        <f>[1]Clothing!R140</f>
        <v>2</v>
      </c>
      <c r="J710" s="7">
        <f>[1]Clothing!S140</f>
        <v>2</v>
      </c>
      <c r="K710" s="159">
        <f t="shared" si="11"/>
        <v>0.37356464144298934</v>
      </c>
    </row>
    <row r="711" spans="1:11" hidden="1">
      <c r="A711" s="7" t="s">
        <v>2046</v>
      </c>
      <c r="B711" s="7">
        <f>[1]Clothing!B141</f>
        <v>2015</v>
      </c>
      <c r="C711" s="7" t="str">
        <f>[1]Clothing!C141</f>
        <v>PUR</v>
      </c>
      <c r="D711" s="64">
        <f>[1]Clothing!L141</f>
        <v>175.44824900972998</v>
      </c>
      <c r="E711" s="7" t="s">
        <v>2045</v>
      </c>
      <c r="F711" s="7">
        <f>[1]Clothing!O141</f>
        <v>1</v>
      </c>
      <c r="G711" s="7">
        <f>[1]Clothing!P141</f>
        <v>1</v>
      </c>
      <c r="H711" s="7">
        <f>[1]Clothing!Q141</f>
        <v>2</v>
      </c>
      <c r="I711" s="7">
        <f>[1]Clothing!R141</f>
        <v>2</v>
      </c>
      <c r="J711" s="7">
        <f>[1]Clothing!S141</f>
        <v>2</v>
      </c>
      <c r="K711" s="159">
        <f t="shared" si="11"/>
        <v>0.37356464144298934</v>
      </c>
    </row>
    <row r="712" spans="1:11" hidden="1">
      <c r="A712" s="7" t="s">
        <v>2046</v>
      </c>
      <c r="B712" s="7">
        <f>[1]Clothing!B142</f>
        <v>2015</v>
      </c>
      <c r="C712" s="7" t="str">
        <f>[1]Clothing!C142</f>
        <v>PVC</v>
      </c>
      <c r="D712" s="64">
        <f>[1]Clothing!L142</f>
        <v>112.85240156478984</v>
      </c>
      <c r="E712" s="7" t="s">
        <v>2045</v>
      </c>
      <c r="F712" s="7">
        <f>[1]Clothing!O142</f>
        <v>1</v>
      </c>
      <c r="G712" s="7">
        <f>[1]Clothing!P142</f>
        <v>1</v>
      </c>
      <c r="H712" s="7">
        <f>[1]Clothing!Q142</f>
        <v>2</v>
      </c>
      <c r="I712" s="7">
        <f>[1]Clothing!R142</f>
        <v>2</v>
      </c>
      <c r="J712" s="7">
        <f>[1]Clothing!S142</f>
        <v>2</v>
      </c>
      <c r="K712" s="159">
        <f t="shared" si="11"/>
        <v>0.37356464144298934</v>
      </c>
    </row>
    <row r="713" spans="1:11" hidden="1">
      <c r="A713" s="7" t="s">
        <v>2046</v>
      </c>
      <c r="B713" s="7">
        <f>[1]Clothing!B143</f>
        <v>2015</v>
      </c>
      <c r="C713" s="7" t="str">
        <f>[1]Clothing!C143</f>
        <v>RUBBER</v>
      </c>
      <c r="D713" s="64">
        <f>[1]Clothing!L143</f>
        <v>233.29695938731959</v>
      </c>
      <c r="E713" s="7" t="s">
        <v>2045</v>
      </c>
      <c r="F713" s="7">
        <f>[1]Clothing!O143</f>
        <v>1</v>
      </c>
      <c r="G713" s="7">
        <f>[1]Clothing!P143</f>
        <v>1</v>
      </c>
      <c r="H713" s="7">
        <f>[1]Clothing!Q143</f>
        <v>2</v>
      </c>
      <c r="I713" s="7">
        <f>[1]Clothing!R143</f>
        <v>2</v>
      </c>
      <c r="J713" s="7">
        <f>[1]Clothing!S143</f>
        <v>2</v>
      </c>
      <c r="K713" s="159">
        <f t="shared" si="11"/>
        <v>0.37356464144298934</v>
      </c>
    </row>
    <row r="714" spans="1:11" hidden="1">
      <c r="A714" s="7" t="s">
        <v>2046</v>
      </c>
      <c r="B714" s="7">
        <f>[1]Clothing!B144</f>
        <v>2016</v>
      </c>
      <c r="C714" s="7" t="str">
        <f>[1]Clothing!C144</f>
        <v>Acryl</v>
      </c>
      <c r="D714" s="64">
        <f>[1]Clothing!L144</f>
        <v>136.48838254169104</v>
      </c>
      <c r="E714" s="7" t="s">
        <v>2045</v>
      </c>
      <c r="F714" s="7">
        <f>[1]Clothing!O144</f>
        <v>1</v>
      </c>
      <c r="G714" s="7">
        <f>[1]Clothing!P144</f>
        <v>1</v>
      </c>
      <c r="H714" s="7">
        <f>[1]Clothing!Q144</f>
        <v>2</v>
      </c>
      <c r="I714" s="7">
        <f>[1]Clothing!R144</f>
        <v>2</v>
      </c>
      <c r="J714" s="7">
        <f>[1]Clothing!S144</f>
        <v>2</v>
      </c>
      <c r="K714" s="159">
        <f t="shared" si="11"/>
        <v>0.37356464144298934</v>
      </c>
    </row>
    <row r="715" spans="1:11" hidden="1">
      <c r="A715" s="7" t="s">
        <v>2046</v>
      </c>
      <c r="B715" s="7">
        <f>[1]Clothing!B145</f>
        <v>2016</v>
      </c>
      <c r="C715" s="7" t="str">
        <f>[1]Clothing!C145</f>
        <v>OTHER</v>
      </c>
      <c r="D715" s="64">
        <f>[1]Clothing!L145</f>
        <v>211.31731743695178</v>
      </c>
      <c r="E715" s="7" t="s">
        <v>2045</v>
      </c>
      <c r="F715" s="7">
        <f>[1]Clothing!O145</f>
        <v>1</v>
      </c>
      <c r="G715" s="7">
        <f>[1]Clothing!P145</f>
        <v>1</v>
      </c>
      <c r="H715" s="7">
        <f>[1]Clothing!Q145</f>
        <v>2</v>
      </c>
      <c r="I715" s="7">
        <f>[1]Clothing!R145</f>
        <v>2</v>
      </c>
      <c r="J715" s="7">
        <f>[1]Clothing!S145</f>
        <v>2</v>
      </c>
      <c r="K715" s="159">
        <f t="shared" si="11"/>
        <v>0.37356464144298934</v>
      </c>
    </row>
    <row r="716" spans="1:11" hidden="1">
      <c r="A716" s="7" t="s">
        <v>2046</v>
      </c>
      <c r="B716" s="7">
        <f>[1]Clothing!B146</f>
        <v>2016</v>
      </c>
      <c r="C716" s="7" t="str">
        <f>[1]Clothing!C146</f>
        <v>PA</v>
      </c>
      <c r="D716" s="64">
        <f>[1]Clothing!L146</f>
        <v>281.63077356766087</v>
      </c>
      <c r="E716" s="7" t="s">
        <v>2045</v>
      </c>
      <c r="F716" s="7">
        <f>[1]Clothing!O146</f>
        <v>1</v>
      </c>
      <c r="G716" s="7">
        <f>[1]Clothing!P146</f>
        <v>1</v>
      </c>
      <c r="H716" s="7">
        <f>[1]Clothing!Q146</f>
        <v>2</v>
      </c>
      <c r="I716" s="7">
        <f>[1]Clothing!R146</f>
        <v>2</v>
      </c>
      <c r="J716" s="7">
        <f>[1]Clothing!S146</f>
        <v>2</v>
      </c>
      <c r="K716" s="159">
        <f t="shared" si="11"/>
        <v>0.37356464144298934</v>
      </c>
    </row>
    <row r="717" spans="1:11" hidden="1">
      <c r="A717" s="7" t="s">
        <v>2046</v>
      </c>
      <c r="B717" s="7">
        <f>[1]Clothing!B147</f>
        <v>2016</v>
      </c>
      <c r="C717" s="7" t="str">
        <f>[1]Clothing!C147</f>
        <v>PET</v>
      </c>
      <c r="D717" s="64">
        <f>[1]Clothing!L147</f>
        <v>1485.9555749664446</v>
      </c>
      <c r="E717" s="7" t="s">
        <v>2045</v>
      </c>
      <c r="F717" s="7">
        <f>[1]Clothing!O147</f>
        <v>1</v>
      </c>
      <c r="G717" s="7">
        <f>[1]Clothing!P147</f>
        <v>1</v>
      </c>
      <c r="H717" s="7">
        <f>[1]Clothing!Q147</f>
        <v>2</v>
      </c>
      <c r="I717" s="7">
        <f>[1]Clothing!R147</f>
        <v>2</v>
      </c>
      <c r="J717" s="7">
        <f>[1]Clothing!S147</f>
        <v>2</v>
      </c>
      <c r="K717" s="159">
        <f t="shared" si="11"/>
        <v>0.37356464144298934</v>
      </c>
    </row>
    <row r="718" spans="1:11" hidden="1">
      <c r="A718" s="7" t="s">
        <v>2046</v>
      </c>
      <c r="B718" s="7">
        <f>[1]Clothing!B148</f>
        <v>2016</v>
      </c>
      <c r="C718" s="7" t="str">
        <f>[1]Clothing!C148</f>
        <v>PUR</v>
      </c>
      <c r="D718" s="64">
        <f>[1]Clothing!L148</f>
        <v>172.92751832210172</v>
      </c>
      <c r="E718" s="7" t="s">
        <v>2045</v>
      </c>
      <c r="F718" s="7">
        <f>[1]Clothing!O148</f>
        <v>1</v>
      </c>
      <c r="G718" s="7">
        <f>[1]Clothing!P148</f>
        <v>1</v>
      </c>
      <c r="H718" s="7">
        <f>[1]Clothing!Q148</f>
        <v>2</v>
      </c>
      <c r="I718" s="7">
        <f>[1]Clothing!R148</f>
        <v>2</v>
      </c>
      <c r="J718" s="7">
        <f>[1]Clothing!S148</f>
        <v>2</v>
      </c>
      <c r="K718" s="159">
        <f t="shared" si="11"/>
        <v>0.37356464144298934</v>
      </c>
    </row>
    <row r="719" spans="1:11" hidden="1">
      <c r="A719" s="7" t="s">
        <v>2046</v>
      </c>
      <c r="B719" s="7">
        <f>[1]Clothing!B149</f>
        <v>2016</v>
      </c>
      <c r="C719" s="7" t="str">
        <f>[1]Clothing!C149</f>
        <v>PVC</v>
      </c>
      <c r="D719" s="64">
        <f>[1]Clothing!L149</f>
        <v>111.17178744870334</v>
      </c>
      <c r="E719" s="7" t="s">
        <v>2045</v>
      </c>
      <c r="F719" s="7">
        <f>[1]Clothing!O149</f>
        <v>1</v>
      </c>
      <c r="G719" s="7">
        <f>[1]Clothing!P149</f>
        <v>1</v>
      </c>
      <c r="H719" s="7">
        <f>[1]Clothing!Q149</f>
        <v>2</v>
      </c>
      <c r="I719" s="7">
        <f>[1]Clothing!R149</f>
        <v>2</v>
      </c>
      <c r="J719" s="7">
        <f>[1]Clothing!S149</f>
        <v>2</v>
      </c>
      <c r="K719" s="159">
        <f t="shared" si="11"/>
        <v>0.37356464144298934</v>
      </c>
    </row>
    <row r="720" spans="1:11" hidden="1">
      <c r="A720" s="7" t="s">
        <v>2046</v>
      </c>
      <c r="B720" s="7">
        <f>[1]Clothing!B150</f>
        <v>2016</v>
      </c>
      <c r="C720" s="7" t="str">
        <f>[1]Clothing!C150</f>
        <v>RUBBER</v>
      </c>
      <c r="D720" s="64">
        <f>[1]Clothing!L150</f>
        <v>229.15074292623382</v>
      </c>
      <c r="E720" s="7" t="s">
        <v>2045</v>
      </c>
      <c r="F720" s="7">
        <f>[1]Clothing!O150</f>
        <v>1</v>
      </c>
      <c r="G720" s="7">
        <f>[1]Clothing!P150</f>
        <v>1</v>
      </c>
      <c r="H720" s="7">
        <f>[1]Clothing!Q150</f>
        <v>2</v>
      </c>
      <c r="I720" s="7">
        <f>[1]Clothing!R150</f>
        <v>2</v>
      </c>
      <c r="J720" s="7">
        <f>[1]Clothing!S150</f>
        <v>2</v>
      </c>
      <c r="K720" s="159">
        <f t="shared" si="11"/>
        <v>0.37356464144298934</v>
      </c>
    </row>
    <row r="721" spans="1:11" hidden="1">
      <c r="A721" s="7" t="s">
        <v>2046</v>
      </c>
      <c r="B721" s="7">
        <f>[1]Clothing!B151</f>
        <v>2017</v>
      </c>
      <c r="C721" s="7" t="str">
        <f>[1]Clothing!C151</f>
        <v>Acryl</v>
      </c>
      <c r="D721" s="64">
        <f>[1]Clothing!L151</f>
        <v>143.26454889506914</v>
      </c>
      <c r="E721" s="7" t="s">
        <v>2045</v>
      </c>
      <c r="F721" s="7">
        <f>[1]Clothing!O151</f>
        <v>1</v>
      </c>
      <c r="G721" s="7">
        <f>[1]Clothing!P151</f>
        <v>1</v>
      </c>
      <c r="H721" s="7">
        <f>[1]Clothing!Q151</f>
        <v>2</v>
      </c>
      <c r="I721" s="7">
        <f>[1]Clothing!R151</f>
        <v>2</v>
      </c>
      <c r="J721" s="7">
        <f>[1]Clothing!S151</f>
        <v>2</v>
      </c>
      <c r="K721" s="159">
        <f t="shared" si="11"/>
        <v>0.37356464144298934</v>
      </c>
    </row>
    <row r="722" spans="1:11" hidden="1">
      <c r="A722" s="7" t="s">
        <v>2046</v>
      </c>
      <c r="B722" s="7">
        <f>[1]Clothing!B152</f>
        <v>2017</v>
      </c>
      <c r="C722" s="7" t="str">
        <f>[1]Clothing!C152</f>
        <v>OTHER</v>
      </c>
      <c r="D722" s="64">
        <f>[1]Clothing!L152</f>
        <v>221.91193018299847</v>
      </c>
      <c r="E722" s="7" t="s">
        <v>2045</v>
      </c>
      <c r="F722" s="7">
        <f>[1]Clothing!O152</f>
        <v>1</v>
      </c>
      <c r="G722" s="7">
        <f>[1]Clothing!P152</f>
        <v>1</v>
      </c>
      <c r="H722" s="7">
        <f>[1]Clothing!Q152</f>
        <v>2</v>
      </c>
      <c r="I722" s="7">
        <f>[1]Clothing!R152</f>
        <v>2</v>
      </c>
      <c r="J722" s="7">
        <f>[1]Clothing!S152</f>
        <v>2</v>
      </c>
      <c r="K722" s="159">
        <f t="shared" si="11"/>
        <v>0.37356464144298934</v>
      </c>
    </row>
    <row r="723" spans="1:11" hidden="1">
      <c r="A723" s="7" t="s">
        <v>2046</v>
      </c>
      <c r="B723" s="7">
        <f>[1]Clothing!B153</f>
        <v>2017</v>
      </c>
      <c r="C723" s="7" t="str">
        <f>[1]Clothing!C153</f>
        <v>PA</v>
      </c>
      <c r="D723" s="64">
        <f>[1]Clothing!L153</f>
        <v>295.39361671438235</v>
      </c>
      <c r="E723" s="7" t="s">
        <v>2045</v>
      </c>
      <c r="F723" s="7">
        <f>[1]Clothing!O153</f>
        <v>1</v>
      </c>
      <c r="G723" s="7">
        <f>[1]Clothing!P153</f>
        <v>1</v>
      </c>
      <c r="H723" s="7">
        <f>[1]Clothing!Q153</f>
        <v>2</v>
      </c>
      <c r="I723" s="7">
        <f>[1]Clothing!R153</f>
        <v>2</v>
      </c>
      <c r="J723" s="7">
        <f>[1]Clothing!S153</f>
        <v>2</v>
      </c>
      <c r="K723" s="159">
        <f t="shared" ref="K723:K762" si="12">IF( OR( ISBLANK(F723),ISBLANK(G723), ISBLANK(H723), ISBLANK(I723), ISBLANK(J723) ), "", 1.5*SQRT(   EXP(2.21*(F723-1)) + EXP(2.21*(G723-1)) + EXP(2.21*(H723-1)) + EXP(2.21*(I723-1)) + EXP(2.21*J723)   )/100*2.45 )</f>
        <v>0.37356464144298934</v>
      </c>
    </row>
    <row r="724" spans="1:11" hidden="1">
      <c r="A724" s="7" t="s">
        <v>2046</v>
      </c>
      <c r="B724" s="7">
        <f>[1]Clothing!B154</f>
        <v>2017</v>
      </c>
      <c r="C724" s="7" t="str">
        <f>[1]Clothing!C154</f>
        <v>PET</v>
      </c>
      <c r="D724" s="64">
        <f>[1]Clothing!L154</f>
        <v>1540.4622868372717</v>
      </c>
      <c r="E724" s="7" t="s">
        <v>2045</v>
      </c>
      <c r="F724" s="7">
        <f>[1]Clothing!O154</f>
        <v>1</v>
      </c>
      <c r="G724" s="7">
        <f>[1]Clothing!P154</f>
        <v>1</v>
      </c>
      <c r="H724" s="7">
        <f>[1]Clothing!Q154</f>
        <v>2</v>
      </c>
      <c r="I724" s="7">
        <f>[1]Clothing!R154</f>
        <v>2</v>
      </c>
      <c r="J724" s="7">
        <f>[1]Clothing!S154</f>
        <v>2</v>
      </c>
      <c r="K724" s="159">
        <f t="shared" si="12"/>
        <v>0.37356464144298934</v>
      </c>
    </row>
    <row r="725" spans="1:11" hidden="1">
      <c r="A725" s="7" t="s">
        <v>2046</v>
      </c>
      <c r="B725" s="7">
        <f>[1]Clothing!B155</f>
        <v>2017</v>
      </c>
      <c r="C725" s="7" t="str">
        <f>[1]Clothing!C155</f>
        <v>PUR</v>
      </c>
      <c r="D725" s="64">
        <f>[1]Clothing!L155</f>
        <v>180.25697993865322</v>
      </c>
      <c r="E725" s="7" t="s">
        <v>2045</v>
      </c>
      <c r="F725" s="7">
        <f>[1]Clothing!O155</f>
        <v>1</v>
      </c>
      <c r="G725" s="7">
        <f>[1]Clothing!P155</f>
        <v>1</v>
      </c>
      <c r="H725" s="7">
        <f>[1]Clothing!Q155</f>
        <v>2</v>
      </c>
      <c r="I725" s="7">
        <f>[1]Clothing!R155</f>
        <v>2</v>
      </c>
      <c r="J725" s="7">
        <f>[1]Clothing!S155</f>
        <v>2</v>
      </c>
      <c r="K725" s="159">
        <f t="shared" si="12"/>
        <v>0.37356464144298934</v>
      </c>
    </row>
    <row r="726" spans="1:11" hidden="1">
      <c r="A726" s="7" t="s">
        <v>2046</v>
      </c>
      <c r="B726" s="7">
        <f>[1]Clothing!B156</f>
        <v>2017</v>
      </c>
      <c r="C726" s="7" t="str">
        <f>[1]Clothing!C156</f>
        <v>PVC</v>
      </c>
      <c r="D726" s="64">
        <f>[1]Clothing!L156</f>
        <v>115.98941198321505</v>
      </c>
      <c r="E726" s="7" t="s">
        <v>2045</v>
      </c>
      <c r="F726" s="7">
        <f>[1]Clothing!O156</f>
        <v>1</v>
      </c>
      <c r="G726" s="7">
        <f>[1]Clothing!P156</f>
        <v>1</v>
      </c>
      <c r="H726" s="7">
        <f>[1]Clothing!Q156</f>
        <v>2</v>
      </c>
      <c r="I726" s="7">
        <f>[1]Clothing!R156</f>
        <v>2</v>
      </c>
      <c r="J726" s="7">
        <f>[1]Clothing!S156</f>
        <v>2</v>
      </c>
      <c r="K726" s="159">
        <f t="shared" si="12"/>
        <v>0.37356464144298934</v>
      </c>
    </row>
    <row r="727" spans="1:11" hidden="1">
      <c r="A727" s="7" t="s">
        <v>2046</v>
      </c>
      <c r="B727" s="7">
        <f>[1]Clothing!B157</f>
        <v>2017</v>
      </c>
      <c r="C727" s="7" t="str">
        <f>[1]Clothing!C157</f>
        <v>RUBBER</v>
      </c>
      <c r="D727" s="64">
        <f>[1]Clothing!L157</f>
        <v>240.40075376841347</v>
      </c>
      <c r="E727" s="7" t="s">
        <v>2045</v>
      </c>
      <c r="F727" s="7">
        <f>[1]Clothing!O157</f>
        <v>1</v>
      </c>
      <c r="G727" s="7">
        <f>[1]Clothing!P157</f>
        <v>1</v>
      </c>
      <c r="H727" s="7">
        <f>[1]Clothing!Q157</f>
        <v>2</v>
      </c>
      <c r="I727" s="7">
        <f>[1]Clothing!R157</f>
        <v>2</v>
      </c>
      <c r="J727" s="7">
        <f>[1]Clothing!S157</f>
        <v>2</v>
      </c>
      <c r="K727" s="159">
        <f t="shared" si="12"/>
        <v>0.37356464144298934</v>
      </c>
    </row>
    <row r="728" spans="1:11" hidden="1">
      <c r="A728" s="7" t="s">
        <v>2046</v>
      </c>
      <c r="B728" s="7">
        <f>[1]Clothing!B158</f>
        <v>2018</v>
      </c>
      <c r="C728" s="7" t="str">
        <f>[1]Clothing!C158</f>
        <v>Acryl</v>
      </c>
      <c r="D728" s="64">
        <f>[1]Clothing!L158</f>
        <v>157.9091589614055</v>
      </c>
      <c r="E728" s="7" t="s">
        <v>2045</v>
      </c>
      <c r="F728" s="7">
        <f>[1]Clothing!O158</f>
        <v>1</v>
      </c>
      <c r="G728" s="7">
        <f>[1]Clothing!P158</f>
        <v>1</v>
      </c>
      <c r="H728" s="7">
        <f>[1]Clothing!Q158</f>
        <v>2</v>
      </c>
      <c r="I728" s="7">
        <f>[1]Clothing!R158</f>
        <v>2</v>
      </c>
      <c r="J728" s="7">
        <f>[1]Clothing!S158</f>
        <v>2</v>
      </c>
      <c r="K728" s="159">
        <f t="shared" si="12"/>
        <v>0.37356464144298934</v>
      </c>
    </row>
    <row r="729" spans="1:11" hidden="1">
      <c r="A729" s="7" t="s">
        <v>2046</v>
      </c>
      <c r="B729" s="7">
        <f>[1]Clothing!B159</f>
        <v>2018</v>
      </c>
      <c r="C729" s="7" t="str">
        <f>[1]Clothing!C159</f>
        <v>OTHER</v>
      </c>
      <c r="D729" s="64">
        <f>[1]Clothing!L159</f>
        <v>254.72408355691644</v>
      </c>
      <c r="E729" s="7" t="s">
        <v>2045</v>
      </c>
      <c r="F729" s="7">
        <f>[1]Clothing!O159</f>
        <v>1</v>
      </c>
      <c r="G729" s="7">
        <f>[1]Clothing!P159</f>
        <v>1</v>
      </c>
      <c r="H729" s="7">
        <f>[1]Clothing!Q159</f>
        <v>2</v>
      </c>
      <c r="I729" s="7">
        <f>[1]Clothing!R159</f>
        <v>2</v>
      </c>
      <c r="J729" s="7">
        <f>[1]Clothing!S159</f>
        <v>2</v>
      </c>
      <c r="K729" s="159">
        <f t="shared" si="12"/>
        <v>0.37356464144298934</v>
      </c>
    </row>
    <row r="730" spans="1:11" hidden="1">
      <c r="A730" s="7" t="s">
        <v>2046</v>
      </c>
      <c r="B730" s="7">
        <f>[1]Clothing!B160</f>
        <v>2018</v>
      </c>
      <c r="C730" s="7" t="str">
        <f>[1]Clothing!C160</f>
        <v>PA</v>
      </c>
      <c r="D730" s="64">
        <f>[1]Clothing!L160</f>
        <v>332.94626041172813</v>
      </c>
      <c r="E730" s="7" t="s">
        <v>2045</v>
      </c>
      <c r="F730" s="7">
        <f>[1]Clothing!O160</f>
        <v>1</v>
      </c>
      <c r="G730" s="7">
        <f>[1]Clothing!P160</f>
        <v>1</v>
      </c>
      <c r="H730" s="7">
        <f>[1]Clothing!Q160</f>
        <v>2</v>
      </c>
      <c r="I730" s="7">
        <f>[1]Clothing!R160</f>
        <v>2</v>
      </c>
      <c r="J730" s="7">
        <f>[1]Clothing!S160</f>
        <v>2</v>
      </c>
      <c r="K730" s="159">
        <f t="shared" si="12"/>
        <v>0.37356464144298934</v>
      </c>
    </row>
    <row r="731" spans="1:11" hidden="1">
      <c r="A731" s="7" t="s">
        <v>2046</v>
      </c>
      <c r="B731" s="7">
        <f>[1]Clothing!B161</f>
        <v>2018</v>
      </c>
      <c r="C731" s="7" t="str">
        <f>[1]Clothing!C161</f>
        <v>PET</v>
      </c>
      <c r="D731" s="64">
        <f>[1]Clothing!L161</f>
        <v>1707.0068619747433</v>
      </c>
      <c r="E731" s="7" t="s">
        <v>2045</v>
      </c>
      <c r="F731" s="7">
        <f>[1]Clothing!O161</f>
        <v>1</v>
      </c>
      <c r="G731" s="7">
        <f>[1]Clothing!P161</f>
        <v>1</v>
      </c>
      <c r="H731" s="7">
        <f>[1]Clothing!Q161</f>
        <v>2</v>
      </c>
      <c r="I731" s="7">
        <f>[1]Clothing!R161</f>
        <v>2</v>
      </c>
      <c r="J731" s="7">
        <f>[1]Clothing!S161</f>
        <v>2</v>
      </c>
      <c r="K731" s="159">
        <f t="shared" si="12"/>
        <v>0.37356464144298934</v>
      </c>
    </row>
    <row r="732" spans="1:11" hidden="1">
      <c r="A732" s="7" t="s">
        <v>2046</v>
      </c>
      <c r="B732" s="7">
        <f>[1]Clothing!B162</f>
        <v>2018</v>
      </c>
      <c r="C732" s="7" t="str">
        <f>[1]Clothing!C162</f>
        <v>PUR</v>
      </c>
      <c r="D732" s="64">
        <f>[1]Clothing!L162</f>
        <v>190.7058520047415</v>
      </c>
      <c r="E732" s="7" t="s">
        <v>2045</v>
      </c>
      <c r="F732" s="7">
        <f>[1]Clothing!O162</f>
        <v>1</v>
      </c>
      <c r="G732" s="7">
        <f>[1]Clothing!P162</f>
        <v>1</v>
      </c>
      <c r="H732" s="7">
        <f>[1]Clothing!Q162</f>
        <v>2</v>
      </c>
      <c r="I732" s="7">
        <f>[1]Clothing!R162</f>
        <v>2</v>
      </c>
      <c r="J732" s="7">
        <f>[1]Clothing!S162</f>
        <v>2</v>
      </c>
      <c r="K732" s="159">
        <f t="shared" si="12"/>
        <v>0.37356464144298934</v>
      </c>
    </row>
    <row r="733" spans="1:11" hidden="1">
      <c r="A733" s="7" t="s">
        <v>2046</v>
      </c>
      <c r="B733" s="7">
        <f>[1]Clothing!B163</f>
        <v>2018</v>
      </c>
      <c r="C733" s="7" t="str">
        <f>[1]Clothing!C163</f>
        <v>PVC</v>
      </c>
      <c r="D733" s="64">
        <f>[1]Clothing!L163</f>
        <v>123.49047081194261</v>
      </c>
      <c r="E733" s="7" t="s">
        <v>2045</v>
      </c>
      <c r="F733" s="7">
        <f>[1]Clothing!O163</f>
        <v>1</v>
      </c>
      <c r="G733" s="7">
        <f>[1]Clothing!P163</f>
        <v>1</v>
      </c>
      <c r="H733" s="7">
        <f>[1]Clothing!Q163</f>
        <v>2</v>
      </c>
      <c r="I733" s="7">
        <f>[1]Clothing!R163</f>
        <v>2</v>
      </c>
      <c r="J733" s="7">
        <f>[1]Clothing!S163</f>
        <v>2</v>
      </c>
      <c r="K733" s="159">
        <f t="shared" si="12"/>
        <v>0.37356464144298934</v>
      </c>
    </row>
    <row r="734" spans="1:11" hidden="1">
      <c r="A734" s="7" t="s">
        <v>2046</v>
      </c>
      <c r="B734" s="7">
        <f>[1]Clothing!B164</f>
        <v>2018</v>
      </c>
      <c r="C734" s="7" t="str">
        <f>[1]Clothing!C164</f>
        <v>RUBBER</v>
      </c>
      <c r="D734" s="64">
        <f>[1]Clothing!L164</f>
        <v>264.68676437525971</v>
      </c>
      <c r="E734" s="7" t="s">
        <v>2045</v>
      </c>
      <c r="F734" s="7">
        <f>[1]Clothing!O164</f>
        <v>1</v>
      </c>
      <c r="G734" s="7">
        <f>[1]Clothing!P164</f>
        <v>1</v>
      </c>
      <c r="H734" s="7">
        <f>[1]Clothing!Q164</f>
        <v>2</v>
      </c>
      <c r="I734" s="7">
        <f>[1]Clothing!R164</f>
        <v>2</v>
      </c>
      <c r="J734" s="7">
        <f>[1]Clothing!S164</f>
        <v>2</v>
      </c>
      <c r="K734" s="159">
        <f t="shared" si="12"/>
        <v>0.37356464144298934</v>
      </c>
    </row>
    <row r="735" spans="1:11" hidden="1">
      <c r="A735" s="7" t="s">
        <v>2046</v>
      </c>
      <c r="B735" s="7">
        <f>[1]Clothing!B165</f>
        <v>2019</v>
      </c>
      <c r="C735" s="7" t="str">
        <f>[1]Clothing!C165</f>
        <v>Acryl</v>
      </c>
      <c r="D735" s="64">
        <f>[1]Clothing!L165</f>
        <v>152.47813929518637</v>
      </c>
      <c r="E735" s="7" t="s">
        <v>2045</v>
      </c>
      <c r="F735" s="7">
        <f>[1]Clothing!O165</f>
        <v>1</v>
      </c>
      <c r="G735" s="7">
        <f>[1]Clothing!P165</f>
        <v>1</v>
      </c>
      <c r="H735" s="7">
        <f>[1]Clothing!Q165</f>
        <v>2</v>
      </c>
      <c r="I735" s="7">
        <f>[1]Clothing!R165</f>
        <v>2</v>
      </c>
      <c r="J735" s="7">
        <f>[1]Clothing!S165</f>
        <v>2</v>
      </c>
      <c r="K735" s="159">
        <f t="shared" si="12"/>
        <v>0.37356464144298934</v>
      </c>
    </row>
    <row r="736" spans="1:11" hidden="1">
      <c r="A736" s="7" t="s">
        <v>2046</v>
      </c>
      <c r="B736" s="7">
        <f>[1]Clothing!B166</f>
        <v>2019</v>
      </c>
      <c r="C736" s="7" t="str">
        <f>[1]Clothing!C166</f>
        <v>OTHER</v>
      </c>
      <c r="D736" s="64">
        <f>[1]Clothing!L166</f>
        <v>250.17723257783453</v>
      </c>
      <c r="E736" s="7" t="s">
        <v>2045</v>
      </c>
      <c r="F736" s="7">
        <f>[1]Clothing!O166</f>
        <v>1</v>
      </c>
      <c r="G736" s="7">
        <f>[1]Clothing!P166</f>
        <v>1</v>
      </c>
      <c r="H736" s="7">
        <f>[1]Clothing!Q166</f>
        <v>2</v>
      </c>
      <c r="I736" s="7">
        <f>[1]Clothing!R166</f>
        <v>2</v>
      </c>
      <c r="J736" s="7">
        <f>[1]Clothing!S166</f>
        <v>2</v>
      </c>
      <c r="K736" s="159">
        <f t="shared" si="12"/>
        <v>0.37356464144298934</v>
      </c>
    </row>
    <row r="737" spans="1:11" hidden="1">
      <c r="A737" s="7" t="s">
        <v>2046</v>
      </c>
      <c r="B737" s="7">
        <f>[1]Clothing!B167</f>
        <v>2019</v>
      </c>
      <c r="C737" s="7" t="str">
        <f>[1]Clothing!C167</f>
        <v>PA</v>
      </c>
      <c r="D737" s="64">
        <f>[1]Clothing!L167</f>
        <v>323.43037043743959</v>
      </c>
      <c r="E737" s="7" t="s">
        <v>2045</v>
      </c>
      <c r="F737" s="7">
        <f>[1]Clothing!O167</f>
        <v>1</v>
      </c>
      <c r="G737" s="7">
        <f>[1]Clothing!P167</f>
        <v>1</v>
      </c>
      <c r="H737" s="7">
        <f>[1]Clothing!Q167</f>
        <v>2</v>
      </c>
      <c r="I737" s="7">
        <f>[1]Clothing!R167</f>
        <v>2</v>
      </c>
      <c r="J737" s="7">
        <f>[1]Clothing!S167</f>
        <v>2</v>
      </c>
      <c r="K737" s="159">
        <f t="shared" si="12"/>
        <v>0.37356464144298934</v>
      </c>
    </row>
    <row r="738" spans="1:11" hidden="1">
      <c r="A738" s="7" t="s">
        <v>2046</v>
      </c>
      <c r="B738" s="7">
        <f>[1]Clothing!B168</f>
        <v>2019</v>
      </c>
      <c r="C738" s="7" t="str">
        <f>[1]Clothing!C168</f>
        <v>PET</v>
      </c>
      <c r="D738" s="64">
        <f>[1]Clothing!L168</f>
        <v>1660.5411067928908</v>
      </c>
      <c r="E738" s="7" t="s">
        <v>2045</v>
      </c>
      <c r="F738" s="7">
        <f>[1]Clothing!O168</f>
        <v>1</v>
      </c>
      <c r="G738" s="7">
        <f>[1]Clothing!P168</f>
        <v>1</v>
      </c>
      <c r="H738" s="7">
        <f>[1]Clothing!Q168</f>
        <v>2</v>
      </c>
      <c r="I738" s="7">
        <f>[1]Clothing!R168</f>
        <v>2</v>
      </c>
      <c r="J738" s="7">
        <f>[1]Clothing!S168</f>
        <v>2</v>
      </c>
      <c r="K738" s="159">
        <f t="shared" si="12"/>
        <v>0.37356464144298934</v>
      </c>
    </row>
    <row r="739" spans="1:11" hidden="1">
      <c r="A739" s="7" t="s">
        <v>2046</v>
      </c>
      <c r="B739" s="7">
        <f>[1]Clothing!B169</f>
        <v>2019</v>
      </c>
      <c r="C739" s="7" t="str">
        <f>[1]Clothing!C169</f>
        <v>PUR</v>
      </c>
      <c r="D739" s="64">
        <f>[1]Clothing!L169</f>
        <v>188.25081711590735</v>
      </c>
      <c r="E739" s="7" t="s">
        <v>2045</v>
      </c>
      <c r="F739" s="7">
        <f>[1]Clothing!O169</f>
        <v>1</v>
      </c>
      <c r="G739" s="7">
        <f>[1]Clothing!P169</f>
        <v>1</v>
      </c>
      <c r="H739" s="7">
        <f>[1]Clothing!Q169</f>
        <v>2</v>
      </c>
      <c r="I739" s="7">
        <f>[1]Clothing!R169</f>
        <v>2</v>
      </c>
      <c r="J739" s="7">
        <f>[1]Clothing!S169</f>
        <v>2</v>
      </c>
      <c r="K739" s="159">
        <f t="shared" si="12"/>
        <v>0.37356464144298934</v>
      </c>
    </row>
    <row r="740" spans="1:11" hidden="1">
      <c r="A740" s="7" t="s">
        <v>2046</v>
      </c>
      <c r="B740" s="7">
        <f>[1]Clothing!B170</f>
        <v>2019</v>
      </c>
      <c r="C740" s="7" t="str">
        <f>[1]Clothing!C170</f>
        <v>PVC</v>
      </c>
      <c r="D740" s="64">
        <f>[1]Clothing!L170</f>
        <v>121.70837655995497</v>
      </c>
      <c r="E740" s="7" t="s">
        <v>2045</v>
      </c>
      <c r="F740" s="7">
        <f>[1]Clothing!O170</f>
        <v>1</v>
      </c>
      <c r="G740" s="7">
        <f>[1]Clothing!P170</f>
        <v>1</v>
      </c>
      <c r="H740" s="7">
        <f>[1]Clothing!Q170</f>
        <v>2</v>
      </c>
      <c r="I740" s="7">
        <f>[1]Clothing!R170</f>
        <v>2</v>
      </c>
      <c r="J740" s="7">
        <f>[1]Clothing!S170</f>
        <v>2</v>
      </c>
      <c r="K740" s="159">
        <f t="shared" si="12"/>
        <v>0.37356464144298934</v>
      </c>
    </row>
    <row r="741" spans="1:11" hidden="1">
      <c r="A741" s="7" t="s">
        <v>2046</v>
      </c>
      <c r="B741" s="7">
        <f>[1]Clothing!B171</f>
        <v>2019</v>
      </c>
      <c r="C741" s="7" t="str">
        <f>[1]Clothing!C171</f>
        <v>RUBBER</v>
      </c>
      <c r="D741" s="64">
        <f>[1]Clothing!L171</f>
        <v>257.62233376052342</v>
      </c>
      <c r="E741" s="7" t="s">
        <v>2045</v>
      </c>
      <c r="F741" s="7">
        <f>[1]Clothing!O171</f>
        <v>1</v>
      </c>
      <c r="G741" s="7">
        <f>[1]Clothing!P171</f>
        <v>1</v>
      </c>
      <c r="H741" s="7">
        <f>[1]Clothing!Q171</f>
        <v>2</v>
      </c>
      <c r="I741" s="7">
        <f>[1]Clothing!R171</f>
        <v>2</v>
      </c>
      <c r="J741" s="7">
        <f>[1]Clothing!S171</f>
        <v>2</v>
      </c>
      <c r="K741" s="159">
        <f t="shared" si="12"/>
        <v>0.37356464144298934</v>
      </c>
    </row>
    <row r="742" spans="1:11" hidden="1">
      <c r="A742" s="7" t="s">
        <v>2046</v>
      </c>
      <c r="B742" s="7">
        <f>[1]Clothing!B172</f>
        <v>2020</v>
      </c>
      <c r="C742" s="7" t="str">
        <f>[1]Clothing!C172</f>
        <v>Acryl</v>
      </c>
      <c r="D742" s="64">
        <f>[1]Clothing!L172</f>
        <v>125.12661920242472</v>
      </c>
      <c r="E742" s="7" t="s">
        <v>2045</v>
      </c>
      <c r="F742" s="7">
        <f>[1]Clothing!O172</f>
        <v>1</v>
      </c>
      <c r="G742" s="7">
        <f>[1]Clothing!P172</f>
        <v>1</v>
      </c>
      <c r="H742" s="7">
        <f>[1]Clothing!Q172</f>
        <v>2</v>
      </c>
      <c r="I742" s="7">
        <f>[1]Clothing!R172</f>
        <v>2</v>
      </c>
      <c r="J742" s="7">
        <f>[1]Clothing!S172</f>
        <v>2</v>
      </c>
      <c r="K742" s="159">
        <f t="shared" si="12"/>
        <v>0.37356464144298934</v>
      </c>
    </row>
    <row r="743" spans="1:11" hidden="1">
      <c r="A743" s="7" t="s">
        <v>2046</v>
      </c>
      <c r="B743" s="7">
        <f>[1]Clothing!B173</f>
        <v>2020</v>
      </c>
      <c r="C743" s="7" t="str">
        <f>[1]Clothing!C173</f>
        <v>OTHER</v>
      </c>
      <c r="D743" s="64">
        <f>[1]Clothing!L173</f>
        <v>197.18480060370047</v>
      </c>
      <c r="E743" s="7" t="s">
        <v>2045</v>
      </c>
      <c r="F743" s="7">
        <f>[1]Clothing!O173</f>
        <v>1</v>
      </c>
      <c r="G743" s="7">
        <f>[1]Clothing!P173</f>
        <v>1</v>
      </c>
      <c r="H743" s="7">
        <f>[1]Clothing!Q173</f>
        <v>2</v>
      </c>
      <c r="I743" s="7">
        <f>[1]Clothing!R173</f>
        <v>2</v>
      </c>
      <c r="J743" s="7">
        <f>[1]Clothing!S173</f>
        <v>2</v>
      </c>
      <c r="K743" s="159">
        <f t="shared" si="12"/>
        <v>0.37356464144298934</v>
      </c>
    </row>
    <row r="744" spans="1:11" hidden="1">
      <c r="A744" s="7" t="s">
        <v>2046</v>
      </c>
      <c r="B744" s="7">
        <f>[1]Clothing!B174</f>
        <v>2020</v>
      </c>
      <c r="C744" s="7" t="str">
        <f>[1]Clothing!C174</f>
        <v>PA</v>
      </c>
      <c r="D744" s="64">
        <f>[1]Clothing!L174</f>
        <v>261.11375470142298</v>
      </c>
      <c r="E744" s="7" t="s">
        <v>2045</v>
      </c>
      <c r="F744" s="7">
        <f>[1]Clothing!O174</f>
        <v>1</v>
      </c>
      <c r="G744" s="7">
        <f>[1]Clothing!P174</f>
        <v>1</v>
      </c>
      <c r="H744" s="7">
        <f>[1]Clothing!Q174</f>
        <v>2</v>
      </c>
      <c r="I744" s="7">
        <f>[1]Clothing!R174</f>
        <v>2</v>
      </c>
      <c r="J744" s="7">
        <f>[1]Clothing!S174</f>
        <v>2</v>
      </c>
      <c r="K744" s="159">
        <f t="shared" si="12"/>
        <v>0.37356464144298934</v>
      </c>
    </row>
    <row r="745" spans="1:11" hidden="1">
      <c r="A745" s="7" t="s">
        <v>2046</v>
      </c>
      <c r="B745" s="7">
        <f>[1]Clothing!B175</f>
        <v>2020</v>
      </c>
      <c r="C745" s="7" t="str">
        <f>[1]Clothing!C175</f>
        <v>PET</v>
      </c>
      <c r="D745" s="64">
        <f>[1]Clothing!L175</f>
        <v>1314.526462598317</v>
      </c>
      <c r="E745" s="7" t="s">
        <v>2045</v>
      </c>
      <c r="F745" s="7">
        <f>[1]Clothing!O175</f>
        <v>1</v>
      </c>
      <c r="G745" s="7">
        <f>[1]Clothing!P175</f>
        <v>1</v>
      </c>
      <c r="H745" s="7">
        <f>[1]Clothing!Q175</f>
        <v>2</v>
      </c>
      <c r="I745" s="7">
        <f>[1]Clothing!R175</f>
        <v>2</v>
      </c>
      <c r="J745" s="7">
        <f>[1]Clothing!S175</f>
        <v>2</v>
      </c>
      <c r="K745" s="159">
        <f t="shared" si="12"/>
        <v>0.37356464144298934</v>
      </c>
    </row>
    <row r="746" spans="1:11" hidden="1">
      <c r="A746" s="7" t="s">
        <v>2046</v>
      </c>
      <c r="B746" s="7">
        <f>[1]Clothing!B176</f>
        <v>2020</v>
      </c>
      <c r="C746" s="7" t="str">
        <f>[1]Clothing!C176</f>
        <v>PUR</v>
      </c>
      <c r="D746" s="64">
        <f>[1]Clothing!L176</f>
        <v>150.70408436040759</v>
      </c>
      <c r="E746" s="7" t="s">
        <v>2045</v>
      </c>
      <c r="F746" s="7">
        <f>[1]Clothing!O176</f>
        <v>1</v>
      </c>
      <c r="G746" s="7">
        <f>[1]Clothing!P176</f>
        <v>1</v>
      </c>
      <c r="H746" s="7">
        <f>[1]Clothing!Q176</f>
        <v>2</v>
      </c>
      <c r="I746" s="7">
        <f>[1]Clothing!R176</f>
        <v>2</v>
      </c>
      <c r="J746" s="7">
        <f>[1]Clothing!S176</f>
        <v>2</v>
      </c>
      <c r="K746" s="159">
        <f t="shared" si="12"/>
        <v>0.37356464144298934</v>
      </c>
    </row>
    <row r="747" spans="1:11" hidden="1">
      <c r="A747" s="7" t="s">
        <v>2046</v>
      </c>
      <c r="B747" s="7">
        <f>[1]Clothing!B177</f>
        <v>2020</v>
      </c>
      <c r="C747" s="7" t="str">
        <f>[1]Clothing!C177</f>
        <v>PVC</v>
      </c>
      <c r="D747" s="64">
        <f>[1]Clothing!L177</f>
        <v>97.053593532244761</v>
      </c>
      <c r="E747" s="7" t="s">
        <v>2045</v>
      </c>
      <c r="F747" s="7">
        <f>[1]Clothing!O177</f>
        <v>1</v>
      </c>
      <c r="G747" s="7">
        <f>[1]Clothing!P177</f>
        <v>1</v>
      </c>
      <c r="H747" s="7">
        <f>[1]Clothing!Q177</f>
        <v>2</v>
      </c>
      <c r="I747" s="7">
        <f>[1]Clothing!R177</f>
        <v>2</v>
      </c>
      <c r="J747" s="7">
        <f>[1]Clothing!S177</f>
        <v>2</v>
      </c>
      <c r="K747" s="159">
        <f t="shared" si="12"/>
        <v>0.37356464144298934</v>
      </c>
    </row>
    <row r="748" spans="1:11" hidden="1">
      <c r="A748" s="7" t="s">
        <v>2046</v>
      </c>
      <c r="B748" s="7">
        <f>[1]Clothing!B178</f>
        <v>2020</v>
      </c>
      <c r="C748" s="7" t="str">
        <f>[1]Clothing!C178</f>
        <v>RUBBER</v>
      </c>
      <c r="D748" s="64">
        <f>[1]Clothing!L178</f>
        <v>200.41090311684309</v>
      </c>
      <c r="E748" s="7" t="s">
        <v>2045</v>
      </c>
      <c r="F748" s="7">
        <f>[1]Clothing!O178</f>
        <v>1</v>
      </c>
      <c r="G748" s="7">
        <f>[1]Clothing!P178</f>
        <v>1</v>
      </c>
      <c r="H748" s="7">
        <f>[1]Clothing!Q178</f>
        <v>2</v>
      </c>
      <c r="I748" s="7">
        <f>[1]Clothing!R178</f>
        <v>2</v>
      </c>
      <c r="J748" s="7">
        <f>[1]Clothing!S178</f>
        <v>2</v>
      </c>
      <c r="K748" s="159">
        <f t="shared" si="12"/>
        <v>0.37356464144298934</v>
      </c>
    </row>
    <row r="749" spans="1:11" hidden="1">
      <c r="A749" s="7" t="s">
        <v>2046</v>
      </c>
      <c r="B749" s="7">
        <f>[1]Clothing!B179</f>
        <v>2021</v>
      </c>
      <c r="C749" s="7" t="str">
        <f>[1]Clothing!C179</f>
        <v>Acryl</v>
      </c>
      <c r="D749" s="64">
        <f>[1]Clothing!L179</f>
        <v>138.50847940996036</v>
      </c>
      <c r="E749" s="7" t="s">
        <v>2045</v>
      </c>
      <c r="F749" s="7">
        <f>[1]Clothing!O179</f>
        <v>1</v>
      </c>
      <c r="G749" s="7">
        <f>[1]Clothing!P179</f>
        <v>1</v>
      </c>
      <c r="H749" s="7">
        <f>[1]Clothing!Q179</f>
        <v>2</v>
      </c>
      <c r="I749" s="7">
        <f>[1]Clothing!R179</f>
        <v>2</v>
      </c>
      <c r="J749" s="7">
        <f>[1]Clothing!S179</f>
        <v>2</v>
      </c>
      <c r="K749" s="159">
        <f t="shared" si="12"/>
        <v>0.37356464144298934</v>
      </c>
    </row>
    <row r="750" spans="1:11" hidden="1">
      <c r="A750" s="7" t="s">
        <v>2046</v>
      </c>
      <c r="B750" s="7">
        <f>[1]Clothing!B180</f>
        <v>2021</v>
      </c>
      <c r="C750" s="7" t="str">
        <f>[1]Clothing!C180</f>
        <v>OTHER</v>
      </c>
      <c r="D750" s="64">
        <f>[1]Clothing!L180</f>
        <v>207.542011807975</v>
      </c>
      <c r="E750" s="7" t="s">
        <v>2045</v>
      </c>
      <c r="F750" s="7">
        <f>[1]Clothing!O180</f>
        <v>1</v>
      </c>
      <c r="G750" s="7">
        <f>[1]Clothing!P180</f>
        <v>1</v>
      </c>
      <c r="H750" s="7">
        <f>[1]Clothing!Q180</f>
        <v>2</v>
      </c>
      <c r="I750" s="7">
        <f>[1]Clothing!R180</f>
        <v>2</v>
      </c>
      <c r="J750" s="7">
        <f>[1]Clothing!S180</f>
        <v>2</v>
      </c>
      <c r="K750" s="159">
        <f t="shared" si="12"/>
        <v>0.37356464144298934</v>
      </c>
    </row>
    <row r="751" spans="1:11" hidden="1">
      <c r="A751" s="7" t="s">
        <v>2046</v>
      </c>
      <c r="B751" s="7">
        <f>[1]Clothing!B181</f>
        <v>2021</v>
      </c>
      <c r="C751" s="7" t="str">
        <f>[1]Clothing!C181</f>
        <v>PA</v>
      </c>
      <c r="D751" s="64">
        <f>[1]Clothing!L181</f>
        <v>287.72173084220043</v>
      </c>
      <c r="E751" s="7" t="s">
        <v>2045</v>
      </c>
      <c r="F751" s="7">
        <f>[1]Clothing!O181</f>
        <v>1</v>
      </c>
      <c r="G751" s="7">
        <f>[1]Clothing!P181</f>
        <v>1</v>
      </c>
      <c r="H751" s="7">
        <f>[1]Clothing!Q181</f>
        <v>2</v>
      </c>
      <c r="I751" s="7">
        <f>[1]Clothing!R181</f>
        <v>2</v>
      </c>
      <c r="J751" s="7">
        <f>[1]Clothing!S181</f>
        <v>2</v>
      </c>
      <c r="K751" s="159">
        <f t="shared" si="12"/>
        <v>0.37356464144298934</v>
      </c>
    </row>
    <row r="752" spans="1:11" hidden="1">
      <c r="A752" s="7" t="s">
        <v>2046</v>
      </c>
      <c r="B752" s="7">
        <f>[1]Clothing!B182</f>
        <v>2021</v>
      </c>
      <c r="C752" s="7" t="str">
        <f>[1]Clothing!C182</f>
        <v>PET</v>
      </c>
      <c r="D752" s="64">
        <f>[1]Clothing!L182</f>
        <v>1424.0070804502827</v>
      </c>
      <c r="E752" s="7" t="s">
        <v>2045</v>
      </c>
      <c r="F752" s="7">
        <f>[1]Clothing!O182</f>
        <v>1</v>
      </c>
      <c r="G752" s="7">
        <f>[1]Clothing!P182</f>
        <v>1</v>
      </c>
      <c r="H752" s="7">
        <f>[1]Clothing!Q182</f>
        <v>2</v>
      </c>
      <c r="I752" s="7">
        <f>[1]Clothing!R182</f>
        <v>2</v>
      </c>
      <c r="J752" s="7">
        <f>[1]Clothing!S182</f>
        <v>2</v>
      </c>
      <c r="K752" s="159">
        <f t="shared" si="12"/>
        <v>0.37356464144298934</v>
      </c>
    </row>
    <row r="753" spans="1:11" hidden="1">
      <c r="A753" s="7" t="s">
        <v>2046</v>
      </c>
      <c r="B753" s="7">
        <f>[1]Clothing!B183</f>
        <v>2021</v>
      </c>
      <c r="C753" s="7" t="str">
        <f>[1]Clothing!C183</f>
        <v>PUR</v>
      </c>
      <c r="D753" s="64">
        <f>[1]Clothing!L183</f>
        <v>148.48800484640728</v>
      </c>
      <c r="E753" s="7" t="s">
        <v>2045</v>
      </c>
      <c r="F753" s="7">
        <f>[1]Clothing!O183</f>
        <v>1</v>
      </c>
      <c r="G753" s="7">
        <f>[1]Clothing!P183</f>
        <v>1</v>
      </c>
      <c r="H753" s="7">
        <f>[1]Clothing!Q183</f>
        <v>2</v>
      </c>
      <c r="I753" s="7">
        <f>[1]Clothing!R183</f>
        <v>2</v>
      </c>
      <c r="J753" s="7">
        <f>[1]Clothing!S183</f>
        <v>2</v>
      </c>
      <c r="K753" s="159">
        <f t="shared" si="12"/>
        <v>0.37356464144298934</v>
      </c>
    </row>
    <row r="754" spans="1:11" hidden="1">
      <c r="A754" s="7" t="s">
        <v>2046</v>
      </c>
      <c r="B754" s="7">
        <f>[1]Clothing!B184</f>
        <v>2021</v>
      </c>
      <c r="C754" s="7" t="str">
        <f>[1]Clothing!C184</f>
        <v>PVC</v>
      </c>
      <c r="D754" s="64">
        <f>[1]Clothing!L184</f>
        <v>95.81627352874581</v>
      </c>
      <c r="E754" s="7" t="s">
        <v>2045</v>
      </c>
      <c r="F754" s="7">
        <f>[1]Clothing!O184</f>
        <v>1</v>
      </c>
      <c r="G754" s="7">
        <f>[1]Clothing!P184</f>
        <v>1</v>
      </c>
      <c r="H754" s="7">
        <f>[1]Clothing!Q184</f>
        <v>2</v>
      </c>
      <c r="I754" s="7">
        <f>[1]Clothing!R184</f>
        <v>2</v>
      </c>
      <c r="J754" s="7">
        <f>[1]Clothing!S184</f>
        <v>2</v>
      </c>
      <c r="K754" s="159">
        <f t="shared" si="12"/>
        <v>0.37356464144298934</v>
      </c>
    </row>
    <row r="755" spans="1:11" hidden="1">
      <c r="A755" s="7" t="s">
        <v>2046</v>
      </c>
      <c r="B755" s="7">
        <f>[1]Clothing!B185</f>
        <v>2021</v>
      </c>
      <c r="C755" s="7" t="str">
        <f>[1]Clothing!C185</f>
        <v>RUBBER</v>
      </c>
      <c r="D755" s="64">
        <f>[1]Clothing!L185</f>
        <v>199.95130345560233</v>
      </c>
      <c r="E755" s="7" t="s">
        <v>2045</v>
      </c>
      <c r="F755" s="7">
        <f>[1]Clothing!O185</f>
        <v>1</v>
      </c>
      <c r="G755" s="7">
        <f>[1]Clothing!P185</f>
        <v>1</v>
      </c>
      <c r="H755" s="7">
        <f>[1]Clothing!Q185</f>
        <v>2</v>
      </c>
      <c r="I755" s="7">
        <f>[1]Clothing!R185</f>
        <v>2</v>
      </c>
      <c r="J755" s="7">
        <f>[1]Clothing!S185</f>
        <v>2</v>
      </c>
      <c r="K755" s="159">
        <f t="shared" si="12"/>
        <v>0.37356464144298934</v>
      </c>
    </row>
    <row r="756" spans="1:11" hidden="1">
      <c r="A756" s="7" t="s">
        <v>2046</v>
      </c>
      <c r="B756" s="7">
        <f>[1]Clothing!B186</f>
        <v>2022</v>
      </c>
      <c r="C756" s="7" t="str">
        <f>[1]Clothing!C186</f>
        <v>Acryl</v>
      </c>
      <c r="D756" s="64">
        <f>[1]Clothing!L186</f>
        <v>172.36584384644331</v>
      </c>
      <c r="E756" s="7" t="s">
        <v>2045</v>
      </c>
      <c r="F756" s="7">
        <f>[1]Clothing!O186</f>
        <v>1</v>
      </c>
      <c r="G756" s="7">
        <f>[1]Clothing!P186</f>
        <v>1</v>
      </c>
      <c r="H756" s="7">
        <f>[1]Clothing!Q186</f>
        <v>2</v>
      </c>
      <c r="I756" s="7">
        <f>[1]Clothing!R186</f>
        <v>2</v>
      </c>
      <c r="J756" s="7">
        <f>[1]Clothing!S186</f>
        <v>2</v>
      </c>
      <c r="K756" s="159">
        <f t="shared" si="12"/>
        <v>0.37356464144298934</v>
      </c>
    </row>
    <row r="757" spans="1:11" hidden="1">
      <c r="A757" s="7" t="s">
        <v>2046</v>
      </c>
      <c r="B757" s="7">
        <f>[1]Clothing!B187</f>
        <v>2022</v>
      </c>
      <c r="C757" s="7" t="str">
        <f>[1]Clothing!C187</f>
        <v>OTHER</v>
      </c>
      <c r="D757" s="64">
        <f>[1]Clothing!L187</f>
        <v>264.35001936577788</v>
      </c>
      <c r="E757" s="7" t="s">
        <v>2045</v>
      </c>
      <c r="F757" s="7">
        <f>[1]Clothing!O187</f>
        <v>1</v>
      </c>
      <c r="G757" s="7">
        <f>[1]Clothing!P187</f>
        <v>1</v>
      </c>
      <c r="H757" s="7">
        <f>[1]Clothing!Q187</f>
        <v>2</v>
      </c>
      <c r="I757" s="7">
        <f>[1]Clothing!R187</f>
        <v>2</v>
      </c>
      <c r="J757" s="7">
        <f>[1]Clothing!S187</f>
        <v>2</v>
      </c>
      <c r="K757" s="159">
        <f t="shared" si="12"/>
        <v>0.37356464144298934</v>
      </c>
    </row>
    <row r="758" spans="1:11" hidden="1">
      <c r="A758" s="7" t="s">
        <v>2046</v>
      </c>
      <c r="B758" s="7">
        <f>[1]Clothing!B188</f>
        <v>2022</v>
      </c>
      <c r="C758" s="7" t="str">
        <f>[1]Clothing!C188</f>
        <v>PA</v>
      </c>
      <c r="D758" s="64">
        <f>[1]Clothing!L188</f>
        <v>357.19874363320753</v>
      </c>
      <c r="E758" s="7" t="s">
        <v>2045</v>
      </c>
      <c r="F758" s="7">
        <f>[1]Clothing!O188</f>
        <v>1</v>
      </c>
      <c r="G758" s="7">
        <f>[1]Clothing!P188</f>
        <v>1</v>
      </c>
      <c r="H758" s="7">
        <f>[1]Clothing!Q188</f>
        <v>2</v>
      </c>
      <c r="I758" s="7">
        <f>[1]Clothing!R188</f>
        <v>2</v>
      </c>
      <c r="J758" s="7">
        <f>[1]Clothing!S188</f>
        <v>2</v>
      </c>
      <c r="K758" s="159">
        <f t="shared" si="12"/>
        <v>0.37356464144298934</v>
      </c>
    </row>
    <row r="759" spans="1:11" hidden="1">
      <c r="A759" s="7" t="s">
        <v>2046</v>
      </c>
      <c r="B759" s="7">
        <f>[1]Clothing!B189</f>
        <v>2022</v>
      </c>
      <c r="C759" s="7" t="str">
        <f>[1]Clothing!C189</f>
        <v>PET</v>
      </c>
      <c r="D759" s="64">
        <f>[1]Clothing!L189</f>
        <v>1775.9264851181979</v>
      </c>
      <c r="E759" s="7" t="s">
        <v>2045</v>
      </c>
      <c r="F759" s="7">
        <f>[1]Clothing!O189</f>
        <v>1</v>
      </c>
      <c r="G759" s="7">
        <f>[1]Clothing!P189</f>
        <v>1</v>
      </c>
      <c r="H759" s="7">
        <f>[1]Clothing!Q189</f>
        <v>2</v>
      </c>
      <c r="I759" s="7">
        <f>[1]Clothing!R189</f>
        <v>2</v>
      </c>
      <c r="J759" s="7">
        <f>[1]Clothing!S189</f>
        <v>2</v>
      </c>
      <c r="K759" s="159">
        <f t="shared" si="12"/>
        <v>0.37356464144298934</v>
      </c>
    </row>
    <row r="760" spans="1:11" hidden="1">
      <c r="A760" s="7" t="s">
        <v>2046</v>
      </c>
      <c r="B760" s="7">
        <f>[1]Clothing!B190</f>
        <v>2022</v>
      </c>
      <c r="C760" s="7" t="str">
        <f>[1]Clothing!C190</f>
        <v>PUR</v>
      </c>
      <c r="D760" s="64">
        <f>[1]Clothing!L190</f>
        <v>194.31940453103229</v>
      </c>
      <c r="E760" s="7" t="s">
        <v>2045</v>
      </c>
      <c r="F760" s="7">
        <f>[1]Clothing!O190</f>
        <v>1</v>
      </c>
      <c r="G760" s="7">
        <f>[1]Clothing!P190</f>
        <v>1</v>
      </c>
      <c r="H760" s="7">
        <f>[1]Clothing!Q190</f>
        <v>2</v>
      </c>
      <c r="I760" s="7">
        <f>[1]Clothing!R190</f>
        <v>2</v>
      </c>
      <c r="J760" s="7">
        <f>[1]Clothing!S190</f>
        <v>2</v>
      </c>
      <c r="K760" s="159">
        <f t="shared" si="12"/>
        <v>0.37356464144298934</v>
      </c>
    </row>
    <row r="761" spans="1:11" hidden="1">
      <c r="A761" s="7" t="s">
        <v>2046</v>
      </c>
      <c r="B761" s="7">
        <f>[1]Clothing!B191</f>
        <v>2022</v>
      </c>
      <c r="C761" s="7" t="str">
        <f>[1]Clothing!C191</f>
        <v>PVC</v>
      </c>
      <c r="D761" s="64">
        <f>[1]Clothing!L191</f>
        <v>125.53197967894016</v>
      </c>
      <c r="E761" s="7" t="s">
        <v>2045</v>
      </c>
      <c r="F761" s="7">
        <f>[1]Clothing!O191</f>
        <v>1</v>
      </c>
      <c r="G761" s="7">
        <f>[1]Clothing!P191</f>
        <v>1</v>
      </c>
      <c r="H761" s="7">
        <f>[1]Clothing!Q191</f>
        <v>2</v>
      </c>
      <c r="I761" s="7">
        <f>[1]Clothing!R191</f>
        <v>2</v>
      </c>
      <c r="J761" s="7">
        <f>[1]Clothing!S191</f>
        <v>2</v>
      </c>
      <c r="K761" s="159">
        <f t="shared" si="12"/>
        <v>0.37356464144298934</v>
      </c>
    </row>
    <row r="762" spans="1:11" hidden="1">
      <c r="A762" s="7" t="s">
        <v>2046</v>
      </c>
      <c r="B762" s="7">
        <f>[1]Clothing!B192</f>
        <v>2022</v>
      </c>
      <c r="C762" s="7" t="str">
        <f>[1]Clothing!C192</f>
        <v>RUBBER</v>
      </c>
      <c r="D762" s="64">
        <f>[1]Clothing!L192</f>
        <v>263.85989070088351</v>
      </c>
      <c r="E762" s="7" t="s">
        <v>2045</v>
      </c>
      <c r="F762" s="7">
        <f>[1]Clothing!O192</f>
        <v>1</v>
      </c>
      <c r="G762" s="7">
        <f>[1]Clothing!P192</f>
        <v>1</v>
      </c>
      <c r="H762" s="7">
        <f>[1]Clothing!Q192</f>
        <v>2</v>
      </c>
      <c r="I762" s="7">
        <f>[1]Clothing!R192</f>
        <v>2</v>
      </c>
      <c r="J762" s="7">
        <f>[1]Clothing!S192</f>
        <v>2</v>
      </c>
      <c r="K762" s="159">
        <f t="shared" si="12"/>
        <v>0.37356464144298934</v>
      </c>
    </row>
    <row r="763" spans="1:11" hidden="1">
      <c r="A763" s="7" t="str">
        <f>Clothing!A285</f>
        <v>Import of plastic sheets</v>
      </c>
      <c r="B763" s="7">
        <f>Clothing!B285</f>
        <v>2011</v>
      </c>
      <c r="C763" s="7" t="str">
        <f>Clothing!C285</f>
        <v>RUBBER</v>
      </c>
      <c r="D763" s="7">
        <f>Clothing!D285</f>
        <v>54.941331438956276</v>
      </c>
      <c r="E763" s="7" t="str">
        <f>Clothing!E285</f>
        <v>https://ec.europa.eu/eurostat/databrowser/view/DS-056120__custom_15192557/default/table?lang=en - Low estimate</v>
      </c>
      <c r="F763" s="7">
        <f>Clothing!F285</f>
        <v>1</v>
      </c>
      <c r="G763" s="7">
        <f>Clothing!G285</f>
        <v>1</v>
      </c>
      <c r="H763" s="7">
        <f>Clothing!H285</f>
        <v>2</v>
      </c>
      <c r="I763" s="7">
        <f>Clothing!I285</f>
        <v>2</v>
      </c>
      <c r="J763" s="7">
        <f>Clothing!J285</f>
        <v>2</v>
      </c>
      <c r="K763" s="159"/>
    </row>
    <row r="764" spans="1:11" hidden="1">
      <c r="A764" s="7" t="str">
        <f>Clothing!A286</f>
        <v>Import of plastic sheets</v>
      </c>
      <c r="B764" s="7">
        <f>Clothing!B286</f>
        <v>2012</v>
      </c>
      <c r="C764" s="7" t="str">
        <f>Clothing!C286</f>
        <v>RUBBER</v>
      </c>
      <c r="D764" s="7">
        <f>Clothing!D286</f>
        <v>51.456396464780305</v>
      </c>
      <c r="E764" s="7" t="str">
        <f>Clothing!E286</f>
        <v>https://ec.europa.eu/eurostat/databrowser/view/DS-056120__custom_15192557/default/table?lang=en - Low estimate</v>
      </c>
      <c r="F764" s="7">
        <f>Clothing!F286</f>
        <v>1</v>
      </c>
      <c r="G764" s="7">
        <f>Clothing!G286</f>
        <v>1</v>
      </c>
      <c r="H764" s="7">
        <f>Clothing!H286</f>
        <v>2</v>
      </c>
      <c r="I764" s="7">
        <f>Clothing!I286</f>
        <v>2</v>
      </c>
      <c r="J764" s="7">
        <f>Clothing!J286</f>
        <v>2</v>
      </c>
      <c r="K764" s="159"/>
    </row>
    <row r="765" spans="1:11" hidden="1">
      <c r="A765" s="7" t="str">
        <f>Clothing!A287</f>
        <v>Import of plastic sheets</v>
      </c>
      <c r="B765" s="7">
        <f>Clothing!B287</f>
        <v>2013</v>
      </c>
      <c r="C765" s="7" t="str">
        <f>Clothing!C287</f>
        <v>RUBBER</v>
      </c>
      <c r="D765" s="7">
        <f>Clothing!D287</f>
        <v>51.662591418883132</v>
      </c>
      <c r="E765" s="7" t="str">
        <f>Clothing!E287</f>
        <v>https://ec.europa.eu/eurostat/databrowser/view/DS-056120__custom_15192557/default/table?lang=en - Low estimate</v>
      </c>
      <c r="F765" s="7">
        <f>Clothing!F287</f>
        <v>1</v>
      </c>
      <c r="G765" s="7">
        <f>Clothing!G287</f>
        <v>1</v>
      </c>
      <c r="H765" s="7">
        <f>Clothing!H287</f>
        <v>2</v>
      </c>
      <c r="I765" s="7">
        <f>Clothing!I287</f>
        <v>2</v>
      </c>
      <c r="J765" s="7">
        <f>Clothing!J287</f>
        <v>2</v>
      </c>
      <c r="K765" s="159"/>
    </row>
    <row r="766" spans="1:11" hidden="1">
      <c r="A766" s="7" t="str">
        <f>Clothing!A288</f>
        <v>Import of plastic sheets</v>
      </c>
      <c r="B766" s="7">
        <f>Clothing!B288</f>
        <v>2014</v>
      </c>
      <c r="C766" s="7" t="str">
        <f>Clothing!C288</f>
        <v>RUBBER</v>
      </c>
      <c r="D766" s="7">
        <f>Clothing!D288</f>
        <v>56.33000902970948</v>
      </c>
      <c r="E766" s="7" t="str">
        <f>Clothing!E288</f>
        <v>https://ec.europa.eu/eurostat/databrowser/view/DS-056120__custom_15192557/default/table?lang=en - Low estimate</v>
      </c>
      <c r="F766" s="7">
        <f>Clothing!F288</f>
        <v>1</v>
      </c>
      <c r="G766" s="7">
        <f>Clothing!G288</f>
        <v>1</v>
      </c>
      <c r="H766" s="7">
        <f>Clothing!H288</f>
        <v>2</v>
      </c>
      <c r="I766" s="7">
        <f>Clothing!I288</f>
        <v>2</v>
      </c>
      <c r="J766" s="7">
        <f>Clothing!J288</f>
        <v>2</v>
      </c>
      <c r="K766" s="159"/>
    </row>
    <row r="767" spans="1:11" hidden="1">
      <c r="A767" s="7" t="str">
        <f>Clothing!A289</f>
        <v>Import of plastic sheets</v>
      </c>
      <c r="B767" s="7">
        <f>Clothing!B289</f>
        <v>2015</v>
      </c>
      <c r="C767" s="7" t="str">
        <f>Clothing!C289</f>
        <v>RUBBER</v>
      </c>
      <c r="D767" s="7">
        <f>Clothing!D289</f>
        <v>53.287965599667807</v>
      </c>
      <c r="E767" s="7" t="str">
        <f>Clothing!E289</f>
        <v>https://ec.europa.eu/eurostat/databrowser/view/DS-056120__custom_15192557/default/table?lang=en - Low estimate</v>
      </c>
      <c r="F767" s="7">
        <f>Clothing!F289</f>
        <v>1</v>
      </c>
      <c r="G767" s="7">
        <f>Clothing!G289</f>
        <v>1</v>
      </c>
      <c r="H767" s="7">
        <f>Clothing!H289</f>
        <v>2</v>
      </c>
      <c r="I767" s="7">
        <f>Clothing!I289</f>
        <v>2</v>
      </c>
      <c r="J767" s="7">
        <f>Clothing!J289</f>
        <v>2</v>
      </c>
      <c r="K767" s="159"/>
    </row>
    <row r="768" spans="1:11" hidden="1">
      <c r="A768" s="7" t="str">
        <f>Clothing!A290</f>
        <v>Import of plastic sheets</v>
      </c>
      <c r="B768" s="7">
        <f>Clothing!B290</f>
        <v>2016</v>
      </c>
      <c r="C768" s="7" t="str">
        <f>Clothing!C290</f>
        <v>RUBBER</v>
      </c>
      <c r="D768" s="7">
        <f>Clothing!D290</f>
        <v>52.381548003476567</v>
      </c>
      <c r="E768" s="7" t="str">
        <f>Clothing!E290</f>
        <v>https://ec.europa.eu/eurostat/databrowser/view/DS-056120__custom_15192557/default/table?lang=en - Low estimate</v>
      </c>
      <c r="F768" s="7">
        <f>Clothing!F290</f>
        <v>1</v>
      </c>
      <c r="G768" s="7">
        <f>Clothing!G290</f>
        <v>1</v>
      </c>
      <c r="H768" s="7">
        <f>Clothing!H290</f>
        <v>2</v>
      </c>
      <c r="I768" s="7">
        <f>Clothing!I290</f>
        <v>2</v>
      </c>
      <c r="J768" s="7">
        <f>Clothing!J290</f>
        <v>2</v>
      </c>
      <c r="K768" s="159"/>
    </row>
    <row r="769" spans="1:11" hidden="1">
      <c r="A769" s="7" t="str">
        <f>Clothing!A291</f>
        <v>Import of plastic sheets</v>
      </c>
      <c r="B769" s="7">
        <f>Clothing!B291</f>
        <v>2017</v>
      </c>
      <c r="C769" s="7" t="str">
        <f>Clothing!C291</f>
        <v>RUBBER</v>
      </c>
      <c r="D769" s="7">
        <f>Clothing!D291</f>
        <v>54.133747948336925</v>
      </c>
      <c r="E769" s="7" t="str">
        <f>Clothing!E291</f>
        <v>https://ec.europa.eu/eurostat/databrowser/view/DS-056120__custom_15192557/default/table?lang=en - Low estimate</v>
      </c>
      <c r="F769" s="7">
        <f>Clothing!F291</f>
        <v>1</v>
      </c>
      <c r="G769" s="7">
        <f>Clothing!G291</f>
        <v>1</v>
      </c>
      <c r="H769" s="7">
        <f>Clothing!H291</f>
        <v>2</v>
      </c>
      <c r="I769" s="7">
        <f>Clothing!I291</f>
        <v>2</v>
      </c>
      <c r="J769" s="7">
        <f>Clothing!J291</f>
        <v>2</v>
      </c>
      <c r="K769" s="159"/>
    </row>
    <row r="770" spans="1:11" hidden="1">
      <c r="A770" s="7" t="str">
        <f>Clothing!A292</f>
        <v>Import of plastic sheets</v>
      </c>
      <c r="B770" s="7">
        <f>Clothing!B292</f>
        <v>2018</v>
      </c>
      <c r="C770" s="7" t="str">
        <f>Clothing!C292</f>
        <v>RUBBER</v>
      </c>
      <c r="D770" s="7">
        <f>Clothing!D292</f>
        <v>65.517198056677529</v>
      </c>
      <c r="E770" s="7" t="str">
        <f>Clothing!E292</f>
        <v>https://ec.europa.eu/eurostat/databrowser/view/DS-056120__custom_15192557/default/table?lang=en - Low estimate</v>
      </c>
      <c r="F770" s="7">
        <f>Clothing!F292</f>
        <v>1</v>
      </c>
      <c r="G770" s="7">
        <f>Clothing!G292</f>
        <v>1</v>
      </c>
      <c r="H770" s="7">
        <f>Clothing!H292</f>
        <v>2</v>
      </c>
      <c r="I770" s="7">
        <f>Clothing!I292</f>
        <v>2</v>
      </c>
      <c r="J770" s="7">
        <f>Clothing!J292</f>
        <v>2</v>
      </c>
      <c r="K770" s="159"/>
    </row>
    <row r="771" spans="1:11" hidden="1">
      <c r="A771" s="7" t="str">
        <f>Clothing!A293</f>
        <v>Import of plastic sheets</v>
      </c>
      <c r="B771" s="7">
        <f>Clothing!B293</f>
        <v>2019</v>
      </c>
      <c r="C771" s="7" t="str">
        <f>Clothing!C293</f>
        <v>RUBBER</v>
      </c>
      <c r="D771" s="7">
        <f>Clothing!D293</f>
        <v>53.855761874839239</v>
      </c>
      <c r="E771" s="7" t="str">
        <f>Clothing!E293</f>
        <v>https://ec.europa.eu/eurostat/databrowser/view/DS-056120__custom_15192557/default/table?lang=en - Low estimate</v>
      </c>
      <c r="F771" s="7">
        <f>Clothing!F293</f>
        <v>1</v>
      </c>
      <c r="G771" s="7">
        <f>Clothing!G293</f>
        <v>1</v>
      </c>
      <c r="H771" s="7">
        <f>Clothing!H293</f>
        <v>2</v>
      </c>
      <c r="I771" s="7">
        <f>Clothing!I293</f>
        <v>2</v>
      </c>
      <c r="J771" s="7">
        <f>Clothing!J293</f>
        <v>2</v>
      </c>
      <c r="K771" s="159"/>
    </row>
    <row r="772" spans="1:11" hidden="1">
      <c r="A772" s="7" t="str">
        <f>Clothing!A294</f>
        <v>Import of plastic sheets</v>
      </c>
      <c r="B772" s="7">
        <f>Clothing!B294</f>
        <v>2020</v>
      </c>
      <c r="C772" s="7" t="str">
        <f>Clothing!C294</f>
        <v>RUBBER</v>
      </c>
      <c r="D772" s="7">
        <f>Clothing!D294</f>
        <v>41.710144097320388</v>
      </c>
      <c r="E772" s="7" t="str">
        <f>Clothing!E294</f>
        <v>https://ec.europa.eu/eurostat/databrowser/view/DS-056120__custom_15192557/default/table?lang=en - Low estimate</v>
      </c>
      <c r="F772" s="7">
        <f>Clothing!F294</f>
        <v>1</v>
      </c>
      <c r="G772" s="7">
        <f>Clothing!G294</f>
        <v>1</v>
      </c>
      <c r="H772" s="7">
        <f>Clothing!H294</f>
        <v>2</v>
      </c>
      <c r="I772" s="7">
        <f>Clothing!I294</f>
        <v>2</v>
      </c>
      <c r="J772" s="7">
        <f>Clothing!J294</f>
        <v>2</v>
      </c>
      <c r="K772" s="159"/>
    </row>
    <row r="773" spans="1:11" hidden="1">
      <c r="A773" s="7" t="str">
        <f>Clothing!A295</f>
        <v>Import of plastic sheets</v>
      </c>
      <c r="B773" s="7">
        <f>Clothing!B295</f>
        <v>2021</v>
      </c>
      <c r="C773" s="7" t="str">
        <f>Clothing!C295</f>
        <v>RUBBER</v>
      </c>
      <c r="D773" s="7">
        <f>Clothing!D295</f>
        <v>49.625283601036998</v>
      </c>
      <c r="E773" s="7" t="str">
        <f>Clothing!E295</f>
        <v>https://ec.europa.eu/eurostat/databrowser/view/DS-056120__custom_15192557/default/table?lang=en - Low estimate</v>
      </c>
      <c r="F773" s="7">
        <f>Clothing!F295</f>
        <v>1</v>
      </c>
      <c r="G773" s="7">
        <f>Clothing!G295</f>
        <v>1</v>
      </c>
      <c r="H773" s="7">
        <f>Clothing!H295</f>
        <v>2</v>
      </c>
      <c r="I773" s="7">
        <f>Clothing!I295</f>
        <v>2</v>
      </c>
      <c r="J773" s="7">
        <f>Clothing!J295</f>
        <v>2</v>
      </c>
      <c r="K773" s="159"/>
    </row>
    <row r="774" spans="1:11" hidden="1">
      <c r="A774" s="7" t="str">
        <f>Clothing!A296</f>
        <v>Import of plastic sheets</v>
      </c>
      <c r="B774" s="7">
        <f>Clothing!B296</f>
        <v>2022</v>
      </c>
      <c r="C774" s="7" t="str">
        <f>Clothing!C296</f>
        <v>RUBBER</v>
      </c>
      <c r="D774" s="7">
        <f>Clothing!D296</f>
        <v>48.128269630869013</v>
      </c>
      <c r="E774" s="7" t="str">
        <f>Clothing!E296</f>
        <v>https://ec.europa.eu/eurostat/databrowser/view/DS-056120__custom_15192557/default/table?lang=en - Low estimate</v>
      </c>
      <c r="F774" s="7">
        <f>Clothing!F296</f>
        <v>1</v>
      </c>
      <c r="G774" s="7">
        <f>Clothing!G296</f>
        <v>1</v>
      </c>
      <c r="H774" s="7">
        <f>Clothing!H296</f>
        <v>2</v>
      </c>
      <c r="I774" s="7">
        <f>Clothing!I296</f>
        <v>2</v>
      </c>
      <c r="J774" s="7">
        <f>Clothing!J296</f>
        <v>2</v>
      </c>
      <c r="K774" s="159"/>
    </row>
    <row r="775" spans="1:11" hidden="1">
      <c r="A775" s="7" t="str">
        <f>Clothing!A297</f>
        <v>Import of plastic sheets</v>
      </c>
      <c r="B775" s="7">
        <f>Clothing!B297</f>
        <v>2011</v>
      </c>
      <c r="C775" s="7" t="str">
        <f>Clothing!C297</f>
        <v>RUBBER</v>
      </c>
      <c r="D775" s="7">
        <f>Clothing!D297</f>
        <v>64.892646033989095</v>
      </c>
      <c r="E775" s="7" t="str">
        <f>Clothing!E297</f>
        <v>https://ec.europa.eu/eurostat/databrowser/view/DS-056120__custom_15192557/default/table?lang=en - High estimate</v>
      </c>
      <c r="F775" s="7">
        <f>Clothing!F297</f>
        <v>1</v>
      </c>
      <c r="G775" s="7">
        <f>Clothing!G297</f>
        <v>1</v>
      </c>
      <c r="H775" s="7">
        <f>Clothing!H297</f>
        <v>2</v>
      </c>
      <c r="I775" s="7">
        <f>Clothing!I297</f>
        <v>2</v>
      </c>
      <c r="J775" s="7">
        <f>Clothing!J297</f>
        <v>2</v>
      </c>
      <c r="K775" s="159"/>
    </row>
    <row r="776" spans="1:11" hidden="1">
      <c r="A776" s="7" t="str">
        <f>Clothing!A298</f>
        <v>Import of plastic sheets</v>
      </c>
      <c r="B776" s="7">
        <f>Clothing!B298</f>
        <v>2012</v>
      </c>
      <c r="C776" s="7" t="str">
        <f>Clothing!C298</f>
        <v>RUBBER</v>
      </c>
      <c r="D776" s="7">
        <f>Clothing!D298</f>
        <v>60.77649803015094</v>
      </c>
      <c r="E776" s="7" t="str">
        <f>Clothing!E298</f>
        <v>https://ec.europa.eu/eurostat/databrowser/view/DS-056120__custom_15192557/default/table?lang=en - High estimate</v>
      </c>
      <c r="F776" s="7">
        <f>Clothing!F298</f>
        <v>1</v>
      </c>
      <c r="G776" s="7">
        <f>Clothing!G298</f>
        <v>1</v>
      </c>
      <c r="H776" s="7">
        <f>Clothing!H298</f>
        <v>2</v>
      </c>
      <c r="I776" s="7">
        <f>Clothing!I298</f>
        <v>2</v>
      </c>
      <c r="J776" s="7">
        <f>Clothing!J298</f>
        <v>2</v>
      </c>
      <c r="K776" s="159"/>
    </row>
    <row r="777" spans="1:11" hidden="1">
      <c r="A777" s="7" t="str">
        <f>Clothing!A299</f>
        <v>Import of plastic sheets</v>
      </c>
      <c r="B777" s="7">
        <f>Clothing!B299</f>
        <v>2013</v>
      </c>
      <c r="C777" s="7" t="str">
        <f>Clothing!C299</f>
        <v>RUBBER</v>
      </c>
      <c r="D777" s="7">
        <f>Clothing!D299</f>
        <v>61.020040292781694</v>
      </c>
      <c r="E777" s="7" t="str">
        <f>Clothing!E299</f>
        <v>https://ec.europa.eu/eurostat/databrowser/view/DS-056120__custom_15192557/default/table?lang=en - High estimate</v>
      </c>
      <c r="F777" s="7">
        <f>Clothing!F299</f>
        <v>1</v>
      </c>
      <c r="G777" s="7">
        <f>Clothing!G299</f>
        <v>1</v>
      </c>
      <c r="H777" s="7">
        <f>Clothing!H299</f>
        <v>2</v>
      </c>
      <c r="I777" s="7">
        <f>Clothing!I299</f>
        <v>2</v>
      </c>
      <c r="J777" s="7">
        <f>Clothing!J299</f>
        <v>2</v>
      </c>
      <c r="K777" s="159"/>
    </row>
    <row r="778" spans="1:11" hidden="1">
      <c r="A778" s="7" t="str">
        <f>Clothing!A300</f>
        <v>Import of plastic sheets</v>
      </c>
      <c r="B778" s="7">
        <f>Clothing!B300</f>
        <v>2014</v>
      </c>
      <c r="C778" s="7" t="str">
        <f>Clothing!C300</f>
        <v>RUBBER</v>
      </c>
      <c r="D778" s="7">
        <f>Clothing!D300</f>
        <v>66.532849519996788</v>
      </c>
      <c r="E778" s="7" t="str">
        <f>Clothing!E300</f>
        <v>https://ec.europa.eu/eurostat/databrowser/view/DS-056120__custom_15192557/default/table?lang=en - High estimate</v>
      </c>
      <c r="F778" s="7">
        <f>Clothing!F300</f>
        <v>1</v>
      </c>
      <c r="G778" s="7">
        <f>Clothing!G300</f>
        <v>1</v>
      </c>
      <c r="H778" s="7">
        <f>Clothing!H300</f>
        <v>2</v>
      </c>
      <c r="I778" s="7">
        <f>Clothing!I300</f>
        <v>2</v>
      </c>
      <c r="J778" s="7">
        <f>Clothing!J300</f>
        <v>2</v>
      </c>
      <c r="K778" s="159"/>
    </row>
    <row r="779" spans="1:11" hidden="1">
      <c r="A779" s="7" t="str">
        <f>Clothing!A301</f>
        <v>Import of plastic sheets</v>
      </c>
      <c r="B779" s="7">
        <f>Clothing!B301</f>
        <v>2015</v>
      </c>
      <c r="C779" s="7" t="str">
        <f>Clothing!C301</f>
        <v>RUBBER</v>
      </c>
      <c r="D779" s="7">
        <f>Clothing!D301</f>
        <v>62.939812322763082</v>
      </c>
      <c r="E779" s="7" t="str">
        <f>Clothing!E301</f>
        <v>https://ec.europa.eu/eurostat/databrowser/view/DS-056120__custom_15192557/default/table?lang=en - High estimate</v>
      </c>
      <c r="F779" s="7">
        <f>Clothing!F301</f>
        <v>1</v>
      </c>
      <c r="G779" s="7">
        <f>Clothing!G301</f>
        <v>1</v>
      </c>
      <c r="H779" s="7">
        <f>Clothing!H301</f>
        <v>2</v>
      </c>
      <c r="I779" s="7">
        <f>Clothing!I301</f>
        <v>2</v>
      </c>
      <c r="J779" s="7">
        <f>Clothing!J301</f>
        <v>2</v>
      </c>
      <c r="K779" s="159"/>
    </row>
    <row r="780" spans="1:11" hidden="1">
      <c r="A780" s="7" t="str">
        <f>Clothing!A302</f>
        <v>Import of plastic sheets</v>
      </c>
      <c r="B780" s="7">
        <f>Clothing!B302</f>
        <v>2016</v>
      </c>
      <c r="C780" s="7" t="str">
        <f>Clothing!C302</f>
        <v>RUBBER</v>
      </c>
      <c r="D780" s="7">
        <f>Clothing!D302</f>
        <v>61.869218751619464</v>
      </c>
      <c r="E780" s="7" t="str">
        <f>Clothing!E302</f>
        <v>https://ec.europa.eu/eurostat/databrowser/view/DS-056120__custom_15192557/default/table?lang=en - High estimate</v>
      </c>
      <c r="F780" s="7">
        <f>Clothing!F302</f>
        <v>1</v>
      </c>
      <c r="G780" s="7">
        <f>Clothing!G302</f>
        <v>1</v>
      </c>
      <c r="H780" s="7">
        <f>Clothing!H302</f>
        <v>2</v>
      </c>
      <c r="I780" s="7">
        <f>Clothing!I302</f>
        <v>2</v>
      </c>
      <c r="J780" s="7">
        <f>Clothing!J302</f>
        <v>2</v>
      </c>
      <c r="K780" s="159"/>
    </row>
    <row r="781" spans="1:11" hidden="1">
      <c r="A781" s="7" t="str">
        <f>Clothing!A303</f>
        <v>Import of plastic sheets</v>
      </c>
      <c r="B781" s="7">
        <f>Clothing!B303</f>
        <v>2017</v>
      </c>
      <c r="C781" s="7" t="str">
        <f>Clothing!C303</f>
        <v>RUBBER</v>
      </c>
      <c r="D781" s="7">
        <f>Clothing!D303</f>
        <v>63.93878801440539</v>
      </c>
      <c r="E781" s="7" t="str">
        <f>Clothing!E303</f>
        <v>https://ec.europa.eu/eurostat/databrowser/view/DS-056120__custom_15192557/default/table?lang=en - High estimate</v>
      </c>
      <c r="F781" s="7">
        <f>Clothing!F303</f>
        <v>1</v>
      </c>
      <c r="G781" s="7">
        <f>Clothing!G303</f>
        <v>1</v>
      </c>
      <c r="H781" s="7">
        <f>Clothing!H303</f>
        <v>2</v>
      </c>
      <c r="I781" s="7">
        <f>Clothing!I303</f>
        <v>2</v>
      </c>
      <c r="J781" s="7">
        <f>Clothing!J303</f>
        <v>2</v>
      </c>
      <c r="K781" s="159"/>
    </row>
    <row r="782" spans="1:11" hidden="1">
      <c r="A782" s="7" t="str">
        <f>Clothing!A304</f>
        <v>Import of plastic sheets</v>
      </c>
      <c r="B782" s="7">
        <f>Clothing!B304</f>
        <v>2018</v>
      </c>
      <c r="C782" s="7" t="str">
        <f>Clothing!C304</f>
        <v>RUBBER</v>
      </c>
      <c r="D782" s="7">
        <f>Clothing!D304</f>
        <v>77.384079185531661</v>
      </c>
      <c r="E782" s="7" t="str">
        <f>Clothing!E304</f>
        <v>https://ec.europa.eu/eurostat/databrowser/view/DS-056120__custom_15192557/default/table?lang=en - High estimate</v>
      </c>
      <c r="F782" s="7">
        <f>Clothing!F304</f>
        <v>1</v>
      </c>
      <c r="G782" s="7">
        <f>Clothing!G304</f>
        <v>1</v>
      </c>
      <c r="H782" s="7">
        <f>Clothing!H304</f>
        <v>2</v>
      </c>
      <c r="I782" s="7">
        <f>Clothing!I304</f>
        <v>2</v>
      </c>
      <c r="J782" s="7">
        <f>Clothing!J304</f>
        <v>2</v>
      </c>
      <c r="K782" s="159"/>
    </row>
    <row r="783" spans="1:11" hidden="1">
      <c r="A783" s="7" t="str">
        <f>Clothing!A305</f>
        <v>Import of plastic sheets</v>
      </c>
      <c r="B783" s="7">
        <f>Clothing!B305</f>
        <v>2019</v>
      </c>
      <c r="C783" s="7" t="str">
        <f>Clothing!C305</f>
        <v>RUBBER</v>
      </c>
      <c r="D783" s="7">
        <f>Clothing!D305</f>
        <v>63.61045137971886</v>
      </c>
      <c r="E783" s="7" t="str">
        <f>Clothing!E305</f>
        <v>https://ec.europa.eu/eurostat/databrowser/view/DS-056120__custom_15192557/default/table?lang=en - High estimate</v>
      </c>
      <c r="F783" s="7">
        <f>Clothing!F305</f>
        <v>1</v>
      </c>
      <c r="G783" s="7">
        <f>Clothing!G305</f>
        <v>1</v>
      </c>
      <c r="H783" s="7">
        <f>Clothing!H305</f>
        <v>2</v>
      </c>
      <c r="I783" s="7">
        <f>Clothing!I305</f>
        <v>2</v>
      </c>
      <c r="J783" s="7">
        <f>Clothing!J305</f>
        <v>2</v>
      </c>
      <c r="K783" s="159"/>
    </row>
    <row r="784" spans="1:11" hidden="1">
      <c r="A784" s="7" t="str">
        <f>Clothing!A306</f>
        <v>Import of plastic sheets</v>
      </c>
      <c r="B784" s="7">
        <f>Clothing!B306</f>
        <v>2020</v>
      </c>
      <c r="C784" s="7" t="str">
        <f>Clothing!C306</f>
        <v>RUBBER</v>
      </c>
      <c r="D784" s="7">
        <f>Clothing!D306</f>
        <v>49.264944005614559</v>
      </c>
      <c r="E784" s="7" t="str">
        <f>Clothing!E306</f>
        <v>https://ec.europa.eu/eurostat/databrowser/view/DS-056120__custom_15192557/default/table?lang=en - High estimate</v>
      </c>
      <c r="F784" s="7">
        <f>Clothing!F306</f>
        <v>1</v>
      </c>
      <c r="G784" s="7">
        <f>Clothing!G306</f>
        <v>1</v>
      </c>
      <c r="H784" s="7">
        <f>Clothing!H306</f>
        <v>2</v>
      </c>
      <c r="I784" s="7">
        <f>Clothing!I306</f>
        <v>2</v>
      </c>
      <c r="J784" s="7">
        <f>Clothing!J306</f>
        <v>2</v>
      </c>
      <c r="K784" s="159"/>
    </row>
    <row r="785" spans="1:11" hidden="1">
      <c r="A785" s="7" t="str">
        <f>Clothing!A307</f>
        <v>Import of plastic sheets</v>
      </c>
      <c r="B785" s="7">
        <f>Clothing!B307</f>
        <v>2021</v>
      </c>
      <c r="C785" s="7" t="str">
        <f>Clothing!C307</f>
        <v>RUBBER</v>
      </c>
      <c r="D785" s="7">
        <f>Clothing!D307</f>
        <v>58.613722651341597</v>
      </c>
      <c r="E785" s="7" t="str">
        <f>Clothing!E307</f>
        <v>https://ec.europa.eu/eurostat/databrowser/view/DS-056120__custom_15192557/default/table?lang=en - High estimate</v>
      </c>
      <c r="F785" s="7">
        <f>Clothing!F307</f>
        <v>1</v>
      </c>
      <c r="G785" s="7">
        <f>Clothing!G307</f>
        <v>1</v>
      </c>
      <c r="H785" s="7">
        <f>Clothing!H307</f>
        <v>2</v>
      </c>
      <c r="I785" s="7">
        <f>Clothing!I307</f>
        <v>2</v>
      </c>
      <c r="J785" s="7">
        <f>Clothing!J307</f>
        <v>2</v>
      </c>
      <c r="K785" s="159"/>
    </row>
    <row r="786" spans="1:11" hidden="1">
      <c r="A786" s="7" t="str">
        <f>Clothing!A308</f>
        <v>Import of plastic sheets</v>
      </c>
      <c r="B786" s="7">
        <f>Clothing!B308</f>
        <v>2022</v>
      </c>
      <c r="C786" s="7" t="str">
        <f>Clothing!C308</f>
        <v>RUBBER</v>
      </c>
      <c r="D786" s="7">
        <f>Clothing!D308</f>
        <v>56.845560229177096</v>
      </c>
      <c r="E786" s="7" t="str">
        <f>Clothing!E308</f>
        <v>https://ec.europa.eu/eurostat/databrowser/view/DS-056120__custom_15192557/default/table?lang=en - High estimate</v>
      </c>
      <c r="F786" s="7">
        <f>Clothing!F308</f>
        <v>1</v>
      </c>
      <c r="G786" s="7">
        <f>Clothing!G308</f>
        <v>1</v>
      </c>
      <c r="H786" s="7">
        <f>Clothing!H308</f>
        <v>2</v>
      </c>
      <c r="I786" s="7">
        <f>Clothing!I308</f>
        <v>2</v>
      </c>
      <c r="J786" s="7">
        <f>Clothing!J308</f>
        <v>2</v>
      </c>
      <c r="K786" s="159"/>
    </row>
    <row r="787" spans="1:11" hidden="1">
      <c r="A787" s="7" t="str">
        <f>Clothing!A309</f>
        <v>Import of yarn</v>
      </c>
      <c r="B787" s="7">
        <f>Clothing!B309</f>
        <v>2011</v>
      </c>
      <c r="C787" s="7" t="str">
        <f>Clothing!C309</f>
        <v>Acryl</v>
      </c>
      <c r="D787" s="7">
        <f>Clothing!D309</f>
        <v>31.323856063769544</v>
      </c>
      <c r="E787" s="7" t="str">
        <f>Clothing!E309</f>
        <v>https://ec.europa.eu/eurostat/databrowser/view/DS-056120__custom_15192557/default/table?lang=en - Low estimate</v>
      </c>
      <c r="F787" s="7">
        <f>Clothing!F309</f>
        <v>1</v>
      </c>
      <c r="G787" s="7">
        <f>Clothing!G309</f>
        <v>1</v>
      </c>
      <c r="H787" s="7">
        <f>Clothing!H309</f>
        <v>2</v>
      </c>
      <c r="I787" s="7">
        <f>Clothing!I309</f>
        <v>2</v>
      </c>
      <c r="J787" s="7">
        <f>Clothing!J309</f>
        <v>2</v>
      </c>
      <c r="K787" s="159"/>
    </row>
    <row r="788" spans="1:11" hidden="1">
      <c r="A788" s="7" t="str">
        <f>Clothing!A310</f>
        <v>Import of yarn</v>
      </c>
      <c r="B788" s="7">
        <f>Clothing!B310</f>
        <v>2012</v>
      </c>
      <c r="C788" s="7" t="str">
        <f>Clothing!C310</f>
        <v>Acryl</v>
      </c>
      <c r="D788" s="7">
        <f>Clothing!D310</f>
        <v>28.939700715961639</v>
      </c>
      <c r="E788" s="7" t="str">
        <f>Clothing!E310</f>
        <v>https://ec.europa.eu/eurostat/databrowser/view/DS-056120__custom_15192557/default/table?lang=en - Low estimate</v>
      </c>
      <c r="F788" s="7">
        <f>Clothing!F310</f>
        <v>1</v>
      </c>
      <c r="G788" s="7">
        <f>Clothing!G310</f>
        <v>1</v>
      </c>
      <c r="H788" s="7">
        <f>Clothing!H310</f>
        <v>2</v>
      </c>
      <c r="I788" s="7">
        <f>Clothing!I310</f>
        <v>2</v>
      </c>
      <c r="J788" s="7">
        <f>Clothing!J310</f>
        <v>2</v>
      </c>
      <c r="K788" s="159"/>
    </row>
    <row r="789" spans="1:11" hidden="1">
      <c r="A789" s="7" t="str">
        <f>Clothing!A311</f>
        <v>Import of yarn</v>
      </c>
      <c r="B789" s="7">
        <f>Clothing!B311</f>
        <v>2013</v>
      </c>
      <c r="C789" s="7" t="str">
        <f>Clothing!C311</f>
        <v>Acryl</v>
      </c>
      <c r="D789" s="7">
        <f>Clothing!D311</f>
        <v>27.53375528380252</v>
      </c>
      <c r="E789" s="7" t="str">
        <f>Clothing!E311</f>
        <v>https://ec.europa.eu/eurostat/databrowser/view/DS-056120__custom_15192557/default/table?lang=en - Low estimate</v>
      </c>
      <c r="F789" s="7">
        <f>Clothing!F311</f>
        <v>1</v>
      </c>
      <c r="G789" s="7">
        <f>Clothing!G311</f>
        <v>1</v>
      </c>
      <c r="H789" s="7">
        <f>Clothing!H311</f>
        <v>2</v>
      </c>
      <c r="I789" s="7">
        <f>Clothing!I311</f>
        <v>2</v>
      </c>
      <c r="J789" s="7">
        <f>Clothing!J311</f>
        <v>2</v>
      </c>
      <c r="K789" s="159"/>
    </row>
    <row r="790" spans="1:11" hidden="1">
      <c r="A790" s="7" t="str">
        <f>Clothing!A312</f>
        <v>Import of yarn</v>
      </c>
      <c r="B790" s="7">
        <f>Clothing!B312</f>
        <v>2014</v>
      </c>
      <c r="C790" s="7" t="str">
        <f>Clothing!C312</f>
        <v>Acryl</v>
      </c>
      <c r="D790" s="7">
        <f>Clothing!D312</f>
        <v>26.834825608984801</v>
      </c>
      <c r="E790" s="7" t="str">
        <f>Clothing!E312</f>
        <v>https://ec.europa.eu/eurostat/databrowser/view/DS-056120__custom_15192557/default/table?lang=en - Low estimate</v>
      </c>
      <c r="F790" s="7">
        <f>Clothing!F312</f>
        <v>1</v>
      </c>
      <c r="G790" s="7">
        <f>Clothing!G312</f>
        <v>1</v>
      </c>
      <c r="H790" s="7">
        <f>Clothing!H312</f>
        <v>2</v>
      </c>
      <c r="I790" s="7">
        <f>Clothing!I312</f>
        <v>2</v>
      </c>
      <c r="J790" s="7">
        <f>Clothing!J312</f>
        <v>2</v>
      </c>
      <c r="K790" s="159"/>
    </row>
    <row r="791" spans="1:11" hidden="1">
      <c r="A791" s="7" t="str">
        <f>Clothing!A313</f>
        <v>Import of yarn</v>
      </c>
      <c r="B791" s="7">
        <f>Clothing!B313</f>
        <v>2015</v>
      </c>
      <c r="C791" s="7" t="str">
        <f>Clothing!C313</f>
        <v>Acryl</v>
      </c>
      <c r="D791" s="7">
        <f>Clothing!D313</f>
        <v>24.139952862753976</v>
      </c>
      <c r="E791" s="7" t="str">
        <f>Clothing!E313</f>
        <v>https://ec.europa.eu/eurostat/databrowser/view/DS-056120__custom_15192557/default/table?lang=en - Low estimate</v>
      </c>
      <c r="F791" s="7">
        <f>Clothing!F313</f>
        <v>1</v>
      </c>
      <c r="G791" s="7">
        <f>Clothing!G313</f>
        <v>1</v>
      </c>
      <c r="H791" s="7">
        <f>Clothing!H313</f>
        <v>2</v>
      </c>
      <c r="I791" s="7">
        <f>Clothing!I313</f>
        <v>2</v>
      </c>
      <c r="J791" s="7">
        <f>Clothing!J313</f>
        <v>2</v>
      </c>
      <c r="K791" s="159"/>
    </row>
    <row r="792" spans="1:11" hidden="1">
      <c r="A792" s="7" t="str">
        <f>Clothing!A314</f>
        <v>Import of yarn</v>
      </c>
      <c r="B792" s="7">
        <f>Clothing!B314</f>
        <v>2016</v>
      </c>
      <c r="C792" s="7" t="str">
        <f>Clothing!C314</f>
        <v>Acryl</v>
      </c>
      <c r="D792" s="7">
        <f>Clothing!D314</f>
        <v>27.520387156055381</v>
      </c>
      <c r="E792" s="7" t="str">
        <f>Clothing!E314</f>
        <v>https://ec.europa.eu/eurostat/databrowser/view/DS-056120__custom_15192557/default/table?lang=en - Low estimate</v>
      </c>
      <c r="F792" s="7">
        <f>Clothing!F314</f>
        <v>1</v>
      </c>
      <c r="G792" s="7">
        <f>Clothing!G314</f>
        <v>1</v>
      </c>
      <c r="H792" s="7">
        <f>Clothing!H314</f>
        <v>2</v>
      </c>
      <c r="I792" s="7">
        <f>Clothing!I314</f>
        <v>2</v>
      </c>
      <c r="J792" s="7">
        <f>Clothing!J314</f>
        <v>2</v>
      </c>
      <c r="K792" s="159"/>
    </row>
    <row r="793" spans="1:11" hidden="1">
      <c r="A793" s="7" t="str">
        <f>Clothing!A315</f>
        <v>Import of yarn</v>
      </c>
      <c r="B793" s="7">
        <f>Clothing!B315</f>
        <v>2017</v>
      </c>
      <c r="C793" s="7" t="str">
        <f>Clothing!C315</f>
        <v>Acryl</v>
      </c>
      <c r="D793" s="7">
        <f>Clothing!D315</f>
        <v>22.822083248542128</v>
      </c>
      <c r="E793" s="7" t="str">
        <f>Clothing!E315</f>
        <v>https://ec.europa.eu/eurostat/databrowser/view/DS-056120__custom_15192557/default/table?lang=en - Low estimate</v>
      </c>
      <c r="F793" s="7">
        <f>Clothing!F315</f>
        <v>1</v>
      </c>
      <c r="G793" s="7">
        <f>Clothing!G315</f>
        <v>1</v>
      </c>
      <c r="H793" s="7">
        <f>Clothing!H315</f>
        <v>2</v>
      </c>
      <c r="I793" s="7">
        <f>Clothing!I315</f>
        <v>2</v>
      </c>
      <c r="J793" s="7">
        <f>Clothing!J315</f>
        <v>2</v>
      </c>
      <c r="K793" s="159"/>
    </row>
    <row r="794" spans="1:11" hidden="1">
      <c r="A794" s="7" t="str">
        <f>Clothing!A316</f>
        <v>Import of yarn</v>
      </c>
      <c r="B794" s="7">
        <f>Clothing!B316</f>
        <v>2018</v>
      </c>
      <c r="C794" s="7" t="str">
        <f>Clothing!C316</f>
        <v>Acryl</v>
      </c>
      <c r="D794" s="7">
        <f>Clothing!D316</f>
        <v>25.958485764071945</v>
      </c>
      <c r="E794" s="7" t="str">
        <f>Clothing!E316</f>
        <v>https://ec.europa.eu/eurostat/databrowser/view/DS-056120__custom_15192557/default/table?lang=en - Low estimate</v>
      </c>
      <c r="F794" s="7">
        <f>Clothing!F316</f>
        <v>1</v>
      </c>
      <c r="G794" s="7">
        <f>Clothing!G316</f>
        <v>1</v>
      </c>
      <c r="H794" s="7">
        <f>Clothing!H316</f>
        <v>2</v>
      </c>
      <c r="I794" s="7">
        <f>Clothing!I316</f>
        <v>2</v>
      </c>
      <c r="J794" s="7">
        <f>Clothing!J316</f>
        <v>2</v>
      </c>
      <c r="K794" s="159"/>
    </row>
    <row r="795" spans="1:11" hidden="1">
      <c r="A795" s="7" t="str">
        <f>Clothing!A317</f>
        <v>Import of yarn</v>
      </c>
      <c r="B795" s="7">
        <f>Clothing!B317</f>
        <v>2019</v>
      </c>
      <c r="C795" s="7" t="str">
        <f>Clothing!C317</f>
        <v>Acryl</v>
      </c>
      <c r="D795" s="7">
        <f>Clothing!D317</f>
        <v>25.420305253598197</v>
      </c>
      <c r="E795" s="7" t="str">
        <f>Clothing!E317</f>
        <v>https://ec.europa.eu/eurostat/databrowser/view/DS-056120__custom_15192557/default/table?lang=en - Low estimate</v>
      </c>
      <c r="F795" s="7">
        <f>Clothing!F317</f>
        <v>1</v>
      </c>
      <c r="G795" s="7">
        <f>Clothing!G317</f>
        <v>1</v>
      </c>
      <c r="H795" s="7">
        <f>Clothing!H317</f>
        <v>2</v>
      </c>
      <c r="I795" s="7">
        <f>Clothing!I317</f>
        <v>2</v>
      </c>
      <c r="J795" s="7">
        <f>Clothing!J317</f>
        <v>2</v>
      </c>
      <c r="K795" s="159"/>
    </row>
    <row r="796" spans="1:11" hidden="1">
      <c r="A796" s="7" t="str">
        <f>Clothing!A318</f>
        <v>Import of yarn</v>
      </c>
      <c r="B796" s="7">
        <f>Clothing!B318</f>
        <v>2020</v>
      </c>
      <c r="C796" s="7" t="str">
        <f>Clothing!C318</f>
        <v>Acryl</v>
      </c>
      <c r="D796" s="7">
        <f>Clothing!D318</f>
        <v>19.264682494518464</v>
      </c>
      <c r="E796" s="7" t="str">
        <f>Clothing!E318</f>
        <v>https://ec.europa.eu/eurostat/databrowser/view/DS-056120__custom_15192557/default/table?lang=en - Low estimate</v>
      </c>
      <c r="F796" s="7">
        <f>Clothing!F318</f>
        <v>1</v>
      </c>
      <c r="G796" s="7">
        <f>Clothing!G318</f>
        <v>1</v>
      </c>
      <c r="H796" s="7">
        <f>Clothing!H318</f>
        <v>2</v>
      </c>
      <c r="I796" s="7">
        <f>Clothing!I318</f>
        <v>2</v>
      </c>
      <c r="J796" s="7">
        <f>Clothing!J318</f>
        <v>2</v>
      </c>
      <c r="K796" s="159"/>
    </row>
    <row r="797" spans="1:11" hidden="1">
      <c r="A797" s="7" t="str">
        <f>Clothing!A319</f>
        <v>Import of yarn</v>
      </c>
      <c r="B797" s="7">
        <f>Clothing!B319</f>
        <v>2021</v>
      </c>
      <c r="C797" s="7" t="str">
        <f>Clothing!C319</f>
        <v>Acryl</v>
      </c>
      <c r="D797" s="7">
        <f>Clothing!D319</f>
        <v>19.718829699422724</v>
      </c>
      <c r="E797" s="7" t="str">
        <f>Clothing!E319</f>
        <v>https://ec.europa.eu/eurostat/databrowser/view/DS-056120__custom_15192557/default/table?lang=en - Low estimate</v>
      </c>
      <c r="F797" s="7">
        <f>Clothing!F319</f>
        <v>1</v>
      </c>
      <c r="G797" s="7">
        <f>Clothing!G319</f>
        <v>1</v>
      </c>
      <c r="H797" s="7">
        <f>Clothing!H319</f>
        <v>2</v>
      </c>
      <c r="I797" s="7">
        <f>Clothing!I319</f>
        <v>2</v>
      </c>
      <c r="J797" s="7">
        <f>Clothing!J319</f>
        <v>2</v>
      </c>
      <c r="K797" s="159"/>
    </row>
    <row r="798" spans="1:11" hidden="1">
      <c r="A798" s="7" t="str">
        <f>Clothing!A320</f>
        <v>Import of yarn</v>
      </c>
      <c r="B798" s="7">
        <f>Clothing!B320</f>
        <v>2022</v>
      </c>
      <c r="C798" s="7" t="str">
        <f>Clothing!C320</f>
        <v>Acryl</v>
      </c>
      <c r="D798" s="7">
        <f>Clothing!D320</f>
        <v>21.348742389276275</v>
      </c>
      <c r="E798" s="7" t="str">
        <f>Clothing!E320</f>
        <v>https://ec.europa.eu/eurostat/databrowser/view/DS-056120__custom_15192557/default/table?lang=en - Low estimate</v>
      </c>
      <c r="F798" s="7">
        <f>Clothing!F320</f>
        <v>1</v>
      </c>
      <c r="G798" s="7">
        <f>Clothing!G320</f>
        <v>1</v>
      </c>
      <c r="H798" s="7">
        <f>Clothing!H320</f>
        <v>2</v>
      </c>
      <c r="I798" s="7">
        <f>Clothing!I320</f>
        <v>2</v>
      </c>
      <c r="J798" s="7">
        <f>Clothing!J320</f>
        <v>2</v>
      </c>
      <c r="K798" s="159"/>
    </row>
    <row r="799" spans="1:11" hidden="1">
      <c r="A799" s="7" t="str">
        <f>Clothing!A321</f>
        <v>Import of yarn</v>
      </c>
      <c r="B799" s="7">
        <f>Clothing!B321</f>
        <v>2011</v>
      </c>
      <c r="C799" s="7" t="str">
        <f>Clothing!C321</f>
        <v>Acryl</v>
      </c>
      <c r="D799" s="7">
        <f>Clothing!D321</f>
        <v>36.997427086824068</v>
      </c>
      <c r="E799" s="7" t="str">
        <f>Clothing!E321</f>
        <v>https://ec.europa.eu/eurostat/databrowser/view/DS-056120__custom_15192557/default/table?lang=en - High estimate</v>
      </c>
      <c r="F799" s="7">
        <f>Clothing!F321</f>
        <v>1</v>
      </c>
      <c r="G799" s="7">
        <f>Clothing!G321</f>
        <v>1</v>
      </c>
      <c r="H799" s="7">
        <f>Clothing!H321</f>
        <v>2</v>
      </c>
      <c r="I799" s="7">
        <f>Clothing!I321</f>
        <v>2</v>
      </c>
      <c r="J799" s="7">
        <f>Clothing!J321</f>
        <v>2</v>
      </c>
      <c r="K799" s="159"/>
    </row>
    <row r="800" spans="1:11" hidden="1">
      <c r="A800" s="7" t="str">
        <f>Clothing!A322</f>
        <v>Import of yarn</v>
      </c>
      <c r="B800" s="7">
        <f>Clothing!B322</f>
        <v>2012</v>
      </c>
      <c r="C800" s="7" t="str">
        <f>Clothing!C322</f>
        <v>Acryl</v>
      </c>
      <c r="D800" s="7">
        <f>Clothing!D322</f>
        <v>34.181438740286843</v>
      </c>
      <c r="E800" s="7" t="str">
        <f>Clothing!E322</f>
        <v>https://ec.europa.eu/eurostat/databrowser/view/DS-056120__custom_15192557/default/table?lang=en - High estimate</v>
      </c>
      <c r="F800" s="7">
        <f>Clothing!F322</f>
        <v>1</v>
      </c>
      <c r="G800" s="7">
        <f>Clothing!G322</f>
        <v>1</v>
      </c>
      <c r="H800" s="7">
        <f>Clothing!H322</f>
        <v>2</v>
      </c>
      <c r="I800" s="7">
        <f>Clothing!I322</f>
        <v>2</v>
      </c>
      <c r="J800" s="7">
        <f>Clothing!J322</f>
        <v>2</v>
      </c>
      <c r="K800" s="159"/>
    </row>
    <row r="801" spans="1:11" hidden="1">
      <c r="A801" s="7" t="str">
        <f>Clothing!A323</f>
        <v>Import of yarn</v>
      </c>
      <c r="B801" s="7">
        <f>Clothing!B323</f>
        <v>2013</v>
      </c>
      <c r="C801" s="7" t="str">
        <f>Clothing!C323</f>
        <v>Acryl</v>
      </c>
      <c r="D801" s="7">
        <f>Clothing!D323</f>
        <v>32.520839754374492</v>
      </c>
      <c r="E801" s="7" t="str">
        <f>Clothing!E323</f>
        <v>https://ec.europa.eu/eurostat/databrowser/view/DS-056120__custom_15192557/default/table?lang=en - High estimate</v>
      </c>
      <c r="F801" s="7">
        <f>Clothing!F323</f>
        <v>1</v>
      </c>
      <c r="G801" s="7">
        <f>Clothing!G323</f>
        <v>1</v>
      </c>
      <c r="H801" s="7">
        <f>Clothing!H323</f>
        <v>2</v>
      </c>
      <c r="I801" s="7">
        <f>Clothing!I323</f>
        <v>2</v>
      </c>
      <c r="J801" s="7">
        <f>Clothing!J323</f>
        <v>2</v>
      </c>
      <c r="K801" s="159"/>
    </row>
    <row r="802" spans="1:11" hidden="1">
      <c r="A802" s="7" t="str">
        <f>Clothing!A324</f>
        <v>Import of yarn</v>
      </c>
      <c r="B802" s="7">
        <f>Clothing!B324</f>
        <v>2014</v>
      </c>
      <c r="C802" s="7" t="str">
        <f>Clothing!C324</f>
        <v>Acryl</v>
      </c>
      <c r="D802" s="7">
        <f>Clothing!D324</f>
        <v>31.69531560338098</v>
      </c>
      <c r="E802" s="7" t="str">
        <f>Clothing!E324</f>
        <v>https://ec.europa.eu/eurostat/databrowser/view/DS-056120__custom_15192557/default/table?lang=en - High estimate</v>
      </c>
      <c r="F802" s="7">
        <f>Clothing!F324</f>
        <v>1</v>
      </c>
      <c r="G802" s="7">
        <f>Clothing!G324</f>
        <v>1</v>
      </c>
      <c r="H802" s="7">
        <f>Clothing!H324</f>
        <v>2</v>
      </c>
      <c r="I802" s="7">
        <f>Clothing!I324</f>
        <v>2</v>
      </c>
      <c r="J802" s="7">
        <f>Clothing!J324</f>
        <v>2</v>
      </c>
      <c r="K802" s="159"/>
    </row>
    <row r="803" spans="1:11" hidden="1">
      <c r="A803" s="7" t="str">
        <f>Clothing!A325</f>
        <v>Import of yarn</v>
      </c>
      <c r="B803" s="7">
        <f>Clothing!B325</f>
        <v>2015</v>
      </c>
      <c r="C803" s="7" t="str">
        <f>Clothing!C325</f>
        <v>Acryl</v>
      </c>
      <c r="D803" s="7">
        <f>Clothing!D325</f>
        <v>28.512330796722217</v>
      </c>
      <c r="E803" s="7" t="str">
        <f>Clothing!E325</f>
        <v>https://ec.europa.eu/eurostat/databrowser/view/DS-056120__custom_15192557/default/table?lang=en - High estimate</v>
      </c>
      <c r="F803" s="7">
        <f>Clothing!F325</f>
        <v>1</v>
      </c>
      <c r="G803" s="7">
        <f>Clothing!G325</f>
        <v>1</v>
      </c>
      <c r="H803" s="7">
        <f>Clothing!H325</f>
        <v>2</v>
      </c>
      <c r="I803" s="7">
        <f>Clothing!I325</f>
        <v>2</v>
      </c>
      <c r="J803" s="7">
        <f>Clothing!J325</f>
        <v>2</v>
      </c>
      <c r="K803" s="159"/>
    </row>
    <row r="804" spans="1:11" hidden="1">
      <c r="A804" s="7" t="str">
        <f>Clothing!A326</f>
        <v>Import of yarn</v>
      </c>
      <c r="B804" s="7">
        <f>Clothing!B326</f>
        <v>2016</v>
      </c>
      <c r="C804" s="7" t="str">
        <f>Clothing!C326</f>
        <v>Acryl</v>
      </c>
      <c r="D804" s="7">
        <f>Clothing!D326</f>
        <v>32.505050308445313</v>
      </c>
      <c r="E804" s="7" t="str">
        <f>Clothing!E326</f>
        <v>https://ec.europa.eu/eurostat/databrowser/view/DS-056120__custom_15192557/default/table?lang=en - High estimate</v>
      </c>
      <c r="F804" s="7">
        <f>Clothing!F326</f>
        <v>1</v>
      </c>
      <c r="G804" s="7">
        <f>Clothing!G326</f>
        <v>1</v>
      </c>
      <c r="H804" s="7">
        <f>Clothing!H326</f>
        <v>2</v>
      </c>
      <c r="I804" s="7">
        <f>Clothing!I326</f>
        <v>2</v>
      </c>
      <c r="J804" s="7">
        <f>Clothing!J326</f>
        <v>2</v>
      </c>
      <c r="K804" s="159"/>
    </row>
    <row r="805" spans="1:11" hidden="1">
      <c r="A805" s="7" t="str">
        <f>Clothing!A327</f>
        <v>Import of yarn</v>
      </c>
      <c r="B805" s="7">
        <f>Clothing!B327</f>
        <v>2017</v>
      </c>
      <c r="C805" s="7" t="str">
        <f>Clothing!C327</f>
        <v>Acryl</v>
      </c>
      <c r="D805" s="7">
        <f>Clothing!D327</f>
        <v>26.955760466987524</v>
      </c>
      <c r="E805" s="7" t="str">
        <f>Clothing!E327</f>
        <v>https://ec.europa.eu/eurostat/databrowser/view/DS-056120__custom_15192557/default/table?lang=en - High estimate</v>
      </c>
      <c r="F805" s="7">
        <f>Clothing!F327</f>
        <v>1</v>
      </c>
      <c r="G805" s="7">
        <f>Clothing!G327</f>
        <v>1</v>
      </c>
      <c r="H805" s="7">
        <f>Clothing!H327</f>
        <v>2</v>
      </c>
      <c r="I805" s="7">
        <f>Clothing!I327</f>
        <v>2</v>
      </c>
      <c r="J805" s="7">
        <f>Clothing!J327</f>
        <v>2</v>
      </c>
      <c r="K805" s="159"/>
    </row>
    <row r="806" spans="1:11" hidden="1">
      <c r="A806" s="7" t="str">
        <f>Clothing!A328</f>
        <v>Import of yarn</v>
      </c>
      <c r="B806" s="7">
        <f>Clothing!B328</f>
        <v>2018</v>
      </c>
      <c r="C806" s="7" t="str">
        <f>Clothing!C328</f>
        <v>Acryl</v>
      </c>
      <c r="D806" s="7">
        <f>Clothing!D328</f>
        <v>30.66024765231402</v>
      </c>
      <c r="E806" s="7" t="str">
        <f>Clothing!E328</f>
        <v>https://ec.europa.eu/eurostat/databrowser/view/DS-056120__custom_15192557/default/table?lang=en - High estimate</v>
      </c>
      <c r="F806" s="7">
        <f>Clothing!F328</f>
        <v>1</v>
      </c>
      <c r="G806" s="7">
        <f>Clothing!G328</f>
        <v>1</v>
      </c>
      <c r="H806" s="7">
        <f>Clothing!H328</f>
        <v>2</v>
      </c>
      <c r="I806" s="7">
        <f>Clothing!I328</f>
        <v>2</v>
      </c>
      <c r="J806" s="7">
        <f>Clothing!J328</f>
        <v>2</v>
      </c>
      <c r="K806" s="159"/>
    </row>
    <row r="807" spans="1:11" hidden="1">
      <c r="A807" s="7" t="str">
        <f>Clothing!A329</f>
        <v>Import of yarn</v>
      </c>
      <c r="B807" s="7">
        <f>Clothing!B329</f>
        <v>2019</v>
      </c>
      <c r="C807" s="7" t="str">
        <f>Clothing!C329</f>
        <v>Acryl</v>
      </c>
      <c r="D807" s="7">
        <f>Clothing!D329</f>
        <v>30.024588550980315</v>
      </c>
      <c r="E807" s="7" t="str">
        <f>Clothing!E329</f>
        <v>https://ec.europa.eu/eurostat/databrowser/view/DS-056120__custom_15192557/default/table?lang=en - High estimate</v>
      </c>
      <c r="F807" s="7">
        <f>Clothing!F329</f>
        <v>1</v>
      </c>
      <c r="G807" s="7">
        <f>Clothing!G329</f>
        <v>1</v>
      </c>
      <c r="H807" s="7">
        <f>Clothing!H329</f>
        <v>2</v>
      </c>
      <c r="I807" s="7">
        <f>Clothing!I329</f>
        <v>2</v>
      </c>
      <c r="J807" s="7">
        <f>Clothing!J329</f>
        <v>2</v>
      </c>
      <c r="K807" s="159"/>
    </row>
    <row r="808" spans="1:11" hidden="1">
      <c r="A808" s="7" t="str">
        <f>Clothing!A330</f>
        <v>Import of yarn</v>
      </c>
      <c r="B808" s="7">
        <f>Clothing!B330</f>
        <v>2020</v>
      </c>
      <c r="C808" s="7" t="str">
        <f>Clothing!C330</f>
        <v>Acryl</v>
      </c>
      <c r="D808" s="7">
        <f>Clothing!D330</f>
        <v>22.754021231956546</v>
      </c>
      <c r="E808" s="7" t="str">
        <f>Clothing!E330</f>
        <v>https://ec.europa.eu/eurostat/databrowser/view/DS-056120__custom_15192557/default/table?lang=en - High estimate</v>
      </c>
      <c r="F808" s="7">
        <f>Clothing!F330</f>
        <v>1</v>
      </c>
      <c r="G808" s="7">
        <f>Clothing!G330</f>
        <v>1</v>
      </c>
      <c r="H808" s="7">
        <f>Clothing!H330</f>
        <v>2</v>
      </c>
      <c r="I808" s="7">
        <f>Clothing!I330</f>
        <v>2</v>
      </c>
      <c r="J808" s="7">
        <f>Clothing!J330</f>
        <v>2</v>
      </c>
      <c r="K808" s="159"/>
    </row>
    <row r="809" spans="1:11" hidden="1">
      <c r="A809" s="7" t="str">
        <f>Clothing!A331</f>
        <v>Import of yarn</v>
      </c>
      <c r="B809" s="7">
        <f>Clothing!B331</f>
        <v>2021</v>
      </c>
      <c r="C809" s="7" t="str">
        <f>Clothing!C331</f>
        <v>Acryl</v>
      </c>
      <c r="D809" s="7">
        <f>Clothing!D331</f>
        <v>23.290426394396444</v>
      </c>
      <c r="E809" s="7" t="str">
        <f>Clothing!E331</f>
        <v>https://ec.europa.eu/eurostat/databrowser/view/DS-056120__custom_15192557/default/table?lang=en - High estimate</v>
      </c>
      <c r="F809" s="7">
        <f>Clothing!F331</f>
        <v>1</v>
      </c>
      <c r="G809" s="7">
        <f>Clothing!G331</f>
        <v>1</v>
      </c>
      <c r="H809" s="7">
        <f>Clothing!H331</f>
        <v>2</v>
      </c>
      <c r="I809" s="7">
        <f>Clothing!I331</f>
        <v>2</v>
      </c>
      <c r="J809" s="7">
        <f>Clothing!J331</f>
        <v>2</v>
      </c>
      <c r="K809" s="159"/>
    </row>
    <row r="810" spans="1:11" hidden="1">
      <c r="A810" s="7" t="str">
        <f>Clothing!A332</f>
        <v>Import of yarn</v>
      </c>
      <c r="B810" s="7">
        <f>Clothing!B332</f>
        <v>2022</v>
      </c>
      <c r="C810" s="7" t="str">
        <f>Clothing!C332</f>
        <v>Acryl</v>
      </c>
      <c r="D810" s="7">
        <f>Clothing!D332</f>
        <v>25.215558976348717</v>
      </c>
      <c r="E810" s="7" t="str">
        <f>Clothing!E332</f>
        <v>https://ec.europa.eu/eurostat/databrowser/view/DS-056120__custom_15192557/default/table?lang=en - High estimate</v>
      </c>
      <c r="F810" s="7">
        <f>Clothing!F332</f>
        <v>1</v>
      </c>
      <c r="G810" s="7">
        <f>Clothing!G332</f>
        <v>1</v>
      </c>
      <c r="H810" s="7">
        <f>Clothing!H332</f>
        <v>2</v>
      </c>
      <c r="I810" s="7">
        <f>Clothing!I332</f>
        <v>2</v>
      </c>
      <c r="J810" s="7">
        <f>Clothing!J332</f>
        <v>2</v>
      </c>
      <c r="K810" s="159"/>
    </row>
    <row r="811" spans="1:11">
      <c r="A811" s="7"/>
      <c r="B811" s="7"/>
      <c r="C811" s="7"/>
      <c r="K811" s="159"/>
    </row>
    <row r="812" spans="1:11">
      <c r="A812" s="7"/>
      <c r="B812" s="7"/>
      <c r="C812" s="7"/>
      <c r="K812" s="159"/>
    </row>
    <row r="813" spans="1:11">
      <c r="A813" s="7"/>
      <c r="B813" s="7"/>
      <c r="C813" s="7"/>
      <c r="K813" s="159"/>
    </row>
    <row r="814" spans="1:11">
      <c r="A814" s="7"/>
      <c r="B814" s="7"/>
      <c r="C814" s="7"/>
      <c r="K814" s="159"/>
    </row>
    <row r="815" spans="1:11">
      <c r="A815" s="7"/>
      <c r="B815" s="7"/>
      <c r="C815" s="7"/>
      <c r="K815" s="159"/>
    </row>
    <row r="816" spans="1:11">
      <c r="A816" s="7"/>
      <c r="B816" s="7"/>
      <c r="C816" s="7"/>
      <c r="K816" s="159"/>
    </row>
    <row r="817" spans="1:11">
      <c r="A817" s="7"/>
      <c r="B817" s="7"/>
      <c r="C817" s="7"/>
      <c r="K817" s="159"/>
    </row>
    <row r="818" spans="1:11">
      <c r="A818" s="7"/>
      <c r="B818" s="7"/>
      <c r="C818" s="7"/>
      <c r="K818" s="159"/>
    </row>
    <row r="819" spans="1:11">
      <c r="A819" s="7"/>
      <c r="B819" s="7"/>
      <c r="C819" s="7"/>
      <c r="K819" s="159"/>
    </row>
    <row r="820" spans="1:11">
      <c r="A820" s="7"/>
      <c r="B820" s="7"/>
      <c r="C820" s="7"/>
      <c r="K820" s="159"/>
    </row>
    <row r="821" spans="1:11">
      <c r="A821" s="7"/>
      <c r="B821" s="7"/>
      <c r="C821" s="7"/>
      <c r="K821" s="159"/>
    </row>
    <row r="822" spans="1:11">
      <c r="A822" s="7"/>
      <c r="B822" s="7"/>
      <c r="C822" s="7"/>
      <c r="K822" s="159"/>
    </row>
    <row r="823" spans="1:11">
      <c r="A823" s="7"/>
      <c r="B823" s="7"/>
      <c r="C823" s="7"/>
      <c r="K823" s="159"/>
    </row>
    <row r="824" spans="1:11">
      <c r="A824" s="7"/>
      <c r="B824" s="7"/>
      <c r="C824" s="7"/>
      <c r="K824" s="159"/>
    </row>
    <row r="825" spans="1:11">
      <c r="A825" s="7"/>
      <c r="B825" s="7"/>
      <c r="C825" s="7"/>
      <c r="K825" s="159"/>
    </row>
    <row r="826" spans="1:11">
      <c r="A826" s="7"/>
      <c r="B826" s="7"/>
      <c r="C826" s="7"/>
      <c r="K826" s="159"/>
    </row>
    <row r="827" spans="1:11">
      <c r="A827" s="7"/>
      <c r="B827" s="7"/>
      <c r="C827" s="7"/>
      <c r="K827" s="159"/>
    </row>
    <row r="828" spans="1:11">
      <c r="A828" s="7"/>
      <c r="B828" s="7"/>
      <c r="C828" s="7"/>
      <c r="K828" s="159"/>
    </row>
    <row r="829" spans="1:11">
      <c r="A829" s="7"/>
      <c r="B829" s="7"/>
      <c r="C829" s="7"/>
      <c r="K829" s="159"/>
    </row>
    <row r="830" spans="1:11">
      <c r="A830" s="7"/>
      <c r="B830" s="7"/>
      <c r="C830" s="7"/>
      <c r="K830" s="159"/>
    </row>
    <row r="831" spans="1:11">
      <c r="A831" s="7"/>
      <c r="B831" s="7"/>
      <c r="C831" s="7"/>
      <c r="K831" s="159"/>
    </row>
    <row r="832" spans="1:11">
      <c r="A832" s="7"/>
      <c r="B832" s="7"/>
      <c r="C832" s="7"/>
      <c r="K832" s="159"/>
    </row>
    <row r="833" spans="1:11">
      <c r="A833" s="7"/>
      <c r="B833" s="7"/>
      <c r="C833" s="7"/>
      <c r="K833" s="159"/>
    </row>
    <row r="834" spans="1:11">
      <c r="A834" s="7"/>
      <c r="B834" s="7"/>
      <c r="C834" s="7"/>
      <c r="K834" s="159"/>
    </row>
    <row r="835" spans="1:11">
      <c r="A835" s="7"/>
      <c r="B835" s="7"/>
      <c r="C835" s="7"/>
      <c r="K835" s="159"/>
    </row>
    <row r="836" spans="1:11">
      <c r="A836" s="7"/>
      <c r="B836" s="7"/>
      <c r="C836" s="7"/>
      <c r="K836" s="159"/>
    </row>
    <row r="837" spans="1:11">
      <c r="A837" s="7"/>
      <c r="B837" s="7"/>
      <c r="C837" s="7"/>
      <c r="K837" s="159"/>
    </row>
    <row r="838" spans="1:11">
      <c r="A838" s="7"/>
      <c r="B838" s="7"/>
      <c r="C838" s="7"/>
      <c r="K838" s="159"/>
    </row>
    <row r="839" spans="1:11">
      <c r="A839" s="7"/>
      <c r="B839" s="7"/>
      <c r="C839" s="7"/>
      <c r="K839" s="159"/>
    </row>
    <row r="840" spans="1:11">
      <c r="A840" s="7"/>
      <c r="B840" s="7"/>
      <c r="C840" s="7"/>
      <c r="K840" s="159"/>
    </row>
    <row r="841" spans="1:11">
      <c r="A841" s="7"/>
      <c r="B841" s="7"/>
      <c r="C841" s="7"/>
      <c r="K841" s="159"/>
    </row>
    <row r="842" spans="1:11">
      <c r="A842" s="7"/>
      <c r="B842" s="7"/>
      <c r="C842" s="7"/>
      <c r="K842" s="159"/>
    </row>
    <row r="843" spans="1:11">
      <c r="A843" s="7"/>
      <c r="B843" s="7"/>
      <c r="C843" s="7"/>
      <c r="K843" s="159"/>
    </row>
    <row r="844" spans="1:11">
      <c r="A844" s="7"/>
      <c r="B844" s="7"/>
      <c r="C844" s="7"/>
      <c r="K844" s="159"/>
    </row>
    <row r="845" spans="1:11">
      <c r="A845" s="7"/>
      <c r="B845" s="7"/>
      <c r="C845" s="7"/>
      <c r="K845" s="159"/>
    </row>
    <row r="846" spans="1:11">
      <c r="A846" s="7"/>
      <c r="B846" s="7"/>
      <c r="C846" s="7"/>
      <c r="K846" s="159"/>
    </row>
    <row r="847" spans="1:11">
      <c r="A847" s="7"/>
      <c r="B847" s="7"/>
      <c r="C847" s="7"/>
      <c r="K847" s="159"/>
    </row>
    <row r="848" spans="1:11">
      <c r="A848" s="7"/>
      <c r="B848" s="7"/>
      <c r="C848" s="7"/>
      <c r="K848" s="159"/>
    </row>
    <row r="849" spans="1:11">
      <c r="A849" s="7"/>
      <c r="B849" s="7"/>
      <c r="C849" s="7"/>
      <c r="K849" s="159"/>
    </row>
    <row r="850" spans="1:11">
      <c r="A850" s="7"/>
      <c r="B850" s="7"/>
      <c r="C850" s="7"/>
      <c r="K850" s="159"/>
    </row>
    <row r="851" spans="1:11">
      <c r="A851" s="7"/>
      <c r="B851" s="7"/>
      <c r="C851" s="7"/>
      <c r="K851" s="159"/>
    </row>
    <row r="852" spans="1:11">
      <c r="A852" s="7"/>
      <c r="B852" s="7"/>
      <c r="C852" s="7"/>
      <c r="K852" s="159"/>
    </row>
    <row r="853" spans="1:11">
      <c r="A853" s="7"/>
      <c r="B853" s="7"/>
      <c r="C853" s="7"/>
      <c r="K853" s="159"/>
    </row>
    <row r="854" spans="1:11">
      <c r="A854" s="7"/>
      <c r="B854" s="7"/>
      <c r="C854" s="7"/>
      <c r="K854" s="159"/>
    </row>
    <row r="855" spans="1:11">
      <c r="A855" s="7"/>
      <c r="B855" s="7"/>
      <c r="C855" s="7"/>
      <c r="K855" s="159"/>
    </row>
    <row r="856" spans="1:11">
      <c r="A856" s="7"/>
      <c r="B856" s="7"/>
      <c r="C856" s="7"/>
      <c r="K856" s="159"/>
    </row>
    <row r="857" spans="1:11">
      <c r="A857" s="7"/>
      <c r="B857" s="7"/>
      <c r="C857" s="7"/>
      <c r="K857" s="159"/>
    </row>
    <row r="858" spans="1:11">
      <c r="A858" s="7"/>
      <c r="B858" s="7"/>
      <c r="C858" s="7"/>
      <c r="K858" s="159"/>
    </row>
    <row r="859" spans="1:11">
      <c r="A859" s="7"/>
      <c r="B859" s="7"/>
      <c r="C859" s="7"/>
      <c r="K859" s="159"/>
    </row>
    <row r="860" spans="1:11">
      <c r="A860" s="7"/>
      <c r="B860" s="7"/>
      <c r="C860" s="7"/>
      <c r="K860" s="159"/>
    </row>
    <row r="861" spans="1:11">
      <c r="A861" s="7"/>
      <c r="B861" s="7"/>
      <c r="C861" s="7"/>
      <c r="K861" s="159"/>
    </row>
    <row r="862" spans="1:11">
      <c r="A862" s="7"/>
      <c r="B862" s="7"/>
      <c r="C862" s="7"/>
      <c r="K862" s="159"/>
    </row>
    <row r="863" spans="1:11">
      <c r="A863" s="7"/>
      <c r="B863" s="7"/>
      <c r="C863" s="7"/>
      <c r="K863" s="159"/>
    </row>
    <row r="864" spans="1:11">
      <c r="A864" s="7"/>
      <c r="B864" s="7"/>
      <c r="C864" s="7"/>
      <c r="K864" s="159"/>
    </row>
    <row r="865" spans="1:11">
      <c r="A865" s="7"/>
      <c r="B865" s="7"/>
      <c r="C865" s="7"/>
      <c r="K865" s="159"/>
    </row>
    <row r="866" spans="1:11">
      <c r="A866" s="7"/>
      <c r="B866" s="7"/>
      <c r="C866" s="7"/>
      <c r="K866" s="159"/>
    </row>
    <row r="867" spans="1:11">
      <c r="A867" s="7"/>
      <c r="B867" s="7"/>
      <c r="C867" s="7"/>
      <c r="K867" s="159"/>
    </row>
    <row r="868" spans="1:11">
      <c r="A868" s="7"/>
      <c r="B868" s="7"/>
      <c r="C868" s="7"/>
      <c r="E868" s="194"/>
      <c r="K868" s="159"/>
    </row>
    <row r="869" spans="1:11">
      <c r="A869" s="7"/>
      <c r="B869" s="7"/>
      <c r="C869" s="7"/>
      <c r="K869" s="159"/>
    </row>
    <row r="870" spans="1:11">
      <c r="A870" s="7"/>
      <c r="B870" s="7"/>
      <c r="C870" s="7"/>
      <c r="K870" s="159"/>
    </row>
    <row r="871" spans="1:11">
      <c r="A871" s="7"/>
      <c r="B871" s="7"/>
      <c r="C871" s="7"/>
      <c r="K871" s="159"/>
    </row>
    <row r="872" spans="1:11">
      <c r="A872" s="7"/>
      <c r="B872" s="7"/>
      <c r="C872" s="7"/>
      <c r="K872" s="159"/>
    </row>
    <row r="873" spans="1:11">
      <c r="A873" s="7"/>
      <c r="B873" s="7"/>
      <c r="C873" s="7"/>
      <c r="K873" s="159"/>
    </row>
    <row r="874" spans="1:11">
      <c r="A874" s="7"/>
      <c r="B874" s="7"/>
      <c r="C874" s="7"/>
      <c r="K874" s="159"/>
    </row>
    <row r="875" spans="1:11">
      <c r="A875" s="7"/>
      <c r="B875" s="7"/>
      <c r="C875" s="7"/>
      <c r="K875" s="159"/>
    </row>
    <row r="876" spans="1:11">
      <c r="A876" s="7"/>
      <c r="B876" s="7"/>
      <c r="C876" s="7"/>
      <c r="K876" s="159"/>
    </row>
    <row r="877" spans="1:11">
      <c r="A877" s="7"/>
      <c r="B877" s="7"/>
      <c r="C877" s="7"/>
      <c r="K877" s="159"/>
    </row>
    <row r="878" spans="1:11">
      <c r="A878" s="7"/>
      <c r="B878" s="7"/>
      <c r="C878" s="7"/>
      <c r="K878" s="159"/>
    </row>
    <row r="879" spans="1:11">
      <c r="A879" s="7"/>
      <c r="B879" s="7"/>
      <c r="C879" s="7"/>
      <c r="K879" s="159"/>
    </row>
    <row r="880" spans="1:11">
      <c r="A880" s="7"/>
      <c r="B880" s="7"/>
      <c r="C880" s="7"/>
      <c r="K880" s="159"/>
    </row>
    <row r="881" spans="1:11">
      <c r="A881" s="7"/>
      <c r="B881" s="7"/>
      <c r="C881" s="7"/>
      <c r="K881" s="159"/>
    </row>
    <row r="882" spans="1:11">
      <c r="A882" s="7"/>
      <c r="B882" s="7"/>
      <c r="C882" s="7"/>
      <c r="K882" s="159"/>
    </row>
    <row r="883" spans="1:11">
      <c r="A883" s="7"/>
      <c r="B883" s="7"/>
      <c r="C883" s="7"/>
      <c r="K883" s="159"/>
    </row>
    <row r="884" spans="1:11">
      <c r="A884" s="7"/>
      <c r="B884" s="7"/>
      <c r="C884" s="7"/>
      <c r="K884" s="159"/>
    </row>
    <row r="885" spans="1:11">
      <c r="A885" s="7"/>
      <c r="B885" s="7"/>
      <c r="C885" s="7"/>
      <c r="K885" s="159"/>
    </row>
    <row r="886" spans="1:11">
      <c r="A886" s="7"/>
      <c r="B886" s="7"/>
      <c r="C886" s="7"/>
      <c r="K886" s="159"/>
    </row>
    <row r="887" spans="1:11">
      <c r="A887" s="7"/>
      <c r="B887" s="7"/>
      <c r="C887" s="7"/>
      <c r="K887" s="159"/>
    </row>
    <row r="888" spans="1:11">
      <c r="A888" s="7"/>
      <c r="B888" s="7"/>
      <c r="C888" s="7"/>
      <c r="K888" s="159"/>
    </row>
    <row r="889" spans="1:11">
      <c r="A889" s="7"/>
      <c r="B889" s="7"/>
      <c r="C889" s="7"/>
      <c r="K889" s="159"/>
    </row>
    <row r="890" spans="1:11">
      <c r="A890" s="7"/>
      <c r="B890" s="7"/>
      <c r="C890" s="7"/>
      <c r="K890" s="159"/>
    </row>
    <row r="891" spans="1:11">
      <c r="A891" s="7"/>
      <c r="B891" s="7"/>
      <c r="C891" s="7"/>
      <c r="K891" s="159"/>
    </row>
    <row r="892" spans="1:11">
      <c r="A892" s="7"/>
      <c r="B892" s="7"/>
      <c r="C892" s="7"/>
      <c r="K892" s="159"/>
    </row>
    <row r="893" spans="1:11">
      <c r="A893" s="7"/>
      <c r="B893" s="7"/>
      <c r="C893" s="7"/>
      <c r="K893" s="159"/>
    </row>
    <row r="894" spans="1:11">
      <c r="A894" s="7"/>
      <c r="B894" s="7"/>
      <c r="C894" s="7"/>
      <c r="K894" s="159"/>
    </row>
    <row r="895" spans="1:11">
      <c r="A895" s="7"/>
      <c r="B895" s="7"/>
      <c r="C895" s="7"/>
      <c r="K895" s="159"/>
    </row>
    <row r="896" spans="1:11">
      <c r="A896" s="7"/>
      <c r="B896" s="7"/>
      <c r="C896" s="7"/>
      <c r="K896" s="159"/>
    </row>
    <row r="897" spans="1:11">
      <c r="A897" s="7"/>
      <c r="B897" s="7"/>
      <c r="C897" s="7"/>
      <c r="K897" s="159"/>
    </row>
    <row r="898" spans="1:11">
      <c r="A898" s="7"/>
      <c r="B898" s="7"/>
      <c r="C898" s="7"/>
      <c r="K898" s="159"/>
    </row>
    <row r="899" spans="1:11">
      <c r="A899" s="7"/>
      <c r="B899" s="7"/>
      <c r="C899" s="7"/>
      <c r="K899" s="159"/>
    </row>
    <row r="900" spans="1:11">
      <c r="A900" s="7"/>
      <c r="B900" s="7"/>
      <c r="C900" s="7"/>
      <c r="K900" s="159"/>
    </row>
    <row r="901" spans="1:11">
      <c r="A901" s="7"/>
      <c r="B901" s="7"/>
      <c r="C901" s="7"/>
      <c r="K901" s="159"/>
    </row>
    <row r="902" spans="1:11">
      <c r="A902" s="7"/>
      <c r="B902" s="7"/>
      <c r="C902" s="7"/>
      <c r="K902" s="159"/>
    </row>
    <row r="903" spans="1:11">
      <c r="A903" s="7"/>
      <c r="B903" s="7"/>
      <c r="C903" s="7"/>
      <c r="K903" s="159"/>
    </row>
    <row r="904" spans="1:11">
      <c r="A904" s="7"/>
      <c r="B904" s="7"/>
      <c r="C904" s="7"/>
      <c r="K904" s="159"/>
    </row>
    <row r="905" spans="1:11">
      <c r="A905" s="7"/>
      <c r="B905" s="7"/>
      <c r="C905" s="7"/>
      <c r="K905" s="159"/>
    </row>
    <row r="906" spans="1:11">
      <c r="A906" s="7"/>
      <c r="B906" s="7"/>
      <c r="C906" s="7"/>
      <c r="K906" s="159"/>
    </row>
    <row r="907" spans="1:11">
      <c r="A907" s="7"/>
      <c r="B907" s="7"/>
      <c r="C907" s="7"/>
      <c r="K907" s="159"/>
    </row>
    <row r="908" spans="1:11">
      <c r="A908" s="7"/>
      <c r="B908" s="7"/>
      <c r="C908" s="7"/>
      <c r="K908" s="159"/>
    </row>
    <row r="909" spans="1:11">
      <c r="A909" s="7"/>
      <c r="B909" s="7"/>
      <c r="C909" s="7"/>
      <c r="K909" s="159"/>
    </row>
    <row r="910" spans="1:11">
      <c r="A910" s="7"/>
      <c r="B910" s="7"/>
      <c r="C910" s="7"/>
      <c r="K910" s="159"/>
    </row>
    <row r="911" spans="1:11">
      <c r="A911" s="7"/>
      <c r="B911" s="7"/>
      <c r="C911" s="7"/>
      <c r="K911" s="159"/>
    </row>
    <row r="912" spans="1:11">
      <c r="A912" s="7"/>
      <c r="B912" s="7"/>
      <c r="C912" s="7"/>
      <c r="K912" s="159"/>
    </row>
    <row r="913" spans="1:11">
      <c r="A913" s="7"/>
      <c r="B913" s="7"/>
      <c r="C913" s="7"/>
      <c r="K913" s="159"/>
    </row>
    <row r="914" spans="1:11">
      <c r="A914" s="7"/>
      <c r="B914" s="7"/>
      <c r="C914" s="7"/>
      <c r="K914" s="159"/>
    </row>
    <row r="915" spans="1:11">
      <c r="A915" s="7"/>
      <c r="B915" s="7"/>
      <c r="C915" s="7"/>
      <c r="K915" s="159"/>
    </row>
    <row r="916" spans="1:11">
      <c r="A916" s="7"/>
      <c r="B916" s="7"/>
      <c r="C916" s="7"/>
      <c r="K916" s="159"/>
    </row>
    <row r="917" spans="1:11">
      <c r="A917" s="7"/>
      <c r="B917" s="7"/>
      <c r="C917" s="7"/>
      <c r="K917" s="159"/>
    </row>
    <row r="918" spans="1:11">
      <c r="A918" s="7"/>
      <c r="B918" s="7"/>
      <c r="C918" s="7"/>
      <c r="K918" s="159"/>
    </row>
    <row r="919" spans="1:11">
      <c r="A919" s="7"/>
      <c r="B919" s="7"/>
      <c r="C919" s="7"/>
      <c r="K919" s="159"/>
    </row>
    <row r="920" spans="1:11">
      <c r="A920" s="7"/>
      <c r="B920" s="7"/>
      <c r="C920" s="7"/>
      <c r="K920" s="159"/>
    </row>
    <row r="921" spans="1:11">
      <c r="A921" s="7"/>
      <c r="B921" s="7"/>
      <c r="C921" s="7"/>
      <c r="K921" s="159"/>
    </row>
    <row r="922" spans="1:11">
      <c r="A922" s="7"/>
      <c r="B922" s="7"/>
      <c r="C922" s="7"/>
      <c r="K922" s="159"/>
    </row>
    <row r="923" spans="1:11">
      <c r="A923" s="7"/>
      <c r="B923" s="7"/>
      <c r="C923" s="7"/>
      <c r="K923" s="159"/>
    </row>
    <row r="924" spans="1:11">
      <c r="A924" s="7"/>
      <c r="B924" s="7"/>
      <c r="C924" s="7"/>
      <c r="K924" s="159"/>
    </row>
    <row r="925" spans="1:11">
      <c r="A925" s="7"/>
      <c r="B925" s="7"/>
      <c r="C925" s="7"/>
      <c r="K925" s="159"/>
    </row>
    <row r="926" spans="1:11">
      <c r="A926" s="7"/>
      <c r="B926" s="7"/>
      <c r="C926" s="7"/>
      <c r="K926" s="159"/>
    </row>
    <row r="927" spans="1:11">
      <c r="A927" s="7"/>
      <c r="B927" s="7"/>
      <c r="C927" s="7"/>
      <c r="K927" s="159"/>
    </row>
    <row r="928" spans="1:11">
      <c r="A928" s="7"/>
      <c r="B928" s="7"/>
      <c r="C928" s="7"/>
      <c r="K928" s="159"/>
    </row>
    <row r="929" spans="1:11">
      <c r="A929" s="7"/>
      <c r="B929" s="7"/>
      <c r="C929" s="7"/>
      <c r="K929" s="159"/>
    </row>
    <row r="930" spans="1:11">
      <c r="A930" s="7"/>
      <c r="B930" s="7"/>
      <c r="C930" s="7"/>
      <c r="K930" s="159"/>
    </row>
  </sheetData>
  <autoFilter ref="A1:L810" xr:uid="{E97B31CE-E6BF-4F52-9FA7-52F353BEC4BE}">
    <filterColumn colId="0">
      <filters>
        <filter val="Intentionally produced microparticles"/>
      </filters>
    </filterColumn>
    <sortState xmlns:xlrd2="http://schemas.microsoft.com/office/spreadsheetml/2017/richdata2" ref="A2:L594">
      <sortCondition ref="A1:A594"/>
    </sortState>
  </autoFilter>
  <phoneticPr fontId="22" type="noConversion"/>
  <conditionalFormatting sqref="D1 D931:D1048576">
    <cfRule type="cellIs" dxfId="198" priority="55" operator="greaterThan">
      <formula>0</formula>
    </cfRule>
    <cfRule type="cellIs" dxfId="197" priority="56" operator="equal">
      <formula>0</formula>
    </cfRule>
  </conditionalFormatting>
  <conditionalFormatting sqref="F570:F578">
    <cfRule type="dataBar" priority="10">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36">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51">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86">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196" priority="7488" stopIfTrue="1" operator="notBetween">
      <formula>1</formula>
      <formula>4</formula>
    </cfRule>
    <cfRule type="dataBar" priority="7489">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24">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34">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19">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195" priority="9">
      <formula>LEN(TRIM(F2))=0</formula>
    </cfRule>
  </conditionalFormatting>
  <conditionalFormatting sqref="K1">
    <cfRule type="containsBlanks" dxfId="194" priority="57">
      <formula>LEN(TRIM(K1))=0</formula>
    </cfRule>
  </conditionalFormatting>
  <conditionalFormatting sqref="K1:K41">
    <cfRule type="dataBar" priority="7942">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87">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492">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25">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21">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930">
    <cfRule type="containsBlanks" dxfId="193" priority="1">
      <formula>LEN(TRIM(K595))=0</formula>
    </cfRule>
    <cfRule type="dataBar" priority="2">
      <dataBar>
        <cfvo type="min"/>
        <cfvo type="max"/>
        <color rgb="FF3FCDFF"/>
      </dataBar>
      <extLst>
        <ext xmlns:x14="http://schemas.microsoft.com/office/spreadsheetml/2009/9/main" uri="{B025F937-C7B1-47D3-B67F-A62EFF666E3E}">
          <x14:id>{BC50288A-C672-4A14-9B7B-8DCCFADBE899}</x14:id>
        </ext>
      </extLst>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K595:K930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85"/>
  <sheetViews>
    <sheetView workbookViewId="0">
      <selection activeCell="E2" sqref="E2"/>
    </sheetView>
  </sheetViews>
  <sheetFormatPr defaultRowHeight="15"/>
  <cols>
    <col min="1" max="1" width="21.85546875" bestFit="1" customWidth="1"/>
    <col min="2" max="2" width="11.140625" customWidth="1"/>
    <col min="12" max="12" width="10.5703125" bestFit="1" customWidth="1"/>
  </cols>
  <sheetData>
    <row r="1" spans="1:12">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t="s">
        <v>2263</v>
      </c>
      <c r="B2">
        <f>Clothing!B197</f>
        <v>2011</v>
      </c>
      <c r="C2" t="str">
        <f>Clothing!C197</f>
        <v>Acryl</v>
      </c>
      <c r="D2" s="217">
        <f>Clothing!F197</f>
        <v>178.95826988744147</v>
      </c>
    </row>
    <row r="3" spans="1:12">
      <c r="A3" t="s">
        <v>2263</v>
      </c>
      <c r="B3">
        <f>Clothing!B198</f>
        <v>2011</v>
      </c>
      <c r="C3" t="str">
        <f>Clothing!C198</f>
        <v>OTHER</v>
      </c>
      <c r="D3" s="217">
        <f>Clothing!F198</f>
        <v>294.99348664058914</v>
      </c>
    </row>
    <row r="4" spans="1:12">
      <c r="A4" t="s">
        <v>2263</v>
      </c>
      <c r="B4">
        <f>Clothing!B199</f>
        <v>2011</v>
      </c>
      <c r="C4" t="str">
        <f>Clothing!C199</f>
        <v>PA</v>
      </c>
      <c r="D4" s="217">
        <f>Clothing!F199</f>
        <v>398.04206476745304</v>
      </c>
    </row>
    <row r="5" spans="1:12">
      <c r="A5" t="s">
        <v>2263</v>
      </c>
      <c r="B5">
        <f>Clothing!B200</f>
        <v>2011</v>
      </c>
      <c r="C5" t="str">
        <f>Clothing!C200</f>
        <v>PET</v>
      </c>
      <c r="D5" s="217">
        <f>Clothing!F200</f>
        <v>1766.0734951673951</v>
      </c>
    </row>
    <row r="6" spans="1:12">
      <c r="A6" t="s">
        <v>2263</v>
      </c>
      <c r="B6">
        <f>Clothing!B201</f>
        <v>2011</v>
      </c>
      <c r="C6" t="str">
        <f>Clothing!C201</f>
        <v>PUR</v>
      </c>
      <c r="D6" s="217">
        <f>Clothing!F201</f>
        <v>223.88644528675923</v>
      </c>
    </row>
    <row r="7" spans="1:12">
      <c r="A7" t="s">
        <v>2263</v>
      </c>
      <c r="B7">
        <f>Clothing!B202</f>
        <v>2011</v>
      </c>
      <c r="C7" t="str">
        <f>Clothing!C202</f>
        <v>PVC</v>
      </c>
      <c r="D7" s="217">
        <f>Clothing!F202</f>
        <v>144.78697547803171</v>
      </c>
    </row>
    <row r="8" spans="1:12">
      <c r="A8" t="s">
        <v>2263</v>
      </c>
      <c r="B8">
        <f>Clothing!B203</f>
        <v>2011</v>
      </c>
      <c r="C8" t="str">
        <f>Clothing!C203</f>
        <v>RUBBER</v>
      </c>
      <c r="D8" s="217">
        <f>Clothing!F203</f>
        <v>306.43011354062747</v>
      </c>
    </row>
    <row r="9" spans="1:12">
      <c r="A9" t="s">
        <v>2263</v>
      </c>
      <c r="B9">
        <f>Clothing!B204</f>
        <v>2012</v>
      </c>
      <c r="C9" t="str">
        <f>Clothing!C204</f>
        <v>Acryl</v>
      </c>
      <c r="D9" s="217">
        <f>Clothing!F204</f>
        <v>136.49129632546948</v>
      </c>
    </row>
    <row r="10" spans="1:12">
      <c r="A10" t="s">
        <v>2263</v>
      </c>
      <c r="B10">
        <f>Clothing!B205</f>
        <v>2012</v>
      </c>
      <c r="C10" t="str">
        <f>Clothing!C205</f>
        <v>OTHER</v>
      </c>
      <c r="D10" s="217">
        <f>Clothing!F205</f>
        <v>237.81840751455283</v>
      </c>
    </row>
    <row r="11" spans="1:12">
      <c r="A11" t="s">
        <v>2263</v>
      </c>
      <c r="B11">
        <f>Clothing!B206</f>
        <v>2012</v>
      </c>
      <c r="C11" t="str">
        <f>Clothing!C206</f>
        <v>PA</v>
      </c>
      <c r="D11" s="217">
        <f>Clothing!F206</f>
        <v>294.84091744258365</v>
      </c>
    </row>
    <row r="12" spans="1:12">
      <c r="A12" t="s">
        <v>2263</v>
      </c>
      <c r="B12">
        <f>Clothing!B207</f>
        <v>2012</v>
      </c>
      <c r="C12" t="str">
        <f>Clothing!C207</f>
        <v>PET</v>
      </c>
      <c r="D12" s="217">
        <f>Clothing!F207</f>
        <v>1538.1458134333436</v>
      </c>
    </row>
    <row r="13" spans="1:12">
      <c r="A13" t="s">
        <v>2263</v>
      </c>
      <c r="B13">
        <f>Clothing!B208</f>
        <v>2012</v>
      </c>
      <c r="C13" t="str">
        <f>Clothing!C208</f>
        <v>PUR</v>
      </c>
      <c r="D13" s="217">
        <f>Clothing!F208</f>
        <v>204.16214887380733</v>
      </c>
    </row>
    <row r="14" spans="1:12">
      <c r="A14" t="s">
        <v>2263</v>
      </c>
      <c r="B14">
        <f>Clothing!B209</f>
        <v>2012</v>
      </c>
      <c r="C14" t="str">
        <f>Clothing!C209</f>
        <v>PVC</v>
      </c>
      <c r="D14" s="217">
        <f>Clothing!F209</f>
        <v>131.30170405960081</v>
      </c>
    </row>
    <row r="15" spans="1:12">
      <c r="A15" t="s">
        <v>2263</v>
      </c>
      <c r="B15">
        <f>Clothing!B210</f>
        <v>2012</v>
      </c>
      <c r="C15" t="str">
        <f>Clothing!C210</f>
        <v>RUBBER</v>
      </c>
      <c r="D15" s="217">
        <f>Clothing!F210</f>
        <v>270.46611321178136</v>
      </c>
    </row>
    <row r="16" spans="1:12">
      <c r="A16" t="s">
        <v>2263</v>
      </c>
      <c r="B16">
        <f>Clothing!B211</f>
        <v>2013</v>
      </c>
      <c r="C16" t="str">
        <f>Clothing!C211</f>
        <v>Acryl</v>
      </c>
      <c r="D16" s="217">
        <f>Clothing!F211</f>
        <v>143.88991251077047</v>
      </c>
    </row>
    <row r="17" spans="1:4">
      <c r="A17" t="s">
        <v>2263</v>
      </c>
      <c r="B17">
        <f>Clothing!B212</f>
        <v>2013</v>
      </c>
      <c r="C17" t="str">
        <f>Clothing!C212</f>
        <v>OTHER</v>
      </c>
      <c r="D17" s="217">
        <f>Clothing!F212</f>
        <v>247.77304192999867</v>
      </c>
    </row>
    <row r="18" spans="1:4">
      <c r="A18" t="s">
        <v>2263</v>
      </c>
      <c r="B18">
        <f>Clothing!B213</f>
        <v>2013</v>
      </c>
      <c r="C18" t="str">
        <f>Clothing!C213</f>
        <v>PA</v>
      </c>
      <c r="D18" s="217">
        <f>Clothing!F213</f>
        <v>307.66171836272395</v>
      </c>
    </row>
    <row r="19" spans="1:4">
      <c r="A19" t="s">
        <v>2263</v>
      </c>
      <c r="B19">
        <f>Clothing!B214</f>
        <v>2013</v>
      </c>
      <c r="C19" t="str">
        <f>Clothing!C214</f>
        <v>PET</v>
      </c>
      <c r="D19" s="217">
        <f>Clothing!F214</f>
        <v>1618.2946576461723</v>
      </c>
    </row>
    <row r="20" spans="1:4">
      <c r="A20" t="s">
        <v>2263</v>
      </c>
      <c r="B20">
        <f>Clothing!B215</f>
        <v>2013</v>
      </c>
      <c r="C20" t="str">
        <f>Clothing!C215</f>
        <v>PUR</v>
      </c>
      <c r="D20" s="217">
        <f>Clothing!F215</f>
        <v>210.7960459691559</v>
      </c>
    </row>
    <row r="21" spans="1:4">
      <c r="A21" t="s">
        <v>2263</v>
      </c>
      <c r="B21">
        <f>Clothing!B216</f>
        <v>2013</v>
      </c>
      <c r="C21" t="str">
        <f>Clothing!C216</f>
        <v>PVC</v>
      </c>
      <c r="D21" s="217">
        <f>Clothing!F216</f>
        <v>135.62339463570152</v>
      </c>
    </row>
    <row r="22" spans="1:4">
      <c r="A22" t="s">
        <v>2263</v>
      </c>
      <c r="B22">
        <f>Clothing!B217</f>
        <v>2013</v>
      </c>
      <c r="C22" t="str">
        <f>Clothing!C217</f>
        <v>RUBBER</v>
      </c>
      <c r="D22" s="217">
        <f>Clothing!F217</f>
        <v>280.0681703618651</v>
      </c>
    </row>
    <row r="23" spans="1:4">
      <c r="A23" t="s">
        <v>2263</v>
      </c>
      <c r="B23">
        <f>Clothing!B218</f>
        <v>2014</v>
      </c>
      <c r="C23" t="str">
        <f>Clothing!C218</f>
        <v>Acryl</v>
      </c>
      <c r="D23" s="217">
        <f>Clothing!F218</f>
        <v>161.93428770710545</v>
      </c>
    </row>
    <row r="24" spans="1:4">
      <c r="A24" t="s">
        <v>2263</v>
      </c>
      <c r="B24">
        <f>Clothing!B219</f>
        <v>2014</v>
      </c>
      <c r="C24" t="str">
        <f>Clothing!C219</f>
        <v>OTHER</v>
      </c>
      <c r="D24" s="217">
        <f>Clothing!F219</f>
        <v>272.28072654273143</v>
      </c>
    </row>
    <row r="25" spans="1:4">
      <c r="A25" t="s">
        <v>2263</v>
      </c>
      <c r="B25">
        <f>Clothing!B220</f>
        <v>2014</v>
      </c>
      <c r="C25" t="str">
        <f>Clothing!C220</f>
        <v>PA</v>
      </c>
      <c r="D25" s="217">
        <f>Clothing!F220</f>
        <v>337.63912989371426</v>
      </c>
    </row>
    <row r="26" spans="1:4">
      <c r="A26" t="s">
        <v>2263</v>
      </c>
      <c r="B26">
        <f>Clothing!B221</f>
        <v>2014</v>
      </c>
      <c r="C26" t="str">
        <f>Clothing!C221</f>
        <v>PET</v>
      </c>
      <c r="D26" s="217">
        <f>Clothing!F221</f>
        <v>1771.0454007592632</v>
      </c>
    </row>
    <row r="27" spans="1:4">
      <c r="A27" t="s">
        <v>2263</v>
      </c>
      <c r="B27">
        <f>Clothing!B222</f>
        <v>2014</v>
      </c>
      <c r="C27" t="str">
        <f>Clothing!C222</f>
        <v>PUR</v>
      </c>
      <c r="D27" s="217">
        <f>Clothing!F222</f>
        <v>226.99137753060123</v>
      </c>
    </row>
    <row r="28" spans="1:4">
      <c r="A28" t="s">
        <v>2263</v>
      </c>
      <c r="B28">
        <f>Clothing!B223</f>
        <v>2014</v>
      </c>
      <c r="C28" t="str">
        <f>Clothing!C223</f>
        <v>PVC</v>
      </c>
      <c r="D28" s="217">
        <f>Clothing!F223</f>
        <v>146.17026349257421</v>
      </c>
    </row>
    <row r="29" spans="1:4">
      <c r="A29" t="s">
        <v>2263</v>
      </c>
      <c r="B29">
        <f>Clothing!B224</f>
        <v>2014</v>
      </c>
      <c r="C29" t="str">
        <f>Clothing!C224</f>
        <v>RUBBER</v>
      </c>
      <c r="D29" s="217">
        <f>Clothing!F224</f>
        <v>302.17118811851071</v>
      </c>
    </row>
    <row r="30" spans="1:4">
      <c r="A30" t="s">
        <v>2263</v>
      </c>
      <c r="B30">
        <f>Clothing!B225</f>
        <v>2015</v>
      </c>
      <c r="C30" t="str">
        <f>Clothing!C225</f>
        <v>Acryl</v>
      </c>
      <c r="D30" s="217">
        <f>Clothing!F225</f>
        <v>152.38336593322933</v>
      </c>
    </row>
    <row r="31" spans="1:4">
      <c r="A31" t="s">
        <v>2263</v>
      </c>
      <c r="B31">
        <f>Clothing!B226</f>
        <v>2015</v>
      </c>
      <c r="C31" t="str">
        <f>Clothing!C226</f>
        <v>OTHER</v>
      </c>
      <c r="D31" s="217">
        <f>Clothing!F226</f>
        <v>249.35432355816931</v>
      </c>
    </row>
    <row r="32" spans="1:4">
      <c r="A32" t="s">
        <v>2263</v>
      </c>
      <c r="B32">
        <f>Clothing!B227</f>
        <v>2015</v>
      </c>
      <c r="C32" t="str">
        <f>Clothing!C227</f>
        <v>PA</v>
      </c>
      <c r="D32" s="217">
        <f>Clothing!F227</f>
        <v>321.11673950324314</v>
      </c>
    </row>
    <row r="33" spans="1:4">
      <c r="A33" t="s">
        <v>2263</v>
      </c>
      <c r="B33">
        <f>Clothing!B228</f>
        <v>2015</v>
      </c>
      <c r="C33" t="str">
        <f>Clothing!C228</f>
        <v>PET</v>
      </c>
      <c r="D33" s="217">
        <f>Clothing!F228</f>
        <v>1695.4342686661569</v>
      </c>
    </row>
    <row r="34" spans="1:4">
      <c r="A34" t="s">
        <v>2263</v>
      </c>
      <c r="B34">
        <f>Clothing!B229</f>
        <v>2015</v>
      </c>
      <c r="C34" t="str">
        <f>Clothing!C229</f>
        <v>PUR</v>
      </c>
      <c r="D34" s="217">
        <f>Clothing!F229</f>
        <v>215.90675245015584</v>
      </c>
    </row>
    <row r="35" spans="1:4">
      <c r="A35" t="s">
        <v>2263</v>
      </c>
      <c r="B35">
        <f>Clothing!B230</f>
        <v>2015</v>
      </c>
      <c r="C35" t="str">
        <f>Clothing!C230</f>
        <v>PVC</v>
      </c>
      <c r="D35" s="217">
        <f>Clothing!F230</f>
        <v>138.42083898913381</v>
      </c>
    </row>
    <row r="36" spans="1:4">
      <c r="A36" t="s">
        <v>2263</v>
      </c>
      <c r="B36">
        <f>Clothing!B231</f>
        <v>2015</v>
      </c>
      <c r="C36" t="str">
        <f>Clothing!C231</f>
        <v>RUBBER</v>
      </c>
      <c r="D36" s="217">
        <f>Clothing!F231</f>
        <v>279.4754927054563</v>
      </c>
    </row>
    <row r="37" spans="1:4">
      <c r="A37" t="s">
        <v>2263</v>
      </c>
      <c r="B37">
        <f>Clothing!B232</f>
        <v>2016</v>
      </c>
      <c r="C37" t="str">
        <f>Clothing!C232</f>
        <v>Acryl</v>
      </c>
      <c r="D37" s="217">
        <f>Clothing!F232</f>
        <v>159.06467203771575</v>
      </c>
    </row>
    <row r="38" spans="1:4">
      <c r="A38" t="s">
        <v>2263</v>
      </c>
      <c r="B38">
        <f>Clothing!B233</f>
        <v>2016</v>
      </c>
      <c r="C38" t="str">
        <f>Clothing!C233</f>
        <v>OTHER</v>
      </c>
      <c r="D38" s="217">
        <f>Clothing!F233</f>
        <v>251.31010018267992</v>
      </c>
    </row>
    <row r="39" spans="1:4">
      <c r="A39" t="s">
        <v>2263</v>
      </c>
      <c r="B39">
        <f>Clothing!B234</f>
        <v>2016</v>
      </c>
      <c r="C39" t="str">
        <f>Clothing!C234</f>
        <v>PA</v>
      </c>
      <c r="D39" s="217">
        <f>Clothing!F234</f>
        <v>334.75236416315477</v>
      </c>
    </row>
    <row r="40" spans="1:4">
      <c r="A40" t="s">
        <v>2263</v>
      </c>
      <c r="B40">
        <f>Clothing!B235</f>
        <v>2016</v>
      </c>
      <c r="C40" t="str">
        <f>Clothing!C235</f>
        <v>PET</v>
      </c>
      <c r="D40" s="217">
        <f>Clothing!F235</f>
        <v>1757.6538084861656</v>
      </c>
    </row>
    <row r="41" spans="1:4">
      <c r="A41" t="s">
        <v>2263</v>
      </c>
      <c r="B41">
        <f>Clothing!B236</f>
        <v>2016</v>
      </c>
      <c r="C41" t="str">
        <f>Clothing!C236</f>
        <v>PUR</v>
      </c>
      <c r="D41" s="217">
        <f>Clothing!F236</f>
        <v>212.98091760776052</v>
      </c>
    </row>
    <row r="42" spans="1:4">
      <c r="A42" t="s">
        <v>2263</v>
      </c>
      <c r="B42">
        <f>Clothing!B237</f>
        <v>2016</v>
      </c>
      <c r="C42" t="str">
        <f>Clothing!C237</f>
        <v>PVC</v>
      </c>
      <c r="D42" s="217">
        <f>Clothing!F237</f>
        <v>136.57152265522592</v>
      </c>
    </row>
    <row r="43" spans="1:4">
      <c r="A43" t="s">
        <v>2263</v>
      </c>
      <c r="B43">
        <f>Clothing!B238</f>
        <v>2016</v>
      </c>
      <c r="C43" t="str">
        <f>Clothing!C238</f>
        <v>RUBBER</v>
      </c>
      <c r="D43" s="217">
        <f>Clothing!F238</f>
        <v>276.36549061570628</v>
      </c>
    </row>
    <row r="44" spans="1:4">
      <c r="A44" t="s">
        <v>2263</v>
      </c>
      <c r="B44">
        <f>Clothing!B239</f>
        <v>2017</v>
      </c>
      <c r="C44" t="str">
        <f>Clothing!C239</f>
        <v>Acryl</v>
      </c>
      <c r="D44" s="217">
        <f>Clothing!F239</f>
        <v>169.42086171709988</v>
      </c>
    </row>
    <row r="45" spans="1:4">
      <c r="A45" t="s">
        <v>2263</v>
      </c>
      <c r="B45">
        <f>Clothing!B240</f>
        <v>2017</v>
      </c>
      <c r="C45" t="str">
        <f>Clothing!C240</f>
        <v>OTHER</v>
      </c>
      <c r="D45" s="217">
        <f>Clothing!F240</f>
        <v>265.82512056966021</v>
      </c>
    </row>
    <row r="46" spans="1:4">
      <c r="A46" t="s">
        <v>2263</v>
      </c>
      <c r="B46">
        <f>Clothing!B241</f>
        <v>2017</v>
      </c>
      <c r="C46" t="str">
        <f>Clothing!C241</f>
        <v>PA</v>
      </c>
      <c r="D46" s="217">
        <f>Clothing!F241</f>
        <v>354.50137172469198</v>
      </c>
    </row>
    <row r="47" spans="1:4">
      <c r="A47" t="s">
        <v>2263</v>
      </c>
      <c r="B47">
        <f>Clothing!B242</f>
        <v>2017</v>
      </c>
      <c r="C47" t="str">
        <f>Clothing!C242</f>
        <v>PET</v>
      </c>
      <c r="D47" s="217">
        <f>Clothing!F242</f>
        <v>1840.4430337779322</v>
      </c>
    </row>
    <row r="48" spans="1:4">
      <c r="A48" t="s">
        <v>2263</v>
      </c>
      <c r="B48">
        <f>Clothing!B243</f>
        <v>2017</v>
      </c>
      <c r="C48" t="str">
        <f>Clothing!C243</f>
        <v>PUR</v>
      </c>
      <c r="D48" s="217">
        <f>Clothing!F243</f>
        <v>223.04008713631922</v>
      </c>
    </row>
    <row r="49" spans="1:4">
      <c r="A49" t="s">
        <v>2263</v>
      </c>
      <c r="B49">
        <f>Clothing!B244</f>
        <v>2017</v>
      </c>
      <c r="C49" t="str">
        <f>Clothing!C244</f>
        <v>PVC</v>
      </c>
      <c r="D49" s="217">
        <f>Clothing!F244</f>
        <v>143.14805853805711</v>
      </c>
    </row>
    <row r="50" spans="1:4">
      <c r="A50" t="s">
        <v>2263</v>
      </c>
      <c r="B50">
        <f>Clothing!B245</f>
        <v>2017</v>
      </c>
      <c r="C50" t="str">
        <f>Clothing!C245</f>
        <v>RUBBER</v>
      </c>
      <c r="D50" s="217">
        <f>Clothing!F245</f>
        <v>291.14012266371617</v>
      </c>
    </row>
    <row r="51" spans="1:4">
      <c r="A51" t="s">
        <v>2263</v>
      </c>
      <c r="B51">
        <f>Clothing!B246</f>
        <v>2018</v>
      </c>
      <c r="C51" t="str">
        <f>Clothing!C246</f>
        <v>Acryl</v>
      </c>
      <c r="D51" s="217">
        <f>Clothing!F246</f>
        <v>186.16067266617296</v>
      </c>
    </row>
    <row r="52" spans="1:4">
      <c r="A52" t="s">
        <v>2263</v>
      </c>
      <c r="B52">
        <f>Clothing!B247</f>
        <v>2018</v>
      </c>
      <c r="C52" t="str">
        <f>Clothing!C247</f>
        <v>OTHER</v>
      </c>
      <c r="D52" s="217">
        <f>Clothing!F247</f>
        <v>300.96580160216365</v>
      </c>
    </row>
    <row r="53" spans="1:4">
      <c r="A53" t="s">
        <v>2263</v>
      </c>
      <c r="B53">
        <f>Clothing!B248</f>
        <v>2018</v>
      </c>
      <c r="C53" t="str">
        <f>Clothing!C248</f>
        <v>PA</v>
      </c>
      <c r="D53" s="217">
        <f>Clothing!F248</f>
        <v>396.51420645635017</v>
      </c>
    </row>
    <row r="54" spans="1:4">
      <c r="A54" t="s">
        <v>2263</v>
      </c>
      <c r="B54">
        <f>Clothing!B249</f>
        <v>2018</v>
      </c>
      <c r="C54" t="str">
        <f>Clothing!C249</f>
        <v>PET</v>
      </c>
      <c r="D54" s="217">
        <f>Clothing!F249</f>
        <v>2023.0293900647341</v>
      </c>
    </row>
    <row r="55" spans="1:4">
      <c r="A55" t="s">
        <v>2263</v>
      </c>
      <c r="B55">
        <f>Clothing!B250</f>
        <v>2018</v>
      </c>
      <c r="C55" t="str">
        <f>Clothing!C250</f>
        <v>PUR</v>
      </c>
      <c r="D55" s="217">
        <f>Clothing!F250</f>
        <v>235.25733974158135</v>
      </c>
    </row>
    <row r="56" spans="1:4">
      <c r="A56" t="s">
        <v>2263</v>
      </c>
      <c r="B56">
        <f>Clothing!B251</f>
        <v>2018</v>
      </c>
      <c r="C56" t="str">
        <f>Clothing!C251</f>
        <v>PVC</v>
      </c>
      <c r="D56" s="217">
        <f>Clothing!F251</f>
        <v>151.74779473138562</v>
      </c>
    </row>
    <row r="57" spans="1:4">
      <c r="A57" t="s">
        <v>2263</v>
      </c>
      <c r="B57">
        <f>Clothing!B252</f>
        <v>2018</v>
      </c>
      <c r="C57" t="str">
        <f>Clothing!C252</f>
        <v>RUBBER</v>
      </c>
      <c r="D57" s="217">
        <f>Clothing!F252</f>
        <v>317.04740093348414</v>
      </c>
    </row>
    <row r="58" spans="1:4">
      <c r="A58" t="s">
        <v>2263</v>
      </c>
      <c r="B58">
        <f>Clothing!B253</f>
        <v>2019</v>
      </c>
      <c r="C58" t="str">
        <f>Clothing!C253</f>
        <v>Acryl</v>
      </c>
      <c r="D58" s="217">
        <f>Clothing!F253</f>
        <v>180.20840792192666</v>
      </c>
    </row>
    <row r="59" spans="1:4">
      <c r="A59" t="s">
        <v>2263</v>
      </c>
      <c r="B59">
        <f>Clothing!B254</f>
        <v>2019</v>
      </c>
      <c r="C59" t="str">
        <f>Clothing!C254</f>
        <v>OTHER</v>
      </c>
      <c r="D59" s="217">
        <f>Clothing!F254</f>
        <v>296.4563669577978</v>
      </c>
    </row>
    <row r="60" spans="1:4">
      <c r="A60" t="s">
        <v>2263</v>
      </c>
      <c r="B60">
        <f>Clothing!B255</f>
        <v>2019</v>
      </c>
      <c r="C60" t="str">
        <f>Clothing!C255</f>
        <v>PA</v>
      </c>
      <c r="D60" s="217">
        <f>Clothing!F255</f>
        <v>388.0774173569589</v>
      </c>
    </row>
    <row r="61" spans="1:4">
      <c r="A61" t="s">
        <v>2263</v>
      </c>
      <c r="B61">
        <f>Clothing!B256</f>
        <v>2019</v>
      </c>
      <c r="C61" t="str">
        <f>Clothing!C256</f>
        <v>PET</v>
      </c>
      <c r="D61" s="217">
        <f>Clothing!F256</f>
        <v>1984.1071675393082</v>
      </c>
    </row>
    <row r="62" spans="1:4">
      <c r="A62" t="s">
        <v>2263</v>
      </c>
      <c r="B62">
        <f>Clothing!B257</f>
        <v>2019</v>
      </c>
      <c r="C62" t="str">
        <f>Clothing!C257</f>
        <v>PUR</v>
      </c>
      <c r="D62" s="217">
        <f>Clothing!F257</f>
        <v>232.85122409103283</v>
      </c>
    </row>
    <row r="63" spans="1:4">
      <c r="A63" t="s">
        <v>2263</v>
      </c>
      <c r="B63">
        <f>Clothing!B258</f>
        <v>2019</v>
      </c>
      <c r="C63" t="str">
        <f>Clothing!C258</f>
        <v>PVC</v>
      </c>
      <c r="D63" s="217">
        <f>Clothing!F258</f>
        <v>149.99565986173562</v>
      </c>
    </row>
    <row r="64" spans="1:4">
      <c r="A64" t="s">
        <v>2263</v>
      </c>
      <c r="B64">
        <f>Clothing!B259</f>
        <v>2019</v>
      </c>
      <c r="C64" t="str">
        <f>Clothing!C259</f>
        <v>RUBBER</v>
      </c>
      <c r="D64" s="217">
        <f>Clothing!F259</f>
        <v>310.25023212079822</v>
      </c>
    </row>
    <row r="65" spans="1:4">
      <c r="A65" t="s">
        <v>2263</v>
      </c>
      <c r="B65">
        <f>Clothing!B260</f>
        <v>2020</v>
      </c>
      <c r="C65" t="str">
        <f>Clothing!C260</f>
        <v>Acryl</v>
      </c>
      <c r="D65" s="217">
        <f>Clothing!F260</f>
        <v>149.37983565508094</v>
      </c>
    </row>
    <row r="66" spans="1:4">
      <c r="A66" t="s">
        <v>2263</v>
      </c>
      <c r="B66">
        <f>Clothing!B261</f>
        <v>2020</v>
      </c>
      <c r="C66" t="str">
        <f>Clothing!C261</f>
        <v>OTHER</v>
      </c>
      <c r="D66" s="217">
        <f>Clothing!F261</f>
        <v>235.31354151123557</v>
      </c>
    </row>
    <row r="67" spans="1:4">
      <c r="A67" t="s">
        <v>2263</v>
      </c>
      <c r="B67">
        <f>Clothing!B262</f>
        <v>2020</v>
      </c>
      <c r="C67" t="str">
        <f>Clothing!C262</f>
        <v>PA</v>
      </c>
      <c r="D67" s="217">
        <f>Clothing!F262</f>
        <v>314.78226454595472</v>
      </c>
    </row>
    <row r="68" spans="1:4">
      <c r="A68" t="s">
        <v>2263</v>
      </c>
      <c r="B68">
        <f>Clothing!B263</f>
        <v>2020</v>
      </c>
      <c r="C68" t="str">
        <f>Clothing!C263</f>
        <v>PET</v>
      </c>
      <c r="D68" s="217">
        <f>Clothing!F263</f>
        <v>1583.9664279915339</v>
      </c>
    </row>
    <row r="69" spans="1:4">
      <c r="A69" t="s">
        <v>2263</v>
      </c>
      <c r="B69">
        <f>Clothing!B264</f>
        <v>2020</v>
      </c>
      <c r="C69" t="str">
        <f>Clothing!C264</f>
        <v>PUR</v>
      </c>
      <c r="D69" s="217">
        <f>Clothing!F264</f>
        <v>187.31320435855173</v>
      </c>
    </row>
    <row r="70" spans="1:4">
      <c r="A70" t="s">
        <v>2263</v>
      </c>
      <c r="B70">
        <f>Clothing!B265</f>
        <v>2020</v>
      </c>
      <c r="C70" t="str">
        <f>Clothing!C265</f>
        <v>PVC</v>
      </c>
      <c r="D70" s="217">
        <f>Clothing!F265</f>
        <v>120.26545304369311</v>
      </c>
    </row>
    <row r="71" spans="1:4">
      <c r="A71" t="s">
        <v>2263</v>
      </c>
      <c r="B71">
        <f>Clothing!B266</f>
        <v>2020</v>
      </c>
      <c r="C71" t="str">
        <f>Clothing!C266</f>
        <v>RUBBER</v>
      </c>
      <c r="D71" s="217">
        <f>Clothing!F266</f>
        <v>243.62107707127907</v>
      </c>
    </row>
    <row r="72" spans="1:4">
      <c r="A72" t="s">
        <v>2263</v>
      </c>
      <c r="B72">
        <f>Clothing!B267</f>
        <v>2021</v>
      </c>
      <c r="C72" t="str">
        <f>Clothing!C267</f>
        <v>Acryl</v>
      </c>
      <c r="D72" s="217">
        <f>Clothing!F267</f>
        <v>163.73876852122726</v>
      </c>
    </row>
    <row r="73" spans="1:4">
      <c r="A73" t="s">
        <v>2263</v>
      </c>
      <c r="B73">
        <f>Clothing!B268</f>
        <v>2021</v>
      </c>
      <c r="C73" t="str">
        <f>Clothing!C268</f>
        <v>OTHER</v>
      </c>
      <c r="D73" s="217">
        <f>Clothing!F268</f>
        <v>247.58311374755544</v>
      </c>
    </row>
    <row r="74" spans="1:4">
      <c r="A74" t="s">
        <v>2263</v>
      </c>
      <c r="B74">
        <f>Clothing!B269</f>
        <v>2021</v>
      </c>
      <c r="C74" t="str">
        <f>Clothing!C269</f>
        <v>PA</v>
      </c>
      <c r="D74" s="217">
        <f>Clothing!F269</f>
        <v>343.97781676539</v>
      </c>
    </row>
    <row r="75" spans="1:4">
      <c r="A75" t="s">
        <v>2263</v>
      </c>
      <c r="B75">
        <f>Clothing!B270</f>
        <v>2021</v>
      </c>
      <c r="C75" t="str">
        <f>Clothing!C270</f>
        <v>PET</v>
      </c>
      <c r="D75" s="217">
        <f>Clothing!F270</f>
        <v>1697.1063869804648</v>
      </c>
    </row>
    <row r="76" spans="1:4">
      <c r="A76" t="s">
        <v>2263</v>
      </c>
      <c r="B76">
        <f>Clothing!B271</f>
        <v>2021</v>
      </c>
      <c r="C76" t="str">
        <f>Clothing!C271</f>
        <v>PUR</v>
      </c>
      <c r="D76" s="217">
        <f>Clothing!F271</f>
        <v>179.93180999146654</v>
      </c>
    </row>
    <row r="77" spans="1:4">
      <c r="A77" t="s">
        <v>2263</v>
      </c>
      <c r="B77">
        <f>Clothing!B272</f>
        <v>2021</v>
      </c>
      <c r="C77" t="str">
        <f>Clothing!C272</f>
        <v>PVC</v>
      </c>
      <c r="D77" s="217">
        <f>Clothing!F272</f>
        <v>115.93559323030411</v>
      </c>
    </row>
    <row r="78" spans="1:4">
      <c r="A78" t="s">
        <v>2263</v>
      </c>
      <c r="B78">
        <f>Clothing!B273</f>
        <v>2021</v>
      </c>
      <c r="C78" t="str">
        <f>Clothing!C273</f>
        <v>RUBBER</v>
      </c>
      <c r="D78" s="217">
        <f>Clothing!F273</f>
        <v>239.33684511323898</v>
      </c>
    </row>
    <row r="79" spans="1:4">
      <c r="A79" t="s">
        <v>2263</v>
      </c>
      <c r="B79">
        <f>Clothing!B274</f>
        <v>2022</v>
      </c>
      <c r="C79" t="str">
        <f>Clothing!C274</f>
        <v>Acryl</v>
      </c>
      <c r="D79" s="217">
        <f>Clothing!F274</f>
        <v>201.67297070250717</v>
      </c>
    </row>
    <row r="80" spans="1:4">
      <c r="A80" t="s">
        <v>2263</v>
      </c>
      <c r="B80">
        <f>Clothing!B275</f>
        <v>2022</v>
      </c>
      <c r="C80" t="str">
        <f>Clothing!C275</f>
        <v>OTHER</v>
      </c>
      <c r="D80" s="217">
        <f>Clothing!F275</f>
        <v>309.85326893854688</v>
      </c>
    </row>
    <row r="81" spans="1:4">
      <c r="A81" t="s">
        <v>2263</v>
      </c>
      <c r="B81">
        <f>Clothing!B276</f>
        <v>2022</v>
      </c>
      <c r="C81" t="str">
        <f>Clothing!C276</f>
        <v>PA</v>
      </c>
      <c r="D81" s="217">
        <f>Clothing!F276</f>
        <v>423.05648059560605</v>
      </c>
    </row>
    <row r="82" spans="1:4">
      <c r="A82" t="s">
        <v>2263</v>
      </c>
      <c r="B82">
        <f>Clothing!B277</f>
        <v>2022</v>
      </c>
      <c r="C82" t="str">
        <f>Clothing!C277</f>
        <v>PET</v>
      </c>
      <c r="D82" s="217">
        <f>Clothing!F277</f>
        <v>2082.8335355232398</v>
      </c>
    </row>
    <row r="83" spans="1:4">
      <c r="A83" t="s">
        <v>2263</v>
      </c>
      <c r="B83">
        <f>Clothing!B278</f>
        <v>2022</v>
      </c>
      <c r="C83" t="str">
        <f>Clothing!C278</f>
        <v>PUR</v>
      </c>
      <c r="D83" s="217">
        <f>Clothing!F278</f>
        <v>233.0051407049751</v>
      </c>
    </row>
    <row r="84" spans="1:4">
      <c r="A84" t="s">
        <v>2263</v>
      </c>
      <c r="B84">
        <f>Clothing!B279</f>
        <v>2022</v>
      </c>
      <c r="C84" t="str">
        <f>Clothing!C279</f>
        <v>PVC</v>
      </c>
      <c r="D84" s="217">
        <f>Clothing!F279</f>
        <v>150.15713639046123</v>
      </c>
    </row>
    <row r="85" spans="1:4">
      <c r="A85" t="s">
        <v>2263</v>
      </c>
      <c r="B85">
        <f>Clothing!B280</f>
        <v>2022</v>
      </c>
      <c r="C85" t="str">
        <f>Clothing!C280</f>
        <v>RUBBER</v>
      </c>
      <c r="D85" s="217">
        <f>Clothing!F280</f>
        <v>310.53656074761216</v>
      </c>
    </row>
  </sheetData>
  <conditionalFormatting sqref="D1">
    <cfRule type="cellIs" dxfId="192" priority="1" operator="greaterThan">
      <formula>0</formula>
    </cfRule>
    <cfRule type="cellIs" dxfId="191" priority="2" operator="equal">
      <formula>0</formula>
    </cfRule>
  </conditionalFormatting>
  <conditionalFormatting sqref="K1">
    <cfRule type="containsBlanks" dxfId="190" priority="3">
      <formula>LEN(TRIM(K1))=0</formula>
    </cfRule>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tabColor rgb="FF00B0F0"/>
  </sheetPr>
  <dimension ref="A1:AGJ2928"/>
  <sheetViews>
    <sheetView tabSelected="1" zoomScale="85" zoomScaleNormal="85" workbookViewId="0">
      <pane ySplit="1" topLeftCell="A1410" activePane="bottomLeft" state="frozen"/>
      <selection pane="bottomLeft" activeCell="B1449" sqref="B1449"/>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76" customWidth="1"/>
    <col min="17" max="868" width="9.28515625" style="16"/>
    <col min="869" max="16384" width="9.28515625" style="6"/>
  </cols>
  <sheetData>
    <row r="1" spans="1:868" ht="30" customHeight="1" thickBot="1">
      <c r="A1" s="65" t="s">
        <v>129</v>
      </c>
      <c r="B1" s="107" t="s">
        <v>130</v>
      </c>
      <c r="C1" s="108" t="s">
        <v>131</v>
      </c>
      <c r="D1" s="109" t="s">
        <v>102</v>
      </c>
      <c r="E1" s="226" t="s">
        <v>132</v>
      </c>
      <c r="F1" s="108" t="s">
        <v>133</v>
      </c>
      <c r="G1" s="110" t="s">
        <v>104</v>
      </c>
      <c r="H1" s="111" t="s">
        <v>134</v>
      </c>
      <c r="I1" s="112" t="s">
        <v>135</v>
      </c>
      <c r="J1" s="112" t="s">
        <v>65</v>
      </c>
      <c r="K1" s="112" t="s">
        <v>67</v>
      </c>
      <c r="L1" s="112" t="s">
        <v>73</v>
      </c>
      <c r="M1" s="113" t="s">
        <v>79</v>
      </c>
      <c r="N1" s="822" t="s">
        <v>136</v>
      </c>
      <c r="O1" s="822" t="s">
        <v>137</v>
      </c>
      <c r="P1" s="115" t="s">
        <v>123</v>
      </c>
    </row>
    <row r="2" spans="1:868">
      <c r="A2" s="150" t="str">
        <f>Agriculture!A92</f>
        <v>Agriculture</v>
      </c>
      <c r="B2" s="33" t="str">
        <f>Agriculture!B92</f>
        <v>Agricultural greenhouse films (discarded)</v>
      </c>
      <c r="C2" s="39" t="str">
        <f>Agriculture!C92</f>
        <v>NL</v>
      </c>
      <c r="D2" s="33" t="str">
        <f>Agriculture!D92</f>
        <v>PVC</v>
      </c>
      <c r="E2" s="845">
        <f>Agriculture!E92</f>
        <v>6.2695657834368257E-2</v>
      </c>
      <c r="F2" s="231">
        <f>Agriculture!F92</f>
        <v>1</v>
      </c>
      <c r="G2" s="39"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810">
        <f t="shared" ref="N2:N33" si="0">IF( OR( ISBLANK(H2),ISBLANK(J2), ISBLANK(K2), ISBLANK(L2), ISBLANK(M2) ), "", 1.5*SQRT(   EXP(2.21*(H2-1)) + EXP(2.21*(J2-1)) + EXP(2.21*(K2-1)) + EXP(2.21*(L2-1)) + EXP(2.21*M2)   )/100*2.45 )</f>
        <v>0.35859414261160716</v>
      </c>
      <c r="O2" s="158" t="str">
        <f t="shared" ref="O2:O33" si="1">IF( OR( ISBLANK(I2),ISBLANK(J2), ISBLANK(K2), ISBLANK(L2), ISBLANK(M2) ), "", 1.5*SQRT( EXP(2.21*(I2-1)) + EXP(2.21*(J2-1)) + EXP(2.21*(K2-1)) + EXP(2.21*(L2-1)) + EXP(2.21*M2)   )/100*2.45 )</f>
        <v/>
      </c>
      <c r="P2" s="346"/>
    </row>
    <row r="3" spans="1:868">
      <c r="A3" s="151" t="str">
        <f>Agriculture!A93</f>
        <v>Agriculture</v>
      </c>
      <c r="B3" s="34" t="str">
        <f>Agriculture!B93</f>
        <v>Agricultural greenhouse films (discarded)</v>
      </c>
      <c r="C3" s="40" t="str">
        <f>Agriculture!C93</f>
        <v>NL</v>
      </c>
      <c r="D3" s="34" t="str">
        <f>Agriculture!D93</f>
        <v>PS</v>
      </c>
      <c r="E3" s="846">
        <f>Agriculture!E93</f>
        <v>0</v>
      </c>
      <c r="F3" s="232">
        <f>Agriculture!F93</f>
        <v>1</v>
      </c>
      <c r="G3" s="40" t="str">
        <f>Agriculture!G93</f>
        <v>Urbanus, J.H., Brunner, A., Boersma, A., Henke, S., Kooter, I., Lensen, S., Parker, L., Schwarz, A., Imhof, P., Dortmans, A., Wijngaard, M., 2022. Autobanden, verpakkingen en landbouwfolie zijn in Nederland de grootste bronnen van microplastics. TNO.</v>
      </c>
      <c r="H3" s="29">
        <v>1</v>
      </c>
      <c r="I3" s="9"/>
      <c r="J3" s="9">
        <v>2</v>
      </c>
      <c r="K3" s="9">
        <v>1</v>
      </c>
      <c r="L3" s="9">
        <v>1</v>
      </c>
      <c r="M3" s="9">
        <v>2</v>
      </c>
      <c r="N3" s="185">
        <f t="shared" si="0"/>
        <v>0.35859414261160716</v>
      </c>
      <c r="O3" s="159" t="str">
        <f t="shared" si="1"/>
        <v/>
      </c>
      <c r="P3" s="63"/>
    </row>
    <row r="4" spans="1:868">
      <c r="A4" s="151" t="str">
        <f>Agriculture!A94</f>
        <v>Agriculture</v>
      </c>
      <c r="B4" s="34" t="str">
        <f>Agriculture!B94</f>
        <v>Agricultural greenhouse films (discarded)</v>
      </c>
      <c r="C4" s="40" t="str">
        <f>Agriculture!C94</f>
        <v>NL</v>
      </c>
      <c r="D4" s="34" t="str">
        <f>Agriculture!D94</f>
        <v>PP</v>
      </c>
      <c r="E4" s="846">
        <f>Agriculture!E94</f>
        <v>0</v>
      </c>
      <c r="F4" s="232">
        <f>Agriculture!F94</f>
        <v>1</v>
      </c>
      <c r="G4" s="40" t="str">
        <f>Agriculture!G94</f>
        <v>Urbanus, J.H., Brunner, A., Boersma, A., Henke, S., Kooter, I., Lensen, S., Parker, L., Schwarz, A., Imhof, P., Dortmans, A., Wijngaard, M., 2022. Autobanden, verpakkingen en landbouwfolie zijn in Nederland de grootste bronnen van microplastics. TNO.</v>
      </c>
      <c r="H4" s="29">
        <v>1</v>
      </c>
      <c r="I4" s="9"/>
      <c r="J4" s="9">
        <v>2</v>
      </c>
      <c r="K4" s="9">
        <v>1</v>
      </c>
      <c r="L4" s="9">
        <v>1</v>
      </c>
      <c r="M4" s="9">
        <v>2</v>
      </c>
      <c r="N4" s="185">
        <f t="shared" si="0"/>
        <v>0.35859414261160716</v>
      </c>
      <c r="O4" s="159" t="str">
        <f t="shared" si="1"/>
        <v/>
      </c>
      <c r="P4" s="63"/>
    </row>
    <row r="5" spans="1:868">
      <c r="A5" s="151" t="str">
        <f>Agriculture!A95</f>
        <v>Agriculture</v>
      </c>
      <c r="B5" s="34" t="str">
        <f>Agriculture!B95</f>
        <v>Agricultural greenhouse films (discarded)</v>
      </c>
      <c r="C5" s="40" t="str">
        <f>Agriculture!C95</f>
        <v>NL</v>
      </c>
      <c r="D5" s="34" t="str">
        <f>Agriculture!D95</f>
        <v>LDPE</v>
      </c>
      <c r="E5" s="846">
        <f>Agriculture!E95</f>
        <v>0.13959893420941549</v>
      </c>
      <c r="F5" s="232">
        <f>Agriculture!F95</f>
        <v>1</v>
      </c>
      <c r="G5" s="40" t="str">
        <f>Agriculture!G95</f>
        <v>Urbanus, J.H., Brunner, A., Boersma, A., Henke, S., Kooter, I., Lensen, S., Parker, L., Schwarz, A., Imhof, P., Dortmans, A., Wijngaard, M., 2022. Autobanden, verpakkingen en landbouwfolie zijn in Nederland de grootste bronnen van microplastics. TNO.</v>
      </c>
      <c r="H5" s="29">
        <v>1</v>
      </c>
      <c r="I5" s="9"/>
      <c r="J5" s="9">
        <v>2</v>
      </c>
      <c r="K5" s="9">
        <v>1</v>
      </c>
      <c r="L5" s="9">
        <v>1</v>
      </c>
      <c r="M5" s="9">
        <v>2</v>
      </c>
      <c r="N5" s="185">
        <f t="shared" si="0"/>
        <v>0.35859414261160716</v>
      </c>
      <c r="O5" s="159" t="str">
        <f t="shared" si="1"/>
        <v/>
      </c>
      <c r="P5" s="63"/>
    </row>
    <row r="6" spans="1:868" s="823" customFormat="1">
      <c r="A6" s="151" t="str">
        <f>Agriculture!A96</f>
        <v>Agriculture</v>
      </c>
      <c r="B6" s="34" t="str">
        <f>Agriculture!B96</f>
        <v>Agricultural greenhouse films (discarded)</v>
      </c>
      <c r="C6" s="40" t="str">
        <f>Agriculture!C96</f>
        <v>NL</v>
      </c>
      <c r="D6" s="34" t="str">
        <f>Agriculture!D96</f>
        <v>HDPE</v>
      </c>
      <c r="E6" s="846">
        <f>Agriculture!E96</f>
        <v>0</v>
      </c>
      <c r="F6" s="232">
        <f>Agriculture!F96</f>
        <v>1</v>
      </c>
      <c r="G6" s="40" t="str">
        <f>Agriculture!G96</f>
        <v>Urbanus, J.H., Brunner, A., Boersma, A., Henke, S., Kooter, I., Lensen, S., Parker, L., Schwarz, A., Imhof, P., Dortmans, A., Wijngaard, M., 2022. Autobanden, verpakkingen en landbouwfolie zijn in Nederland de grootste bronnen van microplastics. TNO.</v>
      </c>
      <c r="H6" s="29">
        <v>1</v>
      </c>
      <c r="I6" s="9"/>
      <c r="J6" s="9">
        <v>2</v>
      </c>
      <c r="K6" s="9">
        <v>1</v>
      </c>
      <c r="L6" s="9">
        <v>1</v>
      </c>
      <c r="M6" s="9">
        <v>2</v>
      </c>
      <c r="N6" s="185">
        <f t="shared" si="0"/>
        <v>0.35859414261160716</v>
      </c>
      <c r="O6" s="159" t="str">
        <f t="shared" si="1"/>
        <v/>
      </c>
      <c r="P6" s="63"/>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c r="A7" s="151" t="str">
        <f>Agriculture!A97</f>
        <v>Agriculture</v>
      </c>
      <c r="B7" s="34" t="str">
        <f>Agriculture!B97</f>
        <v>Agricultural greenhouse films (discarded)</v>
      </c>
      <c r="C7" s="40" t="str">
        <f>Agriculture!C97</f>
        <v>EU</v>
      </c>
      <c r="D7" s="34" t="str">
        <f>Agriculture!D97</f>
        <v>PVC</v>
      </c>
      <c r="E7" s="846">
        <f>Agriculture!E97</f>
        <v>9.1158630137710292E-2</v>
      </c>
      <c r="F7" s="232">
        <f>Agriculture!F97</f>
        <v>1</v>
      </c>
      <c r="G7" s="40" t="str">
        <f>Agriculture!G97</f>
        <v>Assessment of agricultural plastics and their sustainability: A call for action, 2021. . FAO. https://doi.org/10.4060/cb7856en</v>
      </c>
      <c r="H7" s="29"/>
      <c r="I7" s="9">
        <v>1</v>
      </c>
      <c r="J7" s="9">
        <v>2</v>
      </c>
      <c r="K7" s="9">
        <v>1</v>
      </c>
      <c r="L7" s="9">
        <v>1</v>
      </c>
      <c r="M7" s="9">
        <v>2</v>
      </c>
      <c r="N7" s="185" t="str">
        <f t="shared" si="0"/>
        <v/>
      </c>
      <c r="O7" s="159">
        <f t="shared" si="1"/>
        <v>0.35859414261160716</v>
      </c>
      <c r="P7" s="63"/>
    </row>
    <row r="8" spans="1:868">
      <c r="A8" s="151" t="str">
        <f>Agriculture!A98</f>
        <v>Agriculture</v>
      </c>
      <c r="B8" s="34" t="str">
        <f>Agriculture!B98</f>
        <v>Agricultural greenhouse films (discarded)</v>
      </c>
      <c r="C8" s="40" t="str">
        <f>Agriculture!C98</f>
        <v>EU</v>
      </c>
      <c r="D8" s="34" t="str">
        <f>Agriculture!D98</f>
        <v>PS</v>
      </c>
      <c r="E8" s="846">
        <f>Agriculture!E98</f>
        <v>0</v>
      </c>
      <c r="F8" s="232">
        <f>Agriculture!F98</f>
        <v>1</v>
      </c>
      <c r="G8" s="40" t="str">
        <f>Agriculture!G98</f>
        <v>Assessment of agricultural plastics and their sustainability: A call for action, 2021. . FAO. https://doi.org/10.4060/cb7856en</v>
      </c>
      <c r="H8" s="29"/>
      <c r="I8" s="9">
        <v>1</v>
      </c>
      <c r="J8" s="9">
        <v>2</v>
      </c>
      <c r="K8" s="9">
        <v>1</v>
      </c>
      <c r="L8" s="9">
        <v>1</v>
      </c>
      <c r="M8" s="9">
        <v>2</v>
      </c>
      <c r="N8" s="185" t="str">
        <f t="shared" si="0"/>
        <v/>
      </c>
      <c r="O8" s="159">
        <f t="shared" si="1"/>
        <v>0.35859414261160716</v>
      </c>
      <c r="P8" s="63"/>
    </row>
    <row r="9" spans="1:868">
      <c r="A9" s="151" t="str">
        <f>Agriculture!A99</f>
        <v>Agriculture</v>
      </c>
      <c r="B9" s="34" t="str">
        <f>Agriculture!B99</f>
        <v>Agricultural greenhouse films (discarded)</v>
      </c>
      <c r="C9" s="40" t="str">
        <f>Agriculture!C99</f>
        <v>EU</v>
      </c>
      <c r="D9" s="34" t="str">
        <f>Agriculture!D99</f>
        <v>PP</v>
      </c>
      <c r="E9" s="846">
        <f>Agriculture!E99</f>
        <v>0</v>
      </c>
      <c r="F9" s="232">
        <f>Agriculture!F99</f>
        <v>1</v>
      </c>
      <c r="G9" s="40" t="str">
        <f>Agriculture!G99</f>
        <v>Assessment of agricultural plastics and their sustainability: A call for action, 2021. . FAO. https://doi.org/10.4060/cb7856en</v>
      </c>
      <c r="H9" s="29"/>
      <c r="I9" s="9">
        <v>1</v>
      </c>
      <c r="J9" s="9">
        <v>2</v>
      </c>
      <c r="K9" s="9">
        <v>1</v>
      </c>
      <c r="L9" s="9">
        <v>1</v>
      </c>
      <c r="M9" s="9">
        <v>2</v>
      </c>
      <c r="N9" s="185" t="str">
        <f t="shared" si="0"/>
        <v/>
      </c>
      <c r="O9" s="159">
        <f t="shared" si="1"/>
        <v>0.35859414261160716</v>
      </c>
      <c r="P9" s="63"/>
    </row>
    <row r="10" spans="1:868">
      <c r="A10" s="151" t="str">
        <f>Agriculture!A100</f>
        <v>Agriculture</v>
      </c>
      <c r="B10" s="34" t="str">
        <f>Agriculture!B100</f>
        <v>Agricultural greenhouse films (discarded)</v>
      </c>
      <c r="C10" s="40" t="str">
        <f>Agriculture!C100</f>
        <v>EU</v>
      </c>
      <c r="D10" s="34" t="str">
        <f>Agriculture!D100</f>
        <v>LDPE</v>
      </c>
      <c r="E10" s="846">
        <f>Agriculture!E100</f>
        <v>0.15678950022134661</v>
      </c>
      <c r="F10" s="232">
        <f>Agriculture!F100</f>
        <v>1</v>
      </c>
      <c r="G10" s="40" t="str">
        <f>Agriculture!G100</f>
        <v>Assessment of agricultural plastics and their sustainability: A call for action, 2021. . FAO. https://doi.org/10.4060/cb7856en</v>
      </c>
      <c r="H10" s="29"/>
      <c r="I10" s="9">
        <v>1</v>
      </c>
      <c r="J10" s="9">
        <v>2</v>
      </c>
      <c r="K10" s="9">
        <v>1</v>
      </c>
      <c r="L10" s="9">
        <v>1</v>
      </c>
      <c r="M10" s="9">
        <v>2</v>
      </c>
      <c r="N10" s="185" t="str">
        <f t="shared" si="0"/>
        <v/>
      </c>
      <c r="O10" s="159">
        <f t="shared" si="1"/>
        <v>0.35859414261160716</v>
      </c>
      <c r="P10" s="63"/>
    </row>
    <row r="11" spans="1:868" s="823" customFormat="1">
      <c r="A11" s="151" t="str">
        <f>Agriculture!A101</f>
        <v>Agriculture</v>
      </c>
      <c r="B11" s="34" t="str">
        <f>Agriculture!B101</f>
        <v>Agricultural greenhouse films (discarded)</v>
      </c>
      <c r="C11" s="40" t="str">
        <f>Agriculture!C101</f>
        <v>EU</v>
      </c>
      <c r="D11" s="34" t="str">
        <f>Agriculture!D101</f>
        <v>HDPE</v>
      </c>
      <c r="E11" s="846">
        <f>Agriculture!E101</f>
        <v>0</v>
      </c>
      <c r="F11" s="232">
        <f>Agriculture!F101</f>
        <v>1</v>
      </c>
      <c r="G11" s="40" t="str">
        <f>Agriculture!G101</f>
        <v>Assessment of agricultural plastics and their sustainability: A call for action, 2021. . FAO. https://doi.org/10.4060/cb7856en</v>
      </c>
      <c r="H11" s="29"/>
      <c r="I11" s="9">
        <v>1</v>
      </c>
      <c r="J11" s="9">
        <v>2</v>
      </c>
      <c r="K11" s="9">
        <v>1</v>
      </c>
      <c r="L11" s="9">
        <v>1</v>
      </c>
      <c r="M11" s="9">
        <v>2</v>
      </c>
      <c r="N11" s="185" t="str">
        <f t="shared" si="0"/>
        <v/>
      </c>
      <c r="O11" s="159">
        <f t="shared" si="1"/>
        <v>0.35859414261160716</v>
      </c>
      <c r="P11" s="63"/>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c r="A12" s="151" t="str">
        <f>Agriculture!A72</f>
        <v>Agriculture</v>
      </c>
      <c r="B12" s="34" t="str">
        <f>Agriculture!B72</f>
        <v>Agricultural greenhouse films (in use)</v>
      </c>
      <c r="C12" s="40" t="str">
        <f>Agriculture!C72</f>
        <v>NL</v>
      </c>
      <c r="D12" s="34" t="str">
        <f>Agriculture!D72</f>
        <v>PVC</v>
      </c>
      <c r="E12" s="846">
        <f>Agriculture!E72</f>
        <v>6.3729615065902419E-3</v>
      </c>
      <c r="F12" s="232">
        <f>Agriculture!F72</f>
        <v>2</v>
      </c>
      <c r="G12" s="40" t="str">
        <f>Agriculture!G72</f>
        <v>Urbanus, J.H., Brunner, A., Boersma, A., Henke, S., Kooter, I., Lensen, S., Parker, L., Schwarz, A., Imhof, P., Dortmans, A., Wijngaard, M., 2022. Autobanden, verpakkingen en landbouwfolie zijn in Nederland de grootste bronnen van microplastics. TNO.</v>
      </c>
      <c r="H12" s="811">
        <v>1</v>
      </c>
      <c r="I12" s="620"/>
      <c r="J12" s="9">
        <v>2</v>
      </c>
      <c r="K12" s="620">
        <v>1</v>
      </c>
      <c r="L12" s="620">
        <v>1</v>
      </c>
      <c r="M12" s="9">
        <v>2</v>
      </c>
      <c r="N12" s="185">
        <f t="shared" si="0"/>
        <v>0.35859414261160716</v>
      </c>
      <c r="O12" s="159" t="str">
        <f t="shared" si="1"/>
        <v/>
      </c>
      <c r="P12" s="63"/>
    </row>
    <row r="13" spans="1:868">
      <c r="A13" s="151" t="str">
        <f>Agriculture!A73</f>
        <v>Agriculture</v>
      </c>
      <c r="B13" s="34" t="str">
        <f>Agriculture!B73</f>
        <v>Agricultural greenhouse films (in use)</v>
      </c>
      <c r="C13" s="40" t="str">
        <f>Agriculture!C73</f>
        <v>NL</v>
      </c>
      <c r="D13" s="34" t="str">
        <f>Agriculture!D73</f>
        <v>PS</v>
      </c>
      <c r="E13" s="846">
        <f>Agriculture!E73</f>
        <v>0</v>
      </c>
      <c r="F13" s="232">
        <f>Agriculture!F73</f>
        <v>2</v>
      </c>
      <c r="G13" s="40" t="str">
        <f>Agriculture!G73</f>
        <v>Urbanus, J.H., Brunner, A., Boersma, A., Henke, S., Kooter, I., Lensen, S., Parker, L., Schwarz, A., Imhof, P., Dortmans, A., Wijngaard, M., 2022. Autobanden, verpakkingen en landbouwfolie zijn in Nederland de grootste bronnen van microplastics. TNO.</v>
      </c>
      <c r="H13" s="811">
        <v>1</v>
      </c>
      <c r="I13" s="620"/>
      <c r="J13" s="9">
        <v>2</v>
      </c>
      <c r="K13" s="620">
        <v>1</v>
      </c>
      <c r="L13" s="620">
        <v>1</v>
      </c>
      <c r="M13" s="9">
        <v>2</v>
      </c>
      <c r="N13" s="185">
        <f t="shared" si="0"/>
        <v>0.35859414261160716</v>
      </c>
      <c r="O13" s="159" t="str">
        <f t="shared" si="1"/>
        <v/>
      </c>
      <c r="P13" s="63"/>
    </row>
    <row r="14" spans="1:868">
      <c r="A14" s="151" t="str">
        <f>Agriculture!A74</f>
        <v>Agriculture</v>
      </c>
      <c r="B14" s="34" t="str">
        <f>Agriculture!B74</f>
        <v>Agricultural greenhouse films (in use)</v>
      </c>
      <c r="C14" s="40" t="str">
        <f>Agriculture!C74</f>
        <v>NL</v>
      </c>
      <c r="D14" s="34" t="str">
        <f>Agriculture!D74</f>
        <v>PP</v>
      </c>
      <c r="E14" s="846">
        <f>Agriculture!E74</f>
        <v>0</v>
      </c>
      <c r="F14" s="232">
        <f>Agriculture!F74</f>
        <v>2</v>
      </c>
      <c r="G14" s="40" t="str">
        <f>Agriculture!G74</f>
        <v>Urbanus, J.H., Brunner, A., Boersma, A., Henke, S., Kooter, I., Lensen, S., Parker, L., Schwarz, A., Imhof, P., Dortmans, A., Wijngaard, M., 2022. Autobanden, verpakkingen en landbouwfolie zijn in Nederland de grootste bronnen van microplastics. TNO.</v>
      </c>
      <c r="H14" s="811">
        <v>1</v>
      </c>
      <c r="I14" s="620"/>
      <c r="J14" s="9">
        <v>2</v>
      </c>
      <c r="K14" s="620">
        <v>1</v>
      </c>
      <c r="L14" s="620">
        <v>1</v>
      </c>
      <c r="M14" s="9">
        <v>2</v>
      </c>
      <c r="N14" s="185">
        <f t="shared" si="0"/>
        <v>0.35859414261160716</v>
      </c>
      <c r="O14" s="159" t="str">
        <f t="shared" si="1"/>
        <v/>
      </c>
      <c r="P14" s="63"/>
    </row>
    <row r="15" spans="1:868">
      <c r="A15" s="151" t="str">
        <f>Agriculture!A75</f>
        <v>Agriculture</v>
      </c>
      <c r="B15" s="34" t="str">
        <f>Agriculture!B75</f>
        <v>Agricultural greenhouse films (in use)</v>
      </c>
      <c r="C15" s="40" t="str">
        <f>Agriculture!C75</f>
        <v>NL</v>
      </c>
      <c r="D15" s="34" t="str">
        <f>Agriculture!D75</f>
        <v>LDPE</v>
      </c>
      <c r="E15" s="846">
        <f>Agriculture!E75</f>
        <v>1.4190115628548983E-2</v>
      </c>
      <c r="F15" s="232">
        <f>Agriculture!F75</f>
        <v>2</v>
      </c>
      <c r="G15" s="40" t="str">
        <f>Agriculture!G75</f>
        <v>Urbanus, J.H., Brunner, A., Boersma, A., Henke, S., Kooter, I., Lensen, S., Parker, L., Schwarz, A., Imhof, P., Dortmans, A., Wijngaard, M., 2022. Autobanden, verpakkingen en landbouwfolie zijn in Nederland de grootste bronnen van microplastics. TNO.</v>
      </c>
      <c r="H15" s="811">
        <v>1</v>
      </c>
      <c r="I15" s="620"/>
      <c r="J15" s="9">
        <v>2</v>
      </c>
      <c r="K15" s="620">
        <v>1</v>
      </c>
      <c r="L15" s="620">
        <v>1</v>
      </c>
      <c r="M15" s="9">
        <v>2</v>
      </c>
      <c r="N15" s="185">
        <f t="shared" si="0"/>
        <v>0.35859414261160716</v>
      </c>
      <c r="O15" s="159" t="str">
        <f t="shared" si="1"/>
        <v/>
      </c>
      <c r="P15" s="63"/>
    </row>
    <row r="16" spans="1:868">
      <c r="A16" s="151" t="str">
        <f>Agriculture!A76</f>
        <v>Agriculture</v>
      </c>
      <c r="B16" s="34" t="str">
        <f>Agriculture!B76</f>
        <v>Agricultural greenhouse films (in use)</v>
      </c>
      <c r="C16" s="40" t="str">
        <f>Agriculture!C76</f>
        <v>NL</v>
      </c>
      <c r="D16" s="34" t="str">
        <f>Agriculture!D76</f>
        <v>HDPE</v>
      </c>
      <c r="E16" s="846">
        <f>Agriculture!E76</f>
        <v>0</v>
      </c>
      <c r="F16" s="232">
        <f>Agriculture!F76</f>
        <v>2</v>
      </c>
      <c r="G16" s="40" t="str">
        <f>Agriculture!G76</f>
        <v>Urbanus, J.H., Brunner, A., Boersma, A., Henke, S., Kooter, I., Lensen, S., Parker, L., Schwarz, A., Imhof, P., Dortmans, A., Wijngaard, M., 2022. Autobanden, verpakkingen en landbouwfolie zijn in Nederland de grootste bronnen van microplastics. TNO.</v>
      </c>
      <c r="H16" s="811">
        <v>1</v>
      </c>
      <c r="I16" s="620"/>
      <c r="J16" s="9">
        <v>2</v>
      </c>
      <c r="K16" s="620">
        <v>1</v>
      </c>
      <c r="L16" s="620">
        <v>1</v>
      </c>
      <c r="M16" s="9">
        <v>2</v>
      </c>
      <c r="N16" s="185">
        <f t="shared" si="0"/>
        <v>0.35859414261160716</v>
      </c>
      <c r="O16" s="159" t="str">
        <f t="shared" si="1"/>
        <v/>
      </c>
      <c r="P16" s="63"/>
    </row>
    <row r="17" spans="1:16">
      <c r="A17" s="151" t="str">
        <f>Agriculture!A77</f>
        <v>Agriculture</v>
      </c>
      <c r="B17" s="34" t="str">
        <f>Agriculture!B77</f>
        <v>Agricultural greenhouse films (in use)</v>
      </c>
      <c r="C17" s="40" t="str">
        <f>Agriculture!C77</f>
        <v>EU</v>
      </c>
      <c r="D17" s="34" t="str">
        <f>Agriculture!D77</f>
        <v>PVC</v>
      </c>
      <c r="E17" s="846">
        <f>Agriculture!E77</f>
        <v>9.2661989829646799E-3</v>
      </c>
      <c r="F17" s="232">
        <f>Agriculture!F77</f>
        <v>2</v>
      </c>
      <c r="G17" s="40" t="str">
        <f>Agriculture!G77</f>
        <v>Assessment of agricultural plastics and their sustainability: A call for action, 2021. . FAO. https://doi.org/10.4060/cb7856en</v>
      </c>
      <c r="H17" s="811"/>
      <c r="I17" s="620">
        <v>1</v>
      </c>
      <c r="J17" s="9">
        <v>2</v>
      </c>
      <c r="K17" s="620">
        <v>1</v>
      </c>
      <c r="L17" s="620">
        <v>1</v>
      </c>
      <c r="M17" s="9">
        <v>2</v>
      </c>
      <c r="N17" s="185" t="str">
        <f t="shared" si="0"/>
        <v/>
      </c>
      <c r="O17" s="159">
        <f t="shared" si="1"/>
        <v>0.35859414261160716</v>
      </c>
      <c r="P17" s="63"/>
    </row>
    <row r="18" spans="1:16">
      <c r="A18" s="151" t="str">
        <f>Agriculture!A78</f>
        <v>Agriculture</v>
      </c>
      <c r="B18" s="34" t="str">
        <f>Agriculture!B78</f>
        <v>Agricultural greenhouse films (in use)</v>
      </c>
      <c r="C18" s="40" t="str">
        <f>Agriculture!C78</f>
        <v>EU</v>
      </c>
      <c r="D18" s="34" t="str">
        <f>Agriculture!D78</f>
        <v>PS</v>
      </c>
      <c r="E18" s="846">
        <f>Agriculture!E78</f>
        <v>0</v>
      </c>
      <c r="F18" s="232">
        <f>Agriculture!F78</f>
        <v>2</v>
      </c>
      <c r="G18" s="40" t="str">
        <f>Agriculture!G78</f>
        <v>Assessment of agricultural plastics and their sustainability: A call for action, 2021. . FAO. https://doi.org/10.4060/cb7856en</v>
      </c>
      <c r="H18" s="811"/>
      <c r="I18" s="620">
        <v>1</v>
      </c>
      <c r="J18" s="9">
        <v>2</v>
      </c>
      <c r="K18" s="620">
        <v>1</v>
      </c>
      <c r="L18" s="620">
        <v>1</v>
      </c>
      <c r="M18" s="9">
        <v>2</v>
      </c>
      <c r="N18" s="185" t="str">
        <f t="shared" si="0"/>
        <v/>
      </c>
      <c r="O18" s="159">
        <f t="shared" si="1"/>
        <v>0.35859414261160716</v>
      </c>
      <c r="P18" s="63"/>
    </row>
    <row r="19" spans="1:16">
      <c r="A19" s="151" t="str">
        <f>Agriculture!A79</f>
        <v>Agriculture</v>
      </c>
      <c r="B19" s="34" t="str">
        <f>Agriculture!B79</f>
        <v>Agricultural greenhouse films (in use)</v>
      </c>
      <c r="C19" s="40" t="str">
        <f>Agriculture!C79</f>
        <v>EU</v>
      </c>
      <c r="D19" s="34" t="str">
        <f>Agriculture!D79</f>
        <v>PP</v>
      </c>
      <c r="E19" s="846">
        <f>Agriculture!E79</f>
        <v>0</v>
      </c>
      <c r="F19" s="232">
        <f>Agriculture!F79</f>
        <v>2</v>
      </c>
      <c r="G19" s="40" t="str">
        <f>Agriculture!G79</f>
        <v>Assessment of agricultural plastics and their sustainability: A call for action, 2021. . FAO. https://doi.org/10.4060/cb7856en</v>
      </c>
      <c r="H19" s="811"/>
      <c r="I19" s="620">
        <v>1</v>
      </c>
      <c r="J19" s="9">
        <v>2</v>
      </c>
      <c r="K19" s="620">
        <v>1</v>
      </c>
      <c r="L19" s="620">
        <v>1</v>
      </c>
      <c r="M19" s="9">
        <v>2</v>
      </c>
      <c r="N19" s="185" t="str">
        <f t="shared" si="0"/>
        <v/>
      </c>
      <c r="O19" s="159">
        <f t="shared" si="1"/>
        <v>0.35859414261160716</v>
      </c>
      <c r="P19" s="63"/>
    </row>
    <row r="20" spans="1:16">
      <c r="A20" s="151" t="str">
        <f>Agriculture!A80</f>
        <v>Agriculture</v>
      </c>
      <c r="B20" s="34" t="str">
        <f>Agriculture!B80</f>
        <v>Agricultural greenhouse films (in use)</v>
      </c>
      <c r="C20" s="40" t="str">
        <f>Agriculture!C80</f>
        <v>EU</v>
      </c>
      <c r="D20" s="34" t="str">
        <f>Agriculture!D80</f>
        <v>LDPE</v>
      </c>
      <c r="E20" s="846">
        <f>Agriculture!E80</f>
        <v>1.5937522374961335E-2</v>
      </c>
      <c r="F20" s="232">
        <f>Agriculture!F80</f>
        <v>2</v>
      </c>
      <c r="G20" s="40" t="str">
        <f>Agriculture!G80</f>
        <v>Assessment of agricultural plastics and their sustainability: A call for action, 2021. . FAO. https://doi.org/10.4060/cb7856en</v>
      </c>
      <c r="H20" s="811"/>
      <c r="I20" s="620">
        <v>1</v>
      </c>
      <c r="J20" s="9">
        <v>2</v>
      </c>
      <c r="K20" s="620">
        <v>1</v>
      </c>
      <c r="L20" s="620">
        <v>1</v>
      </c>
      <c r="M20" s="9">
        <v>2</v>
      </c>
      <c r="N20" s="185" t="str">
        <f t="shared" si="0"/>
        <v/>
      </c>
      <c r="O20" s="159">
        <f t="shared" si="1"/>
        <v>0.35859414261160716</v>
      </c>
      <c r="P20" s="63"/>
    </row>
    <row r="21" spans="1:16">
      <c r="A21" s="151" t="str">
        <f>Agriculture!A81</f>
        <v>Agriculture</v>
      </c>
      <c r="B21" s="34" t="str">
        <f>Agriculture!B81</f>
        <v>Agricultural greenhouse films (in use)</v>
      </c>
      <c r="C21" s="40" t="str">
        <f>Agriculture!C81</f>
        <v>EU</v>
      </c>
      <c r="D21" s="34" t="str">
        <f>Agriculture!D81</f>
        <v>HDPE</v>
      </c>
      <c r="E21" s="846">
        <f>Agriculture!E81</f>
        <v>0</v>
      </c>
      <c r="F21" s="232">
        <f>Agriculture!F81</f>
        <v>2</v>
      </c>
      <c r="G21" s="40" t="str">
        <f>Agriculture!G81</f>
        <v>Assessment of agricultural plastics and their sustainability: A call for action, 2021. . FAO. https://doi.org/10.4060/cb7856en</v>
      </c>
      <c r="H21" s="811"/>
      <c r="I21" s="620">
        <v>1</v>
      </c>
      <c r="J21" s="9">
        <v>2</v>
      </c>
      <c r="K21" s="620">
        <v>1</v>
      </c>
      <c r="L21" s="620">
        <v>1</v>
      </c>
      <c r="M21" s="9">
        <v>2</v>
      </c>
      <c r="N21" s="185" t="str">
        <f t="shared" si="0"/>
        <v/>
      </c>
      <c r="O21" s="159">
        <f t="shared" si="1"/>
        <v>0.35859414261160716</v>
      </c>
      <c r="P21" s="63"/>
    </row>
    <row r="22" spans="1:16">
      <c r="A22" s="151" t="str">
        <f>Agriculture!A102</f>
        <v>Agriculture</v>
      </c>
      <c r="B22" s="34" t="str">
        <f>Agriculture!B102</f>
        <v>Agricultural mulching films</v>
      </c>
      <c r="C22" s="40" t="str">
        <f>Agriculture!C102</f>
        <v>NL</v>
      </c>
      <c r="D22" s="34" t="str">
        <f>Agriculture!D102</f>
        <v>PVC</v>
      </c>
      <c r="E22" s="846">
        <f>Agriculture!E102</f>
        <v>0.27195768865502412</v>
      </c>
      <c r="F22" s="232">
        <f>Agriculture!F102</f>
        <v>1</v>
      </c>
      <c r="G22" s="40" t="str">
        <f>Agriculture!G102</f>
        <v>Urbanus, J.H., Brunner, A., Boersma, A., Henke, S., Kooter, I., Lensen, S., Parker, L., Schwarz, A., Imhof, P., Dortmans, A., Wijngaard, M., 2022. Autobanden, verpakkingen en landbouwfolie zijn in Nederland de grootste bronnen van microplastics. TNO.</v>
      </c>
      <c r="H22" s="29">
        <v>1</v>
      </c>
      <c r="I22" s="9"/>
      <c r="J22" s="9">
        <v>2</v>
      </c>
      <c r="K22" s="9">
        <v>1</v>
      </c>
      <c r="L22" s="9">
        <v>1</v>
      </c>
      <c r="M22" s="9">
        <v>2</v>
      </c>
      <c r="N22" s="185">
        <f t="shared" si="0"/>
        <v>0.35859414261160716</v>
      </c>
      <c r="O22" s="159" t="str">
        <f t="shared" si="1"/>
        <v/>
      </c>
      <c r="P22" s="63"/>
    </row>
    <row r="23" spans="1:16">
      <c r="A23" s="151" t="str">
        <f>Agriculture!A103</f>
        <v>Agriculture</v>
      </c>
      <c r="B23" s="34" t="str">
        <f>Agriculture!B103</f>
        <v>Agricultural mulching films</v>
      </c>
      <c r="C23" s="40" t="str">
        <f>Agriculture!C103</f>
        <v>NL</v>
      </c>
      <c r="D23" s="34" t="str">
        <f>Agriculture!D103</f>
        <v>PS</v>
      </c>
      <c r="E23" s="846">
        <f>Agriculture!E103</f>
        <v>0</v>
      </c>
      <c r="F23" s="232">
        <f>Agriculture!F103</f>
        <v>1</v>
      </c>
      <c r="G23" s="40" t="str">
        <f>Agriculture!G103</f>
        <v>Urbanus, J.H., Brunner, A., Boersma, A., Henke, S., Kooter, I., Lensen, S., Parker, L., Schwarz, A., Imhof, P., Dortmans, A., Wijngaard, M., 2022. Autobanden, verpakkingen en landbouwfolie zijn in Nederland de grootste bronnen van microplastics. TNO.</v>
      </c>
      <c r="H23" s="29">
        <v>1</v>
      </c>
      <c r="I23" s="9"/>
      <c r="J23" s="9">
        <v>2</v>
      </c>
      <c r="K23" s="9">
        <v>1</v>
      </c>
      <c r="L23" s="9">
        <v>1</v>
      </c>
      <c r="M23" s="9">
        <v>2</v>
      </c>
      <c r="N23" s="185">
        <f t="shared" si="0"/>
        <v>0.35859414261160716</v>
      </c>
      <c r="O23" s="159" t="str">
        <f t="shared" si="1"/>
        <v/>
      </c>
      <c r="P23" s="63"/>
    </row>
    <row r="24" spans="1:16">
      <c r="A24" s="151" t="str">
        <f>Agriculture!A104</f>
        <v>Agriculture</v>
      </c>
      <c r="B24" s="34" t="str">
        <f>Agriculture!B104</f>
        <v>Agricultural mulching films</v>
      </c>
      <c r="C24" s="40" t="str">
        <f>Agriculture!C104</f>
        <v>NL</v>
      </c>
      <c r="D24" s="34" t="str">
        <f>Agriculture!D104</f>
        <v>PP</v>
      </c>
      <c r="E24" s="846">
        <f>Agriculture!E104</f>
        <v>0</v>
      </c>
      <c r="F24" s="232">
        <f>Agriculture!F104</f>
        <v>1</v>
      </c>
      <c r="G24" s="40" t="str">
        <f>Agriculture!G104</f>
        <v>Urbanus, J.H., Brunner, A., Boersma, A., Henke, S., Kooter, I., Lensen, S., Parker, L., Schwarz, A., Imhof, P., Dortmans, A., Wijngaard, M., 2022. Autobanden, verpakkingen en landbouwfolie zijn in Nederland de grootste bronnen van microplastics. TNO.</v>
      </c>
      <c r="H24" s="29">
        <v>1</v>
      </c>
      <c r="I24" s="9"/>
      <c r="J24" s="9">
        <v>2</v>
      </c>
      <c r="K24" s="9">
        <v>1</v>
      </c>
      <c r="L24" s="9">
        <v>1</v>
      </c>
      <c r="M24" s="9">
        <v>2</v>
      </c>
      <c r="N24" s="185">
        <f t="shared" si="0"/>
        <v>0.35859414261160716</v>
      </c>
      <c r="O24" s="159" t="str">
        <f t="shared" si="1"/>
        <v/>
      </c>
      <c r="P24" s="63"/>
    </row>
    <row r="25" spans="1:16">
      <c r="A25" s="151" t="str">
        <f>Agriculture!A105</f>
        <v>Agriculture</v>
      </c>
      <c r="B25" s="34" t="str">
        <f>Agriculture!B105</f>
        <v>Agricultural mulching films</v>
      </c>
      <c r="C25" s="40" t="str">
        <f>Agriculture!C105</f>
        <v>NL</v>
      </c>
      <c r="D25" s="34" t="str">
        <f>Agriculture!D105</f>
        <v>LDPE</v>
      </c>
      <c r="E25" s="846">
        <f>Agriculture!E105</f>
        <v>0.60554438373698527</v>
      </c>
      <c r="F25" s="232">
        <f>Agriculture!F105</f>
        <v>1</v>
      </c>
      <c r="G25" s="40" t="str">
        <f>Agriculture!G105</f>
        <v>Urbanus, J.H., Brunner, A., Boersma, A., Henke, S., Kooter, I., Lensen, S., Parker, L., Schwarz, A., Imhof, P., Dortmans, A., Wijngaard, M., 2022. Autobanden, verpakkingen en landbouwfolie zijn in Nederland de grootste bronnen van microplastics. TNO.</v>
      </c>
      <c r="H25" s="29">
        <v>1</v>
      </c>
      <c r="I25" s="9"/>
      <c r="J25" s="9">
        <v>2</v>
      </c>
      <c r="K25" s="9">
        <v>1</v>
      </c>
      <c r="L25" s="9">
        <v>1</v>
      </c>
      <c r="M25" s="9">
        <v>2</v>
      </c>
      <c r="N25" s="185">
        <f t="shared" si="0"/>
        <v>0.35859414261160716</v>
      </c>
      <c r="O25" s="159" t="str">
        <f t="shared" si="1"/>
        <v/>
      </c>
      <c r="P25" s="63"/>
    </row>
    <row r="26" spans="1:16">
      <c r="A26" s="151" t="str">
        <f>Agriculture!A106</f>
        <v>Agriculture</v>
      </c>
      <c r="B26" s="34" t="str">
        <f>Agriculture!B106</f>
        <v>Agricultural mulching films</v>
      </c>
      <c r="C26" s="40" t="str">
        <f>Agriculture!C106</f>
        <v>NL</v>
      </c>
      <c r="D26" s="34" t="str">
        <f>Agriculture!D106</f>
        <v>HDPE</v>
      </c>
      <c r="E26" s="846">
        <f>Agriculture!E106</f>
        <v>0</v>
      </c>
      <c r="F26" s="232">
        <f>Agriculture!F106</f>
        <v>1</v>
      </c>
      <c r="G26" s="40" t="str">
        <f>Agriculture!G106</f>
        <v>Urbanus, J.H., Brunner, A., Boersma, A., Henke, S., Kooter, I., Lensen, S., Parker, L., Schwarz, A., Imhof, P., Dortmans, A., Wijngaard, M., 2022. Autobanden, verpakkingen en landbouwfolie zijn in Nederland de grootste bronnen van microplastics. TNO.</v>
      </c>
      <c r="H26" s="29">
        <v>1</v>
      </c>
      <c r="I26" s="9"/>
      <c r="J26" s="9">
        <v>2</v>
      </c>
      <c r="K26" s="9">
        <v>1</v>
      </c>
      <c r="L26" s="9">
        <v>1</v>
      </c>
      <c r="M26" s="9">
        <v>2</v>
      </c>
      <c r="N26" s="185">
        <f t="shared" si="0"/>
        <v>0.35859414261160716</v>
      </c>
      <c r="O26" s="159" t="str">
        <f t="shared" si="1"/>
        <v/>
      </c>
      <c r="P26" s="63"/>
    </row>
    <row r="27" spans="1:16">
      <c r="A27" s="151" t="str">
        <f>Agriculture!A107</f>
        <v>Agriculture</v>
      </c>
      <c r="B27" s="34" t="str">
        <f>Agriculture!B107</f>
        <v>Agricultural mulching films</v>
      </c>
      <c r="C27" s="40" t="str">
        <f>Agriculture!C107</f>
        <v>EU</v>
      </c>
      <c r="D27" s="34" t="str">
        <f>Agriculture!D107</f>
        <v>PVC</v>
      </c>
      <c r="E27" s="846">
        <f>Agriculture!E107</f>
        <v>0.39542276466265769</v>
      </c>
      <c r="F27" s="232">
        <f>Agriculture!F107</f>
        <v>1</v>
      </c>
      <c r="G27" s="40" t="str">
        <f>Agriculture!G107</f>
        <v>Assessment of agricultural plastics and their sustainability: A call for action, 2021. . FAO. https://doi.org/10.4060/cb7856en</v>
      </c>
      <c r="H27" s="29"/>
      <c r="I27" s="9">
        <v>1</v>
      </c>
      <c r="J27" s="9">
        <v>2</v>
      </c>
      <c r="K27" s="9">
        <v>1</v>
      </c>
      <c r="L27" s="9">
        <v>1</v>
      </c>
      <c r="M27" s="9">
        <v>2</v>
      </c>
      <c r="N27" s="185" t="str">
        <f t="shared" si="0"/>
        <v/>
      </c>
      <c r="O27" s="159">
        <f t="shared" si="1"/>
        <v>0.35859414261160716</v>
      </c>
      <c r="P27" s="63"/>
    </row>
    <row r="28" spans="1:16">
      <c r="A28" s="151" t="str">
        <f>Agriculture!A108</f>
        <v>Agriculture</v>
      </c>
      <c r="B28" s="34" t="str">
        <f>Agriculture!B108</f>
        <v>Agricultural mulching films</v>
      </c>
      <c r="C28" s="40" t="str">
        <f>Agriculture!C108</f>
        <v>EU</v>
      </c>
      <c r="D28" s="34" t="str">
        <f>Agriculture!D108</f>
        <v>PS</v>
      </c>
      <c r="E28" s="846">
        <f>Agriculture!E108</f>
        <v>0</v>
      </c>
      <c r="F28" s="232">
        <f>Agriculture!F108</f>
        <v>1</v>
      </c>
      <c r="G28" s="40" t="str">
        <f>Agriculture!G108</f>
        <v>Assessment of agricultural plastics and their sustainability: A call for action, 2021. . FAO. https://doi.org/10.4060/cb7856en</v>
      </c>
      <c r="H28" s="29"/>
      <c r="I28" s="9">
        <v>1</v>
      </c>
      <c r="J28" s="9">
        <v>2</v>
      </c>
      <c r="K28" s="9">
        <v>1</v>
      </c>
      <c r="L28" s="9">
        <v>1</v>
      </c>
      <c r="M28" s="9">
        <v>2</v>
      </c>
      <c r="N28" s="185" t="str">
        <f t="shared" si="0"/>
        <v/>
      </c>
      <c r="O28" s="159">
        <f t="shared" si="1"/>
        <v>0.35859414261160716</v>
      </c>
      <c r="P28" s="63"/>
    </row>
    <row r="29" spans="1:16">
      <c r="A29" s="151" t="str">
        <f>Agriculture!A109</f>
        <v>Agriculture</v>
      </c>
      <c r="B29" s="34" t="str">
        <f>Agriculture!B109</f>
        <v>Agricultural mulching films</v>
      </c>
      <c r="C29" s="40" t="str">
        <f>Agriculture!C109</f>
        <v>EU</v>
      </c>
      <c r="D29" s="34" t="str">
        <f>Agriculture!D109</f>
        <v>PP</v>
      </c>
      <c r="E29" s="846">
        <f>Agriculture!E109</f>
        <v>0</v>
      </c>
      <c r="F29" s="232">
        <f>Agriculture!F109</f>
        <v>1</v>
      </c>
      <c r="G29" s="40" t="str">
        <f>Agriculture!G109</f>
        <v>Assessment of agricultural plastics and their sustainability: A call for action, 2021. . FAO. https://doi.org/10.4060/cb7856en</v>
      </c>
      <c r="H29" s="29"/>
      <c r="I29" s="9">
        <v>1</v>
      </c>
      <c r="J29" s="9">
        <v>2</v>
      </c>
      <c r="K29" s="9">
        <v>1</v>
      </c>
      <c r="L29" s="9">
        <v>1</v>
      </c>
      <c r="M29" s="9">
        <v>2</v>
      </c>
      <c r="N29" s="185" t="str">
        <f t="shared" si="0"/>
        <v/>
      </c>
      <c r="O29" s="159">
        <f t="shared" si="1"/>
        <v>0.35859414261160716</v>
      </c>
      <c r="P29" s="63"/>
    </row>
    <row r="30" spans="1:16">
      <c r="A30" s="151" t="str">
        <f>Agriculture!A110</f>
        <v>Agriculture</v>
      </c>
      <c r="B30" s="34" t="str">
        <f>Agriculture!B110</f>
        <v>Agricultural mulching films</v>
      </c>
      <c r="C30" s="40" t="str">
        <f>Agriculture!C110</f>
        <v>EU</v>
      </c>
      <c r="D30" s="34" t="str">
        <f>Agriculture!D110</f>
        <v>LDPE</v>
      </c>
      <c r="E30" s="846">
        <f>Agriculture!E110</f>
        <v>0.68011265147296251</v>
      </c>
      <c r="F30" s="232">
        <f>Agriculture!F110</f>
        <v>1</v>
      </c>
      <c r="G30" s="40" t="str">
        <f>Agriculture!G110</f>
        <v>Assessment of agricultural plastics and their sustainability: A call for action, 2021. . FAO. https://doi.org/10.4060/cb7856en</v>
      </c>
      <c r="H30" s="29"/>
      <c r="I30" s="9">
        <v>1</v>
      </c>
      <c r="J30" s="9">
        <v>2</v>
      </c>
      <c r="K30" s="9">
        <v>1</v>
      </c>
      <c r="L30" s="9">
        <v>1</v>
      </c>
      <c r="M30" s="9">
        <v>2</v>
      </c>
      <c r="N30" s="185" t="str">
        <f t="shared" si="0"/>
        <v/>
      </c>
      <c r="O30" s="159">
        <f t="shared" si="1"/>
        <v>0.35859414261160716</v>
      </c>
      <c r="P30" s="63"/>
    </row>
    <row r="31" spans="1:16">
      <c r="A31" s="151" t="str">
        <f>Agriculture!A111</f>
        <v>Agriculture</v>
      </c>
      <c r="B31" s="34" t="str">
        <f>Agriculture!B111</f>
        <v>Agricultural mulching films</v>
      </c>
      <c r="C31" s="40" t="str">
        <f>Agriculture!C111</f>
        <v>EU</v>
      </c>
      <c r="D31" s="34" t="str">
        <f>Agriculture!D111</f>
        <v>HDPE</v>
      </c>
      <c r="E31" s="846">
        <f>Agriculture!E111</f>
        <v>0</v>
      </c>
      <c r="F31" s="232">
        <f>Agriculture!F111</f>
        <v>1</v>
      </c>
      <c r="G31" s="40" t="str">
        <f>Agriculture!G111</f>
        <v>Assessment of agricultural plastics and their sustainability: A call for action, 2021. . FAO. https://doi.org/10.4060/cb7856en</v>
      </c>
      <c r="H31" s="29"/>
      <c r="I31" s="9">
        <v>1</v>
      </c>
      <c r="J31" s="9">
        <v>2</v>
      </c>
      <c r="K31" s="9">
        <v>1</v>
      </c>
      <c r="L31" s="9">
        <v>1</v>
      </c>
      <c r="M31" s="9">
        <v>2</v>
      </c>
      <c r="N31" s="185" t="str">
        <f t="shared" si="0"/>
        <v/>
      </c>
      <c r="O31" s="159">
        <f t="shared" si="1"/>
        <v>0.35859414261160716</v>
      </c>
      <c r="P31" s="63"/>
    </row>
    <row r="32" spans="1:16">
      <c r="A32" s="151" t="str">
        <f>Agriculture!A62</f>
        <v>Agriculture</v>
      </c>
      <c r="B32" s="34" t="str">
        <f>Agriculture!B62</f>
        <v>Agricultural other</v>
      </c>
      <c r="C32" s="40" t="str">
        <f>Agriculture!C62</f>
        <v>NL</v>
      </c>
      <c r="D32" s="34" t="str">
        <f>Agriculture!D62</f>
        <v>PVC</v>
      </c>
      <c r="E32" s="846">
        <f>Agriculture!E62</f>
        <v>0.2192024530360637</v>
      </c>
      <c r="F32" s="232">
        <f>Agriculture!F62</f>
        <v>2</v>
      </c>
      <c r="G32" s="40" t="str">
        <f>Agriculture!G62</f>
        <v>Urbanus, J.H., Brunner, A., Boersma, A., Henke, S., Kooter, I., Lensen, S., Parker, L., Schwarz, A., Imhof, P., Dortmans, A., Wijngaard, M., 2022. Autobanden, verpakkingen en landbouwfolie zijn in Nederland de grootste bronnen van microplastics. TNO.</v>
      </c>
      <c r="H32" s="29">
        <v>1</v>
      </c>
      <c r="I32" s="9"/>
      <c r="J32" s="9">
        <v>2</v>
      </c>
      <c r="K32" s="9">
        <v>1</v>
      </c>
      <c r="L32" s="9">
        <v>1</v>
      </c>
      <c r="M32" s="9">
        <v>2</v>
      </c>
      <c r="N32" s="185">
        <f t="shared" si="0"/>
        <v>0.35859414261160716</v>
      </c>
      <c r="O32" s="159" t="str">
        <f t="shared" si="1"/>
        <v/>
      </c>
      <c r="P32" s="63"/>
    </row>
    <row r="33" spans="1:16">
      <c r="A33" s="151" t="str">
        <f>Agriculture!A63</f>
        <v>Agriculture</v>
      </c>
      <c r="B33" s="34" t="str">
        <f>Agriculture!B63</f>
        <v>Agricultural other</v>
      </c>
      <c r="C33" s="40" t="str">
        <f>Agriculture!C63</f>
        <v>NL</v>
      </c>
      <c r="D33" s="34" t="str">
        <f>Agriculture!D63</f>
        <v>PS</v>
      </c>
      <c r="E33" s="846">
        <f>Agriculture!E63</f>
        <v>1</v>
      </c>
      <c r="F33" s="232">
        <f>Agriculture!F63</f>
        <v>2</v>
      </c>
      <c r="G33" s="40" t="str">
        <f>Agriculture!G63</f>
        <v>Urbanus, J.H., Brunner, A., Boersma, A., Henke, S., Kooter, I., Lensen, S., Parker, L., Schwarz, A., Imhof, P., Dortmans, A., Wijngaard, M., 2022. Autobanden, verpakkingen en landbouwfolie zijn in Nederland de grootste bronnen van microplastics. TNO.</v>
      </c>
      <c r="H33" s="29">
        <v>1</v>
      </c>
      <c r="I33" s="9"/>
      <c r="J33" s="9">
        <v>2</v>
      </c>
      <c r="K33" s="9">
        <v>1</v>
      </c>
      <c r="L33" s="9">
        <v>1</v>
      </c>
      <c r="M33" s="9">
        <v>2</v>
      </c>
      <c r="N33" s="185">
        <f t="shared" si="0"/>
        <v>0.35859414261160716</v>
      </c>
      <c r="O33" s="159" t="str">
        <f t="shared" si="1"/>
        <v/>
      </c>
      <c r="P33" s="63"/>
    </row>
    <row r="34" spans="1:16">
      <c r="A34" s="151" t="str">
        <f>Agriculture!A64</f>
        <v>Agriculture</v>
      </c>
      <c r="B34" s="34" t="str">
        <f>Agriculture!B64</f>
        <v>Agricultural other</v>
      </c>
      <c r="C34" s="40" t="str">
        <f>Agriculture!C64</f>
        <v>NL</v>
      </c>
      <c r="D34" s="34" t="str">
        <f>Agriculture!D64</f>
        <v>PP</v>
      </c>
      <c r="E34" s="846">
        <f>Agriculture!E64</f>
        <v>1</v>
      </c>
      <c r="F34" s="232">
        <f>Agriculture!F64</f>
        <v>2</v>
      </c>
      <c r="G34" s="40" t="str">
        <f>Agriculture!G64</f>
        <v>Urbanus, J.H., Brunner, A., Boersma, A., Henke, S., Kooter, I., Lensen, S., Parker, L., Schwarz, A., Imhof, P., Dortmans, A., Wijngaard, M., 2022. Autobanden, verpakkingen en landbouwfolie zijn in Nederland de grootste bronnen van microplastics. TNO.</v>
      </c>
      <c r="H34" s="29">
        <v>1</v>
      </c>
      <c r="I34" s="9"/>
      <c r="J34" s="9">
        <v>2</v>
      </c>
      <c r="K34" s="9">
        <v>1</v>
      </c>
      <c r="L34" s="9">
        <v>1</v>
      </c>
      <c r="M34" s="9">
        <v>2</v>
      </c>
      <c r="N34" s="185">
        <f t="shared" ref="N34:N65" si="2">IF( OR( ISBLANK(H34),ISBLANK(J34), ISBLANK(K34), ISBLANK(L34), ISBLANK(M34) ), "", 1.5*SQRT(   EXP(2.21*(H34-1)) + EXP(2.21*(J34-1)) + EXP(2.21*(K34-1)) + EXP(2.21*(L34-1)) + EXP(2.21*M34)   )/100*2.45 )</f>
        <v>0.35859414261160716</v>
      </c>
      <c r="O34" s="159" t="str">
        <f t="shared" ref="O34:O65" si="3">IF( OR( ISBLANK(I34),ISBLANK(J34), ISBLANK(K34), ISBLANK(L34), ISBLANK(M34) ), "", 1.5*SQRT( EXP(2.21*(I34-1)) + EXP(2.21*(J34-1)) + EXP(2.21*(K34-1)) + EXP(2.21*(L34-1)) + EXP(2.21*M34)   )/100*2.45 )</f>
        <v/>
      </c>
      <c r="P34" s="63"/>
    </row>
    <row r="35" spans="1:16">
      <c r="A35" s="151" t="str">
        <f>Agriculture!A65</f>
        <v>Agriculture</v>
      </c>
      <c r="B35" s="34" t="str">
        <f>Agriculture!B65</f>
        <v>Agricultural other</v>
      </c>
      <c r="C35" s="40" t="str">
        <f>Agriculture!C65</f>
        <v>NL</v>
      </c>
      <c r="D35" s="34" t="str">
        <f>Agriculture!D65</f>
        <v>LDPE</v>
      </c>
      <c r="E35" s="846">
        <f>Agriculture!E65</f>
        <v>8.6056019698713113E-2</v>
      </c>
      <c r="F35" s="232">
        <f>Agriculture!F65</f>
        <v>2</v>
      </c>
      <c r="G35" s="40" t="str">
        <f>Agriculture!G65</f>
        <v>Urbanus, J.H., Brunner, A., Boersma, A., Henke, S., Kooter, I., Lensen, S., Parker, L., Schwarz, A., Imhof, P., Dortmans, A., Wijngaard, M., 2022. Autobanden, verpakkingen en landbouwfolie zijn in Nederland de grootste bronnen van microplastics. TNO.</v>
      </c>
      <c r="H35" s="29">
        <v>1</v>
      </c>
      <c r="I35" s="9"/>
      <c r="J35" s="9">
        <v>2</v>
      </c>
      <c r="K35" s="9">
        <v>1</v>
      </c>
      <c r="L35" s="9">
        <v>1</v>
      </c>
      <c r="M35" s="9">
        <v>2</v>
      </c>
      <c r="N35" s="185">
        <f t="shared" si="2"/>
        <v>0.35859414261160716</v>
      </c>
      <c r="O35" s="159" t="str">
        <f t="shared" si="3"/>
        <v/>
      </c>
      <c r="P35" s="63"/>
    </row>
    <row r="36" spans="1:16">
      <c r="A36" s="151" t="str">
        <f>Agriculture!A66</f>
        <v>Agriculture</v>
      </c>
      <c r="B36" s="34" t="str">
        <f>Agriculture!B66</f>
        <v>Agricultural other</v>
      </c>
      <c r="C36" s="40" t="str">
        <f>Agriculture!C66</f>
        <v>NL</v>
      </c>
      <c r="D36" s="34" t="str">
        <f>Agriculture!D66</f>
        <v>HDPE</v>
      </c>
      <c r="E36" s="846">
        <f>Agriculture!E66</f>
        <v>0.39319670484919866</v>
      </c>
      <c r="F36" s="232">
        <f>Agriculture!F66</f>
        <v>2</v>
      </c>
      <c r="G36" s="40" t="str">
        <f>Agriculture!G66</f>
        <v>Urbanus, J.H., Brunner, A., Boersma, A., Henke, S., Kooter, I., Lensen, S., Parker, L., Schwarz, A., Imhof, P., Dortmans, A., Wijngaard, M., 2022. Autobanden, verpakkingen en landbouwfolie zijn in Nederland de grootste bronnen van microplastics. TNO.</v>
      </c>
      <c r="H36" s="29">
        <v>1</v>
      </c>
      <c r="I36" s="9"/>
      <c r="J36" s="9">
        <v>2</v>
      </c>
      <c r="K36" s="9">
        <v>1</v>
      </c>
      <c r="L36" s="9">
        <v>1</v>
      </c>
      <c r="M36" s="9">
        <v>2</v>
      </c>
      <c r="N36" s="185">
        <f t="shared" si="2"/>
        <v>0.35859414261160716</v>
      </c>
      <c r="O36" s="159" t="str">
        <f t="shared" si="3"/>
        <v/>
      </c>
      <c r="P36" s="63"/>
    </row>
    <row r="37" spans="1:16">
      <c r="A37" s="151" t="str">
        <f>Agriculture!A67</f>
        <v>Agriculture</v>
      </c>
      <c r="B37" s="34" t="str">
        <f>Agriculture!B67</f>
        <v>Agricultural other</v>
      </c>
      <c r="C37" s="40" t="str">
        <f>Agriculture!C67</f>
        <v>EU</v>
      </c>
      <c r="D37" s="34" t="str">
        <f>Agriculture!D67</f>
        <v>PVC</v>
      </c>
      <c r="E37" s="846">
        <f>Agriculture!E67</f>
        <v>0.32338771379945241</v>
      </c>
      <c r="F37" s="232">
        <f>Agriculture!F67</f>
        <v>2</v>
      </c>
      <c r="G37" s="40" t="str">
        <f>Agriculture!G67</f>
        <v>Assessment of agricultural plastics and their sustainability: A call for action, 2021. . FAO. https://doi.org/10.4060/cb7856en</v>
      </c>
      <c r="H37" s="29"/>
      <c r="I37" s="9">
        <v>1</v>
      </c>
      <c r="J37" s="9">
        <v>2</v>
      </c>
      <c r="K37" s="9">
        <v>1</v>
      </c>
      <c r="L37" s="9">
        <v>1</v>
      </c>
      <c r="M37" s="9">
        <v>2</v>
      </c>
      <c r="N37" s="185" t="str">
        <f t="shared" si="2"/>
        <v/>
      </c>
      <c r="O37" s="159">
        <f t="shared" si="3"/>
        <v>0.35859414261160716</v>
      </c>
      <c r="P37" s="63"/>
    </row>
    <row r="38" spans="1:16">
      <c r="A38" s="151" t="str">
        <f>Agriculture!A68</f>
        <v>Agriculture</v>
      </c>
      <c r="B38" s="34" t="str">
        <f>Agriculture!B68</f>
        <v>Agricultural other</v>
      </c>
      <c r="C38" s="40" t="str">
        <f>Agriculture!C68</f>
        <v>EU</v>
      </c>
      <c r="D38" s="34" t="str">
        <f>Agriculture!D68</f>
        <v>PS</v>
      </c>
      <c r="E38" s="846">
        <f>Agriculture!E68</f>
        <v>1</v>
      </c>
      <c r="F38" s="232">
        <f>Agriculture!F68</f>
        <v>2</v>
      </c>
      <c r="G38" s="40" t="str">
        <f>Agriculture!G68</f>
        <v>Assessment of agricultural plastics and their sustainability: A call for action, 2021. . FAO. https://doi.org/10.4060/cb7856en</v>
      </c>
      <c r="H38" s="29"/>
      <c r="I38" s="9">
        <v>1</v>
      </c>
      <c r="J38" s="9">
        <v>2</v>
      </c>
      <c r="K38" s="9">
        <v>1</v>
      </c>
      <c r="L38" s="9">
        <v>1</v>
      </c>
      <c r="M38" s="9">
        <v>2</v>
      </c>
      <c r="N38" s="185" t="str">
        <f t="shared" si="2"/>
        <v/>
      </c>
      <c r="O38" s="159">
        <f t="shared" si="3"/>
        <v>0.35859414261160716</v>
      </c>
      <c r="P38" s="63"/>
    </row>
    <row r="39" spans="1:16">
      <c r="A39" s="151" t="str">
        <f>Agriculture!A69</f>
        <v>Agriculture</v>
      </c>
      <c r="B39" s="34" t="str">
        <f>Agriculture!B69</f>
        <v>Agricultural other</v>
      </c>
      <c r="C39" s="40" t="str">
        <f>Agriculture!C69</f>
        <v>EU</v>
      </c>
      <c r="D39" s="34" t="str">
        <f>Agriculture!D69</f>
        <v>PP</v>
      </c>
      <c r="E39" s="846">
        <f>Agriculture!E69</f>
        <v>1</v>
      </c>
      <c r="F39" s="232">
        <f>Agriculture!F69</f>
        <v>2</v>
      </c>
      <c r="G39" s="40" t="str">
        <f>Agriculture!G69</f>
        <v>Assessment of agricultural plastics and their sustainability: A call for action, 2021. . FAO. https://doi.org/10.4060/cb7856en</v>
      </c>
      <c r="H39" s="29"/>
      <c r="I39" s="9">
        <v>1</v>
      </c>
      <c r="J39" s="9">
        <v>2</v>
      </c>
      <c r="K39" s="9">
        <v>1</v>
      </c>
      <c r="L39" s="9">
        <v>1</v>
      </c>
      <c r="M39" s="9">
        <v>2</v>
      </c>
      <c r="N39" s="185" t="str">
        <f t="shared" si="2"/>
        <v/>
      </c>
      <c r="O39" s="159">
        <f t="shared" si="3"/>
        <v>0.35859414261160716</v>
      </c>
      <c r="P39" s="63"/>
    </row>
    <row r="40" spans="1:16">
      <c r="A40" s="151" t="str">
        <f>Agriculture!A70</f>
        <v>Agriculture</v>
      </c>
      <c r="B40" s="34" t="str">
        <f>Agriculture!B70</f>
        <v>Agricultural other</v>
      </c>
      <c r="C40" s="40" t="str">
        <f>Agriculture!C70</f>
        <v>EU</v>
      </c>
      <c r="D40" s="34" t="str">
        <f>Agriculture!D70</f>
        <v>LDPE</v>
      </c>
      <c r="E40" s="846">
        <f>Agriculture!E70</f>
        <v>9.8069487929673418E-2</v>
      </c>
      <c r="F40" s="232">
        <f>Agriculture!F70</f>
        <v>2</v>
      </c>
      <c r="G40" s="40" t="str">
        <f>Agriculture!G70</f>
        <v>Assessment of agricultural plastics and their sustainability: A call for action, 2021. . FAO. https://doi.org/10.4060/cb7856en</v>
      </c>
      <c r="H40" s="29"/>
      <c r="I40" s="9">
        <v>1</v>
      </c>
      <c r="J40" s="9">
        <v>2</v>
      </c>
      <c r="K40" s="9">
        <v>1</v>
      </c>
      <c r="L40" s="9">
        <v>1</v>
      </c>
      <c r="M40" s="9">
        <v>2</v>
      </c>
      <c r="N40" s="185" t="str">
        <f t="shared" si="2"/>
        <v/>
      </c>
      <c r="O40" s="159">
        <f t="shared" si="3"/>
        <v>0.35859414261160716</v>
      </c>
      <c r="P40" s="63"/>
    </row>
    <row r="41" spans="1:16">
      <c r="A41" s="151" t="str">
        <f>Agriculture!A71</f>
        <v>Agriculture</v>
      </c>
      <c r="B41" s="34" t="str">
        <f>Agriculture!B71</f>
        <v>Agricultural other</v>
      </c>
      <c r="C41" s="40" t="str">
        <f>Agriculture!C71</f>
        <v>EU</v>
      </c>
      <c r="D41" s="34" t="str">
        <f>Agriculture!D71</f>
        <v>HDPE</v>
      </c>
      <c r="E41" s="846">
        <f>Agriculture!E71</f>
        <v>0.6993112144789928</v>
      </c>
      <c r="F41" s="232">
        <f>Agriculture!F71</f>
        <v>2</v>
      </c>
      <c r="G41" s="40" t="str">
        <f>Agriculture!G71</f>
        <v>Assessment of agricultural plastics and their sustainability: A call for action, 2021. . FAO. https://doi.org/10.4060/cb7856en</v>
      </c>
      <c r="H41" s="29"/>
      <c r="I41" s="9">
        <v>1</v>
      </c>
      <c r="J41" s="9">
        <v>2</v>
      </c>
      <c r="K41" s="9">
        <v>1</v>
      </c>
      <c r="L41" s="9">
        <v>1</v>
      </c>
      <c r="M41" s="9">
        <v>2</v>
      </c>
      <c r="N41" s="185" t="str">
        <f t="shared" si="2"/>
        <v/>
      </c>
      <c r="O41" s="159">
        <f t="shared" si="3"/>
        <v>0.35859414261160716</v>
      </c>
      <c r="P41" s="63"/>
    </row>
    <row r="42" spans="1:16">
      <c r="A42" s="151" t="s">
        <v>39</v>
      </c>
      <c r="B42" s="34" t="s">
        <v>138</v>
      </c>
      <c r="C42" s="40" t="s">
        <v>139</v>
      </c>
      <c r="D42" s="34" t="s">
        <v>85</v>
      </c>
      <c r="E42" s="257">
        <v>0</v>
      </c>
      <c r="F42" s="232">
        <v>1</v>
      </c>
      <c r="G42" s="40" t="s">
        <v>140</v>
      </c>
      <c r="H42" s="29"/>
      <c r="I42" s="9"/>
      <c r="J42" s="9"/>
      <c r="K42" s="9"/>
      <c r="L42" s="9"/>
      <c r="M42" s="9"/>
      <c r="N42" s="185" t="str">
        <f t="shared" si="2"/>
        <v/>
      </c>
      <c r="O42" s="159" t="str">
        <f t="shared" si="3"/>
        <v/>
      </c>
      <c r="P42" s="63"/>
    </row>
    <row r="43" spans="1:16">
      <c r="A43" s="151" t="s">
        <v>39</v>
      </c>
      <c r="B43" s="34" t="s">
        <v>138</v>
      </c>
      <c r="C43" s="40" t="s">
        <v>139</v>
      </c>
      <c r="D43" s="34" t="s">
        <v>86</v>
      </c>
      <c r="E43" s="257">
        <v>1.2200000000000001E-2</v>
      </c>
      <c r="F43" s="232">
        <v>1</v>
      </c>
      <c r="G43" s="40" t="s">
        <v>140</v>
      </c>
      <c r="H43" s="29">
        <v>2</v>
      </c>
      <c r="I43" s="9">
        <v>2</v>
      </c>
      <c r="J43" s="9">
        <v>2</v>
      </c>
      <c r="K43" s="9">
        <v>1</v>
      </c>
      <c r="L43" s="9">
        <v>1</v>
      </c>
      <c r="M43" s="9">
        <v>2</v>
      </c>
      <c r="N43" s="185">
        <f t="shared" si="2"/>
        <v>0.37356464144298934</v>
      </c>
      <c r="O43" s="159">
        <f t="shared" si="3"/>
        <v>0.37356464144298934</v>
      </c>
      <c r="P43" s="63"/>
    </row>
    <row r="44" spans="1:16">
      <c r="A44" s="151" t="s">
        <v>39</v>
      </c>
      <c r="B44" s="34" t="s">
        <v>138</v>
      </c>
      <c r="C44" s="40" t="s">
        <v>139</v>
      </c>
      <c r="D44" s="34" t="s">
        <v>87</v>
      </c>
      <c r="E44" s="257">
        <v>0</v>
      </c>
      <c r="F44" s="232">
        <v>1</v>
      </c>
      <c r="G44" s="40" t="s">
        <v>140</v>
      </c>
      <c r="H44" s="29"/>
      <c r="I44" s="9"/>
      <c r="J44" s="9"/>
      <c r="K44" s="9"/>
      <c r="L44" s="9"/>
      <c r="M44" s="9"/>
      <c r="N44" s="185" t="str">
        <f t="shared" si="2"/>
        <v/>
      </c>
      <c r="O44" s="159" t="str">
        <f t="shared" si="3"/>
        <v/>
      </c>
      <c r="P44" s="63"/>
    </row>
    <row r="45" spans="1:16">
      <c r="A45" s="151" t="s">
        <v>39</v>
      </c>
      <c r="B45" s="34" t="s">
        <v>138</v>
      </c>
      <c r="C45" s="40" t="s">
        <v>139</v>
      </c>
      <c r="D45" s="34" t="s">
        <v>88</v>
      </c>
      <c r="E45" s="257">
        <v>0</v>
      </c>
      <c r="F45" s="232">
        <v>1</v>
      </c>
      <c r="G45" s="40" t="s">
        <v>140</v>
      </c>
      <c r="H45" s="29"/>
      <c r="I45" s="9"/>
      <c r="J45" s="9"/>
      <c r="K45" s="9"/>
      <c r="L45" s="9"/>
      <c r="M45" s="9"/>
      <c r="N45" s="185" t="str">
        <f t="shared" si="2"/>
        <v/>
      </c>
      <c r="O45" s="159" t="str">
        <f t="shared" si="3"/>
        <v/>
      </c>
      <c r="P45" s="63"/>
    </row>
    <row r="46" spans="1:16">
      <c r="A46" s="151" t="s">
        <v>39</v>
      </c>
      <c r="B46" s="34" t="s">
        <v>138</v>
      </c>
      <c r="C46" s="40" t="s">
        <v>139</v>
      </c>
      <c r="D46" s="34" t="s">
        <v>89</v>
      </c>
      <c r="E46" s="257">
        <v>0</v>
      </c>
      <c r="F46" s="232">
        <v>1</v>
      </c>
      <c r="G46" s="40" t="s">
        <v>140</v>
      </c>
      <c r="H46" s="29"/>
      <c r="I46" s="9"/>
      <c r="J46" s="9"/>
      <c r="K46" s="9"/>
      <c r="L46" s="9"/>
      <c r="M46" s="9"/>
      <c r="N46" s="185" t="str">
        <f t="shared" si="2"/>
        <v/>
      </c>
      <c r="O46" s="159" t="str">
        <f t="shared" si="3"/>
        <v/>
      </c>
      <c r="P46" s="63"/>
    </row>
    <row r="47" spans="1:16">
      <c r="A47" s="151" t="s">
        <v>39</v>
      </c>
      <c r="B47" s="34" t="s">
        <v>138</v>
      </c>
      <c r="C47" s="40" t="s">
        <v>139</v>
      </c>
      <c r="D47" s="34" t="s">
        <v>90</v>
      </c>
      <c r="E47" s="257">
        <v>0</v>
      </c>
      <c r="F47" s="232">
        <v>1</v>
      </c>
      <c r="G47" s="40" t="s">
        <v>140</v>
      </c>
      <c r="H47" s="29"/>
      <c r="I47" s="9"/>
      <c r="J47" s="9"/>
      <c r="K47" s="9"/>
      <c r="L47" s="9"/>
      <c r="M47" s="9"/>
      <c r="N47" s="185" t="str">
        <f t="shared" si="2"/>
        <v/>
      </c>
      <c r="O47" s="159" t="str">
        <f t="shared" si="3"/>
        <v/>
      </c>
      <c r="P47" s="63"/>
    </row>
    <row r="48" spans="1:16">
      <c r="A48" s="151" t="s">
        <v>39</v>
      </c>
      <c r="B48" s="34" t="s">
        <v>138</v>
      </c>
      <c r="C48" s="40" t="s">
        <v>139</v>
      </c>
      <c r="D48" s="34" t="s">
        <v>91</v>
      </c>
      <c r="E48" s="257">
        <v>0</v>
      </c>
      <c r="F48" s="232">
        <v>1</v>
      </c>
      <c r="G48" s="40" t="s">
        <v>140</v>
      </c>
      <c r="H48" s="29"/>
      <c r="I48" s="9"/>
      <c r="J48" s="9"/>
      <c r="K48" s="9"/>
      <c r="L48" s="9"/>
      <c r="M48" s="9"/>
      <c r="N48" s="185" t="str">
        <f t="shared" si="2"/>
        <v/>
      </c>
      <c r="O48" s="159" t="str">
        <f t="shared" si="3"/>
        <v/>
      </c>
      <c r="P48" s="63"/>
    </row>
    <row r="49" spans="1:16">
      <c r="A49" s="151" t="s">
        <v>39</v>
      </c>
      <c r="B49" s="34" t="s">
        <v>138</v>
      </c>
      <c r="C49" s="40" t="s">
        <v>139</v>
      </c>
      <c r="D49" s="34" t="s">
        <v>98</v>
      </c>
      <c r="E49" s="257">
        <v>0</v>
      </c>
      <c r="F49" s="232">
        <v>1</v>
      </c>
      <c r="G49" s="40" t="s">
        <v>141</v>
      </c>
      <c r="H49" s="29"/>
      <c r="I49" s="9"/>
      <c r="J49" s="9"/>
      <c r="K49" s="9"/>
      <c r="L49" s="9"/>
      <c r="M49" s="9"/>
      <c r="N49" s="185" t="str">
        <f t="shared" si="2"/>
        <v/>
      </c>
      <c r="O49" s="159" t="str">
        <f t="shared" si="3"/>
        <v/>
      </c>
      <c r="P49" s="63"/>
    </row>
    <row r="50" spans="1:16">
      <c r="A50" s="151" t="s">
        <v>39</v>
      </c>
      <c r="B50" s="34" t="s">
        <v>142</v>
      </c>
      <c r="C50" s="40" t="s">
        <v>139</v>
      </c>
      <c r="D50" s="34" t="s">
        <v>85</v>
      </c>
      <c r="E50" s="257">
        <v>3.2899999999999999E-2</v>
      </c>
      <c r="F50" s="232">
        <v>1</v>
      </c>
      <c r="G50" s="40" t="s">
        <v>140</v>
      </c>
      <c r="H50" s="29">
        <v>2</v>
      </c>
      <c r="I50" s="9">
        <v>2</v>
      </c>
      <c r="J50" s="9">
        <v>2</v>
      </c>
      <c r="K50" s="9">
        <v>1</v>
      </c>
      <c r="L50" s="9">
        <v>1</v>
      </c>
      <c r="M50" s="9">
        <v>2</v>
      </c>
      <c r="N50" s="185">
        <f t="shared" si="2"/>
        <v>0.37356464144298934</v>
      </c>
      <c r="O50" s="159">
        <f t="shared" si="3"/>
        <v>0.37356464144298934</v>
      </c>
      <c r="P50" s="63"/>
    </row>
    <row r="51" spans="1:16">
      <c r="A51" s="151" t="s">
        <v>39</v>
      </c>
      <c r="B51" s="34" t="s">
        <v>142</v>
      </c>
      <c r="C51" s="40" t="s">
        <v>139</v>
      </c>
      <c r="D51" s="34" t="s">
        <v>86</v>
      </c>
      <c r="E51" s="257">
        <v>0</v>
      </c>
      <c r="F51" s="232">
        <v>1</v>
      </c>
      <c r="G51" s="40" t="s">
        <v>140</v>
      </c>
      <c r="H51" s="29"/>
      <c r="I51" s="9"/>
      <c r="J51" s="9"/>
      <c r="K51" s="9"/>
      <c r="L51" s="9"/>
      <c r="M51" s="9"/>
      <c r="N51" s="185" t="str">
        <f t="shared" si="2"/>
        <v/>
      </c>
      <c r="O51" s="159" t="str">
        <f t="shared" si="3"/>
        <v/>
      </c>
      <c r="P51" s="63"/>
    </row>
    <row r="52" spans="1:16">
      <c r="A52" s="151" t="s">
        <v>39</v>
      </c>
      <c r="B52" s="34" t="s">
        <v>142</v>
      </c>
      <c r="C52" s="40" t="s">
        <v>139</v>
      </c>
      <c r="D52" s="34" t="s">
        <v>87</v>
      </c>
      <c r="E52" s="257">
        <v>2.58E-2</v>
      </c>
      <c r="F52" s="232">
        <v>1</v>
      </c>
      <c r="G52" s="40" t="s">
        <v>140</v>
      </c>
      <c r="H52" s="29">
        <v>2</v>
      </c>
      <c r="I52" s="9">
        <v>2</v>
      </c>
      <c r="J52" s="9">
        <v>2</v>
      </c>
      <c r="K52" s="9">
        <v>1</v>
      </c>
      <c r="L52" s="9">
        <v>1</v>
      </c>
      <c r="M52" s="9">
        <v>2</v>
      </c>
      <c r="N52" s="185">
        <f t="shared" si="2"/>
        <v>0.37356464144298934</v>
      </c>
      <c r="O52" s="159">
        <f t="shared" si="3"/>
        <v>0.37356464144298934</v>
      </c>
      <c r="P52" s="63"/>
    </row>
    <row r="53" spans="1:16">
      <c r="A53" s="151" t="s">
        <v>39</v>
      </c>
      <c r="B53" s="34" t="s">
        <v>142</v>
      </c>
      <c r="C53" s="40" t="s">
        <v>139</v>
      </c>
      <c r="D53" s="34" t="s">
        <v>88</v>
      </c>
      <c r="E53" s="257">
        <v>0</v>
      </c>
      <c r="F53" s="232">
        <v>1</v>
      </c>
      <c r="G53" s="40" t="s">
        <v>140</v>
      </c>
      <c r="H53" s="29"/>
      <c r="I53" s="9"/>
      <c r="J53" s="9"/>
      <c r="K53" s="9"/>
      <c r="L53" s="9"/>
      <c r="M53" s="9"/>
      <c r="N53" s="185" t="str">
        <f t="shared" si="2"/>
        <v/>
      </c>
      <c r="O53" s="159" t="str">
        <f t="shared" si="3"/>
        <v/>
      </c>
      <c r="P53" s="63"/>
    </row>
    <row r="54" spans="1:16">
      <c r="A54" s="151" t="s">
        <v>39</v>
      </c>
      <c r="B54" s="34" t="s">
        <v>142</v>
      </c>
      <c r="C54" s="40" t="s">
        <v>139</v>
      </c>
      <c r="D54" s="34" t="s">
        <v>89</v>
      </c>
      <c r="E54" s="257">
        <v>0</v>
      </c>
      <c r="F54" s="232">
        <v>1</v>
      </c>
      <c r="G54" s="40" t="s">
        <v>140</v>
      </c>
      <c r="H54" s="29"/>
      <c r="I54" s="9"/>
      <c r="J54" s="9"/>
      <c r="K54" s="9"/>
      <c r="L54" s="9"/>
      <c r="M54" s="9"/>
      <c r="N54" s="185" t="str">
        <f t="shared" si="2"/>
        <v/>
      </c>
      <c r="O54" s="159" t="str">
        <f t="shared" si="3"/>
        <v/>
      </c>
      <c r="P54" s="63"/>
    </row>
    <row r="55" spans="1:16">
      <c r="A55" s="151" t="s">
        <v>39</v>
      </c>
      <c r="B55" s="34" t="s">
        <v>142</v>
      </c>
      <c r="C55" s="40" t="s">
        <v>139</v>
      </c>
      <c r="D55" s="34" t="s">
        <v>90</v>
      </c>
      <c r="E55" s="257">
        <v>0</v>
      </c>
      <c r="F55" s="232">
        <v>1</v>
      </c>
      <c r="G55" s="40" t="s">
        <v>140</v>
      </c>
      <c r="H55" s="29"/>
      <c r="I55" s="9"/>
      <c r="J55" s="9"/>
      <c r="K55" s="9"/>
      <c r="L55" s="9"/>
      <c r="M55" s="9"/>
      <c r="N55" s="185" t="str">
        <f t="shared" si="2"/>
        <v/>
      </c>
      <c r="O55" s="159" t="str">
        <f t="shared" si="3"/>
        <v/>
      </c>
      <c r="P55" s="63"/>
    </row>
    <row r="56" spans="1:16">
      <c r="A56" s="151" t="s">
        <v>39</v>
      </c>
      <c r="B56" s="34" t="s">
        <v>142</v>
      </c>
      <c r="C56" s="40" t="s">
        <v>139</v>
      </c>
      <c r="D56" s="34" t="s">
        <v>91</v>
      </c>
      <c r="E56" s="257">
        <v>0</v>
      </c>
      <c r="F56" s="232">
        <v>1</v>
      </c>
      <c r="G56" s="40" t="s">
        <v>140</v>
      </c>
      <c r="H56" s="29"/>
      <c r="I56" s="9"/>
      <c r="J56" s="9"/>
      <c r="K56" s="9"/>
      <c r="L56" s="9"/>
      <c r="M56" s="9"/>
      <c r="N56" s="185" t="str">
        <f t="shared" si="2"/>
        <v/>
      </c>
      <c r="O56" s="159" t="str">
        <f t="shared" si="3"/>
        <v/>
      </c>
      <c r="P56" s="63"/>
    </row>
    <row r="57" spans="1:16">
      <c r="A57" s="151" t="s">
        <v>39</v>
      </c>
      <c r="B57" s="34" t="s">
        <v>142</v>
      </c>
      <c r="C57" s="40" t="s">
        <v>139</v>
      </c>
      <c r="D57" s="34" t="s">
        <v>98</v>
      </c>
      <c r="E57" s="257">
        <v>1.3310580204778157E-2</v>
      </c>
      <c r="F57" s="232">
        <v>1</v>
      </c>
      <c r="G57" s="40" t="s">
        <v>141</v>
      </c>
      <c r="H57" s="29">
        <v>2</v>
      </c>
      <c r="I57" s="9">
        <v>1</v>
      </c>
      <c r="J57" s="9">
        <v>2</v>
      </c>
      <c r="K57" s="9">
        <v>2</v>
      </c>
      <c r="L57" s="9">
        <v>1</v>
      </c>
      <c r="M57" s="9">
        <v>2</v>
      </c>
      <c r="N57" s="185">
        <f t="shared" si="2"/>
        <v>0.38795788889711302</v>
      </c>
      <c r="O57" s="159">
        <f t="shared" si="3"/>
        <v>0.37356464144298934</v>
      </c>
      <c r="P57" s="63"/>
    </row>
    <row r="58" spans="1:16">
      <c r="A58" s="151" t="str">
        <f>Agriculture!A52</f>
        <v>Agriculture</v>
      </c>
      <c r="B58" s="34" t="str">
        <f>Agriculture!B52</f>
        <v>Agricultural pipes (discarded)</v>
      </c>
      <c r="C58" s="40" t="str">
        <f>Agriculture!C52</f>
        <v>NL</v>
      </c>
      <c r="D58" s="34" t="str">
        <f>Agriculture!D52</f>
        <v>PVC</v>
      </c>
      <c r="E58" s="846">
        <f>Agriculture!E52</f>
        <v>0.40710942904980374</v>
      </c>
      <c r="F58" s="232">
        <f>Agriculture!F52</f>
        <v>2</v>
      </c>
      <c r="G58" s="40" t="str">
        <f>Agriculture!G52</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 t="shared" si="2"/>
        <v>0.35859414261160716</v>
      </c>
      <c r="O58" s="159" t="str">
        <f t="shared" si="3"/>
        <v/>
      </c>
      <c r="P58" s="63"/>
    </row>
    <row r="59" spans="1:16">
      <c r="A59" s="151" t="str">
        <f>Agriculture!A53</f>
        <v>Agriculture</v>
      </c>
      <c r="B59" s="34" t="str">
        <f>Agriculture!B53</f>
        <v>Agricultural pipes (discarded)</v>
      </c>
      <c r="C59" s="40" t="str">
        <f>Agriculture!C53</f>
        <v>NL</v>
      </c>
      <c r="D59" s="34" t="str">
        <f>Agriculture!D53</f>
        <v>PS</v>
      </c>
      <c r="E59" s="846">
        <f>Agriculture!E53</f>
        <v>0</v>
      </c>
      <c r="F59" s="232">
        <f>Agriculture!F53</f>
        <v>2</v>
      </c>
      <c r="G59" s="40" t="str">
        <f>Agriculture!G53</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 t="shared" si="2"/>
        <v>0.35859414261160716</v>
      </c>
      <c r="O59" s="159" t="str">
        <f t="shared" si="3"/>
        <v/>
      </c>
      <c r="P59" s="63"/>
    </row>
    <row r="60" spans="1:16">
      <c r="A60" s="151" t="str">
        <f>Agriculture!A54</f>
        <v>Agriculture</v>
      </c>
      <c r="B60" s="34" t="str">
        <f>Agriculture!B54</f>
        <v>Agricultural pipes (discarded)</v>
      </c>
      <c r="C60" s="40" t="str">
        <f>Agriculture!C54</f>
        <v>NL</v>
      </c>
      <c r="D60" s="34" t="str">
        <f>Agriculture!D54</f>
        <v>PP</v>
      </c>
      <c r="E60" s="846">
        <f>Agriculture!E54</f>
        <v>0</v>
      </c>
      <c r="F60" s="232">
        <f>Agriculture!F54</f>
        <v>2</v>
      </c>
      <c r="G60" s="40" t="str">
        <f>Agriculture!G54</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 t="shared" si="2"/>
        <v>0.35859414261160716</v>
      </c>
      <c r="O60" s="159" t="str">
        <f t="shared" si="3"/>
        <v/>
      </c>
      <c r="P60" s="63"/>
    </row>
    <row r="61" spans="1:16">
      <c r="A61" s="151" t="str">
        <f>Agriculture!A55</f>
        <v>Agriculture</v>
      </c>
      <c r="B61" s="34" t="str">
        <f>Agriculture!B55</f>
        <v>Agricultural pipes (discarded)</v>
      </c>
      <c r="C61" s="40" t="str">
        <f>Agriculture!C55</f>
        <v>NL</v>
      </c>
      <c r="D61" s="34" t="str">
        <f>Agriculture!D55</f>
        <v>LDPE</v>
      </c>
      <c r="E61" s="846">
        <f>Agriculture!E55</f>
        <v>0.14312762142097193</v>
      </c>
      <c r="F61" s="232">
        <f>Agriculture!F55</f>
        <v>2</v>
      </c>
      <c r="G61" s="40" t="str">
        <f>Agriculture!G55</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 t="shared" si="2"/>
        <v>0.35859414261160716</v>
      </c>
      <c r="O61" s="159" t="str">
        <f t="shared" si="3"/>
        <v/>
      </c>
      <c r="P61" s="63"/>
    </row>
    <row r="62" spans="1:16">
      <c r="A62" s="151" t="str">
        <f>Agriculture!A56</f>
        <v>Agriculture</v>
      </c>
      <c r="B62" s="34" t="str">
        <f>Agriculture!B56</f>
        <v>Agricultural pipes (discarded)</v>
      </c>
      <c r="C62" s="40" t="str">
        <f>Agriculture!C56</f>
        <v>NL</v>
      </c>
      <c r="D62" s="34" t="str">
        <f>Agriculture!D56</f>
        <v>HDPE</v>
      </c>
      <c r="E62" s="846">
        <f>Agriculture!E56</f>
        <v>0.56173601441995114</v>
      </c>
      <c r="F62" s="232">
        <f>Agriculture!F56</f>
        <v>2</v>
      </c>
      <c r="G62" s="40" t="str">
        <f>Agriculture!G56</f>
        <v>Urbanus, J.H., Brunner, A., Boersma, A., Henke, S., Kooter, I., Lensen, S., Parker, L., Schwarz, A., Imhof, P., Dortmans, A., Wijngaard, M., 2022. Autobanden, verpakkingen en landbouwfolie zijn in Nederland de grootste bronnen van microplastics. TNO.</v>
      </c>
      <c r="H62" s="29">
        <v>1</v>
      </c>
      <c r="I62" s="9"/>
      <c r="J62" s="9">
        <v>2</v>
      </c>
      <c r="K62" s="9">
        <v>1</v>
      </c>
      <c r="L62" s="9">
        <v>1</v>
      </c>
      <c r="M62" s="9">
        <v>2</v>
      </c>
      <c r="N62" s="185">
        <f t="shared" si="2"/>
        <v>0.35859414261160716</v>
      </c>
      <c r="O62" s="159" t="str">
        <f t="shared" si="3"/>
        <v/>
      </c>
      <c r="P62" s="63"/>
    </row>
    <row r="63" spans="1:16">
      <c r="A63" s="151" t="str">
        <f>Agriculture!A57</f>
        <v>Agriculture</v>
      </c>
      <c r="B63" s="34" t="str">
        <f>Agriculture!B57</f>
        <v>Agricultural pipes (discarded)</v>
      </c>
      <c r="C63" s="40" t="str">
        <f>Agriculture!C57</f>
        <v>EU</v>
      </c>
      <c r="D63" s="34" t="str">
        <f>Agriculture!D57</f>
        <v>PVC</v>
      </c>
      <c r="E63" s="846">
        <f>Agriculture!E57</f>
        <v>0.16733929871138836</v>
      </c>
      <c r="F63" s="232">
        <f>Agriculture!F57</f>
        <v>2</v>
      </c>
      <c r="G63" s="40" t="str">
        <f>Agriculture!G57</f>
        <v>Assessment of agricultural plastics and their sustainability: A call for action, 2021. . FAO. https://doi.org/10.4060/cb7856en</v>
      </c>
      <c r="H63" s="29"/>
      <c r="I63" s="9">
        <v>1</v>
      </c>
      <c r="J63" s="9">
        <v>2</v>
      </c>
      <c r="K63" s="9">
        <v>1</v>
      </c>
      <c r="L63" s="9">
        <v>1</v>
      </c>
      <c r="M63" s="9">
        <v>2</v>
      </c>
      <c r="N63" s="185" t="str">
        <f t="shared" si="2"/>
        <v/>
      </c>
      <c r="O63" s="159">
        <f t="shared" si="3"/>
        <v>0.35859414261160716</v>
      </c>
      <c r="P63" s="63"/>
    </row>
    <row r="64" spans="1:16">
      <c r="A64" s="151" t="str">
        <f>Agriculture!A58</f>
        <v>Agriculture</v>
      </c>
      <c r="B64" s="34" t="str">
        <f>Agriculture!B58</f>
        <v>Agricultural pipes (discarded)</v>
      </c>
      <c r="C64" s="40" t="str">
        <f>Agriculture!C58</f>
        <v>EU</v>
      </c>
      <c r="D64" s="34" t="str">
        <f>Agriculture!D58</f>
        <v>PS</v>
      </c>
      <c r="E64" s="846">
        <f>Agriculture!E58</f>
        <v>0</v>
      </c>
      <c r="F64" s="232">
        <f>Agriculture!F58</f>
        <v>2</v>
      </c>
      <c r="G64" s="40" t="str">
        <f>Agriculture!G58</f>
        <v>Assessment of agricultural plastics and their sustainability: A call for action, 2021. . FAO. https://doi.org/10.4060/cb7856en</v>
      </c>
      <c r="H64" s="29"/>
      <c r="I64" s="9">
        <v>1</v>
      </c>
      <c r="J64" s="9">
        <v>2</v>
      </c>
      <c r="K64" s="9">
        <v>1</v>
      </c>
      <c r="L64" s="9">
        <v>1</v>
      </c>
      <c r="M64" s="9">
        <v>2</v>
      </c>
      <c r="N64" s="185" t="str">
        <f t="shared" si="2"/>
        <v/>
      </c>
      <c r="O64" s="159">
        <f t="shared" si="3"/>
        <v>0.35859414261160716</v>
      </c>
      <c r="P64" s="63"/>
    </row>
    <row r="65" spans="1:16">
      <c r="A65" s="151" t="str">
        <f>Agriculture!A59</f>
        <v>Agriculture</v>
      </c>
      <c r="B65" s="34" t="str">
        <f>Agriculture!B59</f>
        <v>Agricultural pipes (discarded)</v>
      </c>
      <c r="C65" s="40" t="str">
        <f>Agriculture!C59</f>
        <v>EU</v>
      </c>
      <c r="D65" s="34" t="str">
        <f>Agriculture!D59</f>
        <v>PP</v>
      </c>
      <c r="E65" s="846">
        <f>Agriculture!E59</f>
        <v>0</v>
      </c>
      <c r="F65" s="232">
        <f>Agriculture!F59</f>
        <v>2</v>
      </c>
      <c r="G65" s="40" t="str">
        <f>Agriculture!G59</f>
        <v>Assessment of agricultural plastics and their sustainability: A call for action, 2021. . FAO. https://doi.org/10.4060/cb7856en</v>
      </c>
      <c r="H65" s="29"/>
      <c r="I65" s="9">
        <v>1</v>
      </c>
      <c r="J65" s="9">
        <v>2</v>
      </c>
      <c r="K65" s="9">
        <v>1</v>
      </c>
      <c r="L65" s="9">
        <v>1</v>
      </c>
      <c r="M65" s="9">
        <v>2</v>
      </c>
      <c r="N65" s="185" t="str">
        <f t="shared" si="2"/>
        <v/>
      </c>
      <c r="O65" s="159">
        <f t="shared" si="3"/>
        <v>0.35859414261160716</v>
      </c>
      <c r="P65" s="63"/>
    </row>
    <row r="66" spans="1:16">
      <c r="A66" s="151" t="str">
        <f>Agriculture!A60</f>
        <v>Agriculture</v>
      </c>
      <c r="B66" s="34" t="str">
        <f>Agriculture!B60</f>
        <v>Agricultural pipes (discarded)</v>
      </c>
      <c r="C66" s="40" t="str">
        <f>Agriculture!C60</f>
        <v>EU</v>
      </c>
      <c r="D66" s="34" t="str">
        <f>Agriculture!D60</f>
        <v>LDPE</v>
      </c>
      <c r="E66" s="846">
        <f>Agriculture!E60</f>
        <v>4.5444861462717513E-2</v>
      </c>
      <c r="F66" s="232">
        <f>Agriculture!F60</f>
        <v>2</v>
      </c>
      <c r="G66" s="40" t="str">
        <f>Agriculture!G60</f>
        <v>Assessment of agricultural plastics and their sustainability: A call for action, 2021. . FAO. https://doi.org/10.4060/cb7856en</v>
      </c>
      <c r="H66" s="29"/>
      <c r="I66" s="9">
        <v>1</v>
      </c>
      <c r="J66" s="9">
        <v>2</v>
      </c>
      <c r="K66" s="9">
        <v>1</v>
      </c>
      <c r="L66" s="9">
        <v>1</v>
      </c>
      <c r="M66" s="9">
        <v>2</v>
      </c>
      <c r="N66" s="185" t="str">
        <f t="shared" ref="N66:N77" si="4">IF( OR( ISBLANK(H66),ISBLANK(J66), ISBLANK(K66), ISBLANK(L66), ISBLANK(M66) ), "", 1.5*SQRT(   EXP(2.21*(H66-1)) + EXP(2.21*(J66-1)) + EXP(2.21*(K66-1)) + EXP(2.21*(L66-1)) + EXP(2.21*M66)   )/100*2.45 )</f>
        <v/>
      </c>
      <c r="O66" s="159">
        <f t="shared" ref="O66:O77" si="5">IF( OR( ISBLANK(I66),ISBLANK(J66), ISBLANK(K66), ISBLANK(L66), ISBLANK(M66) ), "", 1.5*SQRT( EXP(2.21*(I66-1)) + EXP(2.21*(J66-1)) + EXP(2.21*(K66-1)) + EXP(2.21*(L66-1)) + EXP(2.21*M66)   )/100*2.45 )</f>
        <v>0.35859414261160716</v>
      </c>
      <c r="P66" s="63"/>
    </row>
    <row r="67" spans="1:16">
      <c r="A67" s="151" t="str">
        <f>Agriculture!A61</f>
        <v>Agriculture</v>
      </c>
      <c r="B67" s="34" t="str">
        <f>Agriculture!B61</f>
        <v>Agricultural pipes (discarded)</v>
      </c>
      <c r="C67" s="40" t="str">
        <f>Agriculture!C61</f>
        <v>EU</v>
      </c>
      <c r="D67" s="34" t="str">
        <f>Agriculture!D61</f>
        <v>HDPE</v>
      </c>
      <c r="E67" s="846">
        <f>Agriculture!E61</f>
        <v>0.27835662942036199</v>
      </c>
      <c r="F67" s="232">
        <f>Agriculture!F61</f>
        <v>2</v>
      </c>
      <c r="G67" s="40" t="str">
        <f>Agriculture!G61</f>
        <v>Assessment of agricultural plastics and their sustainability: A call for action, 2021. . FAO. https://doi.org/10.4060/cb7856en</v>
      </c>
      <c r="H67" s="29"/>
      <c r="I67" s="9">
        <v>1</v>
      </c>
      <c r="J67" s="9">
        <v>2</v>
      </c>
      <c r="K67" s="9">
        <v>1</v>
      </c>
      <c r="L67" s="9">
        <v>1</v>
      </c>
      <c r="M67" s="9">
        <v>2</v>
      </c>
      <c r="N67" s="185" t="str">
        <f t="shared" si="4"/>
        <v/>
      </c>
      <c r="O67" s="159">
        <f t="shared" si="5"/>
        <v>0.35859414261160716</v>
      </c>
      <c r="P67" s="63"/>
    </row>
    <row r="68" spans="1:16">
      <c r="A68" s="151" t="str">
        <f>Agriculture!A82</f>
        <v>Agriculture</v>
      </c>
      <c r="B68" s="34" t="str">
        <f>Agriculture!B82</f>
        <v>Agricultural pipes (in use)</v>
      </c>
      <c r="C68" s="40" t="str">
        <f>Agriculture!C82</f>
        <v>NL</v>
      </c>
      <c r="D68" s="34" t="str">
        <f>Agriculture!D82</f>
        <v>PVC</v>
      </c>
      <c r="E68" s="846">
        <f>Agriculture!E82</f>
        <v>3.2661809918149924E-2</v>
      </c>
      <c r="F68" s="232">
        <f>Agriculture!F82</f>
        <v>2</v>
      </c>
      <c r="G68" s="40" t="str">
        <f>Agriculture!G82</f>
        <v>Urbanus, J.H., Brunner, A., Boersma, A., Henke, S., Kooter, I., Lensen, S., Parker, L., Schwarz, A., Imhof, P., Dortmans, A., Wijngaard, M., 2022. Autobanden, verpakkingen en landbouwfolie zijn in Nederland de grootste bronnen van microplastics. TNO.</v>
      </c>
      <c r="H68" s="811">
        <v>1</v>
      </c>
      <c r="I68" s="620"/>
      <c r="J68" s="9">
        <v>2</v>
      </c>
      <c r="K68" s="620">
        <v>1</v>
      </c>
      <c r="L68" s="620">
        <v>1</v>
      </c>
      <c r="M68" s="9">
        <v>2</v>
      </c>
      <c r="N68" s="185">
        <f t="shared" si="4"/>
        <v>0.35859414261160716</v>
      </c>
      <c r="O68" s="159" t="str">
        <f t="shared" si="5"/>
        <v/>
      </c>
      <c r="P68" s="63"/>
    </row>
    <row r="69" spans="1:16">
      <c r="A69" s="151" t="str">
        <f>Agriculture!A83</f>
        <v>Agriculture</v>
      </c>
      <c r="B69" s="34" t="str">
        <f>Agriculture!B83</f>
        <v>Agricultural pipes (in use)</v>
      </c>
      <c r="C69" s="40" t="str">
        <f>Agriculture!C83</f>
        <v>NL</v>
      </c>
      <c r="D69" s="34" t="str">
        <f>Agriculture!D83</f>
        <v>PS</v>
      </c>
      <c r="E69" s="846">
        <f>Agriculture!E83</f>
        <v>0</v>
      </c>
      <c r="F69" s="232">
        <f>Agriculture!F83</f>
        <v>2</v>
      </c>
      <c r="G69" s="40" t="str">
        <f>Agriculture!G83</f>
        <v>Urbanus, J.H., Brunner, A., Boersma, A., Henke, S., Kooter, I., Lensen, S., Parker, L., Schwarz, A., Imhof, P., Dortmans, A., Wijngaard, M., 2022. Autobanden, verpakkingen en landbouwfolie zijn in Nederland de grootste bronnen van microplastics. TNO.</v>
      </c>
      <c r="H69" s="811">
        <v>1</v>
      </c>
      <c r="I69" s="620"/>
      <c r="J69" s="9">
        <v>2</v>
      </c>
      <c r="K69" s="620">
        <v>1</v>
      </c>
      <c r="L69" s="620">
        <v>1</v>
      </c>
      <c r="M69" s="9">
        <v>2</v>
      </c>
      <c r="N69" s="185">
        <f t="shared" si="4"/>
        <v>0.35859414261160716</v>
      </c>
      <c r="O69" s="159" t="str">
        <f t="shared" si="5"/>
        <v/>
      </c>
      <c r="P69" s="63"/>
    </row>
    <row r="70" spans="1:16">
      <c r="A70" s="151" t="str">
        <f>Agriculture!A84</f>
        <v>Agriculture</v>
      </c>
      <c r="B70" s="34" t="str">
        <f>Agriculture!B84</f>
        <v>Agricultural pipes (in use)</v>
      </c>
      <c r="C70" s="40" t="str">
        <f>Agriculture!C84</f>
        <v>NL</v>
      </c>
      <c r="D70" s="34" t="str">
        <f>Agriculture!D84</f>
        <v>PP</v>
      </c>
      <c r="E70" s="846">
        <f>Agriculture!E84</f>
        <v>0</v>
      </c>
      <c r="F70" s="232">
        <f>Agriculture!F84</f>
        <v>2</v>
      </c>
      <c r="G70" s="40" t="str">
        <f>Agriculture!G84</f>
        <v>Urbanus, J.H., Brunner, A., Boersma, A., Henke, S., Kooter, I., Lensen, S., Parker, L., Schwarz, A., Imhof, P., Dortmans, A., Wijngaard, M., 2022. Autobanden, verpakkingen en landbouwfolie zijn in Nederland de grootste bronnen van microplastics. TNO.</v>
      </c>
      <c r="H70" s="811">
        <v>1</v>
      </c>
      <c r="I70" s="620"/>
      <c r="J70" s="9">
        <v>2</v>
      </c>
      <c r="K70" s="620">
        <v>1</v>
      </c>
      <c r="L70" s="620">
        <v>1</v>
      </c>
      <c r="M70" s="9">
        <v>2</v>
      </c>
      <c r="N70" s="185">
        <f t="shared" si="4"/>
        <v>0.35859414261160716</v>
      </c>
      <c r="O70" s="159" t="str">
        <f t="shared" si="5"/>
        <v/>
      </c>
      <c r="P70" s="63"/>
    </row>
    <row r="71" spans="1:16">
      <c r="A71" s="151" t="str">
        <f>Agriculture!A85</f>
        <v>Agriculture</v>
      </c>
      <c r="B71" s="34" t="str">
        <f>Agriculture!B85</f>
        <v>Agricultural pipes (in use)</v>
      </c>
      <c r="C71" s="40" t="str">
        <f>Agriculture!C85</f>
        <v>NL</v>
      </c>
      <c r="D71" s="34" t="str">
        <f>Agriculture!D85</f>
        <v>LDPE</v>
      </c>
      <c r="E71" s="846">
        <f>Agriculture!E85</f>
        <v>1.1482925305365051E-2</v>
      </c>
      <c r="F71" s="232">
        <f>Agriculture!F85</f>
        <v>2</v>
      </c>
      <c r="G71" s="40" t="str">
        <f>Agriculture!G85</f>
        <v>Urbanus, J.H., Brunner, A., Boersma, A., Henke, S., Kooter, I., Lensen, S., Parker, L., Schwarz, A., Imhof, P., Dortmans, A., Wijngaard, M., 2022. Autobanden, verpakkingen en landbouwfolie zijn in Nederland de grootste bronnen van microplastics. TNO.</v>
      </c>
      <c r="H71" s="811">
        <v>1</v>
      </c>
      <c r="I71" s="620"/>
      <c r="J71" s="9">
        <v>2</v>
      </c>
      <c r="K71" s="620">
        <v>1</v>
      </c>
      <c r="L71" s="620">
        <v>1</v>
      </c>
      <c r="M71" s="9">
        <v>2</v>
      </c>
      <c r="N71" s="185">
        <f t="shared" si="4"/>
        <v>0.35859414261160716</v>
      </c>
      <c r="O71" s="159" t="str">
        <f t="shared" si="5"/>
        <v/>
      </c>
      <c r="P71" s="63"/>
    </row>
    <row r="72" spans="1:16">
      <c r="A72" s="151" t="str">
        <f>Agriculture!A86</f>
        <v>Agriculture</v>
      </c>
      <c r="B72" s="34" t="str">
        <f>Agriculture!B86</f>
        <v>Agricultural pipes (in use)</v>
      </c>
      <c r="C72" s="40" t="str">
        <f>Agriculture!C86</f>
        <v>NL</v>
      </c>
      <c r="D72" s="34" t="str">
        <f>Agriculture!D86</f>
        <v>HDPE</v>
      </c>
      <c r="E72" s="846">
        <f>Agriculture!E86</f>
        <v>4.5067280730850014E-2</v>
      </c>
      <c r="F72" s="232">
        <f>Agriculture!F86</f>
        <v>2</v>
      </c>
      <c r="G72" s="40" t="str">
        <f>Agriculture!G86</f>
        <v>Urbanus, J.H., Brunner, A., Boersma, A., Henke, S., Kooter, I., Lensen, S., Parker, L., Schwarz, A., Imhof, P., Dortmans, A., Wijngaard, M., 2022. Autobanden, verpakkingen en landbouwfolie zijn in Nederland de grootste bronnen van microplastics. TNO.</v>
      </c>
      <c r="H72" s="811">
        <v>1</v>
      </c>
      <c r="I72" s="620"/>
      <c r="J72" s="9">
        <v>2</v>
      </c>
      <c r="K72" s="620">
        <v>1</v>
      </c>
      <c r="L72" s="620">
        <v>1</v>
      </c>
      <c r="M72" s="9">
        <v>2</v>
      </c>
      <c r="N72" s="185">
        <f t="shared" si="4"/>
        <v>0.35859414261160716</v>
      </c>
      <c r="O72" s="159" t="str">
        <f t="shared" si="5"/>
        <v/>
      </c>
      <c r="P72" s="63"/>
    </row>
    <row r="73" spans="1:16">
      <c r="A73" s="151" t="str">
        <f>Agriculture!A87</f>
        <v>Agriculture</v>
      </c>
      <c r="B73" s="34" t="str">
        <f>Agriculture!B87</f>
        <v>Agricultural pipes (in use)</v>
      </c>
      <c r="C73" s="40" t="str">
        <f>Agriculture!C87</f>
        <v>EU</v>
      </c>
      <c r="D73" s="34" t="str">
        <f>Agriculture!D87</f>
        <v>PVC</v>
      </c>
      <c r="E73" s="846">
        <f>Agriculture!E87</f>
        <v>1.3425393705826556E-2</v>
      </c>
      <c r="F73" s="232">
        <f>Agriculture!F87</f>
        <v>2</v>
      </c>
      <c r="G73" s="40" t="str">
        <f>Agriculture!G87</f>
        <v>Assessment of agricultural plastics and their sustainability: A call for action, 2021. . FAO. https://doi.org/10.4060/cb7856en</v>
      </c>
      <c r="H73" s="811"/>
      <c r="I73" s="620">
        <v>1</v>
      </c>
      <c r="J73" s="9">
        <v>2</v>
      </c>
      <c r="K73" s="620">
        <v>1</v>
      </c>
      <c r="L73" s="620">
        <v>1</v>
      </c>
      <c r="M73" s="9">
        <v>2</v>
      </c>
      <c r="N73" s="185" t="str">
        <f t="shared" si="4"/>
        <v/>
      </c>
      <c r="O73" s="159">
        <f t="shared" si="5"/>
        <v>0.35859414261160716</v>
      </c>
      <c r="P73" s="63"/>
    </row>
    <row r="74" spans="1:16">
      <c r="A74" s="151" t="str">
        <f>Agriculture!A88</f>
        <v>Agriculture</v>
      </c>
      <c r="B74" s="34" t="str">
        <f>Agriculture!B88</f>
        <v>Agricultural pipes (in use)</v>
      </c>
      <c r="C74" s="40" t="str">
        <f>Agriculture!C88</f>
        <v>EU</v>
      </c>
      <c r="D74" s="34" t="str">
        <f>Agriculture!D88</f>
        <v>PS</v>
      </c>
      <c r="E74" s="846">
        <f>Agriculture!E88</f>
        <v>0</v>
      </c>
      <c r="F74" s="232">
        <f>Agriculture!F88</f>
        <v>2</v>
      </c>
      <c r="G74" s="40" t="str">
        <f>Agriculture!G88</f>
        <v>Assessment of agricultural plastics and their sustainability: A call for action, 2021. . FAO. https://doi.org/10.4060/cb7856en</v>
      </c>
      <c r="H74" s="811"/>
      <c r="I74" s="620">
        <v>1</v>
      </c>
      <c r="J74" s="9">
        <v>2</v>
      </c>
      <c r="K74" s="620">
        <v>1</v>
      </c>
      <c r="L74" s="620">
        <v>1</v>
      </c>
      <c r="M74" s="9">
        <v>2</v>
      </c>
      <c r="N74" s="185" t="str">
        <f t="shared" si="4"/>
        <v/>
      </c>
      <c r="O74" s="159">
        <f t="shared" si="5"/>
        <v>0.35859414261160716</v>
      </c>
      <c r="P74" s="63"/>
    </row>
    <row r="75" spans="1:16">
      <c r="A75" s="151" t="str">
        <f>Agriculture!A89</f>
        <v>Agriculture</v>
      </c>
      <c r="B75" s="34" t="str">
        <f>Agriculture!B89</f>
        <v>Agricultural pipes (in use)</v>
      </c>
      <c r="C75" s="40" t="str">
        <f>Agriculture!C89</f>
        <v>EU</v>
      </c>
      <c r="D75" s="34" t="str">
        <f>Agriculture!D89</f>
        <v>PP</v>
      </c>
      <c r="E75" s="846">
        <f>Agriculture!E89</f>
        <v>0</v>
      </c>
      <c r="F75" s="232">
        <f>Agriculture!F89</f>
        <v>2</v>
      </c>
      <c r="G75" s="40" t="str">
        <f>Agriculture!G89</f>
        <v>Assessment of agricultural plastics and their sustainability: A call for action, 2021. . FAO. https://doi.org/10.4060/cb7856en</v>
      </c>
      <c r="H75" s="811"/>
      <c r="I75" s="620">
        <v>1</v>
      </c>
      <c r="J75" s="9">
        <v>2</v>
      </c>
      <c r="K75" s="620">
        <v>1</v>
      </c>
      <c r="L75" s="620">
        <v>1</v>
      </c>
      <c r="M75" s="9">
        <v>2</v>
      </c>
      <c r="N75" s="185" t="str">
        <f t="shared" si="4"/>
        <v/>
      </c>
      <c r="O75" s="159">
        <f t="shared" si="5"/>
        <v>0.35859414261160716</v>
      </c>
      <c r="P75" s="63"/>
    </row>
    <row r="76" spans="1:16" s="16" customFormat="1">
      <c r="A76" s="151" t="str">
        <f>Agriculture!A90</f>
        <v>Agriculture</v>
      </c>
      <c r="B76" s="34" t="str">
        <f>Agriculture!B90</f>
        <v>Agricultural pipes (in use)</v>
      </c>
      <c r="C76" s="40" t="str">
        <f>Agriculture!C90</f>
        <v>EU</v>
      </c>
      <c r="D76" s="34" t="str">
        <f>Agriculture!D90</f>
        <v>LDPE</v>
      </c>
      <c r="E76" s="846">
        <f>Agriculture!E90</f>
        <v>3.6459765383384255E-3</v>
      </c>
      <c r="F76" s="232">
        <f>Agriculture!F90</f>
        <v>2</v>
      </c>
      <c r="G76" s="40" t="str">
        <f>Agriculture!G90</f>
        <v>Assessment of agricultural plastics and their sustainability: A call for action, 2021. . FAO. https://doi.org/10.4060/cb7856en</v>
      </c>
      <c r="H76" s="811"/>
      <c r="I76" s="620">
        <v>1</v>
      </c>
      <c r="J76" s="9">
        <v>2</v>
      </c>
      <c r="K76" s="620">
        <v>1</v>
      </c>
      <c r="L76" s="620">
        <v>1</v>
      </c>
      <c r="M76" s="9">
        <v>2</v>
      </c>
      <c r="N76" s="185" t="str">
        <f t="shared" si="4"/>
        <v/>
      </c>
      <c r="O76" s="159">
        <f t="shared" si="5"/>
        <v>0.35859414261160716</v>
      </c>
      <c r="P76" s="63"/>
    </row>
    <row r="77" spans="1:16" s="16" customFormat="1">
      <c r="A77" s="151" t="str">
        <f>Agriculture!A91</f>
        <v>Agriculture</v>
      </c>
      <c r="B77" s="34" t="str">
        <f>Agriculture!B91</f>
        <v>Agricultural pipes (in use)</v>
      </c>
      <c r="C77" s="40" t="str">
        <f>Agriculture!C91</f>
        <v>EU</v>
      </c>
      <c r="D77" s="34" t="str">
        <f>Agriculture!D91</f>
        <v>HDPE</v>
      </c>
      <c r="E77" s="846">
        <f>Agriculture!E91</f>
        <v>2.233215610064521E-2</v>
      </c>
      <c r="F77" s="232">
        <f>Agriculture!F91</f>
        <v>2</v>
      </c>
      <c r="G77" s="40" t="str">
        <f>Agriculture!G91</f>
        <v>Assessment of agricultural plastics and their sustainability: A call for action, 2021. . FAO. https://doi.org/10.4060/cb7856en</v>
      </c>
      <c r="H77" s="811"/>
      <c r="I77" s="620">
        <v>1</v>
      </c>
      <c r="J77" s="9">
        <v>2</v>
      </c>
      <c r="K77" s="620">
        <v>1</v>
      </c>
      <c r="L77" s="620">
        <v>1</v>
      </c>
      <c r="M77" s="9">
        <v>2</v>
      </c>
      <c r="N77" s="185" t="str">
        <f t="shared" si="4"/>
        <v/>
      </c>
      <c r="O77" s="159">
        <f t="shared" si="5"/>
        <v>0.35859414261160716</v>
      </c>
      <c r="P77" s="63"/>
    </row>
    <row r="78" spans="1:16" s="16" customFormat="1">
      <c r="A78" s="151" t="str">
        <f>Agriculture!A146</f>
        <v>Agricultural waste collection</v>
      </c>
      <c r="B78" s="34" t="str">
        <f>Agriculture!B146</f>
        <v>Agricultural plastic recycling</v>
      </c>
      <c r="C78" s="40" t="str">
        <f>Agriculture!C146</f>
        <v>any</v>
      </c>
      <c r="D78" s="34" t="str">
        <f>Agriculture!D146</f>
        <v>any</v>
      </c>
      <c r="E78" s="262">
        <f>Agriculture!E146</f>
        <v>0.12</v>
      </c>
      <c r="F78" s="232">
        <f>Agriculture!F146</f>
        <v>1</v>
      </c>
      <c r="G78" s="40" t="str">
        <f>Agriculture!G146</f>
        <v>Schelker, Raymond, and Patrik Geisselhardt, Welche Fraktionen - Hauptkunststoffe, 2011</v>
      </c>
      <c r="H78" s="29">
        <v>2</v>
      </c>
      <c r="I78" s="9">
        <v>2</v>
      </c>
      <c r="J78" s="9">
        <v>2</v>
      </c>
      <c r="K78" s="9">
        <v>3</v>
      </c>
      <c r="L78" s="9">
        <v>1</v>
      </c>
      <c r="M78" s="9">
        <v>2</v>
      </c>
      <c r="N78" s="185">
        <f t="shared" ref="N78:N84" si="6">IF( OR( ISBLANK(H78),ISBLANK(J78), ISBLANK(K78), ISBLANK(L78), ISBLANK(M78) ), "", 1.5*SQRT(   EXP(2.21*(H78-1)) + EXP(2.21*(J78-1)) + EXP(2.21*(K78-1)) + EXP(2.21*(L78-1)) + EXP(2.21*M78)   )/100*2.45 )</f>
        <v>0.50042652380814845</v>
      </c>
      <c r="O78" s="159">
        <f t="shared" ref="O78:O84" si="7">IF( OR( ISBLANK(I78),ISBLANK(J78), ISBLANK(K78), ISBLANK(L78), ISBLANK(M78) ), "", 1.5*SQRT( EXP(2.21*(I78-1)) + EXP(2.21*(J78-1)) + EXP(2.21*(K78-1)) + EXP(2.21*(L78-1)) + EXP(2.21*M78)   )/100*2.45 )</f>
        <v>0.50042652380814845</v>
      </c>
      <c r="P78" s="63"/>
    </row>
    <row r="79" spans="1:16" s="16" customFormat="1">
      <c r="A79" s="151" t="str">
        <f>Agriculture!A147</f>
        <v>Agricultural waste collection</v>
      </c>
      <c r="B79" s="34" t="str">
        <f>Agriculture!B147</f>
        <v>Agricultural plastic recycling</v>
      </c>
      <c r="C79" s="40" t="str">
        <f>Agriculture!C147</f>
        <v>any</v>
      </c>
      <c r="D79" s="34" t="str">
        <f>Agriculture!D147</f>
        <v>any</v>
      </c>
      <c r="E79" s="262">
        <f>Agriculture!E147</f>
        <v>0.1333</v>
      </c>
      <c r="F79" s="232">
        <f>Agriculture!F147</f>
        <v>1</v>
      </c>
      <c r="G79" s="40" t="str">
        <f>Agriculture!G147</f>
        <v>Müller Andreas, 2016</v>
      </c>
      <c r="H79" s="29">
        <v>2</v>
      </c>
      <c r="I79" s="9">
        <v>2</v>
      </c>
      <c r="J79" s="9">
        <v>2</v>
      </c>
      <c r="K79" s="9">
        <v>3</v>
      </c>
      <c r="L79" s="9">
        <v>1</v>
      </c>
      <c r="M79" s="9">
        <v>2</v>
      </c>
      <c r="N79" s="185">
        <f t="shared" si="6"/>
        <v>0.50042652380814845</v>
      </c>
      <c r="O79" s="159">
        <f t="shared" si="7"/>
        <v>0.50042652380814845</v>
      </c>
      <c r="P79" s="63"/>
    </row>
    <row r="80" spans="1:16" s="16" customFormat="1">
      <c r="A80" s="151" t="str">
        <f>Agriculture!A148</f>
        <v>Agricultural waste collection</v>
      </c>
      <c r="B80" s="34" t="str">
        <f>Agriculture!B148</f>
        <v>Agricultural plastic recycling</v>
      </c>
      <c r="C80" s="40" t="str">
        <f>Agriculture!C148</f>
        <v>any</v>
      </c>
      <c r="D80" s="34" t="str">
        <f>Agriculture!D148</f>
        <v>any</v>
      </c>
      <c r="E80" s="262">
        <f>Agriculture!E148</f>
        <v>0.26669999999999999</v>
      </c>
      <c r="F80" s="232">
        <f>Agriculture!F148</f>
        <v>1</v>
      </c>
      <c r="G80" s="40" t="str">
        <f>Agriculture!G148</f>
        <v>Müller Andreas, 2016</v>
      </c>
      <c r="H80" s="29">
        <v>2</v>
      </c>
      <c r="I80" s="9">
        <v>2</v>
      </c>
      <c r="J80" s="9">
        <v>2</v>
      </c>
      <c r="K80" s="9">
        <v>3</v>
      </c>
      <c r="L80" s="9">
        <v>1</v>
      </c>
      <c r="M80" s="9">
        <v>2</v>
      </c>
      <c r="N80" s="185">
        <f t="shared" si="6"/>
        <v>0.50042652380814845</v>
      </c>
      <c r="O80" s="159">
        <f t="shared" si="7"/>
        <v>0.50042652380814845</v>
      </c>
      <c r="P80" s="63"/>
    </row>
    <row r="81" spans="1:16" s="16" customFormat="1">
      <c r="A81" s="151" t="str">
        <f>Agriculture!A149</f>
        <v>Agricultural waste collection</v>
      </c>
      <c r="B81" s="34" t="str">
        <f>Agriculture!B149</f>
        <v>Agricultural plastic recycling</v>
      </c>
      <c r="C81" s="40" t="str">
        <f>Agriculture!C149</f>
        <v>any</v>
      </c>
      <c r="D81" s="34" t="str">
        <f>Agriculture!D149</f>
        <v>any</v>
      </c>
      <c r="E81" s="262">
        <f>Agriculture!E149</f>
        <v>0.2</v>
      </c>
      <c r="F81" s="232">
        <f>Agriculture!F149</f>
        <v>1</v>
      </c>
      <c r="G81" s="40" t="str">
        <f>Agriculture!G149</f>
        <v>Schelker, Raymond, and Patrik Geisselhardt, Projekt „ Kunststoff-Verwertung Schweiz “: Bericht Module 1 Und 2, 2011</v>
      </c>
      <c r="H81" s="29">
        <v>2</v>
      </c>
      <c r="I81" s="9">
        <v>2</v>
      </c>
      <c r="J81" s="9">
        <v>2</v>
      </c>
      <c r="K81" s="9">
        <v>3</v>
      </c>
      <c r="L81" s="9">
        <v>1</v>
      </c>
      <c r="M81" s="9">
        <v>2</v>
      </c>
      <c r="N81" s="185">
        <f t="shared" si="6"/>
        <v>0.50042652380814845</v>
      </c>
      <c r="O81" s="159">
        <f t="shared" si="7"/>
        <v>0.50042652380814845</v>
      </c>
      <c r="P81" s="63" t="str">
        <f>Agriculture!P149</f>
        <v>Value for films</v>
      </c>
    </row>
    <row r="82" spans="1:16" s="16" customFormat="1">
      <c r="A82" s="151" t="str">
        <f>Agriculture!A145</f>
        <v>Agricultural waste collection</v>
      </c>
      <c r="B82" s="34" t="str">
        <f>Agriculture!B145</f>
        <v>Incineration</v>
      </c>
      <c r="C82" s="40" t="str">
        <f>Agriculture!C145</f>
        <v>any</v>
      </c>
      <c r="D82" s="34" t="str">
        <f>Agriculture!D145</f>
        <v>any</v>
      </c>
      <c r="E82" s="262" t="str">
        <f>Agriculture!E145</f>
        <v>rest</v>
      </c>
      <c r="F82" s="232">
        <f>Agriculture!F145</f>
        <v>1</v>
      </c>
      <c r="G82" s="40">
        <f>Agriculture!G145</f>
        <v>0</v>
      </c>
      <c r="H82" s="29"/>
      <c r="I82" s="9"/>
      <c r="J82" s="9"/>
      <c r="K82" s="9"/>
      <c r="L82" s="9"/>
      <c r="M82" s="9"/>
      <c r="N82" s="185" t="str">
        <f t="shared" si="6"/>
        <v/>
      </c>
      <c r="O82" s="159" t="str">
        <f t="shared" si="7"/>
        <v/>
      </c>
      <c r="P82" s="63"/>
    </row>
    <row r="83" spans="1:16">
      <c r="A83" s="151" t="str">
        <f>Agriculture!A144</f>
        <v>Agricultural waste collection</v>
      </c>
      <c r="B83" s="34" t="str">
        <f>Agriculture!B144</f>
        <v>Landfill</v>
      </c>
      <c r="C83" s="40" t="str">
        <f>Agriculture!C144</f>
        <v>any</v>
      </c>
      <c r="D83" s="34" t="str">
        <f>Agriculture!D144</f>
        <v>any</v>
      </c>
      <c r="E83" s="262">
        <f>Agriculture!E144</f>
        <v>0</v>
      </c>
      <c r="F83" s="232">
        <f>Agriculture!F144</f>
        <v>1</v>
      </c>
      <c r="G83" s="40">
        <f>Agriculture!G144</f>
        <v>0</v>
      </c>
      <c r="H83" s="29"/>
      <c r="I83" s="9"/>
      <c r="J83" s="9"/>
      <c r="K83" s="9"/>
      <c r="L83" s="9"/>
      <c r="M83" s="9"/>
      <c r="N83" s="185" t="str">
        <f t="shared" si="6"/>
        <v/>
      </c>
      <c r="O83" s="159" t="str">
        <f t="shared" si="7"/>
        <v/>
      </c>
      <c r="P83" s="63"/>
    </row>
    <row r="84" spans="1:16">
      <c r="A84" s="151" t="str">
        <f>Agriculture!A143</f>
        <v>Agricultural waste collection</v>
      </c>
      <c r="B84" s="34" t="str">
        <f>Agriculture!B143</f>
        <v>Residential soil (macro)</v>
      </c>
      <c r="C84" s="40" t="str">
        <f>Agriculture!C143</f>
        <v>any</v>
      </c>
      <c r="D84" s="34" t="str">
        <f>Agriculture!D143</f>
        <v>any</v>
      </c>
      <c r="E84" s="262">
        <f>Agriculture!E143</f>
        <v>1E-4</v>
      </c>
      <c r="F84" s="232">
        <f>Agriculture!F143</f>
        <v>2</v>
      </c>
      <c r="G84" s="40" t="str">
        <f>Agriculture!G143</f>
        <v>Assumption</v>
      </c>
      <c r="H84" s="29">
        <v>1</v>
      </c>
      <c r="I84" s="9">
        <v>2</v>
      </c>
      <c r="J84" s="9">
        <v>1</v>
      </c>
      <c r="K84" s="9">
        <v>1</v>
      </c>
      <c r="L84" s="9">
        <v>1</v>
      </c>
      <c r="M84" s="9">
        <v>3</v>
      </c>
      <c r="N84" s="185">
        <f t="shared" si="6"/>
        <v>1.0141150152164344</v>
      </c>
      <c r="O84" s="159">
        <f t="shared" si="7"/>
        <v>1.0195048044558224</v>
      </c>
      <c r="P84" s="63"/>
    </row>
    <row r="85" spans="1:16">
      <c r="A85" s="151" t="s">
        <v>143</v>
      </c>
      <c r="B85" s="34" t="s">
        <v>144</v>
      </c>
      <c r="C85" s="40" t="s">
        <v>139</v>
      </c>
      <c r="D85" s="34" t="s">
        <v>139</v>
      </c>
      <c r="E85" s="262">
        <v>0.12</v>
      </c>
      <c r="F85" s="232">
        <v>1</v>
      </c>
      <c r="G85" s="40" t="s">
        <v>145</v>
      </c>
      <c r="H85" s="29">
        <v>2</v>
      </c>
      <c r="I85" s="9">
        <v>2</v>
      </c>
      <c r="J85" s="9">
        <v>2</v>
      </c>
      <c r="K85" s="9">
        <v>3</v>
      </c>
      <c r="L85" s="9">
        <v>1</v>
      </c>
      <c r="M85" s="9">
        <v>2</v>
      </c>
      <c r="N85" s="185">
        <v>0.50042652380814845</v>
      </c>
      <c r="O85" s="159">
        <v>0.50042652380814845</v>
      </c>
      <c r="P85" s="63"/>
    </row>
    <row r="86" spans="1:16">
      <c r="A86" s="151" t="s">
        <v>138</v>
      </c>
      <c r="B86" s="34" t="s">
        <v>146</v>
      </c>
      <c r="C86" s="40" t="s">
        <v>139</v>
      </c>
      <c r="D86" s="34" t="s">
        <v>139</v>
      </c>
      <c r="E86" s="257">
        <v>0</v>
      </c>
      <c r="F86" s="232">
        <v>2</v>
      </c>
      <c r="G86" s="40" t="s">
        <v>147</v>
      </c>
      <c r="H86" s="29"/>
      <c r="I86" s="9"/>
      <c r="J86" s="9"/>
      <c r="K86" s="9"/>
      <c r="L86" s="9"/>
      <c r="M86" s="9"/>
      <c r="N86" s="185" t="str">
        <f t="shared" ref="N86:N112" si="8">IF( OR( ISBLANK(H86),ISBLANK(J86), ISBLANK(K86), ISBLANK(L86), ISBLANK(M86) ), "", 1.5*SQRT(   EXP(2.21*(H86-1)) + EXP(2.21*(J86-1)) + EXP(2.21*(K86-1)) + EXP(2.21*(L86-1)) + EXP(2.21*M86)   )/100*2.45 )</f>
        <v/>
      </c>
      <c r="O86" s="159" t="str">
        <f t="shared" ref="O86:O149" si="9">IF( OR( ISBLANK(I86),ISBLANK(J86), ISBLANK(K86), ISBLANK(L86), ISBLANK(M86) ), "", 1.5*SQRT( EXP(2.21*(I86-1)) + EXP(2.21*(J86-1)) + EXP(2.21*(K86-1)) + EXP(2.21*(L86-1)) + EXP(2.21*M86)   )/100*2.45 )</f>
        <v/>
      </c>
      <c r="P86" s="63"/>
    </row>
    <row r="87" spans="1:16">
      <c r="A87" s="151" t="s">
        <v>138</v>
      </c>
      <c r="B87" s="34" t="s">
        <v>146</v>
      </c>
      <c r="C87" s="40" t="s">
        <v>139</v>
      </c>
      <c r="D87" s="34" t="s">
        <v>139</v>
      </c>
      <c r="E87" s="257">
        <v>1.6E-2</v>
      </c>
      <c r="F87" s="232">
        <v>2</v>
      </c>
      <c r="G87" s="40" t="s">
        <v>148</v>
      </c>
      <c r="H87" s="29">
        <v>1</v>
      </c>
      <c r="I87" s="9"/>
      <c r="J87" s="9">
        <v>1</v>
      </c>
      <c r="K87" s="9">
        <v>1</v>
      </c>
      <c r="L87" s="9">
        <v>1</v>
      </c>
      <c r="M87" s="9">
        <v>3</v>
      </c>
      <c r="N87" s="185">
        <f t="shared" si="8"/>
        <v>1.0141150152164344</v>
      </c>
      <c r="O87" s="159" t="str">
        <f t="shared" si="9"/>
        <v/>
      </c>
      <c r="P87" s="63"/>
    </row>
    <row r="88" spans="1:16">
      <c r="A88" s="151" t="s">
        <v>142</v>
      </c>
      <c r="B88" s="34" t="s">
        <v>146</v>
      </c>
      <c r="C88" s="40" t="s">
        <v>139</v>
      </c>
      <c r="D88" s="34" t="s">
        <v>139</v>
      </c>
      <c r="E88" s="257">
        <v>0</v>
      </c>
      <c r="F88" s="232">
        <v>2</v>
      </c>
      <c r="G88" s="40" t="s">
        <v>147</v>
      </c>
      <c r="H88" s="29"/>
      <c r="I88" s="9"/>
      <c r="J88" s="9"/>
      <c r="K88" s="9"/>
      <c r="L88" s="9"/>
      <c r="M88" s="9"/>
      <c r="N88" s="185" t="str">
        <f t="shared" si="8"/>
        <v/>
      </c>
      <c r="O88" s="159" t="str">
        <f t="shared" si="9"/>
        <v/>
      </c>
      <c r="P88" s="63"/>
    </row>
    <row r="89" spans="1:16">
      <c r="A89" s="151" t="s">
        <v>142</v>
      </c>
      <c r="B89" s="34" t="s">
        <v>146</v>
      </c>
      <c r="C89" s="40" t="s">
        <v>139</v>
      </c>
      <c r="D89" s="34" t="s">
        <v>139</v>
      </c>
      <c r="E89" s="257">
        <v>5.8999999999999997E-2</v>
      </c>
      <c r="F89" s="232">
        <v>2</v>
      </c>
      <c r="G89" s="40" t="s">
        <v>148</v>
      </c>
      <c r="H89" s="29">
        <v>1</v>
      </c>
      <c r="I89" s="9"/>
      <c r="J89" s="9">
        <v>1</v>
      </c>
      <c r="K89" s="9">
        <v>1</v>
      </c>
      <c r="L89" s="9">
        <v>1</v>
      </c>
      <c r="M89" s="9">
        <v>3</v>
      </c>
      <c r="N89" s="185">
        <f t="shared" si="8"/>
        <v>1.0141150152164344</v>
      </c>
      <c r="O89" s="159" t="str">
        <f t="shared" si="9"/>
        <v/>
      </c>
      <c r="P89" s="63"/>
    </row>
    <row r="90" spans="1:16">
      <c r="A90" s="151" t="s">
        <v>149</v>
      </c>
      <c r="B90" s="34" t="s">
        <v>146</v>
      </c>
      <c r="C90" s="40" t="s">
        <v>139</v>
      </c>
      <c r="D90" s="34" t="s">
        <v>139</v>
      </c>
      <c r="E90" s="257" t="s">
        <v>150</v>
      </c>
      <c r="F90" s="232">
        <v>1</v>
      </c>
      <c r="G90" s="40"/>
      <c r="H90" s="29"/>
      <c r="I90" s="9"/>
      <c r="J90" s="9"/>
      <c r="K90" s="9"/>
      <c r="L90" s="9"/>
      <c r="M90" s="9"/>
      <c r="N90" s="185" t="str">
        <f t="shared" si="8"/>
        <v/>
      </c>
      <c r="O90" s="159" t="str">
        <f t="shared" si="9"/>
        <v/>
      </c>
      <c r="P90" s="63" t="s">
        <v>151</v>
      </c>
    </row>
    <row r="91" spans="1:16">
      <c r="A91" s="289" t="s">
        <v>152</v>
      </c>
      <c r="B91" s="55" t="s">
        <v>153</v>
      </c>
      <c r="C91" s="262" t="s">
        <v>139</v>
      </c>
      <c r="D91" s="55" t="s">
        <v>139</v>
      </c>
      <c r="E91" s="257" t="s">
        <v>150</v>
      </c>
      <c r="F91" s="232">
        <v>1</v>
      </c>
      <c r="G91" s="262"/>
      <c r="H91" s="29"/>
      <c r="I91" s="9"/>
      <c r="J91" s="9"/>
      <c r="K91" s="9"/>
      <c r="L91" s="9"/>
      <c r="M91" s="9"/>
      <c r="N91" s="185" t="str">
        <f t="shared" si="8"/>
        <v/>
      </c>
      <c r="O91" s="159" t="str">
        <f t="shared" si="9"/>
        <v/>
      </c>
      <c r="P91" s="63"/>
    </row>
    <row r="92" spans="1:16">
      <c r="A92" s="151" t="str">
        <f>Agriculture!A115</f>
        <v>Agricultural mulching films</v>
      </c>
      <c r="B92" s="34" t="str">
        <f>Agriculture!B115</f>
        <v>Agricultural soil (macro)</v>
      </c>
      <c r="C92" s="40" t="str">
        <f>Agriculture!C115</f>
        <v>any</v>
      </c>
      <c r="D92" s="34" t="str">
        <f>Agriculture!D115</f>
        <v>any</v>
      </c>
      <c r="E92" s="240">
        <f>Agriculture!E115</f>
        <v>0</v>
      </c>
      <c r="F92" s="232">
        <f>Agriculture!F115</f>
        <v>2</v>
      </c>
      <c r="G92" s="40" t="str">
        <f>Agriculture!G115</f>
        <v>Best case scenario</v>
      </c>
      <c r="H92" s="29"/>
      <c r="I92" s="9"/>
      <c r="J92" s="9"/>
      <c r="K92" s="9"/>
      <c r="L92" s="9"/>
      <c r="M92" s="9"/>
      <c r="N92" s="185" t="str">
        <f t="shared" si="8"/>
        <v/>
      </c>
      <c r="O92" s="159" t="str">
        <f t="shared" si="9"/>
        <v/>
      </c>
      <c r="P92" s="63"/>
    </row>
    <row r="93" spans="1:16">
      <c r="A93" s="151" t="str">
        <f>Agriculture!A116</f>
        <v>Agricultural mulching films</v>
      </c>
      <c r="B93" s="34" t="str">
        <f>Agriculture!B116</f>
        <v>Agricultural soil (macro)</v>
      </c>
      <c r="C93" s="40" t="str">
        <f>Agriculture!C116</f>
        <v>any</v>
      </c>
      <c r="D93" s="34" t="str">
        <f>Agriculture!D116</f>
        <v>any</v>
      </c>
      <c r="E93" s="240">
        <f>Agriculture!E116</f>
        <v>3.6999999999999998E-2</v>
      </c>
      <c r="F93" s="232">
        <f>Agriculture!F116</f>
        <v>2</v>
      </c>
      <c r="G93" s="40" t="str">
        <f>Agriculture!G116</f>
        <v>Based on Agreste. Chiffres-Clés : 61 Hectares En Moyenne Par Exploitation; 2017</v>
      </c>
      <c r="H93" s="29">
        <v>2</v>
      </c>
      <c r="I93" s="9">
        <v>2</v>
      </c>
      <c r="J93" s="9">
        <v>2</v>
      </c>
      <c r="K93" s="9">
        <v>1</v>
      </c>
      <c r="L93" s="9">
        <v>1</v>
      </c>
      <c r="M93" s="9">
        <v>3</v>
      </c>
      <c r="N93" s="185">
        <f t="shared" si="8"/>
        <v>1.0248662490928169</v>
      </c>
      <c r="O93" s="159">
        <f t="shared" si="9"/>
        <v>1.0248662490928169</v>
      </c>
      <c r="P93" s="63"/>
    </row>
    <row r="94" spans="1:16">
      <c r="A94" s="151" t="str">
        <f>Agriculture!A121</f>
        <v>Agricultural other</v>
      </c>
      <c r="B94" s="34" t="str">
        <f>Agriculture!B121</f>
        <v>Agricultural soil (macro)</v>
      </c>
      <c r="C94" s="40" t="str">
        <f>Agriculture!C121</f>
        <v>any</v>
      </c>
      <c r="D94" s="34" t="str">
        <f>Agriculture!D121</f>
        <v>any</v>
      </c>
      <c r="E94" s="240">
        <f>Agriculture!E121</f>
        <v>0</v>
      </c>
      <c r="F94" s="232">
        <f>Agriculture!F121</f>
        <v>2</v>
      </c>
      <c r="G94" s="40" t="str">
        <f>Agriculture!G121</f>
        <v>Best case scenario</v>
      </c>
      <c r="H94" s="29"/>
      <c r="I94" s="9"/>
      <c r="J94" s="9"/>
      <c r="K94" s="9"/>
      <c r="L94" s="9"/>
      <c r="M94" s="9"/>
      <c r="N94" s="185" t="str">
        <f t="shared" si="8"/>
        <v/>
      </c>
      <c r="O94" s="159" t="str">
        <f t="shared" si="9"/>
        <v/>
      </c>
      <c r="P94" s="63"/>
    </row>
    <row r="95" spans="1:16">
      <c r="A95" s="151" t="str">
        <f>Agriculture!A122</f>
        <v>Agricultural other</v>
      </c>
      <c r="B95" s="34" t="str">
        <f>Agriculture!B122</f>
        <v>Agricultural soil (macro)</v>
      </c>
      <c r="C95" s="40" t="str">
        <f>Agriculture!C122</f>
        <v>any</v>
      </c>
      <c r="D95" s="34" t="str">
        <f>Agriculture!D122</f>
        <v>any</v>
      </c>
      <c r="E95" s="240">
        <f>Agriculture!E122</f>
        <v>3.7999999999999999E-2</v>
      </c>
      <c r="F95" s="232">
        <f>Agriculture!F122</f>
        <v>2</v>
      </c>
      <c r="G95" s="40" t="str">
        <f>Agriculture!G122</f>
        <v>Based on Agreste. Chiffres-Clés : 61 Hectares En Moyenne Par Exploitation; 2017</v>
      </c>
      <c r="H95" s="29">
        <v>2</v>
      </c>
      <c r="I95" s="9">
        <v>2</v>
      </c>
      <c r="J95" s="9">
        <v>2</v>
      </c>
      <c r="K95" s="9">
        <v>1</v>
      </c>
      <c r="L95" s="9">
        <v>1</v>
      </c>
      <c r="M95" s="9">
        <v>3</v>
      </c>
      <c r="N95" s="185">
        <f t="shared" si="8"/>
        <v>1.0248662490928169</v>
      </c>
      <c r="O95" s="159">
        <f t="shared" si="9"/>
        <v>1.0248662490928169</v>
      </c>
      <c r="P95" s="63"/>
    </row>
    <row r="96" spans="1:16">
      <c r="A96" s="151" t="str">
        <f>Agriculture!A125</f>
        <v>Agricultural pipes (in use)</v>
      </c>
      <c r="B96" s="34" t="str">
        <f>Agriculture!B125</f>
        <v>Agricultural soil (macro)</v>
      </c>
      <c r="C96" s="40" t="str">
        <f>Agriculture!C125</f>
        <v>any</v>
      </c>
      <c r="D96" s="34" t="str">
        <f>Agriculture!D125</f>
        <v>any</v>
      </c>
      <c r="E96" s="240">
        <f>Agriculture!E125</f>
        <v>0</v>
      </c>
      <c r="F96" s="232">
        <f>Agriculture!F125</f>
        <v>2</v>
      </c>
      <c r="G96" s="40" t="str">
        <f>Agriculture!G125</f>
        <v>Best case scenario</v>
      </c>
      <c r="H96" s="29"/>
      <c r="I96" s="9"/>
      <c r="J96" s="9"/>
      <c r="K96" s="9"/>
      <c r="L96" s="9"/>
      <c r="M96" s="9"/>
      <c r="N96" s="185" t="str">
        <f t="shared" si="8"/>
        <v/>
      </c>
      <c r="O96" s="159" t="str">
        <f t="shared" si="9"/>
        <v/>
      </c>
      <c r="P96" s="63" t="str">
        <f>Agriculture!P125</f>
        <v>Normalized (See Agriculture sheet)</v>
      </c>
    </row>
    <row r="97" spans="1:16">
      <c r="A97" s="151" t="str">
        <f>Agriculture!A126</f>
        <v>Agricultural pipes (in use)</v>
      </c>
      <c r="B97" s="34" t="str">
        <f>Agriculture!B126</f>
        <v>Agricultural soil (macro)</v>
      </c>
      <c r="C97" s="40" t="str">
        <f>Agriculture!C126</f>
        <v>any</v>
      </c>
      <c r="D97" s="34" t="str">
        <f>Agriculture!D126</f>
        <v>any</v>
      </c>
      <c r="E97" s="240">
        <f>Agriculture!E126</f>
        <v>0.51351351351351338</v>
      </c>
      <c r="F97" s="232">
        <f>Agriculture!F126</f>
        <v>2</v>
      </c>
      <c r="G97" s="40" t="str">
        <f>Agriculture!G126</f>
        <v>Based on Agreste. Chiffres-Clés : 61 Hectares En Moyenne Par Exploitation; 2017</v>
      </c>
      <c r="H97" s="29">
        <v>2</v>
      </c>
      <c r="I97" s="9">
        <v>2</v>
      </c>
      <c r="J97" s="9">
        <v>2</v>
      </c>
      <c r="K97" s="9">
        <v>1</v>
      </c>
      <c r="L97" s="9">
        <v>1</v>
      </c>
      <c r="M97" s="9">
        <v>3</v>
      </c>
      <c r="N97" s="185">
        <f t="shared" si="8"/>
        <v>1.0248662490928169</v>
      </c>
      <c r="O97" s="159">
        <f t="shared" si="9"/>
        <v>1.0248662490928169</v>
      </c>
      <c r="P97" s="63" t="str">
        <f>Agriculture!P126</f>
        <v>Normalized (See Agriculture sheet)</v>
      </c>
    </row>
    <row r="98" spans="1:16">
      <c r="A98" s="151" t="str">
        <f>Agriculture!A129</f>
        <v>Agricultural greenhouse films (in use)</v>
      </c>
      <c r="B98" s="34" t="str">
        <f>Agriculture!B129</f>
        <v>Agricultural soil (macro)</v>
      </c>
      <c r="C98" s="40" t="str">
        <f>Agriculture!C129</f>
        <v>any</v>
      </c>
      <c r="D98" s="34" t="str">
        <f>Agriculture!D129</f>
        <v>any</v>
      </c>
      <c r="E98" s="240">
        <f>Agriculture!E129</f>
        <v>0</v>
      </c>
      <c r="F98" s="232">
        <f>Agriculture!F129</f>
        <v>2</v>
      </c>
      <c r="G98" s="40" t="str">
        <f>Agriculture!G129</f>
        <v>Best case scenario</v>
      </c>
      <c r="H98" s="29"/>
      <c r="I98" s="9"/>
      <c r="J98" s="9"/>
      <c r="K98" s="9"/>
      <c r="L98" s="9"/>
      <c r="M98" s="9"/>
      <c r="N98" s="185" t="str">
        <f t="shared" si="8"/>
        <v/>
      </c>
      <c r="O98" s="159" t="str">
        <f t="shared" si="9"/>
        <v/>
      </c>
      <c r="P98" s="63" t="str">
        <f>Agriculture!P129</f>
        <v>Normalized (See Agriculture sheet)</v>
      </c>
    </row>
    <row r="99" spans="1:16">
      <c r="A99" s="151" t="str">
        <f>Agriculture!A130</f>
        <v>Agricultural greenhouse films (in use)</v>
      </c>
      <c r="B99" s="34" t="str">
        <f>Agriculture!B130</f>
        <v>Agricultural soil (macro)</v>
      </c>
      <c r="C99" s="40" t="str">
        <f>Agriculture!C130</f>
        <v>any</v>
      </c>
      <c r="D99" s="34" t="str">
        <f>Agriculture!D130</f>
        <v>any</v>
      </c>
      <c r="E99" s="240">
        <f>Agriculture!E130</f>
        <v>0.40217391304347827</v>
      </c>
      <c r="F99" s="232">
        <f>Agriculture!F130</f>
        <v>2</v>
      </c>
      <c r="G99" s="40" t="str">
        <f>Agriculture!G130</f>
        <v>Based on Agreste. Chiffres-Clés : 61 Hectares En Moyenne Par Exploitation; 2017</v>
      </c>
      <c r="H99" s="29">
        <v>2</v>
      </c>
      <c r="I99" s="9">
        <v>2</v>
      </c>
      <c r="J99" s="9">
        <v>2</v>
      </c>
      <c r="K99" s="9">
        <v>1</v>
      </c>
      <c r="L99" s="9">
        <v>1</v>
      </c>
      <c r="M99" s="9">
        <v>3</v>
      </c>
      <c r="N99" s="185">
        <f t="shared" si="8"/>
        <v>1.0248662490928169</v>
      </c>
      <c r="O99" s="159">
        <f t="shared" si="9"/>
        <v>1.0248662490928169</v>
      </c>
      <c r="P99" s="63" t="str">
        <f>Agriculture!P130</f>
        <v>Normalized (See Agriculture sheet)</v>
      </c>
    </row>
    <row r="100" spans="1:16">
      <c r="A100" s="151" t="s">
        <v>154</v>
      </c>
      <c r="B100" s="34" t="s">
        <v>155</v>
      </c>
      <c r="C100" s="40" t="s">
        <v>139</v>
      </c>
      <c r="D100" s="34" t="s">
        <v>139</v>
      </c>
      <c r="E100" s="257" t="s">
        <v>150</v>
      </c>
      <c r="F100" s="232">
        <v>1</v>
      </c>
      <c r="G100" s="40"/>
      <c r="H100" s="29"/>
      <c r="I100" s="9"/>
      <c r="J100" s="9"/>
      <c r="K100" s="9"/>
      <c r="L100" s="9"/>
      <c r="M100" s="9"/>
      <c r="N100" s="185" t="str">
        <f t="shared" si="8"/>
        <v/>
      </c>
      <c r="O100" s="159" t="str">
        <f t="shared" si="9"/>
        <v/>
      </c>
      <c r="P100" s="63" t="s">
        <v>151</v>
      </c>
    </row>
    <row r="101" spans="1:16">
      <c r="A101" s="151" t="s">
        <v>156</v>
      </c>
      <c r="B101" s="34" t="s">
        <v>155</v>
      </c>
      <c r="C101" s="40" t="s">
        <v>139</v>
      </c>
      <c r="D101" s="34" t="s">
        <v>139</v>
      </c>
      <c r="E101" s="257" t="s">
        <v>150</v>
      </c>
      <c r="F101" s="232">
        <v>1</v>
      </c>
      <c r="G101" s="847" t="s">
        <v>157</v>
      </c>
      <c r="H101" s="29">
        <v>1</v>
      </c>
      <c r="I101" s="9">
        <v>1</v>
      </c>
      <c r="J101" s="9">
        <v>1</v>
      </c>
      <c r="K101" s="9">
        <v>3</v>
      </c>
      <c r="L101" s="9">
        <v>3</v>
      </c>
      <c r="M101" s="9">
        <v>3</v>
      </c>
      <c r="N101" s="185">
        <f t="shared" si="8"/>
        <v>1.1181151966036349</v>
      </c>
      <c r="O101" s="159">
        <f t="shared" si="9"/>
        <v>1.1181151966036349</v>
      </c>
      <c r="P101" s="63" t="s">
        <v>158</v>
      </c>
    </row>
    <row r="102" spans="1:16">
      <c r="A102" s="151" t="s">
        <v>159</v>
      </c>
      <c r="B102" s="34" t="s">
        <v>155</v>
      </c>
      <c r="C102" s="40" t="s">
        <v>139</v>
      </c>
      <c r="D102" s="34" t="s">
        <v>139</v>
      </c>
      <c r="E102" s="257" t="s">
        <v>150</v>
      </c>
      <c r="F102" s="232">
        <v>1</v>
      </c>
      <c r="G102" s="40" t="s">
        <v>157</v>
      </c>
      <c r="H102" s="29">
        <v>1</v>
      </c>
      <c r="I102" s="9">
        <v>1</v>
      </c>
      <c r="J102" s="9">
        <v>1</v>
      </c>
      <c r="K102" s="9">
        <v>3</v>
      </c>
      <c r="L102" s="9">
        <v>3</v>
      </c>
      <c r="M102" s="9">
        <v>3</v>
      </c>
      <c r="N102" s="185">
        <f t="shared" si="8"/>
        <v>1.1181151966036349</v>
      </c>
      <c r="O102" s="159">
        <f t="shared" si="9"/>
        <v>1.1181151966036349</v>
      </c>
      <c r="P102" s="63" t="s">
        <v>158</v>
      </c>
    </row>
    <row r="103" spans="1:16">
      <c r="A103" s="151" t="str">
        <f>Agriculture!A114</f>
        <v>Agricultural mulching films</v>
      </c>
      <c r="B103" s="34" t="str">
        <f>Agriculture!B114</f>
        <v>Agricultural soil (micro)</v>
      </c>
      <c r="C103" s="40" t="str">
        <f>Agriculture!C114</f>
        <v>any</v>
      </c>
      <c r="D103" s="34" t="str">
        <f>Agriculture!D114</f>
        <v>any</v>
      </c>
      <c r="E103" s="240">
        <f>Agriculture!E114</f>
        <v>0.02</v>
      </c>
      <c r="F103" s="232">
        <f>Agriculture!F114</f>
        <v>2</v>
      </c>
      <c r="G103" s="40" t="str">
        <f>Agriculture!G114</f>
        <v>Assumption by Kawecki and Nowack (explained on page 38 of the SI)</v>
      </c>
      <c r="H103" s="29">
        <v>2</v>
      </c>
      <c r="I103" s="9">
        <v>2</v>
      </c>
      <c r="J103" s="9">
        <v>2</v>
      </c>
      <c r="K103" s="9">
        <v>1</v>
      </c>
      <c r="L103" s="9">
        <v>1</v>
      </c>
      <c r="M103" s="9">
        <v>3</v>
      </c>
      <c r="N103" s="185">
        <f t="shared" si="8"/>
        <v>1.0248662490928169</v>
      </c>
      <c r="O103" s="159">
        <f t="shared" si="9"/>
        <v>1.0248662490928169</v>
      </c>
      <c r="P103" s="63" t="str">
        <f>Agriculture!P114</f>
        <v>Assume that for a film with 1m width, 1cm is lost on both sides when removing. This results in a total loss of 2% of plastic.</v>
      </c>
    </row>
    <row r="104" spans="1:16">
      <c r="A104" s="151" t="str">
        <f>Agriculture!A120</f>
        <v>Agricultural other</v>
      </c>
      <c r="B104" s="34" t="str">
        <f>Agriculture!B120</f>
        <v>Agricultural soil (micro)</v>
      </c>
      <c r="C104" s="40" t="str">
        <f>Agriculture!C120</f>
        <v>any</v>
      </c>
      <c r="D104" s="34" t="str">
        <f>Agriculture!D120</f>
        <v>any</v>
      </c>
      <c r="E104" s="240">
        <f>Agriculture!E120</f>
        <v>1E-3</v>
      </c>
      <c r="F104" s="232">
        <f>Agriculture!F120</f>
        <v>2</v>
      </c>
      <c r="G104" s="40" t="str">
        <f>Agriculture!G120</f>
        <v>Assumption</v>
      </c>
      <c r="H104" s="29">
        <v>1</v>
      </c>
      <c r="I104" s="9">
        <v>1</v>
      </c>
      <c r="J104" s="9">
        <v>1</v>
      </c>
      <c r="K104" s="9">
        <v>1</v>
      </c>
      <c r="L104" s="9">
        <v>1</v>
      </c>
      <c r="M104" s="9">
        <v>3</v>
      </c>
      <c r="N104" s="185">
        <f t="shared" si="8"/>
        <v>1.0141150152164344</v>
      </c>
      <c r="O104" s="159">
        <f t="shared" si="9"/>
        <v>1.0141150152164344</v>
      </c>
      <c r="P104" s="63"/>
    </row>
    <row r="105" spans="1:16">
      <c r="A105" s="151" t="str">
        <f>Agriculture!A124</f>
        <v>Agricultural pipes (in use)</v>
      </c>
      <c r="B105" s="34" t="str">
        <f>Agriculture!B124</f>
        <v>Agricultural soil (micro)</v>
      </c>
      <c r="C105" s="40" t="str">
        <f>Agriculture!C124</f>
        <v>any</v>
      </c>
      <c r="D105" s="34" t="str">
        <f>Agriculture!D124</f>
        <v>any</v>
      </c>
      <c r="E105" s="240" t="str">
        <f>Agriculture!E124</f>
        <v>rest</v>
      </c>
      <c r="F105" s="232">
        <f>Agriculture!F124</f>
        <v>2</v>
      </c>
      <c r="G105" s="40" t="str">
        <f>Agriculture!G124</f>
        <v>Assumption</v>
      </c>
      <c r="H105" s="29">
        <v>1</v>
      </c>
      <c r="I105" s="9">
        <v>1</v>
      </c>
      <c r="J105" s="9">
        <v>1</v>
      </c>
      <c r="K105" s="9">
        <v>1</v>
      </c>
      <c r="L105" s="9">
        <v>1</v>
      </c>
      <c r="M105" s="9">
        <v>3</v>
      </c>
      <c r="N105" s="185">
        <f t="shared" si="8"/>
        <v>1.0141150152164344</v>
      </c>
      <c r="O105" s="159">
        <f t="shared" si="9"/>
        <v>1.0141150152164344</v>
      </c>
      <c r="P105" s="63" t="str">
        <f>Agriculture!P124</f>
        <v>Assume that for a film with 1m width, 1cm is lost on both sides when removing. This results in a total loss of 2% of plastic.</v>
      </c>
    </row>
    <row r="106" spans="1:16">
      <c r="A106" s="151" t="str">
        <f>Agriculture!A128</f>
        <v>Agricultural greenhouse films (in use)</v>
      </c>
      <c r="B106" s="34" t="str">
        <f>Agriculture!B128</f>
        <v>Agricultural soil (micro)</v>
      </c>
      <c r="C106" s="40" t="str">
        <f>Agriculture!C128</f>
        <v>any</v>
      </c>
      <c r="D106" s="34" t="str">
        <f>Agriculture!D128</f>
        <v>any</v>
      </c>
      <c r="E106" s="240" t="str">
        <f>Agriculture!E128</f>
        <v>rest</v>
      </c>
      <c r="F106" s="232">
        <f>Agriculture!F128</f>
        <v>1</v>
      </c>
      <c r="G106" s="40" t="str">
        <f>Agriculture!G128</f>
        <v>Assumption by Kawecki and Nowack (explained on page 38 of the SI)</v>
      </c>
      <c r="H106" s="29">
        <v>2</v>
      </c>
      <c r="I106" s="9">
        <v>2</v>
      </c>
      <c r="J106" s="9">
        <v>1</v>
      </c>
      <c r="K106" s="9">
        <v>1</v>
      </c>
      <c r="L106" s="9">
        <v>1</v>
      </c>
      <c r="M106" s="9">
        <v>3</v>
      </c>
      <c r="N106" s="185">
        <f t="shared" si="8"/>
        <v>1.0195048044558224</v>
      </c>
      <c r="O106" s="159">
        <f t="shared" si="9"/>
        <v>1.0195048044558224</v>
      </c>
      <c r="P106" s="63"/>
    </row>
    <row r="107" spans="1:16">
      <c r="A107" s="151" t="s">
        <v>160</v>
      </c>
      <c r="B107" s="34" t="s">
        <v>155</v>
      </c>
      <c r="C107" s="40" t="s">
        <v>139</v>
      </c>
      <c r="D107" s="34" t="s">
        <v>139</v>
      </c>
      <c r="E107" s="257" t="s">
        <v>150</v>
      </c>
      <c r="F107" s="232">
        <v>1</v>
      </c>
      <c r="G107" s="40" t="s">
        <v>157</v>
      </c>
      <c r="H107" s="29">
        <v>1</v>
      </c>
      <c r="I107" s="9">
        <v>1</v>
      </c>
      <c r="J107" s="9">
        <v>1</v>
      </c>
      <c r="K107" s="9">
        <v>3</v>
      </c>
      <c r="L107" s="9">
        <v>3</v>
      </c>
      <c r="M107" s="9">
        <v>3</v>
      </c>
      <c r="N107" s="185">
        <f t="shared" si="8"/>
        <v>1.1181151966036349</v>
      </c>
      <c r="O107" s="159">
        <f t="shared" si="9"/>
        <v>1.1181151966036349</v>
      </c>
      <c r="P107" s="63" t="s">
        <v>158</v>
      </c>
    </row>
    <row r="108" spans="1:16">
      <c r="A108" s="151" t="s">
        <v>161</v>
      </c>
      <c r="B108" s="34" t="s">
        <v>155</v>
      </c>
      <c r="C108" s="40" t="s">
        <v>139</v>
      </c>
      <c r="D108" s="34" t="s">
        <v>139</v>
      </c>
      <c r="E108" s="257" t="s">
        <v>150</v>
      </c>
      <c r="F108" s="232">
        <v>1</v>
      </c>
      <c r="G108" s="40" t="s">
        <v>157</v>
      </c>
      <c r="H108" s="29">
        <v>1</v>
      </c>
      <c r="I108" s="9">
        <v>1</v>
      </c>
      <c r="J108" s="9">
        <v>1</v>
      </c>
      <c r="K108" s="9">
        <v>3</v>
      </c>
      <c r="L108" s="9">
        <v>3</v>
      </c>
      <c r="M108" s="9">
        <v>3</v>
      </c>
      <c r="N108" s="185">
        <f t="shared" si="8"/>
        <v>1.1181151966036349</v>
      </c>
      <c r="O108" s="159">
        <f t="shared" si="9"/>
        <v>1.1181151966036349</v>
      </c>
      <c r="P108" s="63" t="s">
        <v>158</v>
      </c>
    </row>
    <row r="109" spans="1:16">
      <c r="A109" s="289" t="s">
        <v>152</v>
      </c>
      <c r="B109" s="55" t="s">
        <v>162</v>
      </c>
      <c r="C109" s="262" t="s">
        <v>139</v>
      </c>
      <c r="D109" s="55" t="s">
        <v>139</v>
      </c>
      <c r="E109" s="257">
        <v>9.8000000000000004E-2</v>
      </c>
      <c r="F109" s="232">
        <v>2</v>
      </c>
      <c r="G109" s="262" t="s">
        <v>163</v>
      </c>
      <c r="H109" s="29">
        <v>2</v>
      </c>
      <c r="I109" s="9">
        <v>2</v>
      </c>
      <c r="J109" s="9">
        <v>1</v>
      </c>
      <c r="K109" s="9">
        <v>1</v>
      </c>
      <c r="L109" s="9">
        <v>1</v>
      </c>
      <c r="M109" s="9">
        <v>3</v>
      </c>
      <c r="N109" s="185">
        <f t="shared" si="8"/>
        <v>1.0195048044558224</v>
      </c>
      <c r="O109" s="159">
        <f t="shared" si="9"/>
        <v>1.0195048044558224</v>
      </c>
      <c r="P109" s="63" t="s">
        <v>164</v>
      </c>
    </row>
    <row r="110" spans="1:16">
      <c r="A110" s="151" t="s">
        <v>138</v>
      </c>
      <c r="B110" s="34" t="s">
        <v>165</v>
      </c>
      <c r="C110" s="40" t="s">
        <v>139</v>
      </c>
      <c r="D110" s="34" t="s">
        <v>139</v>
      </c>
      <c r="E110" s="257" t="s">
        <v>150</v>
      </c>
      <c r="F110" s="232">
        <v>1</v>
      </c>
      <c r="G110" s="40"/>
      <c r="H110" s="29"/>
      <c r="I110" s="9"/>
      <c r="J110" s="9"/>
      <c r="K110" s="9"/>
      <c r="L110" s="9"/>
      <c r="M110" s="9"/>
      <c r="N110" s="185" t="str">
        <f t="shared" si="8"/>
        <v/>
      </c>
      <c r="O110" s="159" t="str">
        <f t="shared" si="9"/>
        <v/>
      </c>
      <c r="P110" s="63"/>
    </row>
    <row r="111" spans="1:16">
      <c r="A111" s="151" t="s">
        <v>142</v>
      </c>
      <c r="B111" s="34" t="s">
        <v>165</v>
      </c>
      <c r="C111" s="40" t="s">
        <v>139</v>
      </c>
      <c r="D111" s="34" t="s">
        <v>139</v>
      </c>
      <c r="E111" s="257" t="s">
        <v>150</v>
      </c>
      <c r="F111" s="232">
        <v>1</v>
      </c>
      <c r="G111" s="40"/>
      <c r="H111" s="29"/>
      <c r="I111" s="9"/>
      <c r="J111" s="9"/>
      <c r="K111" s="9"/>
      <c r="L111" s="9"/>
      <c r="M111" s="9"/>
      <c r="N111" s="185" t="str">
        <f t="shared" si="8"/>
        <v/>
      </c>
      <c r="O111" s="159" t="str">
        <f t="shared" si="9"/>
        <v/>
      </c>
      <c r="P111" s="63"/>
    </row>
    <row r="112" spans="1:16">
      <c r="A112" s="151" t="str">
        <f>Agriculture!A113</f>
        <v>Agricultural mulching films</v>
      </c>
      <c r="B112" s="34" t="str">
        <f>Agriculture!B113</f>
        <v>Agricultural waste collection</v>
      </c>
      <c r="C112" s="40" t="str">
        <f>Agriculture!C113</f>
        <v>any</v>
      </c>
      <c r="D112" s="34" t="str">
        <f>Agriculture!D113</f>
        <v>any</v>
      </c>
      <c r="E112" s="240" t="str">
        <f>Agriculture!E113</f>
        <v>rest</v>
      </c>
      <c r="F112" s="232">
        <f>Agriculture!F113</f>
        <v>1</v>
      </c>
      <c r="G112" s="40">
        <f>Agriculture!G113</f>
        <v>0</v>
      </c>
      <c r="H112" s="29"/>
      <c r="I112" s="9"/>
      <c r="J112" s="9"/>
      <c r="K112" s="9"/>
      <c r="L112" s="9"/>
      <c r="M112" s="9"/>
      <c r="N112" s="185" t="str">
        <f t="shared" si="8"/>
        <v/>
      </c>
      <c r="O112" s="159" t="str">
        <f t="shared" si="9"/>
        <v/>
      </c>
      <c r="P112" s="63"/>
    </row>
    <row r="113" spans="1:16">
      <c r="A113" s="151" t="str">
        <f>Agriculture!A119</f>
        <v>Agricultural other</v>
      </c>
      <c r="B113" s="34" t="str">
        <f>Agriculture!B119</f>
        <v>Agricultural waste collection</v>
      </c>
      <c r="C113" s="40" t="str">
        <f>Agriculture!C119</f>
        <v>any</v>
      </c>
      <c r="D113" s="34" t="str">
        <f>Agriculture!D119</f>
        <v>any</v>
      </c>
      <c r="E113" s="240" t="str">
        <f>Agriculture!E119</f>
        <v>rest</v>
      </c>
      <c r="F113" s="232">
        <f>Agriculture!F119</f>
        <v>1</v>
      </c>
      <c r="G113" s="40">
        <f>Agriculture!G119</f>
        <v>0</v>
      </c>
      <c r="H113" s="29"/>
      <c r="I113" s="9"/>
      <c r="J113" s="9"/>
      <c r="K113" s="9"/>
      <c r="L113" s="9"/>
      <c r="M113" s="9"/>
      <c r="N113" s="185"/>
      <c r="O113" s="159" t="str">
        <f t="shared" si="9"/>
        <v/>
      </c>
      <c r="P113" s="63"/>
    </row>
    <row r="114" spans="1:16">
      <c r="A114" s="151" t="str">
        <f>Agriculture!A133</f>
        <v>Agricultural pipes (discarded)</v>
      </c>
      <c r="B114" s="34" t="str">
        <f>Agriculture!B133</f>
        <v>Agricultural waste collection</v>
      </c>
      <c r="C114" s="40" t="str">
        <f>Agriculture!C133</f>
        <v>any</v>
      </c>
      <c r="D114" s="34" t="str">
        <f>Agriculture!D133</f>
        <v>any</v>
      </c>
      <c r="E114" s="240" t="str">
        <f>Agriculture!E133</f>
        <v>rest</v>
      </c>
      <c r="F114" s="232">
        <f>Agriculture!F133</f>
        <v>1</v>
      </c>
      <c r="G114" s="40">
        <f>Agriculture!G133</f>
        <v>0</v>
      </c>
      <c r="H114" s="29"/>
      <c r="I114" s="9"/>
      <c r="J114" s="9"/>
      <c r="K114" s="9"/>
      <c r="L114" s="9"/>
      <c r="M114" s="9"/>
      <c r="N114" s="185" t="str">
        <f t="shared" ref="N114:N145" si="10">IF( OR( ISBLANK(H114),ISBLANK(J114), ISBLANK(K114), ISBLANK(L114), ISBLANK(M114) ), "", 1.5*SQRT(   EXP(2.21*(H114-1)) + EXP(2.21*(J114-1)) + EXP(2.21*(K114-1)) + EXP(2.21*(L114-1)) + EXP(2.21*M114)   )/100*2.45 )</f>
        <v/>
      </c>
      <c r="O114" s="159" t="str">
        <f t="shared" si="9"/>
        <v/>
      </c>
      <c r="P114" s="63"/>
    </row>
    <row r="115" spans="1:16">
      <c r="A115" s="151" t="str">
        <f>Agriculture!A135</f>
        <v>Agricultural greenhouse films (discarded)</v>
      </c>
      <c r="B115" s="34" t="str">
        <f>Agriculture!B135</f>
        <v>Agricultural waste collection</v>
      </c>
      <c r="C115" s="40" t="str">
        <f>Agriculture!C135</f>
        <v>any</v>
      </c>
      <c r="D115" s="34" t="str">
        <f>Agriculture!D135</f>
        <v>any</v>
      </c>
      <c r="E115" s="240" t="str">
        <f>Agriculture!E135</f>
        <v>rest</v>
      </c>
      <c r="F115" s="232">
        <f>Agriculture!F135</f>
        <v>1</v>
      </c>
      <c r="G115" s="40">
        <f>Agriculture!G135</f>
        <v>0</v>
      </c>
      <c r="H115" s="29"/>
      <c r="I115" s="9"/>
      <c r="J115" s="9"/>
      <c r="K115" s="9"/>
      <c r="L115" s="9"/>
      <c r="M115" s="9"/>
      <c r="N115" s="185" t="str">
        <f t="shared" si="10"/>
        <v/>
      </c>
      <c r="O115" s="159" t="str">
        <f t="shared" si="9"/>
        <v/>
      </c>
      <c r="P115" s="63"/>
    </row>
    <row r="116" spans="1:16">
      <c r="A116" s="289" t="s">
        <v>153</v>
      </c>
      <c r="B116" s="55" t="s">
        <v>165</v>
      </c>
      <c r="C116" s="262" t="s">
        <v>139</v>
      </c>
      <c r="D116" s="55" t="s">
        <v>139</v>
      </c>
      <c r="E116" s="257" t="s">
        <v>150</v>
      </c>
      <c r="F116" s="232">
        <v>1</v>
      </c>
      <c r="G116" s="262"/>
      <c r="H116" s="29"/>
      <c r="I116" s="9"/>
      <c r="J116" s="9"/>
      <c r="K116" s="9"/>
      <c r="L116" s="9"/>
      <c r="M116" s="9"/>
      <c r="N116" s="185" t="str">
        <f t="shared" si="10"/>
        <v/>
      </c>
      <c r="O116" s="159" t="str">
        <f t="shared" si="9"/>
        <v/>
      </c>
      <c r="P116" s="63"/>
    </row>
    <row r="117" spans="1:16">
      <c r="A117" s="151" t="s">
        <v>156</v>
      </c>
      <c r="B117" s="34" t="s">
        <v>143</v>
      </c>
      <c r="C117" s="40" t="s">
        <v>139</v>
      </c>
      <c r="D117" s="34" t="s">
        <v>139</v>
      </c>
      <c r="E117" s="257">
        <v>0.05</v>
      </c>
      <c r="F117" s="232">
        <v>2</v>
      </c>
      <c r="G117" s="40" t="s">
        <v>166</v>
      </c>
      <c r="H117" s="29">
        <v>1</v>
      </c>
      <c r="I117" s="9">
        <v>1</v>
      </c>
      <c r="J117" s="9">
        <v>1</v>
      </c>
      <c r="K117" s="9">
        <v>3</v>
      </c>
      <c r="L117" s="9">
        <v>3</v>
      </c>
      <c r="M117" s="9">
        <v>3</v>
      </c>
      <c r="N117" s="185">
        <f t="shared" si="10"/>
        <v>1.1181151966036349</v>
      </c>
      <c r="O117" s="159">
        <f t="shared" si="9"/>
        <v>1.1181151966036349</v>
      </c>
      <c r="P117" s="63" t="s">
        <v>158</v>
      </c>
    </row>
    <row r="118" spans="1:16">
      <c r="A118" s="151" t="s">
        <v>159</v>
      </c>
      <c r="B118" s="34" t="s">
        <v>143</v>
      </c>
      <c r="C118" s="40" t="s">
        <v>139</v>
      </c>
      <c r="D118" s="34" t="s">
        <v>139</v>
      </c>
      <c r="E118" s="257">
        <v>0.05</v>
      </c>
      <c r="F118" s="232">
        <v>2</v>
      </c>
      <c r="G118" s="40" t="s">
        <v>166</v>
      </c>
      <c r="H118" s="29">
        <v>1</v>
      </c>
      <c r="I118" s="9">
        <v>1</v>
      </c>
      <c r="J118" s="9">
        <v>1</v>
      </c>
      <c r="K118" s="9">
        <v>3</v>
      </c>
      <c r="L118" s="9">
        <v>3</v>
      </c>
      <c r="M118" s="9">
        <v>3</v>
      </c>
      <c r="N118" s="819">
        <f t="shared" si="10"/>
        <v>1.1181151966036349</v>
      </c>
      <c r="O118" s="820">
        <f t="shared" si="9"/>
        <v>1.1181151966036349</v>
      </c>
      <c r="P118" s="63" t="s">
        <v>158</v>
      </c>
    </row>
    <row r="119" spans="1:16">
      <c r="A119" s="151" t="s">
        <v>160</v>
      </c>
      <c r="B119" s="34" t="s">
        <v>143</v>
      </c>
      <c r="C119" s="40" t="s">
        <v>139</v>
      </c>
      <c r="D119" s="34" t="s">
        <v>139</v>
      </c>
      <c r="E119" s="257">
        <v>0.05</v>
      </c>
      <c r="F119" s="232">
        <v>2</v>
      </c>
      <c r="G119" s="40" t="s">
        <v>166</v>
      </c>
      <c r="H119" s="29">
        <v>1</v>
      </c>
      <c r="I119" s="9">
        <v>1</v>
      </c>
      <c r="J119" s="9">
        <v>1</v>
      </c>
      <c r="K119" s="9">
        <v>3</v>
      </c>
      <c r="L119" s="9">
        <v>3</v>
      </c>
      <c r="M119" s="9">
        <v>3</v>
      </c>
      <c r="N119" s="185">
        <f t="shared" si="10"/>
        <v>1.1181151966036349</v>
      </c>
      <c r="O119" s="159">
        <f t="shared" si="9"/>
        <v>1.1181151966036349</v>
      </c>
      <c r="P119" s="63" t="s">
        <v>158</v>
      </c>
    </row>
    <row r="120" spans="1:16">
      <c r="A120" s="151" t="s">
        <v>161</v>
      </c>
      <c r="B120" s="34" t="s">
        <v>143</v>
      </c>
      <c r="C120" s="40" t="s">
        <v>139</v>
      </c>
      <c r="D120" s="34" t="s">
        <v>139</v>
      </c>
      <c r="E120" s="257">
        <v>0.05</v>
      </c>
      <c r="F120" s="232">
        <v>2</v>
      </c>
      <c r="G120" s="40" t="s">
        <v>166</v>
      </c>
      <c r="H120" s="29">
        <v>1</v>
      </c>
      <c r="I120" s="9">
        <v>1</v>
      </c>
      <c r="J120" s="9">
        <v>1</v>
      </c>
      <c r="K120" s="9">
        <v>3</v>
      </c>
      <c r="L120" s="9">
        <v>3</v>
      </c>
      <c r="M120" s="9">
        <v>3</v>
      </c>
      <c r="N120" s="185">
        <f t="shared" si="10"/>
        <v>1.1181151966036349</v>
      </c>
      <c r="O120" s="159">
        <f t="shared" si="9"/>
        <v>1.1181151966036349</v>
      </c>
      <c r="P120" s="63" t="s">
        <v>158</v>
      </c>
    </row>
    <row r="121" spans="1:16">
      <c r="A121" s="289" t="s">
        <v>153</v>
      </c>
      <c r="B121" s="55" t="s">
        <v>167</v>
      </c>
      <c r="C121" s="262" t="s">
        <v>139</v>
      </c>
      <c r="D121" s="55" t="s">
        <v>139</v>
      </c>
      <c r="E121" s="257">
        <v>3.7999999999999999E-2</v>
      </c>
      <c r="F121" s="232">
        <v>2</v>
      </c>
      <c r="G121" s="262" t="s">
        <v>168</v>
      </c>
      <c r="H121" s="29">
        <v>1</v>
      </c>
      <c r="I121" s="9">
        <v>2</v>
      </c>
      <c r="J121" s="9">
        <v>2</v>
      </c>
      <c r="K121" s="9">
        <v>3</v>
      </c>
      <c r="L121" s="9">
        <v>2</v>
      </c>
      <c r="M121" s="9">
        <v>2</v>
      </c>
      <c r="N121" s="185">
        <f t="shared" si="10"/>
        <v>0.50042652380814845</v>
      </c>
      <c r="O121" s="159">
        <f t="shared" si="9"/>
        <v>0.51126068492676302</v>
      </c>
      <c r="P121" s="63" t="s">
        <v>169</v>
      </c>
    </row>
    <row r="122" spans="1:16">
      <c r="A122" s="151" t="str">
        <f>Agriculture!A134</f>
        <v>Agricultural greenhouse films (discarded)</v>
      </c>
      <c r="B122" s="34" t="str">
        <f>Agriculture!B134</f>
        <v>Dumping</v>
      </c>
      <c r="C122" s="40" t="str">
        <f>Agriculture!C134</f>
        <v>any</v>
      </c>
      <c r="D122" s="34" t="str">
        <f>Agriculture!D134</f>
        <v>any</v>
      </c>
      <c r="E122" s="240">
        <f>Agriculture!E134</f>
        <v>2.9735682819383261E-4</v>
      </c>
      <c r="F122" s="232">
        <f>Agriculture!F134</f>
        <v>2</v>
      </c>
      <c r="G122" s="40" t="str">
        <f>Agriculture!G134</f>
        <v>SI Kawecki and Nowack, 2019</v>
      </c>
      <c r="H122" s="29">
        <v>2</v>
      </c>
      <c r="I122" s="9">
        <v>2</v>
      </c>
      <c r="J122" s="9">
        <v>1</v>
      </c>
      <c r="K122" s="9">
        <v>3</v>
      </c>
      <c r="L122" s="9">
        <v>3</v>
      </c>
      <c r="M122" s="9">
        <v>3</v>
      </c>
      <c r="N122" s="185">
        <f t="shared" si="10"/>
        <v>1.123005955058592</v>
      </c>
      <c r="O122" s="159">
        <f t="shared" si="9"/>
        <v>1.123005955058592</v>
      </c>
      <c r="P122" s="63" t="str">
        <f>Agriculture!P134</f>
        <v>Normalized (See Agriculture sheet)</v>
      </c>
    </row>
    <row r="123" spans="1:16">
      <c r="A123" s="289" t="s">
        <v>162</v>
      </c>
      <c r="B123" s="55" t="s">
        <v>146</v>
      </c>
      <c r="C123" s="262" t="s">
        <v>139</v>
      </c>
      <c r="D123" s="55" t="s">
        <v>139</v>
      </c>
      <c r="E123" s="257">
        <v>0.86734693877551028</v>
      </c>
      <c r="F123" s="232">
        <v>2</v>
      </c>
      <c r="G123" s="262" t="s">
        <v>163</v>
      </c>
      <c r="H123" s="29">
        <v>2</v>
      </c>
      <c r="I123" s="9">
        <v>2</v>
      </c>
      <c r="J123" s="9">
        <v>1</v>
      </c>
      <c r="K123" s="9">
        <v>1</v>
      </c>
      <c r="L123" s="9">
        <v>1</v>
      </c>
      <c r="M123" s="9">
        <v>3</v>
      </c>
      <c r="N123" s="185">
        <f t="shared" si="10"/>
        <v>1.0195048044558224</v>
      </c>
      <c r="O123" s="159">
        <f t="shared" si="9"/>
        <v>1.0195048044558224</v>
      </c>
      <c r="P123" s="63" t="s">
        <v>148</v>
      </c>
    </row>
    <row r="124" spans="1:16">
      <c r="A124" s="289" t="s">
        <v>162</v>
      </c>
      <c r="B124" s="55" t="s">
        <v>155</v>
      </c>
      <c r="C124" s="262" t="s">
        <v>139</v>
      </c>
      <c r="D124" s="55" t="s">
        <v>139</v>
      </c>
      <c r="E124" s="257" t="s">
        <v>150</v>
      </c>
      <c r="F124" s="232">
        <v>1</v>
      </c>
      <c r="G124" s="262"/>
      <c r="H124" s="29"/>
      <c r="I124" s="9"/>
      <c r="J124" s="9"/>
      <c r="K124" s="9"/>
      <c r="L124" s="9"/>
      <c r="M124" s="9"/>
      <c r="N124" s="185" t="str">
        <f t="shared" si="10"/>
        <v/>
      </c>
      <c r="O124" s="159" t="str">
        <f t="shared" si="9"/>
        <v/>
      </c>
      <c r="P124" s="63"/>
    </row>
    <row r="125" spans="1:16">
      <c r="A125" s="289" t="s">
        <v>170</v>
      </c>
      <c r="B125" s="55" t="s">
        <v>171</v>
      </c>
      <c r="C125" s="262" t="s">
        <v>139</v>
      </c>
      <c r="D125" s="55" t="s">
        <v>139</v>
      </c>
      <c r="E125" s="257" t="s">
        <v>150</v>
      </c>
      <c r="F125" s="232">
        <v>1</v>
      </c>
      <c r="G125" s="262"/>
      <c r="H125" s="29"/>
      <c r="I125" s="9"/>
      <c r="J125" s="9"/>
      <c r="K125" s="9"/>
      <c r="L125" s="9"/>
      <c r="M125" s="9"/>
      <c r="N125" s="185" t="str">
        <f t="shared" si="10"/>
        <v/>
      </c>
      <c r="O125" s="159" t="str">
        <f t="shared" si="9"/>
        <v/>
      </c>
      <c r="P125" s="63"/>
    </row>
    <row r="126" spans="1:16">
      <c r="A126" s="289" t="s">
        <v>170</v>
      </c>
      <c r="B126" s="55" t="s">
        <v>172</v>
      </c>
      <c r="C126" s="262" t="s">
        <v>139</v>
      </c>
      <c r="D126" s="55" t="s">
        <v>139</v>
      </c>
      <c r="E126" s="257">
        <v>1.2999999999999999E-3</v>
      </c>
      <c r="F126" s="232">
        <v>2</v>
      </c>
      <c r="G126" s="262" t="s">
        <v>163</v>
      </c>
      <c r="H126" s="29">
        <v>2</v>
      </c>
      <c r="I126" s="9">
        <v>2</v>
      </c>
      <c r="J126" s="9">
        <v>2</v>
      </c>
      <c r="K126" s="9">
        <v>3</v>
      </c>
      <c r="L126" s="9">
        <v>2</v>
      </c>
      <c r="M126" s="9">
        <v>2</v>
      </c>
      <c r="N126" s="185">
        <f t="shared" si="10"/>
        <v>0.51126068492676302</v>
      </c>
      <c r="O126" s="159">
        <f t="shared" si="9"/>
        <v>0.51126068492676302</v>
      </c>
      <c r="P126" s="63" t="s">
        <v>173</v>
      </c>
    </row>
    <row r="127" spans="1:16">
      <c r="A127" s="289" t="s">
        <v>170</v>
      </c>
      <c r="B127" s="55" t="s">
        <v>172</v>
      </c>
      <c r="C127" s="262" t="s">
        <v>139</v>
      </c>
      <c r="D127" s="55" t="s">
        <v>139</v>
      </c>
      <c r="E127" s="257">
        <v>1.47E-2</v>
      </c>
      <c r="F127" s="232">
        <v>2</v>
      </c>
      <c r="G127" s="262" t="s">
        <v>163</v>
      </c>
      <c r="H127" s="29">
        <v>2</v>
      </c>
      <c r="I127" s="9">
        <v>2</v>
      </c>
      <c r="J127" s="9">
        <v>2</v>
      </c>
      <c r="K127" s="9">
        <v>3</v>
      </c>
      <c r="L127" s="9">
        <v>2</v>
      </c>
      <c r="M127" s="9">
        <v>2</v>
      </c>
      <c r="N127" s="185">
        <f t="shared" si="10"/>
        <v>0.51126068492676302</v>
      </c>
      <c r="O127" s="159">
        <f t="shared" si="9"/>
        <v>0.51126068492676302</v>
      </c>
      <c r="P127" s="63" t="s">
        <v>174</v>
      </c>
    </row>
    <row r="128" spans="1:16">
      <c r="A128" s="289" t="s">
        <v>171</v>
      </c>
      <c r="B128" s="55" t="s">
        <v>175</v>
      </c>
      <c r="C128" s="262" t="s">
        <v>139</v>
      </c>
      <c r="D128" s="55" t="s">
        <v>139</v>
      </c>
      <c r="E128" s="257" t="s">
        <v>150</v>
      </c>
      <c r="F128" s="232">
        <v>1</v>
      </c>
      <c r="G128" s="262" t="s">
        <v>163</v>
      </c>
      <c r="H128" s="29"/>
      <c r="I128" s="9"/>
      <c r="J128" s="9"/>
      <c r="K128" s="9"/>
      <c r="L128" s="9"/>
      <c r="M128" s="9"/>
      <c r="N128" s="185" t="str">
        <f t="shared" si="10"/>
        <v/>
      </c>
      <c r="O128" s="159" t="str">
        <f t="shared" si="9"/>
        <v/>
      </c>
      <c r="P128" s="63"/>
    </row>
    <row r="129" spans="1:16">
      <c r="A129" s="151" t="str">
        <f>Agriculture!A112</f>
        <v>Agricultural mulching films</v>
      </c>
      <c r="B129" s="34" t="str">
        <f>Agriculture!B112</f>
        <v>Dumping</v>
      </c>
      <c r="C129" s="40" t="str">
        <f>Agriculture!C112</f>
        <v>any</v>
      </c>
      <c r="D129" s="34" t="str">
        <f>Agriculture!D112</f>
        <v>any</v>
      </c>
      <c r="E129" s="240">
        <f>Agriculture!E112</f>
        <v>2.7E-4</v>
      </c>
      <c r="F129" s="232">
        <f>Agriculture!F112</f>
        <v>2</v>
      </c>
      <c r="G129" s="40" t="str">
        <f>Agriculture!G112</f>
        <v>SI Kawecki and Nowack, 2019</v>
      </c>
      <c r="H129" s="29">
        <v>2</v>
      </c>
      <c r="I129" s="9">
        <v>2</v>
      </c>
      <c r="J129" s="9">
        <v>2</v>
      </c>
      <c r="K129" s="9">
        <v>3</v>
      </c>
      <c r="L129" s="9">
        <v>3</v>
      </c>
      <c r="M129" s="9">
        <v>3</v>
      </c>
      <c r="N129" s="185">
        <f t="shared" si="10"/>
        <v>1.1278755061256258</v>
      </c>
      <c r="O129" s="159">
        <f t="shared" si="9"/>
        <v>1.1278755061256258</v>
      </c>
      <c r="P129" s="63"/>
    </row>
    <row r="130" spans="1:16">
      <c r="A130" s="289" t="s">
        <v>172</v>
      </c>
      <c r="B130" s="55" t="s">
        <v>176</v>
      </c>
      <c r="C130" s="262" t="s">
        <v>139</v>
      </c>
      <c r="D130" s="55" t="s">
        <v>139</v>
      </c>
      <c r="E130" s="257">
        <v>1</v>
      </c>
      <c r="F130" s="232">
        <v>1</v>
      </c>
      <c r="G130" s="262"/>
      <c r="H130" s="29"/>
      <c r="I130" s="9"/>
      <c r="J130" s="9"/>
      <c r="K130" s="9"/>
      <c r="L130" s="9"/>
      <c r="M130" s="9"/>
      <c r="N130" s="185" t="str">
        <f t="shared" si="10"/>
        <v/>
      </c>
      <c r="O130" s="159" t="str">
        <f t="shared" si="9"/>
        <v/>
      </c>
      <c r="P130" s="63" t="s">
        <v>177</v>
      </c>
    </row>
    <row r="131" spans="1:16">
      <c r="A131" s="289" t="s">
        <v>178</v>
      </c>
      <c r="B131" s="55" t="s">
        <v>179</v>
      </c>
      <c r="C131" s="262" t="s">
        <v>180</v>
      </c>
      <c r="D131" s="55" t="s">
        <v>139</v>
      </c>
      <c r="E131" s="257">
        <v>1</v>
      </c>
      <c r="F131" s="232">
        <v>2</v>
      </c>
      <c r="G131" s="262" t="s">
        <v>181</v>
      </c>
      <c r="H131" s="29"/>
      <c r="I131" s="9"/>
      <c r="J131" s="9"/>
      <c r="K131" s="9"/>
      <c r="L131" s="9"/>
      <c r="M131" s="9"/>
      <c r="N131" s="185" t="str">
        <f t="shared" si="10"/>
        <v/>
      </c>
      <c r="O131" s="159" t="str">
        <f t="shared" si="9"/>
        <v/>
      </c>
      <c r="P131" s="63"/>
    </row>
    <row r="132" spans="1:16">
      <c r="A132" s="289" t="s">
        <v>178</v>
      </c>
      <c r="B132" s="55" t="s">
        <v>179</v>
      </c>
      <c r="C132" s="262" t="s">
        <v>182</v>
      </c>
      <c r="D132" s="55" t="s">
        <v>139</v>
      </c>
      <c r="E132" s="257">
        <v>0.5</v>
      </c>
      <c r="F132" s="232">
        <v>2</v>
      </c>
      <c r="G132" s="262" t="s">
        <v>181</v>
      </c>
      <c r="H132" s="29"/>
      <c r="I132" s="9">
        <v>1</v>
      </c>
      <c r="J132" s="9">
        <v>2</v>
      </c>
      <c r="K132" s="9">
        <v>2</v>
      </c>
      <c r="L132" s="9">
        <v>2</v>
      </c>
      <c r="M132" s="9">
        <v>3</v>
      </c>
      <c r="N132" s="185" t="str">
        <f t="shared" si="10"/>
        <v/>
      </c>
      <c r="O132" s="159">
        <f t="shared" si="9"/>
        <v>1.0301997916669636</v>
      </c>
      <c r="P132" s="63"/>
    </row>
    <row r="133" spans="1:16">
      <c r="A133" s="289" t="s">
        <v>178</v>
      </c>
      <c r="B133" s="55" t="s">
        <v>179</v>
      </c>
      <c r="C133" s="262" t="s">
        <v>182</v>
      </c>
      <c r="D133" s="55" t="s">
        <v>139</v>
      </c>
      <c r="E133" s="257">
        <v>1</v>
      </c>
      <c r="F133" s="232">
        <v>2</v>
      </c>
      <c r="G133" s="262" t="s">
        <v>181</v>
      </c>
      <c r="H133" s="29"/>
      <c r="I133" s="9"/>
      <c r="J133" s="9"/>
      <c r="K133" s="9"/>
      <c r="L133" s="9"/>
      <c r="M133" s="9"/>
      <c r="N133" s="185" t="str">
        <f t="shared" si="10"/>
        <v/>
      </c>
      <c r="O133" s="159" t="str">
        <f t="shared" si="9"/>
        <v/>
      </c>
      <c r="P133" s="63"/>
    </row>
    <row r="134" spans="1:16">
      <c r="A134" s="151" t="s">
        <v>39</v>
      </c>
      <c r="B134" s="34" t="s">
        <v>183</v>
      </c>
      <c r="C134" s="40" t="s">
        <v>139</v>
      </c>
      <c r="D134" s="34" t="s">
        <v>85</v>
      </c>
      <c r="E134" s="257">
        <v>1.41E-2</v>
      </c>
      <c r="F134" s="232">
        <v>1</v>
      </c>
      <c r="G134" s="40" t="s">
        <v>140</v>
      </c>
      <c r="H134" s="29">
        <v>2</v>
      </c>
      <c r="I134" s="9">
        <v>2</v>
      </c>
      <c r="J134" s="9">
        <v>2</v>
      </c>
      <c r="K134" s="9">
        <v>1</v>
      </c>
      <c r="L134" s="9">
        <v>1</v>
      </c>
      <c r="M134" s="9">
        <v>2</v>
      </c>
      <c r="N134" s="185">
        <f t="shared" si="10"/>
        <v>0.37356464144298934</v>
      </c>
      <c r="O134" s="159">
        <f t="shared" si="9"/>
        <v>0.37356464144298934</v>
      </c>
      <c r="P134" s="63"/>
    </row>
    <row r="135" spans="1:16">
      <c r="A135" s="151" t="s">
        <v>39</v>
      </c>
      <c r="B135" s="34" t="s">
        <v>183</v>
      </c>
      <c r="C135" s="40" t="s">
        <v>139</v>
      </c>
      <c r="D135" s="34" t="s">
        <v>86</v>
      </c>
      <c r="E135" s="257">
        <v>0</v>
      </c>
      <c r="F135" s="232">
        <v>1</v>
      </c>
      <c r="G135" s="40" t="s">
        <v>140</v>
      </c>
      <c r="H135" s="29"/>
      <c r="I135" s="9"/>
      <c r="J135" s="9"/>
      <c r="K135" s="9"/>
      <c r="L135" s="9"/>
      <c r="M135" s="9"/>
      <c r="N135" s="185" t="str">
        <f t="shared" si="10"/>
        <v/>
      </c>
      <c r="O135" s="159" t="str">
        <f t="shared" si="9"/>
        <v/>
      </c>
      <c r="P135" s="63"/>
    </row>
    <row r="136" spans="1:16">
      <c r="A136" s="151" t="s">
        <v>39</v>
      </c>
      <c r="B136" s="34" t="s">
        <v>183</v>
      </c>
      <c r="C136" s="40" t="s">
        <v>139</v>
      </c>
      <c r="D136" s="34" t="s">
        <v>87</v>
      </c>
      <c r="E136" s="257">
        <v>0</v>
      </c>
      <c r="F136" s="232">
        <v>1</v>
      </c>
      <c r="G136" s="40" t="s">
        <v>140</v>
      </c>
      <c r="H136" s="29"/>
      <c r="I136" s="9"/>
      <c r="J136" s="9"/>
      <c r="K136" s="9"/>
      <c r="L136" s="9"/>
      <c r="M136" s="9"/>
      <c r="N136" s="185" t="str">
        <f t="shared" si="10"/>
        <v/>
      </c>
      <c r="O136" s="159" t="str">
        <f t="shared" si="9"/>
        <v/>
      </c>
      <c r="P136" s="63"/>
    </row>
    <row r="137" spans="1:16">
      <c r="A137" s="151" t="s">
        <v>39</v>
      </c>
      <c r="B137" s="34" t="s">
        <v>183</v>
      </c>
      <c r="C137" s="40" t="s">
        <v>139</v>
      </c>
      <c r="D137" s="34" t="s">
        <v>88</v>
      </c>
      <c r="E137" s="257">
        <v>0</v>
      </c>
      <c r="F137" s="232">
        <v>1</v>
      </c>
      <c r="G137" s="40" t="s">
        <v>140</v>
      </c>
      <c r="H137" s="29"/>
      <c r="I137" s="9"/>
      <c r="J137" s="9"/>
      <c r="K137" s="9"/>
      <c r="L137" s="9"/>
      <c r="M137" s="9"/>
      <c r="N137" s="185" t="str">
        <f t="shared" si="10"/>
        <v/>
      </c>
      <c r="O137" s="159" t="str">
        <f t="shared" si="9"/>
        <v/>
      </c>
      <c r="P137" s="63"/>
    </row>
    <row r="138" spans="1:16">
      <c r="A138" s="151" t="s">
        <v>39</v>
      </c>
      <c r="B138" s="34" t="s">
        <v>183</v>
      </c>
      <c r="C138" s="40" t="s">
        <v>139</v>
      </c>
      <c r="D138" s="34" t="s">
        <v>89</v>
      </c>
      <c r="E138" s="257">
        <v>0</v>
      </c>
      <c r="F138" s="232">
        <v>1</v>
      </c>
      <c r="G138" s="40" t="s">
        <v>140</v>
      </c>
      <c r="H138" s="29"/>
      <c r="I138" s="9"/>
      <c r="J138" s="9"/>
      <c r="K138" s="9"/>
      <c r="L138" s="9"/>
      <c r="M138" s="9"/>
      <c r="N138" s="185" t="str">
        <f t="shared" si="10"/>
        <v/>
      </c>
      <c r="O138" s="159" t="str">
        <f t="shared" si="9"/>
        <v/>
      </c>
      <c r="P138" s="63"/>
    </row>
    <row r="139" spans="1:16">
      <c r="A139" s="151" t="s">
        <v>39</v>
      </c>
      <c r="B139" s="34" t="s">
        <v>183</v>
      </c>
      <c r="C139" s="40" t="s">
        <v>139</v>
      </c>
      <c r="D139" s="34" t="s">
        <v>90</v>
      </c>
      <c r="E139" s="257">
        <v>0</v>
      </c>
      <c r="F139" s="232">
        <v>1</v>
      </c>
      <c r="G139" s="40" t="s">
        <v>140</v>
      </c>
      <c r="H139" s="29"/>
      <c r="I139" s="9"/>
      <c r="J139" s="9"/>
      <c r="K139" s="9"/>
      <c r="L139" s="9"/>
      <c r="M139" s="9"/>
      <c r="N139" s="185" t="str">
        <f t="shared" si="10"/>
        <v/>
      </c>
      <c r="O139" s="159" t="str">
        <f t="shared" si="9"/>
        <v/>
      </c>
      <c r="P139" s="63"/>
    </row>
    <row r="140" spans="1:16">
      <c r="A140" s="151" t="s">
        <v>39</v>
      </c>
      <c r="B140" s="34" t="s">
        <v>183</v>
      </c>
      <c r="C140" s="40" t="s">
        <v>139</v>
      </c>
      <c r="D140" s="34" t="s">
        <v>91</v>
      </c>
      <c r="E140" s="257">
        <v>0</v>
      </c>
      <c r="F140" s="232">
        <v>1</v>
      </c>
      <c r="G140" s="40" t="s">
        <v>140</v>
      </c>
      <c r="H140" s="29"/>
      <c r="I140" s="9"/>
      <c r="J140" s="9"/>
      <c r="K140" s="9"/>
      <c r="L140" s="9"/>
      <c r="M140" s="9"/>
      <c r="N140" s="185" t="str">
        <f t="shared" si="10"/>
        <v/>
      </c>
      <c r="O140" s="159" t="str">
        <f t="shared" si="9"/>
        <v/>
      </c>
      <c r="P140" s="63"/>
    </row>
    <row r="141" spans="1:16">
      <c r="A141" s="151" t="s">
        <v>39</v>
      </c>
      <c r="B141" s="34" t="s">
        <v>183</v>
      </c>
      <c r="C141" s="40" t="s">
        <v>139</v>
      </c>
      <c r="D141" s="34" t="s">
        <v>98</v>
      </c>
      <c r="E141" s="257">
        <v>0</v>
      </c>
      <c r="F141" s="232">
        <v>1</v>
      </c>
      <c r="G141" s="40" t="s">
        <v>141</v>
      </c>
      <c r="H141" s="29"/>
      <c r="I141" s="9"/>
      <c r="J141" s="9"/>
      <c r="K141" s="9"/>
      <c r="L141" s="9"/>
      <c r="M141" s="9"/>
      <c r="N141" s="185" t="str">
        <f t="shared" si="10"/>
        <v/>
      </c>
      <c r="O141" s="159" t="str">
        <f t="shared" si="9"/>
        <v/>
      </c>
      <c r="P141" s="63"/>
    </row>
    <row r="142" spans="1:16">
      <c r="A142" s="289" t="s">
        <v>178</v>
      </c>
      <c r="B142" s="55" t="s">
        <v>184</v>
      </c>
      <c r="C142" s="262" t="s">
        <v>139</v>
      </c>
      <c r="D142" s="55" t="s">
        <v>139</v>
      </c>
      <c r="E142" s="257" t="s">
        <v>150</v>
      </c>
      <c r="F142" s="232">
        <v>1</v>
      </c>
      <c r="G142" s="262"/>
      <c r="H142" s="29"/>
      <c r="I142" s="9"/>
      <c r="J142" s="9"/>
      <c r="K142" s="9"/>
      <c r="L142" s="9"/>
      <c r="M142" s="9"/>
      <c r="N142" s="185" t="str">
        <f t="shared" si="10"/>
        <v/>
      </c>
      <c r="O142" s="159" t="str">
        <f t="shared" si="9"/>
        <v/>
      </c>
      <c r="P142" s="63"/>
    </row>
    <row r="143" spans="1:16">
      <c r="A143" s="289" t="s">
        <v>185</v>
      </c>
      <c r="B143" s="55" t="s">
        <v>186</v>
      </c>
      <c r="C143" s="262" t="s">
        <v>139</v>
      </c>
      <c r="D143" s="55" t="s">
        <v>139</v>
      </c>
      <c r="E143" s="257" t="s">
        <v>150</v>
      </c>
      <c r="F143" s="232">
        <v>1</v>
      </c>
      <c r="G143" s="262"/>
      <c r="H143" s="29"/>
      <c r="I143" s="9"/>
      <c r="J143" s="9"/>
      <c r="K143" s="9"/>
      <c r="L143" s="9"/>
      <c r="M143" s="9"/>
      <c r="N143" s="185" t="str">
        <f t="shared" si="10"/>
        <v/>
      </c>
      <c r="O143" s="159" t="str">
        <f t="shared" si="9"/>
        <v/>
      </c>
      <c r="P143" s="63"/>
    </row>
    <row r="144" spans="1:16">
      <c r="A144" s="289" t="s">
        <v>185</v>
      </c>
      <c r="B144" s="55" t="s">
        <v>187</v>
      </c>
      <c r="C144" s="262" t="s">
        <v>139</v>
      </c>
      <c r="D144" s="55" t="s">
        <v>139</v>
      </c>
      <c r="E144" s="257">
        <v>1.3299999999999999E-2</v>
      </c>
      <c r="F144" s="232">
        <v>2</v>
      </c>
      <c r="G144" s="262" t="s">
        <v>163</v>
      </c>
      <c r="H144" s="29">
        <v>2</v>
      </c>
      <c r="I144" s="9">
        <v>2</v>
      </c>
      <c r="J144" s="9">
        <v>2</v>
      </c>
      <c r="K144" s="9">
        <v>3</v>
      </c>
      <c r="L144" s="9">
        <v>2</v>
      </c>
      <c r="M144" s="9">
        <v>2</v>
      </c>
      <c r="N144" s="185">
        <f t="shared" si="10"/>
        <v>0.51126068492676302</v>
      </c>
      <c r="O144" s="159">
        <f t="shared" si="9"/>
        <v>0.51126068492676302</v>
      </c>
      <c r="P144" s="63" t="s">
        <v>173</v>
      </c>
    </row>
    <row r="145" spans="1:16">
      <c r="A145" s="289" t="s">
        <v>185</v>
      </c>
      <c r="B145" s="55" t="s">
        <v>187</v>
      </c>
      <c r="C145" s="262" t="s">
        <v>139</v>
      </c>
      <c r="D145" s="55" t="s">
        <v>139</v>
      </c>
      <c r="E145" s="257">
        <v>2.6700000000000002E-2</v>
      </c>
      <c r="F145" s="232">
        <v>2</v>
      </c>
      <c r="G145" s="262" t="s">
        <v>163</v>
      </c>
      <c r="H145" s="29">
        <v>2</v>
      </c>
      <c r="I145" s="9">
        <v>2</v>
      </c>
      <c r="J145" s="9">
        <v>2</v>
      </c>
      <c r="K145" s="9">
        <v>3</v>
      </c>
      <c r="L145" s="9">
        <v>2</v>
      </c>
      <c r="M145" s="9">
        <v>2</v>
      </c>
      <c r="N145" s="185">
        <f t="shared" si="10"/>
        <v>0.51126068492676302</v>
      </c>
      <c r="O145" s="159">
        <f t="shared" si="9"/>
        <v>0.51126068492676302</v>
      </c>
      <c r="P145" s="63" t="s">
        <v>174</v>
      </c>
    </row>
    <row r="146" spans="1:16">
      <c r="A146" s="289" t="s">
        <v>186</v>
      </c>
      <c r="B146" s="55" t="s">
        <v>175</v>
      </c>
      <c r="C146" s="262" t="s">
        <v>139</v>
      </c>
      <c r="D146" s="55" t="s">
        <v>139</v>
      </c>
      <c r="E146" s="257" t="s">
        <v>150</v>
      </c>
      <c r="F146" s="232">
        <v>1</v>
      </c>
      <c r="G146" s="262" t="s">
        <v>163</v>
      </c>
      <c r="H146" s="29"/>
      <c r="I146" s="9"/>
      <c r="J146" s="9"/>
      <c r="K146" s="9"/>
      <c r="L146" s="9"/>
      <c r="M146" s="9"/>
      <c r="N146" s="185" t="str">
        <f t="shared" ref="N146:N153" si="11">IF( OR( ISBLANK(H146),ISBLANK(J146), ISBLANK(K146), ISBLANK(L146), ISBLANK(M146) ), "", 1.5*SQRT(   EXP(2.21*(H146-1)) + EXP(2.21*(J146-1)) + EXP(2.21*(K146-1)) + EXP(2.21*(L146-1)) + EXP(2.21*M146)   )/100*2.45 )</f>
        <v/>
      </c>
      <c r="O146" s="159" t="str">
        <f t="shared" si="9"/>
        <v/>
      </c>
      <c r="P146" s="63"/>
    </row>
    <row r="147" spans="1:16">
      <c r="A147" s="151" t="str">
        <f>Agriculture!A118</f>
        <v>Agricultural other</v>
      </c>
      <c r="B147" s="34" t="str">
        <f>Agriculture!B118</f>
        <v>Dumping</v>
      </c>
      <c r="C147" s="40" t="str">
        <f>Agriculture!C118</f>
        <v>any</v>
      </c>
      <c r="D147" s="34" t="str">
        <f>Agriculture!D118</f>
        <v>any</v>
      </c>
      <c r="E147" s="240">
        <f>Agriculture!E118</f>
        <v>2.7E-4</v>
      </c>
      <c r="F147" s="232">
        <f>Agriculture!F118</f>
        <v>2</v>
      </c>
      <c r="G147" s="40" t="str">
        <f>Agriculture!G118</f>
        <v>SI Kawecki and Nowack, 2019</v>
      </c>
      <c r="H147" s="29">
        <v>2</v>
      </c>
      <c r="I147" s="9">
        <v>2</v>
      </c>
      <c r="J147" s="9">
        <v>2</v>
      </c>
      <c r="K147" s="9">
        <v>3</v>
      </c>
      <c r="L147" s="9">
        <v>3</v>
      </c>
      <c r="M147" s="9">
        <v>3</v>
      </c>
      <c r="N147" s="185">
        <f t="shared" si="11"/>
        <v>1.1278755061256258</v>
      </c>
      <c r="O147" s="159">
        <f t="shared" si="9"/>
        <v>1.1278755061256258</v>
      </c>
      <c r="P147" s="63"/>
    </row>
    <row r="148" spans="1:16">
      <c r="A148" s="289" t="s">
        <v>187</v>
      </c>
      <c r="B148" s="55" t="s">
        <v>176</v>
      </c>
      <c r="C148" s="262" t="s">
        <v>139</v>
      </c>
      <c r="D148" s="55" t="s">
        <v>139</v>
      </c>
      <c r="E148" s="257">
        <v>9.7744360902255634E-2</v>
      </c>
      <c r="F148" s="232">
        <v>2</v>
      </c>
      <c r="G148" s="262" t="s">
        <v>163</v>
      </c>
      <c r="H148" s="29">
        <v>2</v>
      </c>
      <c r="I148" s="9">
        <v>2</v>
      </c>
      <c r="J148" s="9">
        <v>2</v>
      </c>
      <c r="K148" s="9">
        <v>3</v>
      </c>
      <c r="L148" s="9">
        <v>2</v>
      </c>
      <c r="M148" s="9">
        <v>2</v>
      </c>
      <c r="N148" s="185">
        <f t="shared" si="11"/>
        <v>0.51126068492676302</v>
      </c>
      <c r="O148" s="159">
        <f t="shared" si="9"/>
        <v>0.51126068492676302</v>
      </c>
      <c r="P148" s="63" t="s">
        <v>173</v>
      </c>
    </row>
    <row r="149" spans="1:16">
      <c r="A149" s="289" t="s">
        <v>187</v>
      </c>
      <c r="B149" s="55" t="s">
        <v>176</v>
      </c>
      <c r="C149" s="262" t="s">
        <v>139</v>
      </c>
      <c r="D149" s="55" t="s">
        <v>139</v>
      </c>
      <c r="E149" s="257">
        <v>0.55056179775280889</v>
      </c>
      <c r="F149" s="232">
        <v>2</v>
      </c>
      <c r="G149" s="262" t="s">
        <v>163</v>
      </c>
      <c r="H149" s="29">
        <v>2</v>
      </c>
      <c r="I149" s="9">
        <v>2</v>
      </c>
      <c r="J149" s="9">
        <v>2</v>
      </c>
      <c r="K149" s="9">
        <v>3</v>
      </c>
      <c r="L149" s="9">
        <v>2</v>
      </c>
      <c r="M149" s="9">
        <v>2</v>
      </c>
      <c r="N149" s="185">
        <f t="shared" si="11"/>
        <v>0.51126068492676302</v>
      </c>
      <c r="O149" s="159">
        <f t="shared" si="9"/>
        <v>0.51126068492676302</v>
      </c>
      <c r="P149" s="63" t="s">
        <v>174</v>
      </c>
    </row>
    <row r="150" spans="1:16">
      <c r="A150" s="289" t="s">
        <v>187</v>
      </c>
      <c r="B150" s="55" t="s">
        <v>188</v>
      </c>
      <c r="C150" s="262" t="s">
        <v>139</v>
      </c>
      <c r="D150" s="55" t="s">
        <v>139</v>
      </c>
      <c r="E150" s="257" t="s">
        <v>150</v>
      </c>
      <c r="F150" s="232">
        <v>1</v>
      </c>
      <c r="G150" s="262" t="s">
        <v>163</v>
      </c>
      <c r="H150" s="29"/>
      <c r="I150" s="9"/>
      <c r="J150" s="9"/>
      <c r="K150" s="9"/>
      <c r="L150" s="9"/>
      <c r="M150" s="9"/>
      <c r="N150" s="185" t="str">
        <f t="shared" si="11"/>
        <v/>
      </c>
      <c r="O150" s="159" t="str">
        <f t="shared" ref="O150:O182" si="12">IF( OR( ISBLANK(I150),ISBLANK(J150), ISBLANK(K150), ISBLANK(L150), ISBLANK(M150) ), "", 1.5*SQRT( EXP(2.21*(I150-1)) + EXP(2.21*(J150-1)) + EXP(2.21*(K150-1)) + EXP(2.21*(L150-1)) + EXP(2.21*M150)   )/100*2.45 )</f>
        <v/>
      </c>
      <c r="P150" s="63"/>
    </row>
    <row r="151" spans="1:16">
      <c r="A151" s="289" t="s">
        <v>189</v>
      </c>
      <c r="B151" s="55" t="s">
        <v>190</v>
      </c>
      <c r="C151" s="262" t="s">
        <v>139</v>
      </c>
      <c r="D151" s="55" t="s">
        <v>139</v>
      </c>
      <c r="E151" s="257" t="s">
        <v>150</v>
      </c>
      <c r="F151" s="232">
        <v>1</v>
      </c>
      <c r="G151" s="262"/>
      <c r="H151" s="29"/>
      <c r="I151" s="9"/>
      <c r="J151" s="9"/>
      <c r="K151" s="9"/>
      <c r="L151" s="9"/>
      <c r="M151" s="9"/>
      <c r="N151" s="185" t="str">
        <f t="shared" si="11"/>
        <v/>
      </c>
      <c r="O151" s="159" t="str">
        <f t="shared" si="12"/>
        <v/>
      </c>
      <c r="P151" s="63"/>
    </row>
    <row r="152" spans="1:16">
      <c r="A152" s="151" t="s">
        <v>189</v>
      </c>
      <c r="B152" s="34" t="s">
        <v>191</v>
      </c>
      <c r="C152" s="40" t="s">
        <v>139</v>
      </c>
      <c r="D152" s="34" t="s">
        <v>139</v>
      </c>
      <c r="E152" s="257">
        <v>2.6169999999999999E-2</v>
      </c>
      <c r="F152" s="232">
        <v>2</v>
      </c>
      <c r="G152" s="257" t="s">
        <v>163</v>
      </c>
      <c r="H152" s="29">
        <v>2</v>
      </c>
      <c r="I152" s="9">
        <v>2</v>
      </c>
      <c r="J152" s="9">
        <v>3</v>
      </c>
      <c r="K152" s="9">
        <v>1</v>
      </c>
      <c r="L152" s="9">
        <v>1</v>
      </c>
      <c r="M152" s="9">
        <v>1</v>
      </c>
      <c r="N152" s="185">
        <f t="shared" si="11"/>
        <v>0.37356464144298934</v>
      </c>
      <c r="O152" s="159">
        <f t="shared" si="12"/>
        <v>0.37356464144298934</v>
      </c>
      <c r="P152" s="63" t="s">
        <v>192</v>
      </c>
    </row>
    <row r="153" spans="1:16">
      <c r="A153" s="151" t="s">
        <v>189</v>
      </c>
      <c r="B153" s="34" t="s">
        <v>191</v>
      </c>
      <c r="C153" s="40" t="s">
        <v>139</v>
      </c>
      <c r="D153" s="34" t="s">
        <v>139</v>
      </c>
      <c r="E153" s="257">
        <v>3.057E-2</v>
      </c>
      <c r="F153" s="232">
        <v>2</v>
      </c>
      <c r="G153" s="257" t="s">
        <v>163</v>
      </c>
      <c r="H153" s="29">
        <v>2</v>
      </c>
      <c r="I153" s="9">
        <v>2</v>
      </c>
      <c r="J153" s="9">
        <v>3</v>
      </c>
      <c r="K153" s="9">
        <v>1</v>
      </c>
      <c r="L153" s="9">
        <v>1</v>
      </c>
      <c r="M153" s="9">
        <v>1</v>
      </c>
      <c r="N153" s="185">
        <f t="shared" si="11"/>
        <v>0.37356464144298934</v>
      </c>
      <c r="O153" s="159">
        <f t="shared" si="12"/>
        <v>0.37356464144298934</v>
      </c>
      <c r="P153" s="63" t="s">
        <v>193</v>
      </c>
    </row>
    <row r="154" spans="1:16">
      <c r="A154" s="151" t="s">
        <v>138</v>
      </c>
      <c r="B154" s="34" t="s">
        <v>167</v>
      </c>
      <c r="C154" s="40" t="s">
        <v>139</v>
      </c>
      <c r="D154" s="34" t="s">
        <v>139</v>
      </c>
      <c r="E154" s="257">
        <v>3.5000000000000003E-2</v>
      </c>
      <c r="F154" s="232">
        <v>2</v>
      </c>
      <c r="G154" s="40" t="s">
        <v>199</v>
      </c>
      <c r="H154" s="29">
        <v>1</v>
      </c>
      <c r="I154" s="9"/>
      <c r="J154" s="9">
        <v>3</v>
      </c>
      <c r="K154" s="9">
        <v>3</v>
      </c>
      <c r="L154" s="9">
        <v>3</v>
      </c>
      <c r="M154" s="9">
        <v>2</v>
      </c>
      <c r="N154" s="185">
        <f t="shared" ref="N154:N178" si="13">IF( OR( ISBLANK(H154),ISBLANK(J154), ISBLANK(K154), ISBLANK(L154), ISBLANK(M154) ), "", 1.5*SQRT(   EXP(2.21*(H154-1)) + EXP(2.21*(J154-1)) + EXP(2.21*(K154-1)) + EXP(2.21*(L154-1)) + EXP(2.21*M154)   )/100*2.45 )</f>
        <v>0.67101227267249941</v>
      </c>
      <c r="O154" s="159" t="str">
        <f t="shared" si="12"/>
        <v/>
      </c>
      <c r="P154" s="63"/>
    </row>
    <row r="155" spans="1:16">
      <c r="A155" s="151" t="s">
        <v>142</v>
      </c>
      <c r="B155" s="34" t="s">
        <v>167</v>
      </c>
      <c r="C155" s="40" t="s">
        <v>139</v>
      </c>
      <c r="D155" s="34" t="s">
        <v>139</v>
      </c>
      <c r="E155" s="257">
        <v>3.5000000000000003E-2</v>
      </c>
      <c r="F155" s="232">
        <v>2</v>
      </c>
      <c r="G155" s="40" t="s">
        <v>199</v>
      </c>
      <c r="H155" s="29">
        <v>1</v>
      </c>
      <c r="I155" s="9"/>
      <c r="J155" s="9">
        <v>3</v>
      </c>
      <c r="K155" s="9">
        <v>3</v>
      </c>
      <c r="L155" s="9">
        <v>3</v>
      </c>
      <c r="M155" s="9">
        <v>2</v>
      </c>
      <c r="N155" s="185">
        <f t="shared" si="13"/>
        <v>0.67101227267249941</v>
      </c>
      <c r="O155" s="159" t="str">
        <f t="shared" si="12"/>
        <v/>
      </c>
      <c r="P155" s="63"/>
    </row>
    <row r="156" spans="1:16">
      <c r="A156" s="151" t="s">
        <v>200</v>
      </c>
      <c r="B156" s="34" t="s">
        <v>167</v>
      </c>
      <c r="C156" s="40" t="s">
        <v>139</v>
      </c>
      <c r="D156" s="34" t="s">
        <v>139</v>
      </c>
      <c r="E156" s="257">
        <v>3.5000000000000003E-2</v>
      </c>
      <c r="F156" s="232">
        <v>2</v>
      </c>
      <c r="G156" s="40" t="s">
        <v>199</v>
      </c>
      <c r="H156" s="29">
        <v>1</v>
      </c>
      <c r="I156" s="9"/>
      <c r="J156" s="9">
        <v>3</v>
      </c>
      <c r="K156" s="9">
        <v>3</v>
      </c>
      <c r="L156" s="9">
        <v>3</v>
      </c>
      <c r="M156" s="9">
        <v>2</v>
      </c>
      <c r="N156" s="185">
        <f t="shared" si="13"/>
        <v>0.67101227267249941</v>
      </c>
      <c r="O156" s="159" t="str">
        <f t="shared" si="12"/>
        <v/>
      </c>
      <c r="P156" s="63"/>
    </row>
    <row r="157" spans="1:16">
      <c r="A157" s="151" t="s">
        <v>201</v>
      </c>
      <c r="B157" s="34" t="s">
        <v>167</v>
      </c>
      <c r="C157" s="40" t="s">
        <v>139</v>
      </c>
      <c r="D157" s="34" t="s">
        <v>139</v>
      </c>
      <c r="E157" s="257">
        <v>3.5000000000000003E-2</v>
      </c>
      <c r="F157" s="232">
        <v>2</v>
      </c>
      <c r="G157" s="40" t="s">
        <v>199</v>
      </c>
      <c r="H157" s="29">
        <v>1</v>
      </c>
      <c r="I157" s="9"/>
      <c r="J157" s="9">
        <v>3</v>
      </c>
      <c r="K157" s="9">
        <v>3</v>
      </c>
      <c r="L157" s="9">
        <v>3</v>
      </c>
      <c r="M157" s="9">
        <v>2</v>
      </c>
      <c r="N157" s="185">
        <f t="shared" si="13"/>
        <v>0.67101227267249941</v>
      </c>
      <c r="O157" s="159" t="str">
        <f t="shared" si="12"/>
        <v/>
      </c>
      <c r="P157" s="63"/>
    </row>
    <row r="158" spans="1:16">
      <c r="A158" s="151" t="s">
        <v>202</v>
      </c>
      <c r="B158" s="34" t="s">
        <v>167</v>
      </c>
      <c r="C158" s="40" t="s">
        <v>139</v>
      </c>
      <c r="D158" s="34" t="s">
        <v>139</v>
      </c>
      <c r="E158" s="257">
        <v>3.5000000000000003E-2</v>
      </c>
      <c r="F158" s="232">
        <v>2</v>
      </c>
      <c r="G158" s="40" t="s">
        <v>199</v>
      </c>
      <c r="H158" s="29">
        <v>1</v>
      </c>
      <c r="I158" s="9"/>
      <c r="J158" s="9">
        <v>3</v>
      </c>
      <c r="K158" s="9">
        <v>3</v>
      </c>
      <c r="L158" s="9">
        <v>3</v>
      </c>
      <c r="M158" s="9">
        <v>2</v>
      </c>
      <c r="N158" s="185">
        <f t="shared" si="13"/>
        <v>0.67101227267249941</v>
      </c>
      <c r="O158" s="159" t="str">
        <f t="shared" si="12"/>
        <v/>
      </c>
      <c r="P158" s="63"/>
    </row>
    <row r="159" spans="1:16">
      <c r="A159" s="151" t="s">
        <v>203</v>
      </c>
      <c r="B159" s="34" t="s">
        <v>167</v>
      </c>
      <c r="C159" s="40" t="s">
        <v>139</v>
      </c>
      <c r="D159" s="34" t="s">
        <v>139</v>
      </c>
      <c r="E159" s="257">
        <v>3.5000000000000003E-2</v>
      </c>
      <c r="F159" s="232">
        <v>2</v>
      </c>
      <c r="G159" s="40" t="s">
        <v>199</v>
      </c>
      <c r="H159" s="29">
        <v>1</v>
      </c>
      <c r="I159" s="9"/>
      <c r="J159" s="9">
        <v>3</v>
      </c>
      <c r="K159" s="9">
        <v>3</v>
      </c>
      <c r="L159" s="9">
        <v>3</v>
      </c>
      <c r="M159" s="9">
        <v>2</v>
      </c>
      <c r="N159" s="185">
        <f t="shared" si="13"/>
        <v>0.67101227267249941</v>
      </c>
      <c r="O159" s="159" t="str">
        <f t="shared" si="12"/>
        <v/>
      </c>
      <c r="P159" s="63"/>
    </row>
    <row r="160" spans="1:16">
      <c r="A160" s="151" t="str">
        <f>Agriculture!A117</f>
        <v>Agricultural mulching films</v>
      </c>
      <c r="B160" s="34" t="str">
        <f>Agriculture!B117</f>
        <v>Collected organic waste</v>
      </c>
      <c r="C160" s="40" t="str">
        <f>Agriculture!C117</f>
        <v>any</v>
      </c>
      <c r="D160" s="34" t="str">
        <f>Agriculture!D117</f>
        <v>any</v>
      </c>
      <c r="E160" s="240">
        <f>Agriculture!E117</f>
        <v>3.5000000000000003E-2</v>
      </c>
      <c r="F160" s="232">
        <f>Agriculture!F117</f>
        <v>2</v>
      </c>
      <c r="G160" s="40" t="str">
        <f>Agriculture!G117</f>
        <v>See calculation in Compost sheet</v>
      </c>
      <c r="H160" s="29">
        <v>1</v>
      </c>
      <c r="I160" s="9">
        <v>2</v>
      </c>
      <c r="J160" s="9">
        <v>3</v>
      </c>
      <c r="K160" s="9">
        <v>3</v>
      </c>
      <c r="L160" s="9">
        <v>3</v>
      </c>
      <c r="M160" s="9">
        <v>2</v>
      </c>
      <c r="N160" s="185">
        <f t="shared" si="13"/>
        <v>0.67101227267249941</v>
      </c>
      <c r="O160" s="159">
        <f t="shared" si="12"/>
        <v>0.67913051197703389</v>
      </c>
      <c r="P160" s="63"/>
    </row>
    <row r="161" spans="1:16">
      <c r="A161" s="151" t="str">
        <f>Agriculture!A123</f>
        <v>Agricultural other</v>
      </c>
      <c r="B161" s="34" t="str">
        <f>Agriculture!B123</f>
        <v>Collected organic waste</v>
      </c>
      <c r="C161" s="40" t="str">
        <f>Agriculture!C123</f>
        <v>any</v>
      </c>
      <c r="D161" s="34" t="str">
        <f>Agriculture!D123</f>
        <v>any</v>
      </c>
      <c r="E161" s="240">
        <f>Agriculture!E123</f>
        <v>3.5000000000000003E-2</v>
      </c>
      <c r="F161" s="232">
        <f>Agriculture!F123</f>
        <v>2</v>
      </c>
      <c r="G161" s="40" t="str">
        <f>Agriculture!G123</f>
        <v>See calculation in Compost sheet</v>
      </c>
      <c r="H161" s="29">
        <v>1</v>
      </c>
      <c r="I161" s="9">
        <v>2</v>
      </c>
      <c r="J161" s="9">
        <v>3</v>
      </c>
      <c r="K161" s="9">
        <v>3</v>
      </c>
      <c r="L161" s="9">
        <v>3</v>
      </c>
      <c r="M161" s="9">
        <v>2</v>
      </c>
      <c r="N161" s="185">
        <f t="shared" si="13"/>
        <v>0.67101227267249941</v>
      </c>
      <c r="O161" s="159">
        <f t="shared" si="12"/>
        <v>0.67913051197703389</v>
      </c>
      <c r="P161" s="63"/>
    </row>
    <row r="162" spans="1:16">
      <c r="A162" s="151" t="str">
        <f>Agriculture!A127</f>
        <v>Agricultural pipes (in use)</v>
      </c>
      <c r="B162" s="34" t="str">
        <f>Agriculture!B127</f>
        <v>Collected organic waste</v>
      </c>
      <c r="C162" s="40" t="str">
        <f>Agriculture!C127</f>
        <v>any</v>
      </c>
      <c r="D162" s="34" t="str">
        <f>Agriculture!D127</f>
        <v>any</v>
      </c>
      <c r="E162" s="240">
        <f>Agriculture!E127</f>
        <v>0.47297297297297297</v>
      </c>
      <c r="F162" s="232">
        <f>Agriculture!F127</f>
        <v>2</v>
      </c>
      <c r="G162" s="40" t="str">
        <f>Agriculture!G127</f>
        <v>See calculation in Compost sheet</v>
      </c>
      <c r="H162" s="29">
        <v>1</v>
      </c>
      <c r="I162" s="9">
        <v>2</v>
      </c>
      <c r="J162" s="9">
        <v>3</v>
      </c>
      <c r="K162" s="9">
        <v>3</v>
      </c>
      <c r="L162" s="9">
        <v>3</v>
      </c>
      <c r="M162" s="9">
        <v>2</v>
      </c>
      <c r="N162" s="185">
        <f t="shared" si="13"/>
        <v>0.67101227267249941</v>
      </c>
      <c r="O162" s="159">
        <f t="shared" si="12"/>
        <v>0.67913051197703389</v>
      </c>
      <c r="P162" s="63" t="str">
        <f>Agriculture!P127</f>
        <v>Normalized (See Agriculture sheet)</v>
      </c>
    </row>
    <row r="163" spans="1:16">
      <c r="A163" s="151" t="str">
        <f>Agriculture!A131</f>
        <v>Agricultural greenhouse films (in use)</v>
      </c>
      <c r="B163" s="34" t="str">
        <f>Agriculture!B131</f>
        <v>Collected organic waste</v>
      </c>
      <c r="C163" s="40" t="str">
        <f>Agriculture!C131</f>
        <v>any</v>
      </c>
      <c r="D163" s="34" t="str">
        <f>Agriculture!D131</f>
        <v>any</v>
      </c>
      <c r="E163" s="240">
        <f>Agriculture!E131</f>
        <v>0.38043478260869568</v>
      </c>
      <c r="F163" s="232">
        <f>Agriculture!F131</f>
        <v>2</v>
      </c>
      <c r="G163" s="40" t="str">
        <f>Agriculture!G131</f>
        <v>See calculation in Compost sheet</v>
      </c>
      <c r="H163" s="29">
        <v>1</v>
      </c>
      <c r="I163" s="9">
        <v>2</v>
      </c>
      <c r="J163" s="9">
        <v>3</v>
      </c>
      <c r="K163" s="9">
        <v>3</v>
      </c>
      <c r="L163" s="9">
        <v>3</v>
      </c>
      <c r="M163" s="9">
        <v>2</v>
      </c>
      <c r="N163" s="185">
        <f t="shared" si="13"/>
        <v>0.67101227267249941</v>
      </c>
      <c r="O163" s="159">
        <f t="shared" si="12"/>
        <v>0.67913051197703389</v>
      </c>
      <c r="P163" s="63" t="str">
        <f>Agriculture!P131</f>
        <v>Normalized (See Agriculture sheet)</v>
      </c>
    </row>
    <row r="164" spans="1:16">
      <c r="A164" s="151" t="s">
        <v>138</v>
      </c>
      <c r="B164" s="34" t="s">
        <v>204</v>
      </c>
      <c r="C164" s="40" t="s">
        <v>139</v>
      </c>
      <c r="D164" s="34" t="s">
        <v>139</v>
      </c>
      <c r="E164" s="257">
        <v>2.7E-4</v>
      </c>
      <c r="F164" s="232">
        <v>2</v>
      </c>
      <c r="G164" s="40" t="s">
        <v>205</v>
      </c>
      <c r="H164" s="29">
        <v>1</v>
      </c>
      <c r="I164" s="9"/>
      <c r="J164" s="9">
        <v>1</v>
      </c>
      <c r="K164" s="9">
        <v>3</v>
      </c>
      <c r="L164" s="9">
        <v>3</v>
      </c>
      <c r="M164" s="9">
        <v>3</v>
      </c>
      <c r="N164" s="185">
        <f t="shared" si="13"/>
        <v>1.1181151966036349</v>
      </c>
      <c r="O164" s="159" t="str">
        <f t="shared" si="12"/>
        <v/>
      </c>
      <c r="P164" s="63"/>
    </row>
    <row r="165" spans="1:16">
      <c r="A165" s="151" t="s">
        <v>167</v>
      </c>
      <c r="B165" s="34" t="s">
        <v>206</v>
      </c>
      <c r="C165" s="40" t="s">
        <v>139</v>
      </c>
      <c r="D165" s="34" t="s">
        <v>139</v>
      </c>
      <c r="E165" s="257" t="s">
        <v>150</v>
      </c>
      <c r="F165" s="232">
        <v>1</v>
      </c>
      <c r="G165" s="40"/>
      <c r="H165" s="29"/>
      <c r="I165" s="9"/>
      <c r="J165" s="9"/>
      <c r="K165" s="9"/>
      <c r="L165" s="9"/>
      <c r="M165" s="9"/>
      <c r="N165" s="185" t="str">
        <f t="shared" si="13"/>
        <v/>
      </c>
      <c r="O165" s="159" t="str">
        <f t="shared" si="12"/>
        <v/>
      </c>
      <c r="P165" s="63"/>
    </row>
    <row r="166" spans="1:16">
      <c r="A166" s="151" t="s">
        <v>167</v>
      </c>
      <c r="B166" s="34" t="s">
        <v>207</v>
      </c>
      <c r="C166" s="40" t="s">
        <v>139</v>
      </c>
      <c r="D166" s="34" t="s">
        <v>139</v>
      </c>
      <c r="E166" s="257">
        <v>0.15</v>
      </c>
      <c r="F166" s="232">
        <v>2</v>
      </c>
      <c r="G166" s="40" t="s">
        <v>208</v>
      </c>
      <c r="H166" s="29">
        <v>2</v>
      </c>
      <c r="I166" s="9"/>
      <c r="J166" s="9">
        <v>2</v>
      </c>
      <c r="K166" s="9">
        <v>1</v>
      </c>
      <c r="L166" s="9">
        <v>1</v>
      </c>
      <c r="M166" s="9">
        <v>1</v>
      </c>
      <c r="N166" s="185">
        <f t="shared" si="13"/>
        <v>0.19908580854301616</v>
      </c>
      <c r="O166" s="159" t="str">
        <f t="shared" si="12"/>
        <v/>
      </c>
      <c r="P166" s="63"/>
    </row>
    <row r="167" spans="1:16">
      <c r="A167" s="151" t="s">
        <v>209</v>
      </c>
      <c r="B167" s="34" t="s">
        <v>210</v>
      </c>
      <c r="C167" s="40" t="s">
        <v>139</v>
      </c>
      <c r="D167" s="34" t="s">
        <v>139</v>
      </c>
      <c r="E167" s="257">
        <v>0.08</v>
      </c>
      <c r="F167" s="232">
        <v>2</v>
      </c>
      <c r="G167" s="40" t="s">
        <v>211</v>
      </c>
      <c r="H167" s="29">
        <v>1</v>
      </c>
      <c r="I167" s="9">
        <v>2</v>
      </c>
      <c r="J167" s="9">
        <v>3</v>
      </c>
      <c r="K167" s="9">
        <v>2</v>
      </c>
      <c r="L167" s="9">
        <v>3</v>
      </c>
      <c r="M167" s="9">
        <v>1</v>
      </c>
      <c r="N167" s="185">
        <f t="shared" si="13"/>
        <v>0.50042652380814845</v>
      </c>
      <c r="O167" s="159">
        <f t="shared" si="12"/>
        <v>0.51126068492676302</v>
      </c>
      <c r="P167" s="63" t="s">
        <v>212</v>
      </c>
    </row>
    <row r="168" spans="1:16">
      <c r="A168" s="151" t="s">
        <v>209</v>
      </c>
      <c r="B168" s="34" t="s">
        <v>210</v>
      </c>
      <c r="C168" s="40" t="s">
        <v>139</v>
      </c>
      <c r="D168" s="34" t="s">
        <v>139</v>
      </c>
      <c r="E168" s="257">
        <v>3.2000000000000001E-2</v>
      </c>
      <c r="F168" s="232">
        <v>2</v>
      </c>
      <c r="G168" s="40" t="s">
        <v>213</v>
      </c>
      <c r="H168" s="29">
        <v>2</v>
      </c>
      <c r="I168" s="9">
        <v>2</v>
      </c>
      <c r="J168" s="9">
        <v>3</v>
      </c>
      <c r="K168" s="9">
        <v>3</v>
      </c>
      <c r="L168" s="9">
        <v>3</v>
      </c>
      <c r="M168" s="9">
        <v>3</v>
      </c>
      <c r="N168" s="185">
        <f t="shared" si="13"/>
        <v>1.1713319510247036</v>
      </c>
      <c r="O168" s="159">
        <f t="shared" si="12"/>
        <v>1.1713319510247036</v>
      </c>
      <c r="P168" s="63" t="s">
        <v>212</v>
      </c>
    </row>
    <row r="169" spans="1:16">
      <c r="A169" s="151" t="s">
        <v>209</v>
      </c>
      <c r="B169" s="34" t="s">
        <v>210</v>
      </c>
      <c r="C169" s="40" t="s">
        <v>139</v>
      </c>
      <c r="D169" s="34" t="s">
        <v>139</v>
      </c>
      <c r="E169" s="257">
        <v>2.9826370000000001E-2</v>
      </c>
      <c r="F169" s="232">
        <v>2</v>
      </c>
      <c r="G169" s="40" t="s">
        <v>214</v>
      </c>
      <c r="H169" s="29">
        <v>2</v>
      </c>
      <c r="I169" s="9">
        <v>2</v>
      </c>
      <c r="J169" s="9">
        <v>4</v>
      </c>
      <c r="K169" s="9">
        <v>3</v>
      </c>
      <c r="L169" s="9">
        <v>3</v>
      </c>
      <c r="M169" s="9">
        <v>1</v>
      </c>
      <c r="N169" s="185">
        <f t="shared" si="13"/>
        <v>1.1278755061256256</v>
      </c>
      <c r="O169" s="159">
        <f t="shared" si="12"/>
        <v>1.1278755061256256</v>
      </c>
      <c r="P169" s="63"/>
    </row>
    <row r="170" spans="1:16">
      <c r="A170" s="151" t="s">
        <v>215</v>
      </c>
      <c r="B170" s="34" t="s">
        <v>216</v>
      </c>
      <c r="C170" s="40" t="s">
        <v>139</v>
      </c>
      <c r="D170" s="34" t="s">
        <v>139</v>
      </c>
      <c r="E170" s="257">
        <v>0.08</v>
      </c>
      <c r="F170" s="232">
        <v>2</v>
      </c>
      <c r="G170" s="40" t="s">
        <v>211</v>
      </c>
      <c r="H170" s="29">
        <v>1</v>
      </c>
      <c r="I170" s="9">
        <v>2</v>
      </c>
      <c r="J170" s="9">
        <v>3</v>
      </c>
      <c r="K170" s="9">
        <v>2</v>
      </c>
      <c r="L170" s="9">
        <v>3</v>
      </c>
      <c r="M170" s="9">
        <v>1</v>
      </c>
      <c r="N170" s="185">
        <f t="shared" si="13"/>
        <v>0.50042652380814845</v>
      </c>
      <c r="O170" s="159">
        <f t="shared" si="12"/>
        <v>0.51126068492676302</v>
      </c>
      <c r="P170" s="63"/>
    </row>
    <row r="171" spans="1:16">
      <c r="A171" s="151" t="s">
        <v>215</v>
      </c>
      <c r="B171" s="34" t="s">
        <v>216</v>
      </c>
      <c r="C171" s="40" t="s">
        <v>139</v>
      </c>
      <c r="D171" s="34" t="s">
        <v>139</v>
      </c>
      <c r="E171" s="257">
        <v>3.2000000000000001E-2</v>
      </c>
      <c r="F171" s="232">
        <v>2</v>
      </c>
      <c r="G171" s="40" t="s">
        <v>213</v>
      </c>
      <c r="H171" s="29">
        <v>2</v>
      </c>
      <c r="I171" s="9">
        <v>2</v>
      </c>
      <c r="J171" s="9">
        <v>3</v>
      </c>
      <c r="K171" s="9">
        <v>3</v>
      </c>
      <c r="L171" s="9">
        <v>3</v>
      </c>
      <c r="M171" s="9">
        <v>3</v>
      </c>
      <c r="N171" s="185">
        <f t="shared" si="13"/>
        <v>1.1713319510247036</v>
      </c>
      <c r="O171" s="159">
        <f t="shared" si="12"/>
        <v>1.1713319510247036</v>
      </c>
      <c r="P171" s="63" t="s">
        <v>212</v>
      </c>
    </row>
    <row r="172" spans="1:16">
      <c r="A172" s="151" t="s">
        <v>215</v>
      </c>
      <c r="B172" s="34" t="s">
        <v>216</v>
      </c>
      <c r="C172" s="40" t="s">
        <v>139</v>
      </c>
      <c r="D172" s="34" t="s">
        <v>139</v>
      </c>
      <c r="E172" s="257">
        <v>2.9826370000000001E-2</v>
      </c>
      <c r="F172" s="232">
        <v>2</v>
      </c>
      <c r="G172" s="40" t="s">
        <v>214</v>
      </c>
      <c r="H172" s="29">
        <v>2</v>
      </c>
      <c r="I172" s="9">
        <v>2</v>
      </c>
      <c r="J172" s="9">
        <v>4</v>
      </c>
      <c r="K172" s="9">
        <v>3</v>
      </c>
      <c r="L172" s="9">
        <v>3</v>
      </c>
      <c r="M172" s="9">
        <v>1</v>
      </c>
      <c r="N172" s="185">
        <f t="shared" si="13"/>
        <v>1.1278755061256256</v>
      </c>
      <c r="O172" s="159">
        <f t="shared" si="12"/>
        <v>1.1278755061256256</v>
      </c>
      <c r="P172" s="63" t="s">
        <v>217</v>
      </c>
    </row>
    <row r="173" spans="1:16">
      <c r="A173" s="151" t="s">
        <v>218</v>
      </c>
      <c r="B173" s="34" t="s">
        <v>149</v>
      </c>
      <c r="C173" s="40" t="s">
        <v>139</v>
      </c>
      <c r="D173" s="34" t="s">
        <v>139</v>
      </c>
      <c r="E173" s="257">
        <v>0</v>
      </c>
      <c r="F173" s="232">
        <v>2</v>
      </c>
      <c r="G173" s="40" t="s">
        <v>208</v>
      </c>
      <c r="H173" s="29">
        <v>2</v>
      </c>
      <c r="I173" s="9"/>
      <c r="J173" s="9">
        <v>2</v>
      </c>
      <c r="K173" s="9">
        <v>3</v>
      </c>
      <c r="L173" s="9">
        <v>3</v>
      </c>
      <c r="M173" s="9">
        <v>2</v>
      </c>
      <c r="N173" s="185">
        <f t="shared" si="13"/>
        <v>0.60108474454521421</v>
      </c>
      <c r="O173" s="159" t="str">
        <f t="shared" si="12"/>
        <v/>
      </c>
      <c r="P173" s="63" t="s">
        <v>219</v>
      </c>
    </row>
    <row r="174" spans="1:16">
      <c r="A174" s="151" t="s">
        <v>218</v>
      </c>
      <c r="B174" s="34" t="s">
        <v>149</v>
      </c>
      <c r="C174" s="40" t="s">
        <v>139</v>
      </c>
      <c r="D174" s="34" t="s">
        <v>139</v>
      </c>
      <c r="E174" s="257">
        <v>0.79999999999999993</v>
      </c>
      <c r="F174" s="232">
        <v>2</v>
      </c>
      <c r="G174" s="40" t="s">
        <v>208</v>
      </c>
      <c r="H174" s="29">
        <v>2</v>
      </c>
      <c r="I174" s="9"/>
      <c r="J174" s="9">
        <v>2</v>
      </c>
      <c r="K174" s="9">
        <v>3</v>
      </c>
      <c r="L174" s="9">
        <v>3</v>
      </c>
      <c r="M174" s="9">
        <v>2</v>
      </c>
      <c r="N174" s="185">
        <f t="shared" si="13"/>
        <v>0.60108474454521421</v>
      </c>
      <c r="O174" s="159" t="str">
        <f t="shared" si="12"/>
        <v/>
      </c>
      <c r="P174" s="63" t="s">
        <v>219</v>
      </c>
    </row>
    <row r="175" spans="1:16">
      <c r="A175" s="151" t="s">
        <v>207</v>
      </c>
      <c r="B175" s="34" t="s">
        <v>154</v>
      </c>
      <c r="C175" s="40" t="s">
        <v>139</v>
      </c>
      <c r="D175" s="34" t="s">
        <v>139</v>
      </c>
      <c r="E175" s="257">
        <v>1</v>
      </c>
      <c r="F175" s="232">
        <v>2</v>
      </c>
      <c r="G175" s="40"/>
      <c r="H175" s="29"/>
      <c r="I175" s="9"/>
      <c r="J175" s="9"/>
      <c r="K175" s="9"/>
      <c r="L175" s="9"/>
      <c r="M175" s="9"/>
      <c r="N175" s="185" t="str">
        <f t="shared" si="13"/>
        <v/>
      </c>
      <c r="O175" s="159" t="str">
        <f t="shared" si="12"/>
        <v/>
      </c>
      <c r="P175" s="63" t="s">
        <v>220</v>
      </c>
    </row>
    <row r="176" spans="1:16">
      <c r="A176" s="151" t="s">
        <v>218</v>
      </c>
      <c r="B176" s="34" t="s">
        <v>154</v>
      </c>
      <c r="C176" s="40" t="s">
        <v>139</v>
      </c>
      <c r="D176" s="34" t="s">
        <v>139</v>
      </c>
      <c r="E176" s="257" t="s">
        <v>150</v>
      </c>
      <c r="F176" s="232">
        <v>1</v>
      </c>
      <c r="G176" s="40"/>
      <c r="H176" s="29"/>
      <c r="I176" s="9"/>
      <c r="J176" s="9"/>
      <c r="K176" s="9"/>
      <c r="L176" s="9"/>
      <c r="M176" s="9"/>
      <c r="N176" s="185" t="str">
        <f t="shared" si="13"/>
        <v/>
      </c>
      <c r="O176" s="159" t="str">
        <f t="shared" si="12"/>
        <v/>
      </c>
      <c r="P176" s="63"/>
    </row>
    <row r="177" spans="1:16">
      <c r="A177" s="151" t="s">
        <v>206</v>
      </c>
      <c r="B177" s="34" t="s">
        <v>218</v>
      </c>
      <c r="C177" s="40" t="s">
        <v>139</v>
      </c>
      <c r="D177" s="34" t="s">
        <v>139</v>
      </c>
      <c r="E177" s="257">
        <v>0.01</v>
      </c>
      <c r="F177" s="232">
        <v>2</v>
      </c>
      <c r="G177" s="40" t="s">
        <v>221</v>
      </c>
      <c r="H177" s="29">
        <v>2</v>
      </c>
      <c r="I177" s="9"/>
      <c r="J177" s="9">
        <v>2</v>
      </c>
      <c r="K177" s="9">
        <v>3</v>
      </c>
      <c r="L177" s="9">
        <v>3</v>
      </c>
      <c r="M177" s="9">
        <v>2</v>
      </c>
      <c r="N177" s="185">
        <f t="shared" si="13"/>
        <v>0.60108474454521421</v>
      </c>
      <c r="O177" s="159" t="str">
        <f t="shared" si="12"/>
        <v/>
      </c>
      <c r="P177" s="63" t="s">
        <v>222</v>
      </c>
    </row>
    <row r="178" spans="1:16">
      <c r="A178" s="289" t="s">
        <v>190</v>
      </c>
      <c r="B178" s="55" t="s">
        <v>223</v>
      </c>
      <c r="C178" s="262" t="s">
        <v>139</v>
      </c>
      <c r="D178" s="55" t="s">
        <v>139</v>
      </c>
      <c r="E178" s="257" t="s">
        <v>150</v>
      </c>
      <c r="F178" s="232">
        <v>1</v>
      </c>
      <c r="G178" s="262" t="s">
        <v>224</v>
      </c>
      <c r="H178" s="29">
        <v>1</v>
      </c>
      <c r="I178" s="9">
        <v>2</v>
      </c>
      <c r="J178" s="9">
        <v>2</v>
      </c>
      <c r="K178" s="9">
        <v>1</v>
      </c>
      <c r="L178" s="9">
        <v>1</v>
      </c>
      <c r="M178" s="9">
        <v>2</v>
      </c>
      <c r="N178" s="185">
        <f t="shared" si="13"/>
        <v>0.35859414261160716</v>
      </c>
      <c r="O178" s="159">
        <f t="shared" si="12"/>
        <v>0.37356464144298934</v>
      </c>
      <c r="P178" s="63"/>
    </row>
    <row r="179" spans="1:16">
      <c r="A179" s="151" t="s">
        <v>183</v>
      </c>
      <c r="B179" s="34" t="s">
        <v>175</v>
      </c>
      <c r="C179" s="40" t="s">
        <v>139</v>
      </c>
      <c r="D179" s="34" t="s">
        <v>139</v>
      </c>
      <c r="E179" s="40">
        <v>1</v>
      </c>
      <c r="F179" s="232">
        <v>1</v>
      </c>
      <c r="G179" s="40"/>
      <c r="H179" s="29"/>
      <c r="I179" s="9"/>
      <c r="J179" s="9"/>
      <c r="K179" s="9"/>
      <c r="L179" s="9"/>
      <c r="M179" s="9"/>
      <c r="N179" s="185" t="str">
        <f t="shared" ref="N179:N210" si="14">IF( OR( ISBLANK(H179),ISBLANK(J179), ISBLANK(K179), ISBLANK(L179), ISBLANK(M179) ), "", 1.5*SQRT(   EXP(2.21*(H179-1)) + EXP(2.21*(J179-1)) + EXP(2.21*(K179-1)) + EXP(2.21*(L179-1)) + EXP(2.21*M179)   )/100*2.45 )</f>
        <v/>
      </c>
      <c r="O179" s="159" t="str">
        <f t="shared" si="12"/>
        <v/>
      </c>
      <c r="P179" s="838"/>
    </row>
    <row r="180" spans="1:16">
      <c r="A180" s="151" t="s">
        <v>39</v>
      </c>
      <c r="B180" s="34" t="s">
        <v>200</v>
      </c>
      <c r="C180" s="40" t="s">
        <v>139</v>
      </c>
      <c r="D180" s="34" t="s">
        <v>85</v>
      </c>
      <c r="E180" s="257">
        <v>0.1348</v>
      </c>
      <c r="F180" s="232">
        <v>1</v>
      </c>
      <c r="G180" s="40" t="s">
        <v>140</v>
      </c>
      <c r="H180" s="29">
        <v>2</v>
      </c>
      <c r="I180" s="9">
        <v>2</v>
      </c>
      <c r="J180" s="9">
        <v>2</v>
      </c>
      <c r="K180" s="9">
        <v>1</v>
      </c>
      <c r="L180" s="9">
        <v>1</v>
      </c>
      <c r="M180" s="9">
        <v>2</v>
      </c>
      <c r="N180" s="185">
        <f t="shared" si="14"/>
        <v>0.37356464144298934</v>
      </c>
      <c r="O180" s="159">
        <f t="shared" si="12"/>
        <v>0.37356464144298934</v>
      </c>
      <c r="P180" s="63"/>
    </row>
    <row r="181" spans="1:16">
      <c r="A181" s="151" t="s">
        <v>39</v>
      </c>
      <c r="B181" s="34" t="s">
        <v>200</v>
      </c>
      <c r="C181" s="40" t="s">
        <v>139</v>
      </c>
      <c r="D181" s="34" t="s">
        <v>86</v>
      </c>
      <c r="E181" s="257">
        <v>0.27379999999999999</v>
      </c>
      <c r="F181" s="232">
        <v>1</v>
      </c>
      <c r="G181" s="40" t="s">
        <v>140</v>
      </c>
      <c r="H181" s="29">
        <v>2</v>
      </c>
      <c r="I181" s="9">
        <v>2</v>
      </c>
      <c r="J181" s="9">
        <v>2</v>
      </c>
      <c r="K181" s="9">
        <v>1</v>
      </c>
      <c r="L181" s="9">
        <v>1</v>
      </c>
      <c r="M181" s="9">
        <v>2</v>
      </c>
      <c r="N181" s="185">
        <f t="shared" si="14"/>
        <v>0.37356464144298934</v>
      </c>
      <c r="O181" s="159">
        <f t="shared" si="12"/>
        <v>0.37356464144298934</v>
      </c>
      <c r="P181" s="63"/>
    </row>
    <row r="182" spans="1:16">
      <c r="A182" s="151" t="s">
        <v>39</v>
      </c>
      <c r="B182" s="34" t="s">
        <v>200</v>
      </c>
      <c r="C182" s="40" t="s">
        <v>139</v>
      </c>
      <c r="D182" s="34" t="s">
        <v>87</v>
      </c>
      <c r="E182" s="257">
        <v>0.1031</v>
      </c>
      <c r="F182" s="232">
        <v>1</v>
      </c>
      <c r="G182" s="40" t="s">
        <v>140</v>
      </c>
      <c r="H182" s="29">
        <v>2</v>
      </c>
      <c r="I182" s="9">
        <v>2</v>
      </c>
      <c r="J182" s="9">
        <v>2</v>
      </c>
      <c r="K182" s="9">
        <v>1</v>
      </c>
      <c r="L182" s="9">
        <v>1</v>
      </c>
      <c r="M182" s="9">
        <v>2</v>
      </c>
      <c r="N182" s="185">
        <f t="shared" si="14"/>
        <v>0.37356464144298934</v>
      </c>
      <c r="O182" s="159">
        <f t="shared" si="12"/>
        <v>0.37356464144298934</v>
      </c>
      <c r="P182" s="63"/>
    </row>
    <row r="183" spans="1:16">
      <c r="A183" s="151" t="s">
        <v>39</v>
      </c>
      <c r="B183" s="34" t="s">
        <v>200</v>
      </c>
      <c r="C183" s="40" t="s">
        <v>139</v>
      </c>
      <c r="D183" s="34" t="s">
        <v>88</v>
      </c>
      <c r="E183" s="257">
        <v>1.1900000000000001E-2</v>
      </c>
      <c r="F183" s="232">
        <v>1</v>
      </c>
      <c r="G183" s="40" t="s">
        <v>140</v>
      </c>
      <c r="H183" s="29">
        <v>2</v>
      </c>
      <c r="I183" s="9">
        <v>2</v>
      </c>
      <c r="J183" s="9">
        <v>2</v>
      </c>
      <c r="K183" s="9">
        <v>1</v>
      </c>
      <c r="L183" s="9">
        <v>1</v>
      </c>
      <c r="M183" s="9">
        <v>2</v>
      </c>
      <c r="N183" s="185">
        <f t="shared" si="14"/>
        <v>0.37356464144298934</v>
      </c>
      <c r="O183" s="159">
        <f t="shared" ref="O183:O245" si="15">IF( OR( ISBLANK(I183),ISBLANK(J183), ISBLANK(K183), ISBLANK(L183), ISBLANK(M183) ), "", 1.5*SQRT( EXP(2.21*(I183-1)) + EXP(2.21*(J183-1)) + EXP(2.21*(K183-1)) + EXP(2.21*(L183-1)) + EXP(2.21*M183)   )/100*2.45 )</f>
        <v>0.37356464144298934</v>
      </c>
      <c r="P183" s="63"/>
    </row>
    <row r="184" spans="1:16">
      <c r="A184" s="151" t="s">
        <v>39</v>
      </c>
      <c r="B184" s="34" t="s">
        <v>200</v>
      </c>
      <c r="C184" s="40" t="s">
        <v>139</v>
      </c>
      <c r="D184" s="34" t="s">
        <v>89</v>
      </c>
      <c r="E184" s="257">
        <v>0</v>
      </c>
      <c r="F184" s="232">
        <v>1</v>
      </c>
      <c r="G184" s="40" t="s">
        <v>140</v>
      </c>
      <c r="H184" s="29"/>
      <c r="I184" s="9"/>
      <c r="J184" s="9"/>
      <c r="K184" s="9"/>
      <c r="L184" s="9"/>
      <c r="M184" s="9"/>
      <c r="N184" s="185" t="str">
        <f t="shared" si="14"/>
        <v/>
      </c>
      <c r="O184" s="159" t="str">
        <f t="shared" si="15"/>
        <v/>
      </c>
      <c r="P184" s="63"/>
    </row>
    <row r="185" spans="1:16">
      <c r="A185" s="151" t="s">
        <v>39</v>
      </c>
      <c r="B185" s="34" t="s">
        <v>200</v>
      </c>
      <c r="C185" s="40" t="s">
        <v>139</v>
      </c>
      <c r="D185" s="34" t="s">
        <v>90</v>
      </c>
      <c r="E185" s="257">
        <v>1.14E-2</v>
      </c>
      <c r="F185" s="232">
        <v>1</v>
      </c>
      <c r="G185" s="40" t="s">
        <v>140</v>
      </c>
      <c r="H185" s="29">
        <v>2</v>
      </c>
      <c r="I185" s="9">
        <v>2</v>
      </c>
      <c r="J185" s="9">
        <v>2</v>
      </c>
      <c r="K185" s="9">
        <v>1</v>
      </c>
      <c r="L185" s="9">
        <v>1</v>
      </c>
      <c r="M185" s="9">
        <v>2</v>
      </c>
      <c r="N185" s="185">
        <f t="shared" si="14"/>
        <v>0.37356464144298934</v>
      </c>
      <c r="O185" s="159">
        <f t="shared" si="15"/>
        <v>0.37356464144298934</v>
      </c>
      <c r="P185" s="63"/>
    </row>
    <row r="186" spans="1:16">
      <c r="A186" s="151" t="s">
        <v>39</v>
      </c>
      <c r="B186" s="34" t="s">
        <v>200</v>
      </c>
      <c r="C186" s="40" t="s">
        <v>139</v>
      </c>
      <c r="D186" s="34" t="s">
        <v>91</v>
      </c>
      <c r="E186" s="257">
        <v>1.12E-2</v>
      </c>
      <c r="F186" s="232">
        <v>1</v>
      </c>
      <c r="G186" s="40" t="s">
        <v>140</v>
      </c>
      <c r="H186" s="29">
        <v>2</v>
      </c>
      <c r="I186" s="9">
        <v>2</v>
      </c>
      <c r="J186" s="9">
        <v>2</v>
      </c>
      <c r="K186" s="9">
        <v>1</v>
      </c>
      <c r="L186" s="9">
        <v>1</v>
      </c>
      <c r="M186" s="9">
        <v>2</v>
      </c>
      <c r="N186" s="185">
        <f t="shared" si="14"/>
        <v>0.37356464144298934</v>
      </c>
      <c r="O186" s="159">
        <f t="shared" si="15"/>
        <v>0.37356464144298934</v>
      </c>
      <c r="P186" s="63"/>
    </row>
    <row r="187" spans="1:16">
      <c r="A187" s="151" t="s">
        <v>39</v>
      </c>
      <c r="B187" s="34" t="s">
        <v>200</v>
      </c>
      <c r="C187" s="40" t="s">
        <v>139</v>
      </c>
      <c r="D187" s="34" t="s">
        <v>98</v>
      </c>
      <c r="E187" s="257">
        <v>0.12556313993174059</v>
      </c>
      <c r="F187" s="232">
        <v>1</v>
      </c>
      <c r="G187" s="40" t="s">
        <v>141</v>
      </c>
      <c r="H187" s="29">
        <v>2</v>
      </c>
      <c r="I187" s="9">
        <v>1</v>
      </c>
      <c r="J187" s="9">
        <v>2</v>
      </c>
      <c r="K187" s="9">
        <v>2</v>
      </c>
      <c r="L187" s="9">
        <v>1</v>
      </c>
      <c r="M187" s="9">
        <v>2</v>
      </c>
      <c r="N187" s="185">
        <f t="shared" si="14"/>
        <v>0.38795788889711302</v>
      </c>
      <c r="O187" s="159">
        <f t="shared" si="15"/>
        <v>0.37356464144298934</v>
      </c>
      <c r="P187" s="63"/>
    </row>
    <row r="188" spans="1:16">
      <c r="A188" s="151" t="s">
        <v>39</v>
      </c>
      <c r="B188" s="34" t="s">
        <v>201</v>
      </c>
      <c r="C188" s="40" t="s">
        <v>139</v>
      </c>
      <c r="D188" s="34" t="s">
        <v>85</v>
      </c>
      <c r="E188" s="257">
        <v>1.6000000000000001E-3</v>
      </c>
      <c r="F188" s="232">
        <v>1</v>
      </c>
      <c r="G188" s="40" t="s">
        <v>140</v>
      </c>
      <c r="H188" s="29">
        <v>2</v>
      </c>
      <c r="I188" s="9">
        <v>2</v>
      </c>
      <c r="J188" s="9">
        <v>2</v>
      </c>
      <c r="K188" s="9">
        <v>1</v>
      </c>
      <c r="L188" s="9">
        <v>1</v>
      </c>
      <c r="M188" s="9">
        <v>2</v>
      </c>
      <c r="N188" s="185">
        <f t="shared" si="14"/>
        <v>0.37356464144298934</v>
      </c>
      <c r="O188" s="159">
        <f t="shared" si="15"/>
        <v>0.37356464144298934</v>
      </c>
      <c r="P188" s="63"/>
    </row>
    <row r="189" spans="1:16">
      <c r="A189" s="151" t="s">
        <v>39</v>
      </c>
      <c r="B189" s="34" t="s">
        <v>201</v>
      </c>
      <c r="C189" s="40" t="s">
        <v>139</v>
      </c>
      <c r="D189" s="34" t="s">
        <v>86</v>
      </c>
      <c r="E189" s="257">
        <v>0.38629999999999998</v>
      </c>
      <c r="F189" s="232">
        <v>1</v>
      </c>
      <c r="G189" s="40" t="s">
        <v>140</v>
      </c>
      <c r="H189" s="29">
        <v>2</v>
      </c>
      <c r="I189" s="9">
        <v>2</v>
      </c>
      <c r="J189" s="9">
        <v>2</v>
      </c>
      <c r="K189" s="9">
        <v>1</v>
      </c>
      <c r="L189" s="9">
        <v>1</v>
      </c>
      <c r="M189" s="9">
        <v>2</v>
      </c>
      <c r="N189" s="185">
        <f t="shared" si="14"/>
        <v>0.37356464144298934</v>
      </c>
      <c r="O189" s="159">
        <f t="shared" si="15"/>
        <v>0.37356464144298934</v>
      </c>
      <c r="P189" s="63"/>
    </row>
    <row r="190" spans="1:16">
      <c r="A190" s="151" t="s">
        <v>39</v>
      </c>
      <c r="B190" s="34" t="s">
        <v>201</v>
      </c>
      <c r="C190" s="40" t="s">
        <v>139</v>
      </c>
      <c r="D190" s="34" t="s">
        <v>87</v>
      </c>
      <c r="E190" s="257">
        <v>1.03E-2</v>
      </c>
      <c r="F190" s="232">
        <v>1</v>
      </c>
      <c r="G190" s="40" t="s">
        <v>140</v>
      </c>
      <c r="H190" s="29">
        <v>2</v>
      </c>
      <c r="I190" s="9">
        <v>2</v>
      </c>
      <c r="J190" s="9">
        <v>2</v>
      </c>
      <c r="K190" s="9">
        <v>1</v>
      </c>
      <c r="L190" s="9">
        <v>1</v>
      </c>
      <c r="M190" s="9">
        <v>2</v>
      </c>
      <c r="N190" s="185">
        <f t="shared" si="14"/>
        <v>0.37356464144298934</v>
      </c>
      <c r="O190" s="159">
        <f t="shared" si="15"/>
        <v>0.37356464144298934</v>
      </c>
      <c r="P190" s="63"/>
    </row>
    <row r="191" spans="1:16">
      <c r="A191" s="151" t="s">
        <v>39</v>
      </c>
      <c r="B191" s="34" t="s">
        <v>201</v>
      </c>
      <c r="C191" s="40" t="s">
        <v>139</v>
      </c>
      <c r="D191" s="34" t="s">
        <v>88</v>
      </c>
      <c r="E191" s="257">
        <v>0</v>
      </c>
      <c r="F191" s="232">
        <v>1</v>
      </c>
      <c r="G191" s="40" t="s">
        <v>140</v>
      </c>
      <c r="H191" s="29"/>
      <c r="I191" s="9"/>
      <c r="J191" s="9"/>
      <c r="K191" s="9"/>
      <c r="L191" s="9"/>
      <c r="M191" s="9"/>
      <c r="N191" s="185" t="str">
        <f t="shared" si="14"/>
        <v/>
      </c>
      <c r="O191" s="159" t="str">
        <f t="shared" si="15"/>
        <v/>
      </c>
      <c r="P191" s="63"/>
    </row>
    <row r="192" spans="1:16">
      <c r="A192" s="151" t="s">
        <v>39</v>
      </c>
      <c r="B192" s="34" t="s">
        <v>201</v>
      </c>
      <c r="C192" s="40" t="s">
        <v>139</v>
      </c>
      <c r="D192" s="34" t="s">
        <v>89</v>
      </c>
      <c r="E192" s="257">
        <v>0</v>
      </c>
      <c r="F192" s="232">
        <v>1</v>
      </c>
      <c r="G192" s="40" t="s">
        <v>140</v>
      </c>
      <c r="H192" s="29"/>
      <c r="I192" s="9"/>
      <c r="J192" s="9"/>
      <c r="K192" s="9"/>
      <c r="L192" s="9"/>
      <c r="M192" s="9"/>
      <c r="N192" s="185" t="str">
        <f t="shared" si="14"/>
        <v/>
      </c>
      <c r="O192" s="159" t="str">
        <f t="shared" si="15"/>
        <v/>
      </c>
      <c r="P192" s="63"/>
    </row>
    <row r="193" spans="1:16">
      <c r="A193" s="151" t="s">
        <v>39</v>
      </c>
      <c r="B193" s="34" t="s">
        <v>201</v>
      </c>
      <c r="C193" s="40" t="s">
        <v>139</v>
      </c>
      <c r="D193" s="34" t="s">
        <v>90</v>
      </c>
      <c r="E193" s="257">
        <v>2.2700000000000001E-2</v>
      </c>
      <c r="F193" s="232">
        <v>1</v>
      </c>
      <c r="G193" s="40" t="s">
        <v>140</v>
      </c>
      <c r="H193" s="29">
        <v>2</v>
      </c>
      <c r="I193" s="9">
        <v>2</v>
      </c>
      <c r="J193" s="9">
        <v>2</v>
      </c>
      <c r="K193" s="9">
        <v>1</v>
      </c>
      <c r="L193" s="9">
        <v>1</v>
      </c>
      <c r="M193" s="9">
        <v>2</v>
      </c>
      <c r="N193" s="185">
        <f t="shared" si="14"/>
        <v>0.37356464144298934</v>
      </c>
      <c r="O193" s="159">
        <f t="shared" si="15"/>
        <v>0.37356464144298934</v>
      </c>
      <c r="P193" s="63"/>
    </row>
    <row r="194" spans="1:16">
      <c r="A194" s="151" t="s">
        <v>39</v>
      </c>
      <c r="B194" s="34" t="s">
        <v>201</v>
      </c>
      <c r="C194" s="40" t="s">
        <v>139</v>
      </c>
      <c r="D194" s="34" t="s">
        <v>91</v>
      </c>
      <c r="E194" s="257">
        <v>0.41420000000000001</v>
      </c>
      <c r="F194" s="232">
        <v>2</v>
      </c>
      <c r="G194" s="40" t="s">
        <v>140</v>
      </c>
      <c r="H194" s="29">
        <v>2</v>
      </c>
      <c r="I194" s="9">
        <v>2</v>
      </c>
      <c r="J194" s="9">
        <v>2</v>
      </c>
      <c r="K194" s="9">
        <v>1</v>
      </c>
      <c r="L194" s="9">
        <v>1</v>
      </c>
      <c r="M194" s="9">
        <v>2</v>
      </c>
      <c r="N194" s="185">
        <f t="shared" si="14"/>
        <v>0.37356464144298934</v>
      </c>
      <c r="O194" s="159">
        <f t="shared" si="15"/>
        <v>0.37356464144298934</v>
      </c>
      <c r="P194" s="63" t="s">
        <v>226</v>
      </c>
    </row>
    <row r="195" spans="1:16">
      <c r="A195" s="151" t="s">
        <v>39</v>
      </c>
      <c r="B195" s="34" t="s">
        <v>201</v>
      </c>
      <c r="C195" s="40" t="s">
        <v>139</v>
      </c>
      <c r="D195" s="34" t="s">
        <v>98</v>
      </c>
      <c r="E195" s="257">
        <v>0</v>
      </c>
      <c r="F195" s="232">
        <v>1</v>
      </c>
      <c r="G195" s="40" t="s">
        <v>141</v>
      </c>
      <c r="H195" s="29"/>
      <c r="I195" s="9"/>
      <c r="J195" s="9"/>
      <c r="K195" s="9"/>
      <c r="L195" s="9"/>
      <c r="M195" s="9"/>
      <c r="N195" s="185" t="str">
        <f t="shared" si="14"/>
        <v/>
      </c>
      <c r="O195" s="159" t="str">
        <f t="shared" si="15"/>
        <v/>
      </c>
      <c r="P195" s="63"/>
    </row>
    <row r="196" spans="1:16">
      <c r="A196" s="151" t="s">
        <v>39</v>
      </c>
      <c r="B196" s="34" t="s">
        <v>202</v>
      </c>
      <c r="C196" s="40" t="s">
        <v>139</v>
      </c>
      <c r="D196" s="34" t="s">
        <v>85</v>
      </c>
      <c r="E196" s="257">
        <v>9.2499999999999999E-2</v>
      </c>
      <c r="F196" s="232">
        <v>1</v>
      </c>
      <c r="G196" s="40" t="s">
        <v>140</v>
      </c>
      <c r="H196" s="29">
        <v>2</v>
      </c>
      <c r="I196" s="9">
        <v>2</v>
      </c>
      <c r="J196" s="9">
        <v>2</v>
      </c>
      <c r="K196" s="9">
        <v>1</v>
      </c>
      <c r="L196" s="9">
        <v>1</v>
      </c>
      <c r="M196" s="9">
        <v>2</v>
      </c>
      <c r="N196" s="185">
        <f t="shared" si="14"/>
        <v>0.37356464144298934</v>
      </c>
      <c r="O196" s="159">
        <f t="shared" si="15"/>
        <v>0.37356464144298934</v>
      </c>
      <c r="P196" s="63"/>
    </row>
    <row r="197" spans="1:16">
      <c r="A197" s="151" t="s">
        <v>39</v>
      </c>
      <c r="B197" s="34" t="s">
        <v>202</v>
      </c>
      <c r="C197" s="40" t="s">
        <v>139</v>
      </c>
      <c r="D197" s="34" t="s">
        <v>86</v>
      </c>
      <c r="E197" s="257">
        <v>6.8500000000000005E-2</v>
      </c>
      <c r="F197" s="232">
        <v>1</v>
      </c>
      <c r="G197" s="40" t="s">
        <v>140</v>
      </c>
      <c r="H197" s="29">
        <v>2</v>
      </c>
      <c r="I197" s="9">
        <v>2</v>
      </c>
      <c r="J197" s="9">
        <v>2</v>
      </c>
      <c r="K197" s="9">
        <v>1</v>
      </c>
      <c r="L197" s="9">
        <v>1</v>
      </c>
      <c r="M197" s="9">
        <v>2</v>
      </c>
      <c r="N197" s="185">
        <f t="shared" si="14"/>
        <v>0.37356464144298934</v>
      </c>
      <c r="O197" s="159">
        <f t="shared" si="15"/>
        <v>0.37356464144298934</v>
      </c>
      <c r="P197" s="63"/>
    </row>
    <row r="198" spans="1:16">
      <c r="A198" s="151" t="s">
        <v>39</v>
      </c>
      <c r="B198" s="34" t="s">
        <v>202</v>
      </c>
      <c r="C198" s="40" t="s">
        <v>139</v>
      </c>
      <c r="D198" s="34" t="s">
        <v>87</v>
      </c>
      <c r="E198" s="257">
        <v>0.17780000000000001</v>
      </c>
      <c r="F198" s="232">
        <v>1</v>
      </c>
      <c r="G198" s="40" t="s">
        <v>140</v>
      </c>
      <c r="H198" s="29">
        <v>2</v>
      </c>
      <c r="I198" s="9">
        <v>2</v>
      </c>
      <c r="J198" s="9">
        <v>2</v>
      </c>
      <c r="K198" s="9">
        <v>1</v>
      </c>
      <c r="L198" s="9">
        <v>1</v>
      </c>
      <c r="M198" s="9">
        <v>2</v>
      </c>
      <c r="N198" s="185">
        <f t="shared" si="14"/>
        <v>0.37356464144298934</v>
      </c>
      <c r="O198" s="159">
        <f t="shared" si="15"/>
        <v>0.37356464144298934</v>
      </c>
      <c r="P198" s="63"/>
    </row>
    <row r="199" spans="1:16">
      <c r="A199" s="151" t="s">
        <v>39</v>
      </c>
      <c r="B199" s="34" t="s">
        <v>202</v>
      </c>
      <c r="C199" s="40" t="s">
        <v>139</v>
      </c>
      <c r="D199" s="34" t="s">
        <v>88</v>
      </c>
      <c r="E199" s="257">
        <v>0</v>
      </c>
      <c r="F199" s="232">
        <v>1</v>
      </c>
      <c r="G199" s="40" t="s">
        <v>140</v>
      </c>
      <c r="H199" s="29"/>
      <c r="I199" s="9"/>
      <c r="J199" s="9"/>
      <c r="K199" s="9"/>
      <c r="L199" s="9"/>
      <c r="M199" s="9"/>
      <c r="N199" s="185" t="str">
        <f t="shared" si="14"/>
        <v/>
      </c>
      <c r="O199" s="159" t="str">
        <f t="shared" si="15"/>
        <v/>
      </c>
      <c r="P199" s="63"/>
    </row>
    <row r="200" spans="1:16">
      <c r="A200" s="151" t="s">
        <v>39</v>
      </c>
      <c r="B200" s="34" t="s">
        <v>202</v>
      </c>
      <c r="C200" s="40" t="s">
        <v>139</v>
      </c>
      <c r="D200" s="34" t="s">
        <v>89</v>
      </c>
      <c r="E200" s="257">
        <v>0</v>
      </c>
      <c r="F200" s="232">
        <v>1</v>
      </c>
      <c r="G200" s="40" t="s">
        <v>140</v>
      </c>
      <c r="H200" s="29"/>
      <c r="I200" s="9"/>
      <c r="J200" s="9"/>
      <c r="K200" s="9"/>
      <c r="L200" s="9"/>
      <c r="M200" s="9"/>
      <c r="N200" s="185" t="str">
        <f t="shared" si="14"/>
        <v/>
      </c>
      <c r="O200" s="159" t="str">
        <f t="shared" si="15"/>
        <v/>
      </c>
      <c r="P200" s="63"/>
    </row>
    <row r="201" spans="1:16">
      <c r="A201" s="151" t="s">
        <v>39</v>
      </c>
      <c r="B201" s="34" t="s">
        <v>202</v>
      </c>
      <c r="C201" s="40" t="s">
        <v>139</v>
      </c>
      <c r="D201" s="34" t="s">
        <v>90</v>
      </c>
      <c r="E201" s="257">
        <v>5.6800000000000003E-2</v>
      </c>
      <c r="F201" s="232">
        <v>1</v>
      </c>
      <c r="G201" s="40" t="s">
        <v>140</v>
      </c>
      <c r="H201" s="29">
        <v>2</v>
      </c>
      <c r="I201" s="9">
        <v>2</v>
      </c>
      <c r="J201" s="9">
        <v>2</v>
      </c>
      <c r="K201" s="9">
        <v>1</v>
      </c>
      <c r="L201" s="9">
        <v>1</v>
      </c>
      <c r="M201" s="9">
        <v>2</v>
      </c>
      <c r="N201" s="185">
        <f t="shared" si="14"/>
        <v>0.37356464144298934</v>
      </c>
      <c r="O201" s="159">
        <f t="shared" si="15"/>
        <v>0.37356464144298934</v>
      </c>
      <c r="P201" s="63"/>
    </row>
    <row r="202" spans="1:16">
      <c r="A202" s="151" t="s">
        <v>39</v>
      </c>
      <c r="B202" s="34" t="s">
        <v>202</v>
      </c>
      <c r="C202" s="40" t="s">
        <v>139</v>
      </c>
      <c r="D202" s="34" t="s">
        <v>91</v>
      </c>
      <c r="E202" s="257">
        <v>6.2199999999999998E-2</v>
      </c>
      <c r="F202" s="232">
        <v>1</v>
      </c>
      <c r="G202" s="40" t="s">
        <v>140</v>
      </c>
      <c r="H202" s="29">
        <v>2</v>
      </c>
      <c r="I202" s="9">
        <v>2</v>
      </c>
      <c r="J202" s="9">
        <v>2</v>
      </c>
      <c r="K202" s="9">
        <v>1</v>
      </c>
      <c r="L202" s="9">
        <v>1</v>
      </c>
      <c r="M202" s="9">
        <v>2</v>
      </c>
      <c r="N202" s="185">
        <f t="shared" si="14"/>
        <v>0.37356464144298934</v>
      </c>
      <c r="O202" s="159">
        <f t="shared" si="15"/>
        <v>0.37356464144298934</v>
      </c>
      <c r="P202" s="63"/>
    </row>
    <row r="203" spans="1:16">
      <c r="A203" s="151" t="s">
        <v>39</v>
      </c>
      <c r="B203" s="34" t="s">
        <v>202</v>
      </c>
      <c r="C203" s="40" t="s">
        <v>139</v>
      </c>
      <c r="D203" s="34" t="s">
        <v>98</v>
      </c>
      <c r="E203" s="257">
        <v>0.28529010238907848</v>
      </c>
      <c r="F203" s="232">
        <v>1</v>
      </c>
      <c r="G203" s="40" t="s">
        <v>141</v>
      </c>
      <c r="H203" s="29">
        <v>2</v>
      </c>
      <c r="I203" s="9">
        <v>1</v>
      </c>
      <c r="J203" s="9">
        <v>2</v>
      </c>
      <c r="K203" s="9">
        <v>2</v>
      </c>
      <c r="L203" s="9">
        <v>1</v>
      </c>
      <c r="M203" s="9">
        <v>2</v>
      </c>
      <c r="N203" s="185">
        <f t="shared" si="14"/>
        <v>0.38795788889711302</v>
      </c>
      <c r="O203" s="159">
        <f t="shared" si="15"/>
        <v>0.37356464144298934</v>
      </c>
      <c r="P203" s="63"/>
    </row>
    <row r="204" spans="1:16">
      <c r="A204" s="151" t="s">
        <v>37</v>
      </c>
      <c r="B204" s="34" t="s">
        <v>156</v>
      </c>
      <c r="C204" s="40" t="s">
        <v>139</v>
      </c>
      <c r="D204" s="34" t="s">
        <v>85</v>
      </c>
      <c r="E204" s="257">
        <f>Intentionally_produced_MPs!F127</f>
        <v>0.88888888888888895</v>
      </c>
      <c r="F204" s="232">
        <v>1</v>
      </c>
      <c r="G204" s="40"/>
      <c r="H204" s="29">
        <v>3</v>
      </c>
      <c r="I204" s="9">
        <v>2</v>
      </c>
      <c r="J204" s="9">
        <v>3</v>
      </c>
      <c r="K204" s="9">
        <v>3</v>
      </c>
      <c r="L204" s="9">
        <v>3</v>
      </c>
      <c r="M204" s="9">
        <v>3</v>
      </c>
      <c r="N204" s="185">
        <f t="shared" si="14"/>
        <v>1.2132328390150593</v>
      </c>
      <c r="O204" s="159">
        <f t="shared" si="15"/>
        <v>1.1713319510247036</v>
      </c>
      <c r="P204" s="63"/>
    </row>
    <row r="205" spans="1:16">
      <c r="A205" s="151" t="s">
        <v>37</v>
      </c>
      <c r="B205" s="34" t="s">
        <v>156</v>
      </c>
      <c r="C205" s="40" t="s">
        <v>139</v>
      </c>
      <c r="D205" s="34" t="s">
        <v>86</v>
      </c>
      <c r="E205" s="257">
        <f>Intentionally_produced_MPs!F128</f>
        <v>0.14218906731735478</v>
      </c>
      <c r="F205" s="232">
        <v>1</v>
      </c>
      <c r="G205" s="40"/>
      <c r="H205" s="29">
        <v>3</v>
      </c>
      <c r="I205" s="9">
        <v>2</v>
      </c>
      <c r="J205" s="9">
        <v>3</v>
      </c>
      <c r="K205" s="9">
        <v>3</v>
      </c>
      <c r="L205" s="9">
        <v>3</v>
      </c>
      <c r="M205" s="9">
        <v>3</v>
      </c>
      <c r="N205" s="185">
        <f t="shared" si="14"/>
        <v>1.2132328390150593</v>
      </c>
      <c r="O205" s="159">
        <f t="shared" si="15"/>
        <v>1.1713319510247036</v>
      </c>
      <c r="P205" s="63"/>
    </row>
    <row r="206" spans="1:16">
      <c r="A206" s="151" t="s">
        <v>37</v>
      </c>
      <c r="B206" s="34" t="s">
        <v>156</v>
      </c>
      <c r="C206" s="40" t="s">
        <v>139</v>
      </c>
      <c r="D206" s="34" t="s">
        <v>87</v>
      </c>
      <c r="E206" s="257">
        <f>Intentionally_produced_MPs!F129</f>
        <v>1</v>
      </c>
      <c r="F206" s="232">
        <v>1</v>
      </c>
      <c r="G206" s="40"/>
      <c r="H206" s="29">
        <v>3</v>
      </c>
      <c r="I206" s="9">
        <v>2</v>
      </c>
      <c r="J206" s="9">
        <v>3</v>
      </c>
      <c r="K206" s="9">
        <v>3</v>
      </c>
      <c r="L206" s="9">
        <v>3</v>
      </c>
      <c r="M206" s="9">
        <v>3</v>
      </c>
      <c r="N206" s="185">
        <f t="shared" si="14"/>
        <v>1.2132328390150593</v>
      </c>
      <c r="O206" s="159">
        <f t="shared" si="15"/>
        <v>1.1713319510247036</v>
      </c>
      <c r="P206" s="63"/>
    </row>
    <row r="207" spans="1:16">
      <c r="A207" s="151" t="s">
        <v>37</v>
      </c>
      <c r="B207" s="34" t="s">
        <v>156</v>
      </c>
      <c r="C207" s="40" t="s">
        <v>139</v>
      </c>
      <c r="D207" s="34" t="s">
        <v>88</v>
      </c>
      <c r="E207" s="257">
        <f>Intentionally_produced_MPs!F130</f>
        <v>0</v>
      </c>
      <c r="F207" s="232">
        <v>1</v>
      </c>
      <c r="G207" s="40"/>
      <c r="H207" s="29"/>
      <c r="I207" s="9"/>
      <c r="J207" s="9"/>
      <c r="K207" s="9"/>
      <c r="L207" s="9"/>
      <c r="M207" s="9"/>
      <c r="N207" s="185" t="str">
        <f t="shared" si="14"/>
        <v/>
      </c>
      <c r="O207" s="159" t="str">
        <f t="shared" si="15"/>
        <v/>
      </c>
      <c r="P207" s="63"/>
    </row>
    <row r="208" spans="1:16">
      <c r="A208" s="151" t="s">
        <v>37</v>
      </c>
      <c r="B208" s="34" t="s">
        <v>156</v>
      </c>
      <c r="C208" s="40" t="s">
        <v>139</v>
      </c>
      <c r="D208" s="34" t="s">
        <v>89</v>
      </c>
      <c r="E208" s="257">
        <f>Intentionally_produced_MPs!F131</f>
        <v>0</v>
      </c>
      <c r="F208" s="232">
        <v>1</v>
      </c>
      <c r="G208" s="40"/>
      <c r="H208" s="29"/>
      <c r="I208" s="9"/>
      <c r="J208" s="9"/>
      <c r="K208" s="9"/>
      <c r="L208" s="9"/>
      <c r="M208" s="9"/>
      <c r="N208" s="185" t="str">
        <f t="shared" si="14"/>
        <v/>
      </c>
      <c r="O208" s="159" t="str">
        <f t="shared" si="15"/>
        <v/>
      </c>
      <c r="P208" s="63"/>
    </row>
    <row r="209" spans="1:16">
      <c r="A209" s="151" t="s">
        <v>37</v>
      </c>
      <c r="B209" s="34" t="s">
        <v>156</v>
      </c>
      <c r="C209" s="40" t="s">
        <v>139</v>
      </c>
      <c r="D209" s="34" t="s">
        <v>90</v>
      </c>
      <c r="E209" s="257">
        <f>Intentionally_produced_MPs!F132</f>
        <v>0.88888888888888895</v>
      </c>
      <c r="F209" s="232">
        <v>1</v>
      </c>
      <c r="G209" s="40"/>
      <c r="H209" s="29">
        <v>3</v>
      </c>
      <c r="I209" s="9">
        <v>2</v>
      </c>
      <c r="J209" s="9">
        <v>3</v>
      </c>
      <c r="K209" s="9">
        <v>3</v>
      </c>
      <c r="L209" s="9">
        <v>3</v>
      </c>
      <c r="M209" s="9">
        <v>3</v>
      </c>
      <c r="N209" s="185">
        <f t="shared" si="14"/>
        <v>1.2132328390150593</v>
      </c>
      <c r="O209" s="159">
        <f t="shared" si="15"/>
        <v>1.1713319510247036</v>
      </c>
      <c r="P209" s="63"/>
    </row>
    <row r="210" spans="1:16">
      <c r="A210" s="151" t="s">
        <v>37</v>
      </c>
      <c r="B210" s="34" t="s">
        <v>156</v>
      </c>
      <c r="C210" s="40" t="s">
        <v>139</v>
      </c>
      <c r="D210" s="34" t="s">
        <v>91</v>
      </c>
      <c r="E210" s="257">
        <f>Intentionally_produced_MPs!F133</f>
        <v>0</v>
      </c>
      <c r="F210" s="232">
        <v>1</v>
      </c>
      <c r="G210" s="40"/>
      <c r="H210" s="29"/>
      <c r="I210" s="9"/>
      <c r="J210" s="9"/>
      <c r="K210" s="9"/>
      <c r="L210" s="9"/>
      <c r="M210" s="9"/>
      <c r="N210" s="185" t="str">
        <f t="shared" si="14"/>
        <v/>
      </c>
      <c r="O210" s="159" t="str">
        <f t="shared" si="15"/>
        <v/>
      </c>
      <c r="P210" s="63"/>
    </row>
    <row r="211" spans="1:16">
      <c r="A211" s="151" t="s">
        <v>37</v>
      </c>
      <c r="B211" s="34" t="s">
        <v>156</v>
      </c>
      <c r="C211" s="40" t="s">
        <v>139</v>
      </c>
      <c r="D211" s="34" t="s">
        <v>92</v>
      </c>
      <c r="E211" s="257">
        <f>Intentionally_produced_MPs!F134</f>
        <v>0</v>
      </c>
      <c r="F211" s="232">
        <v>1</v>
      </c>
      <c r="G211" s="40"/>
      <c r="H211" s="29"/>
      <c r="I211" s="9"/>
      <c r="J211" s="9"/>
      <c r="K211" s="9"/>
      <c r="L211" s="9"/>
      <c r="M211" s="9"/>
      <c r="N211" s="185" t="str">
        <f t="shared" ref="N211:N242" si="16">IF( OR( ISBLANK(H211),ISBLANK(J211), ISBLANK(K211), ISBLANK(L211), ISBLANK(M211) ), "", 1.5*SQRT(   EXP(2.21*(H211-1)) + EXP(2.21*(J211-1)) + EXP(2.21*(K211-1)) + EXP(2.21*(L211-1)) + EXP(2.21*M211)   )/100*2.45 )</f>
        <v/>
      </c>
      <c r="O211" s="159" t="str">
        <f t="shared" si="15"/>
        <v/>
      </c>
      <c r="P211" s="63"/>
    </row>
    <row r="212" spans="1:16">
      <c r="A212" s="151" t="s">
        <v>37</v>
      </c>
      <c r="B212" s="34" t="s">
        <v>156</v>
      </c>
      <c r="C212" s="40" t="s">
        <v>139</v>
      </c>
      <c r="D212" s="34" t="s">
        <v>93</v>
      </c>
      <c r="E212" s="257">
        <f>Intentionally_produced_MPs!F135</f>
        <v>7.5795900719019996E-2</v>
      </c>
      <c r="F212" s="232">
        <v>1</v>
      </c>
      <c r="G212" s="40"/>
      <c r="H212" s="29">
        <v>3</v>
      </c>
      <c r="I212" s="9">
        <v>2</v>
      </c>
      <c r="J212" s="9">
        <v>3</v>
      </c>
      <c r="K212" s="9">
        <v>3</v>
      </c>
      <c r="L212" s="9">
        <v>3</v>
      </c>
      <c r="M212" s="9">
        <v>3</v>
      </c>
      <c r="N212" s="185">
        <f t="shared" si="16"/>
        <v>1.2132328390150593</v>
      </c>
      <c r="O212" s="159">
        <f t="shared" si="15"/>
        <v>1.1713319510247036</v>
      </c>
      <c r="P212" s="63"/>
    </row>
    <row r="213" spans="1:16">
      <c r="A213" s="151" t="s">
        <v>37</v>
      </c>
      <c r="B213" s="34" t="s">
        <v>156</v>
      </c>
      <c r="C213" s="40" t="s">
        <v>139</v>
      </c>
      <c r="D213" s="34" t="s">
        <v>94</v>
      </c>
      <c r="E213" s="257">
        <f>Intentionally_produced_MPs!F136</f>
        <v>0</v>
      </c>
      <c r="F213" s="232">
        <v>1</v>
      </c>
      <c r="G213" s="40"/>
      <c r="H213" s="29"/>
      <c r="I213" s="9"/>
      <c r="J213" s="9"/>
      <c r="K213" s="9"/>
      <c r="L213" s="9"/>
      <c r="M213" s="9"/>
      <c r="N213" s="185" t="str">
        <f t="shared" si="16"/>
        <v/>
      </c>
      <c r="O213" s="159" t="str">
        <f t="shared" si="15"/>
        <v/>
      </c>
      <c r="P213" s="63"/>
    </row>
    <row r="214" spans="1:16">
      <c r="A214" s="151" t="s">
        <v>37</v>
      </c>
      <c r="B214" s="34" t="s">
        <v>156</v>
      </c>
      <c r="C214" s="40" t="s">
        <v>139</v>
      </c>
      <c r="D214" s="34" t="s">
        <v>95</v>
      </c>
      <c r="E214" s="257">
        <f>Intentionally_produced_MPs!F137</f>
        <v>0.70934316508109096</v>
      </c>
      <c r="F214" s="232">
        <v>1</v>
      </c>
      <c r="G214" s="40"/>
      <c r="H214" s="29">
        <v>3</v>
      </c>
      <c r="I214" s="9">
        <v>2</v>
      </c>
      <c r="J214" s="9">
        <v>3</v>
      </c>
      <c r="K214" s="9">
        <v>3</v>
      </c>
      <c r="L214" s="9">
        <v>3</v>
      </c>
      <c r="M214" s="9">
        <v>3</v>
      </c>
      <c r="N214" s="185">
        <f t="shared" si="16"/>
        <v>1.2132328390150593</v>
      </c>
      <c r="O214" s="159">
        <f t="shared" si="15"/>
        <v>1.1713319510247036</v>
      </c>
      <c r="P214" s="63"/>
    </row>
    <row r="215" spans="1:16">
      <c r="A215" s="151" t="s">
        <v>37</v>
      </c>
      <c r="B215" s="34" t="s">
        <v>156</v>
      </c>
      <c r="C215" s="40" t="s">
        <v>139</v>
      </c>
      <c r="D215" s="34" t="s">
        <v>96</v>
      </c>
      <c r="E215" s="257">
        <f>Intentionally_produced_MPs!F138</f>
        <v>0</v>
      </c>
      <c r="F215" s="232">
        <v>1</v>
      </c>
      <c r="G215" s="40"/>
      <c r="H215" s="29"/>
      <c r="I215" s="9"/>
      <c r="J215" s="9"/>
      <c r="K215" s="9"/>
      <c r="L215" s="9"/>
      <c r="M215" s="9"/>
      <c r="N215" s="185" t="str">
        <f t="shared" si="16"/>
        <v/>
      </c>
      <c r="O215" s="159" t="str">
        <f t="shared" si="15"/>
        <v/>
      </c>
      <c r="P215" s="63"/>
    </row>
    <row r="216" spans="1:16">
      <c r="A216" s="151" t="s">
        <v>37</v>
      </c>
      <c r="B216" s="34" t="s">
        <v>156</v>
      </c>
      <c r="C216" s="40" t="s">
        <v>139</v>
      </c>
      <c r="D216" s="34" t="s">
        <v>97</v>
      </c>
      <c r="E216" s="257">
        <f>Intentionally_produced_MPs!F139</f>
        <v>0.71338128368314402</v>
      </c>
      <c r="F216" s="232">
        <v>1</v>
      </c>
      <c r="G216" s="40"/>
      <c r="H216" s="29">
        <v>3</v>
      </c>
      <c r="I216" s="9">
        <v>2</v>
      </c>
      <c r="J216" s="9">
        <v>3</v>
      </c>
      <c r="K216" s="9">
        <v>3</v>
      </c>
      <c r="L216" s="9">
        <v>3</v>
      </c>
      <c r="M216" s="9">
        <v>3</v>
      </c>
      <c r="N216" s="185">
        <f t="shared" si="16"/>
        <v>1.2132328390150593</v>
      </c>
      <c r="O216" s="159">
        <f t="shared" si="15"/>
        <v>1.1713319510247036</v>
      </c>
      <c r="P216" s="63"/>
    </row>
    <row r="217" spans="1:16">
      <c r="A217" s="151" t="s">
        <v>37</v>
      </c>
      <c r="B217" s="34" t="s">
        <v>156</v>
      </c>
      <c r="C217" s="40" t="s">
        <v>139</v>
      </c>
      <c r="D217" s="34" t="s">
        <v>98</v>
      </c>
      <c r="E217" s="257">
        <f>Intentionally_produced_MPs!F140</f>
        <v>0.3279842619534431</v>
      </c>
      <c r="F217" s="232">
        <v>1</v>
      </c>
      <c r="G217" s="40"/>
      <c r="H217" s="29">
        <v>3</v>
      </c>
      <c r="I217" s="9">
        <v>2</v>
      </c>
      <c r="J217" s="9">
        <v>3</v>
      </c>
      <c r="K217" s="9">
        <v>3</v>
      </c>
      <c r="L217" s="9">
        <v>3</v>
      </c>
      <c r="M217" s="9">
        <v>3</v>
      </c>
      <c r="N217" s="185">
        <f t="shared" si="16"/>
        <v>1.2132328390150593</v>
      </c>
      <c r="O217" s="159">
        <f t="shared" si="15"/>
        <v>1.1713319510247036</v>
      </c>
      <c r="P217" s="63"/>
    </row>
    <row r="218" spans="1:16">
      <c r="A218" s="151" t="s">
        <v>37</v>
      </c>
      <c r="B218" s="34" t="s">
        <v>227</v>
      </c>
      <c r="C218" s="40" t="s">
        <v>139</v>
      </c>
      <c r="D218" s="34" t="s">
        <v>85</v>
      </c>
      <c r="E218" s="257">
        <f>Intentionally_produced_MPs!D127</f>
        <v>0</v>
      </c>
      <c r="F218" s="232">
        <v>1</v>
      </c>
      <c r="G218" s="40"/>
      <c r="H218" s="29"/>
      <c r="I218" s="9"/>
      <c r="J218" s="9"/>
      <c r="K218" s="9"/>
      <c r="L218" s="9"/>
      <c r="M218" s="9"/>
      <c r="N218" s="185" t="str">
        <f t="shared" si="16"/>
        <v/>
      </c>
      <c r="O218" s="159" t="str">
        <f t="shared" si="15"/>
        <v/>
      </c>
      <c r="P218" s="63"/>
    </row>
    <row r="219" spans="1:16">
      <c r="A219" s="151" t="s">
        <v>37</v>
      </c>
      <c r="B219" s="34" t="s">
        <v>227</v>
      </c>
      <c r="C219" s="40" t="s">
        <v>139</v>
      </c>
      <c r="D219" s="34" t="s">
        <v>86</v>
      </c>
      <c r="E219" s="257">
        <f>Intentionally_produced_MPs!D128</f>
        <v>0</v>
      </c>
      <c r="F219" s="232">
        <v>1</v>
      </c>
      <c r="G219" s="40"/>
      <c r="H219" s="29"/>
      <c r="I219" s="9"/>
      <c r="J219" s="9"/>
      <c r="K219" s="9"/>
      <c r="L219" s="9"/>
      <c r="M219" s="9"/>
      <c r="N219" s="185" t="str">
        <f t="shared" si="16"/>
        <v/>
      </c>
      <c r="O219" s="159" t="str">
        <f t="shared" si="15"/>
        <v/>
      </c>
      <c r="P219" s="63"/>
    </row>
    <row r="220" spans="1:16">
      <c r="A220" s="151" t="s">
        <v>37</v>
      </c>
      <c r="B220" s="34" t="s">
        <v>227</v>
      </c>
      <c r="C220" s="40" t="s">
        <v>139</v>
      </c>
      <c r="D220" s="34" t="s">
        <v>87</v>
      </c>
      <c r="E220" s="257">
        <f>Intentionally_produced_MPs!D129</f>
        <v>0</v>
      </c>
      <c r="F220" s="232">
        <v>1</v>
      </c>
      <c r="G220" s="40"/>
      <c r="H220" s="29"/>
      <c r="I220" s="9"/>
      <c r="J220" s="9"/>
      <c r="K220" s="9"/>
      <c r="L220" s="9"/>
      <c r="M220" s="9"/>
      <c r="N220" s="185" t="str">
        <f t="shared" si="16"/>
        <v/>
      </c>
      <c r="O220" s="159" t="str">
        <f t="shared" si="15"/>
        <v/>
      </c>
      <c r="P220" s="63"/>
    </row>
    <row r="221" spans="1:16">
      <c r="A221" s="151" t="s">
        <v>37</v>
      </c>
      <c r="B221" s="34" t="s">
        <v>227</v>
      </c>
      <c r="C221" s="40" t="s">
        <v>139</v>
      </c>
      <c r="D221" s="34" t="s">
        <v>88</v>
      </c>
      <c r="E221" s="257">
        <f>Intentionally_produced_MPs!D130</f>
        <v>0</v>
      </c>
      <c r="F221" s="232">
        <v>1</v>
      </c>
      <c r="G221" s="40"/>
      <c r="H221" s="29"/>
      <c r="I221" s="9"/>
      <c r="J221" s="9"/>
      <c r="K221" s="9"/>
      <c r="L221" s="9"/>
      <c r="M221" s="9"/>
      <c r="N221" s="185" t="str">
        <f t="shared" si="16"/>
        <v/>
      </c>
      <c r="O221" s="159" t="str">
        <f t="shared" si="15"/>
        <v/>
      </c>
      <c r="P221" s="63"/>
    </row>
    <row r="222" spans="1:16">
      <c r="A222" s="151" t="s">
        <v>37</v>
      </c>
      <c r="B222" s="34" t="s">
        <v>227</v>
      </c>
      <c r="C222" s="40" t="s">
        <v>139</v>
      </c>
      <c r="D222" s="34" t="s">
        <v>89</v>
      </c>
      <c r="E222" s="257">
        <f>Intentionally_produced_MPs!D131</f>
        <v>0</v>
      </c>
      <c r="F222" s="232">
        <v>1</v>
      </c>
      <c r="G222" s="40"/>
      <c r="H222" s="29"/>
      <c r="I222" s="9"/>
      <c r="J222" s="9"/>
      <c r="K222" s="9"/>
      <c r="L222" s="9"/>
      <c r="M222" s="9"/>
      <c r="N222" s="185" t="str">
        <f t="shared" si="16"/>
        <v/>
      </c>
      <c r="O222" s="159" t="str">
        <f t="shared" si="15"/>
        <v/>
      </c>
      <c r="P222" s="63"/>
    </row>
    <row r="223" spans="1:16">
      <c r="A223" s="151" t="s">
        <v>37</v>
      </c>
      <c r="B223" s="34" t="s">
        <v>227</v>
      </c>
      <c r="C223" s="40" t="s">
        <v>139</v>
      </c>
      <c r="D223" s="34" t="s">
        <v>90</v>
      </c>
      <c r="E223" s="257">
        <f>Intentionally_produced_MPs!D132</f>
        <v>0</v>
      </c>
      <c r="F223" s="232">
        <v>1</v>
      </c>
      <c r="G223" s="40"/>
      <c r="H223" s="29"/>
      <c r="I223" s="9"/>
      <c r="J223" s="9"/>
      <c r="K223" s="9"/>
      <c r="L223" s="9"/>
      <c r="M223" s="9"/>
      <c r="N223" s="185" t="str">
        <f t="shared" si="16"/>
        <v/>
      </c>
      <c r="O223" s="159" t="str">
        <f t="shared" si="15"/>
        <v/>
      </c>
      <c r="P223" s="63"/>
    </row>
    <row r="224" spans="1:16">
      <c r="A224" s="151" t="s">
        <v>37</v>
      </c>
      <c r="B224" s="34" t="s">
        <v>227</v>
      </c>
      <c r="C224" s="40" t="s">
        <v>139</v>
      </c>
      <c r="D224" s="34" t="s">
        <v>91</v>
      </c>
      <c r="E224" s="257">
        <f>Intentionally_produced_MPs!D133</f>
        <v>0.68888053925336512</v>
      </c>
      <c r="F224" s="232">
        <v>1</v>
      </c>
      <c r="G224" s="40"/>
      <c r="H224" s="29">
        <v>3</v>
      </c>
      <c r="I224" s="9">
        <v>2</v>
      </c>
      <c r="J224" s="9">
        <v>3</v>
      </c>
      <c r="K224" s="9">
        <v>3</v>
      </c>
      <c r="L224" s="9">
        <v>3</v>
      </c>
      <c r="M224" s="9">
        <v>3</v>
      </c>
      <c r="N224" s="185">
        <f t="shared" si="16"/>
        <v>1.2132328390150593</v>
      </c>
      <c r="O224" s="159">
        <f t="shared" si="15"/>
        <v>1.1713319510247036</v>
      </c>
      <c r="P224" s="63"/>
    </row>
    <row r="225" spans="1:868">
      <c r="A225" s="151" t="s">
        <v>37</v>
      </c>
      <c r="B225" s="34" t="s">
        <v>227</v>
      </c>
      <c r="C225" s="40" t="s">
        <v>139</v>
      </c>
      <c r="D225" s="34" t="s">
        <v>92</v>
      </c>
      <c r="E225" s="257">
        <f>Intentionally_produced_MPs!D134</f>
        <v>0</v>
      </c>
      <c r="F225" s="232">
        <v>1</v>
      </c>
      <c r="G225" s="40"/>
      <c r="H225" s="29"/>
      <c r="I225" s="9"/>
      <c r="J225" s="9"/>
      <c r="K225" s="9"/>
      <c r="L225" s="9"/>
      <c r="M225" s="9"/>
      <c r="N225" s="185" t="str">
        <f t="shared" si="16"/>
        <v/>
      </c>
      <c r="O225" s="159" t="str">
        <f t="shared" si="15"/>
        <v/>
      </c>
      <c r="P225" s="63"/>
    </row>
    <row r="226" spans="1:868">
      <c r="A226" s="151" t="s">
        <v>37</v>
      </c>
      <c r="B226" s="34" t="s">
        <v>227</v>
      </c>
      <c r="C226" s="40" t="s">
        <v>139</v>
      </c>
      <c r="D226" s="34" t="s">
        <v>93</v>
      </c>
      <c r="E226" s="257">
        <f>Intentionally_produced_MPs!D135</f>
        <v>0.67917586906964822</v>
      </c>
      <c r="F226" s="232">
        <v>1</v>
      </c>
      <c r="G226" s="40"/>
      <c r="H226" s="29">
        <v>3</v>
      </c>
      <c r="I226" s="9">
        <v>2</v>
      </c>
      <c r="J226" s="9">
        <v>3</v>
      </c>
      <c r="K226" s="9">
        <v>3</v>
      </c>
      <c r="L226" s="9">
        <v>3</v>
      </c>
      <c r="M226" s="9">
        <v>3</v>
      </c>
      <c r="N226" s="185">
        <f t="shared" si="16"/>
        <v>1.2132328390150593</v>
      </c>
      <c r="O226" s="159">
        <f t="shared" si="15"/>
        <v>1.1713319510247036</v>
      </c>
      <c r="P226" s="63"/>
    </row>
    <row r="227" spans="1:868">
      <c r="A227" s="151" t="s">
        <v>37</v>
      </c>
      <c r="B227" s="34" t="s">
        <v>227</v>
      </c>
      <c r="C227" s="40" t="s">
        <v>139</v>
      </c>
      <c r="D227" s="34" t="s">
        <v>94</v>
      </c>
      <c r="E227" s="257">
        <f>Intentionally_produced_MPs!D136</f>
        <v>0</v>
      </c>
      <c r="F227" s="232">
        <v>1</v>
      </c>
      <c r="G227" s="40"/>
      <c r="H227" s="29"/>
      <c r="I227" s="9"/>
      <c r="J227" s="9"/>
      <c r="K227" s="9"/>
      <c r="L227" s="9"/>
      <c r="M227" s="9"/>
      <c r="N227" s="185" t="str">
        <f t="shared" si="16"/>
        <v/>
      </c>
      <c r="O227" s="159" t="str">
        <f t="shared" si="15"/>
        <v/>
      </c>
      <c r="P227" s="63"/>
    </row>
    <row r="228" spans="1:868">
      <c r="A228" s="151" t="s">
        <v>37</v>
      </c>
      <c r="B228" s="34" t="s">
        <v>227</v>
      </c>
      <c r="C228" s="40" t="s">
        <v>139</v>
      </c>
      <c r="D228" s="34" t="s">
        <v>95</v>
      </c>
      <c r="E228" s="257">
        <f>Intentionally_produced_MPs!D137</f>
        <v>0.19632840585737768</v>
      </c>
      <c r="F228" s="232">
        <v>1</v>
      </c>
      <c r="G228" s="40"/>
      <c r="H228" s="29">
        <v>3</v>
      </c>
      <c r="I228" s="9">
        <v>2</v>
      </c>
      <c r="J228" s="9">
        <v>3</v>
      </c>
      <c r="K228" s="9">
        <v>3</v>
      </c>
      <c r="L228" s="9">
        <v>3</v>
      </c>
      <c r="M228" s="9">
        <v>3</v>
      </c>
      <c r="N228" s="185">
        <f t="shared" si="16"/>
        <v>1.2132328390150593</v>
      </c>
      <c r="O228" s="159">
        <f t="shared" si="15"/>
        <v>1.1713319510247036</v>
      </c>
      <c r="P228" s="63"/>
    </row>
    <row r="229" spans="1:868">
      <c r="A229" s="151" t="s">
        <v>37</v>
      </c>
      <c r="B229" s="34" t="s">
        <v>227</v>
      </c>
      <c r="C229" s="40" t="s">
        <v>139</v>
      </c>
      <c r="D229" s="34" t="s">
        <v>96</v>
      </c>
      <c r="E229" s="257">
        <f>Intentionally_produced_MPs!D138</f>
        <v>0</v>
      </c>
      <c r="F229" s="232">
        <v>1</v>
      </c>
      <c r="G229" s="40"/>
      <c r="H229" s="29"/>
      <c r="I229" s="9"/>
      <c r="J229" s="9"/>
      <c r="K229" s="9"/>
      <c r="L229" s="9"/>
      <c r="M229" s="9"/>
      <c r="N229" s="185" t="str">
        <f t="shared" si="16"/>
        <v/>
      </c>
      <c r="O229" s="159" t="str">
        <f t="shared" si="15"/>
        <v/>
      </c>
      <c r="P229" s="63"/>
    </row>
    <row r="230" spans="1:868">
      <c r="A230" s="151" t="s">
        <v>37</v>
      </c>
      <c r="B230" s="34" t="s">
        <v>227</v>
      </c>
      <c r="C230" s="40" t="s">
        <v>139</v>
      </c>
      <c r="D230" s="34" t="s">
        <v>97</v>
      </c>
      <c r="E230" s="257">
        <f>Intentionally_produced_MPs!D139</f>
        <v>0.19744605585646305</v>
      </c>
      <c r="F230" s="232">
        <v>1</v>
      </c>
      <c r="G230" s="40"/>
      <c r="H230" s="29">
        <v>3</v>
      </c>
      <c r="I230" s="9">
        <v>2</v>
      </c>
      <c r="J230" s="9">
        <v>3</v>
      </c>
      <c r="K230" s="9">
        <v>3</v>
      </c>
      <c r="L230" s="9">
        <v>3</v>
      </c>
      <c r="M230" s="9">
        <v>3</v>
      </c>
      <c r="N230" s="185">
        <f t="shared" si="16"/>
        <v>1.2132328390150593</v>
      </c>
      <c r="O230" s="159">
        <f t="shared" si="15"/>
        <v>1.1713319510247036</v>
      </c>
      <c r="P230" s="63"/>
    </row>
    <row r="231" spans="1:868">
      <c r="A231" s="151" t="s">
        <v>37</v>
      </c>
      <c r="B231" s="34" t="s">
        <v>227</v>
      </c>
      <c r="C231" s="40" t="s">
        <v>139</v>
      </c>
      <c r="D231" s="34" t="s">
        <v>98</v>
      </c>
      <c r="E231" s="257">
        <f>Intentionally_produced_MPs!D140</f>
        <v>3.7824092334929553E-4</v>
      </c>
      <c r="F231" s="232">
        <v>1</v>
      </c>
      <c r="G231" s="40"/>
      <c r="H231" s="29">
        <v>3</v>
      </c>
      <c r="I231" s="9">
        <v>2</v>
      </c>
      <c r="J231" s="9">
        <v>3</v>
      </c>
      <c r="K231" s="9">
        <v>3</v>
      </c>
      <c r="L231" s="9">
        <v>3</v>
      </c>
      <c r="M231" s="9">
        <v>3</v>
      </c>
      <c r="N231" s="185">
        <f t="shared" si="16"/>
        <v>1.2132328390150593</v>
      </c>
      <c r="O231" s="159">
        <f t="shared" si="15"/>
        <v>1.1713319510247036</v>
      </c>
      <c r="P231" s="63"/>
    </row>
    <row r="232" spans="1:868">
      <c r="A232" s="289" t="s">
        <v>191</v>
      </c>
      <c r="B232" s="55" t="s">
        <v>228</v>
      </c>
      <c r="C232" s="262" t="s">
        <v>139</v>
      </c>
      <c r="D232" s="55" t="s">
        <v>139</v>
      </c>
      <c r="E232" s="257">
        <v>0.32862055789071459</v>
      </c>
      <c r="F232" s="232">
        <v>2</v>
      </c>
      <c r="G232" s="262" t="s">
        <v>163</v>
      </c>
      <c r="H232" s="29">
        <v>2</v>
      </c>
      <c r="I232" s="9">
        <v>2</v>
      </c>
      <c r="J232" s="9">
        <v>3</v>
      </c>
      <c r="K232" s="9">
        <v>1</v>
      </c>
      <c r="L232" s="9">
        <v>1</v>
      </c>
      <c r="M232" s="9">
        <v>1</v>
      </c>
      <c r="N232" s="185">
        <f t="shared" si="16"/>
        <v>0.37356464144298934</v>
      </c>
      <c r="O232" s="159">
        <f t="shared" si="15"/>
        <v>0.37356464144298934</v>
      </c>
      <c r="P232" s="63" t="s">
        <v>229</v>
      </c>
    </row>
    <row r="233" spans="1:868">
      <c r="A233" s="289" t="s">
        <v>191</v>
      </c>
      <c r="B233" s="55" t="s">
        <v>228</v>
      </c>
      <c r="C233" s="262" t="s">
        <v>139</v>
      </c>
      <c r="D233" s="55" t="s">
        <v>139</v>
      </c>
      <c r="E233" s="257">
        <v>0.42525351651946353</v>
      </c>
      <c r="F233" s="232">
        <v>2</v>
      </c>
      <c r="G233" s="262" t="s">
        <v>163</v>
      </c>
      <c r="H233" s="29">
        <v>2</v>
      </c>
      <c r="I233" s="9">
        <v>2</v>
      </c>
      <c r="J233" s="9">
        <v>3</v>
      </c>
      <c r="K233" s="9">
        <v>1</v>
      </c>
      <c r="L233" s="9">
        <v>1</v>
      </c>
      <c r="M233" s="9">
        <v>1</v>
      </c>
      <c r="N233" s="185">
        <f t="shared" si="16"/>
        <v>0.37356464144298934</v>
      </c>
      <c r="O233" s="159">
        <f t="shared" si="15"/>
        <v>0.37356464144298934</v>
      </c>
      <c r="P233" s="63" t="s">
        <v>230</v>
      </c>
    </row>
    <row r="234" spans="1:868">
      <c r="A234" s="289" t="s">
        <v>191</v>
      </c>
      <c r="B234" s="55" t="s">
        <v>231</v>
      </c>
      <c r="C234" s="262" t="s">
        <v>139</v>
      </c>
      <c r="D234" s="55" t="s">
        <v>139</v>
      </c>
      <c r="E234" s="257">
        <v>0</v>
      </c>
      <c r="F234" s="232">
        <v>2</v>
      </c>
      <c r="G234" s="262" t="s">
        <v>163</v>
      </c>
      <c r="H234" s="29"/>
      <c r="I234" s="9"/>
      <c r="J234" s="9"/>
      <c r="K234" s="9"/>
      <c r="L234" s="9"/>
      <c r="M234" s="9"/>
      <c r="N234" s="185" t="str">
        <f t="shared" si="16"/>
        <v/>
      </c>
      <c r="O234" s="159" t="str">
        <f t="shared" si="15"/>
        <v/>
      </c>
      <c r="P234" s="63"/>
    </row>
    <row r="235" spans="1:868">
      <c r="A235" s="289" t="s">
        <v>191</v>
      </c>
      <c r="B235" s="55" t="s">
        <v>232</v>
      </c>
      <c r="C235" s="262" t="s">
        <v>139</v>
      </c>
      <c r="D235" s="55" t="s">
        <v>139</v>
      </c>
      <c r="E235" s="257" t="s">
        <v>150</v>
      </c>
      <c r="F235" s="232">
        <v>1</v>
      </c>
      <c r="G235" s="262" t="s">
        <v>168</v>
      </c>
      <c r="H235" s="29"/>
      <c r="I235" s="9"/>
      <c r="J235" s="9"/>
      <c r="K235" s="9"/>
      <c r="L235" s="9"/>
      <c r="M235" s="9"/>
      <c r="N235" s="185" t="str">
        <f t="shared" si="16"/>
        <v/>
      </c>
      <c r="O235" s="159" t="str">
        <f t="shared" si="15"/>
        <v/>
      </c>
      <c r="P235" s="63" t="s">
        <v>233</v>
      </c>
    </row>
    <row r="236" spans="1:868">
      <c r="A236" s="151" t="s">
        <v>112</v>
      </c>
      <c r="B236" s="34" t="s">
        <v>234</v>
      </c>
      <c r="C236" s="40" t="s">
        <v>139</v>
      </c>
      <c r="D236" s="34" t="s">
        <v>85</v>
      </c>
      <c r="E236" s="257">
        <v>0</v>
      </c>
      <c r="F236" s="232">
        <v>1</v>
      </c>
      <c r="G236" s="40"/>
      <c r="H236" s="29"/>
      <c r="I236" s="9"/>
      <c r="J236" s="9"/>
      <c r="K236" s="9"/>
      <c r="L236" s="9"/>
      <c r="M236" s="9"/>
      <c r="N236" s="185" t="str">
        <f t="shared" si="16"/>
        <v/>
      </c>
      <c r="O236" s="159" t="str">
        <f t="shared" si="15"/>
        <v/>
      </c>
      <c r="P236" s="63"/>
    </row>
    <row r="237" spans="1:868">
      <c r="A237" s="151" t="s">
        <v>112</v>
      </c>
      <c r="B237" s="34" t="s">
        <v>234</v>
      </c>
      <c r="C237" s="40" t="s">
        <v>139</v>
      </c>
      <c r="D237" s="34" t="s">
        <v>86</v>
      </c>
      <c r="E237" s="257">
        <v>0</v>
      </c>
      <c r="F237" s="232">
        <v>1</v>
      </c>
      <c r="G237" s="40"/>
      <c r="H237" s="29"/>
      <c r="I237" s="9"/>
      <c r="J237" s="9"/>
      <c r="K237" s="9"/>
      <c r="L237" s="9"/>
      <c r="M237" s="9"/>
      <c r="N237" s="185" t="str">
        <f t="shared" si="16"/>
        <v/>
      </c>
      <c r="O237" s="159" t="str">
        <f t="shared" si="15"/>
        <v/>
      </c>
      <c r="P237" s="63"/>
    </row>
    <row r="238" spans="1:868" s="825" customFormat="1">
      <c r="A238" s="151" t="s">
        <v>112</v>
      </c>
      <c r="B238" s="34" t="s">
        <v>234</v>
      </c>
      <c r="C238" s="40" t="s">
        <v>139</v>
      </c>
      <c r="D238" s="34" t="s">
        <v>87</v>
      </c>
      <c r="E238" s="257">
        <v>0</v>
      </c>
      <c r="F238" s="232">
        <v>1</v>
      </c>
      <c r="G238" s="40"/>
      <c r="H238" s="29"/>
      <c r="I238" s="9"/>
      <c r="J238" s="9"/>
      <c r="K238" s="9"/>
      <c r="L238" s="9"/>
      <c r="M238" s="9"/>
      <c r="N238" s="185" t="str">
        <f t="shared" si="16"/>
        <v/>
      </c>
      <c r="O238" s="159" t="str">
        <f t="shared" si="15"/>
        <v/>
      </c>
      <c r="P238" s="63"/>
      <c r="Q238" s="824"/>
      <c r="R238" s="824"/>
      <c r="S238" s="824"/>
      <c r="T238" s="824"/>
      <c r="U238" s="824"/>
      <c r="V238" s="824"/>
      <c r="W238" s="824"/>
      <c r="X238" s="824"/>
      <c r="Y238" s="824"/>
      <c r="Z238" s="824"/>
      <c r="AA238" s="824"/>
      <c r="AB238" s="824"/>
      <c r="AC238" s="824"/>
      <c r="AD238" s="824"/>
      <c r="AE238" s="824"/>
      <c r="AF238" s="824"/>
      <c r="AG238" s="824"/>
      <c r="AH238" s="824"/>
      <c r="AI238" s="824"/>
      <c r="AJ238" s="824"/>
      <c r="AK238" s="824"/>
      <c r="AL238" s="824"/>
      <c r="AM238" s="824"/>
      <c r="AN238" s="824"/>
      <c r="AO238" s="824"/>
      <c r="AP238" s="824"/>
      <c r="AQ238" s="824"/>
      <c r="AR238" s="824"/>
      <c r="AS238" s="824"/>
      <c r="AT238" s="824"/>
      <c r="AU238" s="824"/>
      <c r="AV238" s="824"/>
      <c r="AW238" s="824"/>
      <c r="AX238" s="824"/>
      <c r="AY238" s="824"/>
      <c r="AZ238" s="824"/>
      <c r="BA238" s="824"/>
      <c r="BB238" s="824"/>
      <c r="BC238" s="824"/>
      <c r="BD238" s="824"/>
      <c r="BE238" s="824"/>
      <c r="BF238" s="824"/>
      <c r="BG238" s="824"/>
      <c r="BH238" s="824"/>
      <c r="BI238" s="824"/>
      <c r="BJ238" s="824"/>
      <c r="BK238" s="824"/>
      <c r="BL238" s="824"/>
      <c r="BM238" s="824"/>
      <c r="BN238" s="824"/>
      <c r="BO238" s="824"/>
      <c r="BP238" s="824"/>
      <c r="BQ238" s="824"/>
      <c r="BR238" s="824"/>
      <c r="BS238" s="824"/>
      <c r="BT238" s="824"/>
      <c r="BU238" s="824"/>
      <c r="BV238" s="824"/>
      <c r="BW238" s="824"/>
      <c r="BX238" s="824"/>
      <c r="BY238" s="824"/>
      <c r="BZ238" s="824"/>
      <c r="CA238" s="824"/>
      <c r="CB238" s="824"/>
      <c r="CC238" s="824"/>
      <c r="CD238" s="824"/>
      <c r="CE238" s="824"/>
      <c r="CF238" s="824"/>
      <c r="CG238" s="824"/>
      <c r="CH238" s="824"/>
      <c r="CI238" s="824"/>
      <c r="CJ238" s="824"/>
      <c r="CK238" s="824"/>
      <c r="CL238" s="824"/>
      <c r="CM238" s="824"/>
      <c r="CN238" s="824"/>
      <c r="CO238" s="824"/>
      <c r="CP238" s="824"/>
      <c r="CQ238" s="824"/>
      <c r="CR238" s="824"/>
      <c r="CS238" s="824"/>
      <c r="CT238" s="824"/>
      <c r="CU238" s="824"/>
      <c r="CV238" s="824"/>
      <c r="CW238" s="824"/>
      <c r="CX238" s="824"/>
      <c r="CY238" s="824"/>
      <c r="CZ238" s="824"/>
      <c r="DA238" s="824"/>
      <c r="DB238" s="824"/>
      <c r="DC238" s="824"/>
      <c r="DD238" s="824"/>
      <c r="DE238" s="824"/>
      <c r="DF238" s="824"/>
      <c r="DG238" s="824"/>
      <c r="DH238" s="824"/>
      <c r="DI238" s="824"/>
      <c r="DJ238" s="824"/>
      <c r="DK238" s="824"/>
      <c r="DL238" s="824"/>
      <c r="DM238" s="824"/>
      <c r="DN238" s="824"/>
      <c r="DO238" s="824"/>
      <c r="DP238" s="824"/>
      <c r="DQ238" s="824"/>
      <c r="DR238" s="824"/>
      <c r="DS238" s="824"/>
      <c r="DT238" s="824"/>
      <c r="DU238" s="824"/>
      <c r="DV238" s="824"/>
      <c r="DW238" s="824"/>
      <c r="DX238" s="824"/>
      <c r="DY238" s="824"/>
      <c r="DZ238" s="824"/>
      <c r="EA238" s="824"/>
      <c r="EB238" s="824"/>
      <c r="EC238" s="824"/>
      <c r="ED238" s="824"/>
      <c r="EE238" s="824"/>
      <c r="EF238" s="824"/>
      <c r="EG238" s="824"/>
      <c r="EH238" s="824"/>
      <c r="EI238" s="824"/>
      <c r="EJ238" s="824"/>
      <c r="EK238" s="824"/>
      <c r="EL238" s="824"/>
      <c r="EM238" s="824"/>
      <c r="EN238" s="824"/>
      <c r="EO238" s="824"/>
      <c r="EP238" s="824"/>
      <c r="EQ238" s="824"/>
      <c r="ER238" s="824"/>
      <c r="ES238" s="824"/>
      <c r="ET238" s="824"/>
      <c r="EU238" s="824"/>
      <c r="EV238" s="824"/>
      <c r="EW238" s="824"/>
      <c r="EX238" s="824"/>
      <c r="EY238" s="824"/>
      <c r="EZ238" s="824"/>
      <c r="FA238" s="824"/>
      <c r="FB238" s="824"/>
      <c r="FC238" s="824"/>
      <c r="FD238" s="824"/>
      <c r="FE238" s="824"/>
      <c r="FF238" s="824"/>
      <c r="FG238" s="824"/>
      <c r="FH238" s="824"/>
      <c r="FI238" s="824"/>
      <c r="FJ238" s="824"/>
      <c r="FK238" s="824"/>
      <c r="FL238" s="824"/>
      <c r="FM238" s="824"/>
      <c r="FN238" s="824"/>
      <c r="FO238" s="824"/>
      <c r="FP238" s="824"/>
      <c r="FQ238" s="824"/>
      <c r="FR238" s="824"/>
      <c r="FS238" s="824"/>
      <c r="FT238" s="824"/>
      <c r="FU238" s="824"/>
      <c r="FV238" s="824"/>
      <c r="FW238" s="824"/>
      <c r="FX238" s="824"/>
      <c r="FY238" s="824"/>
      <c r="FZ238" s="824"/>
      <c r="GA238" s="824"/>
      <c r="GB238" s="824"/>
      <c r="GC238" s="824"/>
      <c r="GD238" s="824"/>
      <c r="GE238" s="824"/>
      <c r="GF238" s="824"/>
      <c r="GG238" s="824"/>
      <c r="GH238" s="824"/>
      <c r="GI238" s="824"/>
      <c r="GJ238" s="824"/>
      <c r="GK238" s="824"/>
      <c r="GL238" s="824"/>
      <c r="GM238" s="824"/>
      <c r="GN238" s="824"/>
      <c r="GO238" s="824"/>
      <c r="GP238" s="824"/>
      <c r="GQ238" s="824"/>
      <c r="GR238" s="824"/>
      <c r="GS238" s="824"/>
      <c r="GT238" s="824"/>
      <c r="GU238" s="824"/>
      <c r="GV238" s="824"/>
      <c r="GW238" s="824"/>
      <c r="GX238" s="824"/>
      <c r="GY238" s="824"/>
      <c r="GZ238" s="824"/>
      <c r="HA238" s="824"/>
      <c r="HB238" s="824"/>
      <c r="HC238" s="824"/>
      <c r="HD238" s="824"/>
      <c r="HE238" s="824"/>
      <c r="HF238" s="824"/>
      <c r="HG238" s="824"/>
      <c r="HH238" s="824"/>
      <c r="HI238" s="824"/>
      <c r="HJ238" s="824"/>
      <c r="HK238" s="824"/>
      <c r="HL238" s="824"/>
      <c r="HM238" s="824"/>
      <c r="HN238" s="824"/>
      <c r="HO238" s="824"/>
      <c r="HP238" s="824"/>
      <c r="HQ238" s="824"/>
      <c r="HR238" s="824"/>
      <c r="HS238" s="824"/>
      <c r="HT238" s="824"/>
      <c r="HU238" s="824"/>
      <c r="HV238" s="824"/>
      <c r="HW238" s="824"/>
      <c r="HX238" s="824"/>
      <c r="HY238" s="824"/>
      <c r="HZ238" s="824"/>
      <c r="IA238" s="824"/>
      <c r="IB238" s="824"/>
      <c r="IC238" s="824"/>
      <c r="ID238" s="824"/>
      <c r="IE238" s="824"/>
      <c r="IF238" s="824"/>
      <c r="IG238" s="824"/>
      <c r="IH238" s="824"/>
      <c r="II238" s="824"/>
      <c r="IJ238" s="824"/>
      <c r="IK238" s="824"/>
      <c r="IL238" s="824"/>
      <c r="IM238" s="824"/>
      <c r="IN238" s="824"/>
      <c r="IO238" s="824"/>
      <c r="IP238" s="824"/>
      <c r="IQ238" s="824"/>
      <c r="IR238" s="824"/>
      <c r="IS238" s="824"/>
      <c r="IT238" s="824"/>
      <c r="IU238" s="824"/>
      <c r="IV238" s="824"/>
      <c r="IW238" s="824"/>
      <c r="IX238" s="824"/>
      <c r="IY238" s="824"/>
      <c r="IZ238" s="824"/>
      <c r="JA238" s="824"/>
      <c r="JB238" s="824"/>
      <c r="JC238" s="824"/>
      <c r="JD238" s="824"/>
      <c r="JE238" s="824"/>
      <c r="JF238" s="824"/>
      <c r="JG238" s="824"/>
      <c r="JH238" s="824"/>
      <c r="JI238" s="824"/>
      <c r="JJ238" s="824"/>
      <c r="JK238" s="824"/>
      <c r="JL238" s="824"/>
      <c r="JM238" s="824"/>
      <c r="JN238" s="824"/>
      <c r="JO238" s="824"/>
      <c r="JP238" s="824"/>
      <c r="JQ238" s="824"/>
      <c r="JR238" s="824"/>
      <c r="JS238" s="824"/>
      <c r="JT238" s="824"/>
      <c r="JU238" s="824"/>
      <c r="JV238" s="824"/>
      <c r="JW238" s="824"/>
      <c r="JX238" s="824"/>
      <c r="JY238" s="824"/>
      <c r="JZ238" s="824"/>
      <c r="KA238" s="824"/>
      <c r="KB238" s="824"/>
      <c r="KC238" s="824"/>
      <c r="KD238" s="824"/>
      <c r="KE238" s="824"/>
      <c r="KF238" s="824"/>
      <c r="KG238" s="824"/>
      <c r="KH238" s="824"/>
      <c r="KI238" s="824"/>
      <c r="KJ238" s="824"/>
      <c r="KK238" s="824"/>
      <c r="KL238" s="824"/>
      <c r="KM238" s="824"/>
      <c r="KN238" s="824"/>
      <c r="KO238" s="824"/>
      <c r="KP238" s="824"/>
      <c r="KQ238" s="824"/>
      <c r="KR238" s="824"/>
      <c r="KS238" s="824"/>
      <c r="KT238" s="824"/>
      <c r="KU238" s="824"/>
      <c r="KV238" s="824"/>
      <c r="KW238" s="824"/>
      <c r="KX238" s="824"/>
      <c r="KY238" s="824"/>
      <c r="KZ238" s="824"/>
      <c r="LA238" s="824"/>
      <c r="LB238" s="824"/>
      <c r="LC238" s="824"/>
      <c r="LD238" s="824"/>
      <c r="LE238" s="824"/>
      <c r="LF238" s="824"/>
      <c r="LG238" s="824"/>
      <c r="LH238" s="824"/>
      <c r="LI238" s="824"/>
      <c r="LJ238" s="824"/>
      <c r="LK238" s="824"/>
      <c r="LL238" s="824"/>
      <c r="LM238" s="824"/>
      <c r="LN238" s="824"/>
      <c r="LO238" s="824"/>
      <c r="LP238" s="824"/>
      <c r="LQ238" s="824"/>
      <c r="LR238" s="824"/>
      <c r="LS238" s="824"/>
      <c r="LT238" s="824"/>
      <c r="LU238" s="824"/>
      <c r="LV238" s="824"/>
      <c r="LW238" s="824"/>
      <c r="LX238" s="824"/>
      <c r="LY238" s="824"/>
      <c r="LZ238" s="824"/>
      <c r="MA238" s="824"/>
      <c r="MB238" s="824"/>
      <c r="MC238" s="824"/>
      <c r="MD238" s="824"/>
      <c r="ME238" s="824"/>
      <c r="MF238" s="824"/>
      <c r="MG238" s="824"/>
      <c r="MH238" s="824"/>
      <c r="MI238" s="824"/>
      <c r="MJ238" s="824"/>
      <c r="MK238" s="824"/>
      <c r="ML238" s="824"/>
      <c r="MM238" s="824"/>
      <c r="MN238" s="824"/>
      <c r="MO238" s="824"/>
      <c r="MP238" s="824"/>
      <c r="MQ238" s="824"/>
      <c r="MR238" s="824"/>
      <c r="MS238" s="824"/>
      <c r="MT238" s="824"/>
      <c r="MU238" s="824"/>
      <c r="MV238" s="824"/>
      <c r="MW238" s="824"/>
      <c r="MX238" s="824"/>
      <c r="MY238" s="824"/>
      <c r="MZ238" s="824"/>
      <c r="NA238" s="824"/>
      <c r="NB238" s="824"/>
      <c r="NC238" s="824"/>
      <c r="ND238" s="824"/>
      <c r="NE238" s="824"/>
      <c r="NF238" s="824"/>
      <c r="NG238" s="824"/>
      <c r="NH238" s="824"/>
      <c r="NI238" s="824"/>
      <c r="NJ238" s="824"/>
      <c r="NK238" s="824"/>
      <c r="NL238" s="824"/>
      <c r="NM238" s="824"/>
      <c r="NN238" s="824"/>
      <c r="NO238" s="824"/>
      <c r="NP238" s="824"/>
      <c r="NQ238" s="824"/>
      <c r="NR238" s="824"/>
      <c r="NS238" s="824"/>
      <c r="NT238" s="824"/>
      <c r="NU238" s="824"/>
      <c r="NV238" s="824"/>
      <c r="NW238" s="824"/>
      <c r="NX238" s="824"/>
      <c r="NY238" s="824"/>
      <c r="NZ238" s="824"/>
      <c r="OA238" s="824"/>
      <c r="OB238" s="824"/>
      <c r="OC238" s="824"/>
      <c r="OD238" s="824"/>
      <c r="OE238" s="824"/>
      <c r="OF238" s="824"/>
      <c r="OG238" s="824"/>
      <c r="OH238" s="824"/>
      <c r="OI238" s="824"/>
      <c r="OJ238" s="824"/>
      <c r="OK238" s="824"/>
      <c r="OL238" s="824"/>
      <c r="OM238" s="824"/>
      <c r="ON238" s="824"/>
      <c r="OO238" s="824"/>
      <c r="OP238" s="824"/>
      <c r="OQ238" s="824"/>
      <c r="OR238" s="824"/>
      <c r="OS238" s="824"/>
      <c r="OT238" s="824"/>
      <c r="OU238" s="824"/>
      <c r="OV238" s="824"/>
      <c r="OW238" s="824"/>
      <c r="OX238" s="824"/>
      <c r="OY238" s="824"/>
      <c r="OZ238" s="824"/>
      <c r="PA238" s="824"/>
      <c r="PB238" s="824"/>
      <c r="PC238" s="824"/>
      <c r="PD238" s="824"/>
      <c r="PE238" s="824"/>
      <c r="PF238" s="824"/>
      <c r="PG238" s="824"/>
      <c r="PH238" s="824"/>
      <c r="PI238" s="824"/>
      <c r="PJ238" s="824"/>
      <c r="PK238" s="824"/>
      <c r="PL238" s="824"/>
      <c r="PM238" s="824"/>
      <c r="PN238" s="824"/>
      <c r="PO238" s="824"/>
      <c r="PP238" s="824"/>
      <c r="PQ238" s="824"/>
      <c r="PR238" s="824"/>
      <c r="PS238" s="824"/>
      <c r="PT238" s="824"/>
      <c r="PU238" s="824"/>
      <c r="PV238" s="824"/>
      <c r="PW238" s="824"/>
      <c r="PX238" s="824"/>
      <c r="PY238" s="824"/>
      <c r="PZ238" s="824"/>
      <c r="QA238" s="824"/>
      <c r="QB238" s="824"/>
      <c r="QC238" s="824"/>
      <c r="QD238" s="824"/>
      <c r="QE238" s="824"/>
      <c r="QF238" s="824"/>
      <c r="QG238" s="824"/>
      <c r="QH238" s="824"/>
      <c r="QI238" s="824"/>
      <c r="QJ238" s="824"/>
      <c r="QK238" s="824"/>
      <c r="QL238" s="824"/>
      <c r="QM238" s="824"/>
      <c r="QN238" s="824"/>
      <c r="QO238" s="824"/>
      <c r="QP238" s="824"/>
      <c r="QQ238" s="824"/>
      <c r="QR238" s="824"/>
      <c r="QS238" s="824"/>
      <c r="QT238" s="824"/>
      <c r="QU238" s="824"/>
      <c r="QV238" s="824"/>
      <c r="QW238" s="824"/>
      <c r="QX238" s="824"/>
      <c r="QY238" s="824"/>
      <c r="QZ238" s="824"/>
      <c r="RA238" s="824"/>
      <c r="RB238" s="824"/>
      <c r="RC238" s="824"/>
      <c r="RD238" s="824"/>
      <c r="RE238" s="824"/>
      <c r="RF238" s="824"/>
      <c r="RG238" s="824"/>
      <c r="RH238" s="824"/>
      <c r="RI238" s="824"/>
      <c r="RJ238" s="824"/>
      <c r="RK238" s="824"/>
      <c r="RL238" s="824"/>
      <c r="RM238" s="824"/>
      <c r="RN238" s="824"/>
      <c r="RO238" s="824"/>
      <c r="RP238" s="824"/>
      <c r="RQ238" s="824"/>
      <c r="RR238" s="824"/>
      <c r="RS238" s="824"/>
      <c r="RT238" s="824"/>
      <c r="RU238" s="824"/>
      <c r="RV238" s="824"/>
      <c r="RW238" s="824"/>
      <c r="RX238" s="824"/>
      <c r="RY238" s="824"/>
      <c r="RZ238" s="824"/>
      <c r="SA238" s="824"/>
      <c r="SB238" s="824"/>
      <c r="SC238" s="824"/>
      <c r="SD238" s="824"/>
      <c r="SE238" s="824"/>
      <c r="SF238" s="824"/>
      <c r="SG238" s="824"/>
      <c r="SH238" s="824"/>
      <c r="SI238" s="824"/>
      <c r="SJ238" s="824"/>
      <c r="SK238" s="824"/>
      <c r="SL238" s="824"/>
      <c r="SM238" s="824"/>
      <c r="SN238" s="824"/>
      <c r="SO238" s="824"/>
      <c r="SP238" s="824"/>
      <c r="SQ238" s="824"/>
      <c r="SR238" s="824"/>
      <c r="SS238" s="824"/>
      <c r="ST238" s="824"/>
      <c r="SU238" s="824"/>
      <c r="SV238" s="824"/>
      <c r="SW238" s="824"/>
      <c r="SX238" s="824"/>
      <c r="SY238" s="824"/>
      <c r="SZ238" s="824"/>
      <c r="TA238" s="824"/>
      <c r="TB238" s="824"/>
      <c r="TC238" s="824"/>
      <c r="TD238" s="824"/>
      <c r="TE238" s="824"/>
      <c r="TF238" s="824"/>
      <c r="TG238" s="824"/>
      <c r="TH238" s="824"/>
      <c r="TI238" s="824"/>
      <c r="TJ238" s="824"/>
      <c r="TK238" s="824"/>
      <c r="TL238" s="824"/>
      <c r="TM238" s="824"/>
      <c r="TN238" s="824"/>
      <c r="TO238" s="824"/>
      <c r="TP238" s="824"/>
      <c r="TQ238" s="824"/>
      <c r="TR238" s="824"/>
      <c r="TS238" s="824"/>
      <c r="TT238" s="824"/>
      <c r="TU238" s="824"/>
      <c r="TV238" s="824"/>
      <c r="TW238" s="824"/>
      <c r="TX238" s="824"/>
      <c r="TY238" s="824"/>
      <c r="TZ238" s="824"/>
      <c r="UA238" s="824"/>
      <c r="UB238" s="824"/>
      <c r="UC238" s="824"/>
      <c r="UD238" s="824"/>
      <c r="UE238" s="824"/>
      <c r="UF238" s="824"/>
      <c r="UG238" s="824"/>
      <c r="UH238" s="824"/>
      <c r="UI238" s="824"/>
      <c r="UJ238" s="824"/>
      <c r="UK238" s="824"/>
      <c r="UL238" s="824"/>
      <c r="UM238" s="824"/>
      <c r="UN238" s="824"/>
      <c r="UO238" s="824"/>
      <c r="UP238" s="824"/>
      <c r="UQ238" s="824"/>
      <c r="UR238" s="824"/>
      <c r="US238" s="824"/>
      <c r="UT238" s="824"/>
      <c r="UU238" s="824"/>
      <c r="UV238" s="824"/>
      <c r="UW238" s="824"/>
      <c r="UX238" s="824"/>
      <c r="UY238" s="824"/>
      <c r="UZ238" s="824"/>
      <c r="VA238" s="824"/>
      <c r="VB238" s="824"/>
      <c r="VC238" s="824"/>
      <c r="VD238" s="824"/>
      <c r="VE238" s="824"/>
      <c r="VF238" s="824"/>
      <c r="VG238" s="824"/>
      <c r="VH238" s="824"/>
      <c r="VI238" s="824"/>
      <c r="VJ238" s="824"/>
      <c r="VK238" s="824"/>
      <c r="VL238" s="824"/>
      <c r="VM238" s="824"/>
      <c r="VN238" s="824"/>
      <c r="VO238" s="824"/>
      <c r="VP238" s="824"/>
      <c r="VQ238" s="824"/>
      <c r="VR238" s="824"/>
      <c r="VS238" s="824"/>
      <c r="VT238" s="824"/>
      <c r="VU238" s="824"/>
      <c r="VV238" s="824"/>
      <c r="VW238" s="824"/>
      <c r="VX238" s="824"/>
      <c r="VY238" s="824"/>
      <c r="VZ238" s="824"/>
      <c r="WA238" s="824"/>
      <c r="WB238" s="824"/>
      <c r="WC238" s="824"/>
      <c r="WD238" s="824"/>
      <c r="WE238" s="824"/>
      <c r="WF238" s="824"/>
      <c r="WG238" s="824"/>
      <c r="WH238" s="824"/>
      <c r="WI238" s="824"/>
      <c r="WJ238" s="824"/>
      <c r="WK238" s="824"/>
      <c r="WL238" s="824"/>
      <c r="WM238" s="824"/>
      <c r="WN238" s="824"/>
      <c r="WO238" s="824"/>
      <c r="WP238" s="824"/>
      <c r="WQ238" s="824"/>
      <c r="WR238" s="824"/>
      <c r="WS238" s="824"/>
      <c r="WT238" s="824"/>
      <c r="WU238" s="824"/>
      <c r="WV238" s="824"/>
      <c r="WW238" s="824"/>
      <c r="WX238" s="824"/>
      <c r="WY238" s="824"/>
      <c r="WZ238" s="824"/>
      <c r="XA238" s="824"/>
      <c r="XB238" s="824"/>
      <c r="XC238" s="824"/>
      <c r="XD238" s="824"/>
      <c r="XE238" s="824"/>
      <c r="XF238" s="824"/>
      <c r="XG238" s="824"/>
      <c r="XH238" s="824"/>
      <c r="XI238" s="824"/>
      <c r="XJ238" s="824"/>
      <c r="XK238" s="824"/>
      <c r="XL238" s="824"/>
      <c r="XM238" s="824"/>
      <c r="XN238" s="824"/>
      <c r="XO238" s="824"/>
      <c r="XP238" s="824"/>
      <c r="XQ238" s="824"/>
      <c r="XR238" s="824"/>
      <c r="XS238" s="824"/>
      <c r="XT238" s="824"/>
      <c r="XU238" s="824"/>
      <c r="XV238" s="824"/>
      <c r="XW238" s="824"/>
      <c r="XX238" s="824"/>
      <c r="XY238" s="824"/>
      <c r="XZ238" s="824"/>
      <c r="YA238" s="824"/>
      <c r="YB238" s="824"/>
      <c r="YC238" s="824"/>
      <c r="YD238" s="824"/>
      <c r="YE238" s="824"/>
      <c r="YF238" s="824"/>
      <c r="YG238" s="824"/>
      <c r="YH238" s="824"/>
      <c r="YI238" s="824"/>
      <c r="YJ238" s="824"/>
      <c r="YK238" s="824"/>
      <c r="YL238" s="824"/>
      <c r="YM238" s="824"/>
      <c r="YN238" s="824"/>
      <c r="YO238" s="824"/>
      <c r="YP238" s="824"/>
      <c r="YQ238" s="824"/>
      <c r="YR238" s="824"/>
      <c r="YS238" s="824"/>
      <c r="YT238" s="824"/>
      <c r="YU238" s="824"/>
      <c r="YV238" s="824"/>
      <c r="YW238" s="824"/>
      <c r="YX238" s="824"/>
      <c r="YY238" s="824"/>
      <c r="YZ238" s="824"/>
      <c r="ZA238" s="824"/>
      <c r="ZB238" s="824"/>
      <c r="ZC238" s="824"/>
      <c r="ZD238" s="824"/>
      <c r="ZE238" s="824"/>
      <c r="ZF238" s="824"/>
      <c r="ZG238" s="824"/>
      <c r="ZH238" s="824"/>
      <c r="ZI238" s="824"/>
      <c r="ZJ238" s="824"/>
      <c r="ZK238" s="824"/>
      <c r="ZL238" s="824"/>
      <c r="ZM238" s="824"/>
      <c r="ZN238" s="824"/>
      <c r="ZO238" s="824"/>
      <c r="ZP238" s="824"/>
      <c r="ZQ238" s="824"/>
      <c r="ZR238" s="824"/>
      <c r="ZS238" s="824"/>
      <c r="ZT238" s="824"/>
      <c r="ZU238" s="824"/>
      <c r="ZV238" s="824"/>
      <c r="ZW238" s="824"/>
      <c r="ZX238" s="824"/>
      <c r="ZY238" s="824"/>
      <c r="ZZ238" s="824"/>
      <c r="AAA238" s="824"/>
      <c r="AAB238" s="824"/>
      <c r="AAC238" s="824"/>
      <c r="AAD238" s="824"/>
      <c r="AAE238" s="824"/>
      <c r="AAF238" s="824"/>
      <c r="AAG238" s="824"/>
      <c r="AAH238" s="824"/>
      <c r="AAI238" s="824"/>
      <c r="AAJ238" s="824"/>
      <c r="AAK238" s="824"/>
      <c r="AAL238" s="824"/>
      <c r="AAM238" s="824"/>
      <c r="AAN238" s="824"/>
      <c r="AAO238" s="824"/>
      <c r="AAP238" s="824"/>
      <c r="AAQ238" s="824"/>
      <c r="AAR238" s="824"/>
      <c r="AAS238" s="824"/>
      <c r="AAT238" s="824"/>
      <c r="AAU238" s="824"/>
      <c r="AAV238" s="824"/>
      <c r="AAW238" s="824"/>
      <c r="AAX238" s="824"/>
      <c r="AAY238" s="824"/>
      <c r="AAZ238" s="824"/>
      <c r="ABA238" s="824"/>
      <c r="ABB238" s="824"/>
      <c r="ABC238" s="824"/>
      <c r="ABD238" s="824"/>
      <c r="ABE238" s="824"/>
      <c r="ABF238" s="824"/>
      <c r="ABG238" s="824"/>
      <c r="ABH238" s="824"/>
      <c r="ABI238" s="824"/>
      <c r="ABJ238" s="824"/>
      <c r="ABK238" s="824"/>
      <c r="ABL238" s="824"/>
      <c r="ABM238" s="824"/>
      <c r="ABN238" s="824"/>
      <c r="ABO238" s="824"/>
      <c r="ABP238" s="824"/>
      <c r="ABQ238" s="824"/>
      <c r="ABR238" s="824"/>
      <c r="ABS238" s="824"/>
      <c r="ABT238" s="824"/>
      <c r="ABU238" s="824"/>
      <c r="ABV238" s="824"/>
      <c r="ABW238" s="824"/>
      <c r="ABX238" s="824"/>
      <c r="ABY238" s="824"/>
      <c r="ABZ238" s="824"/>
      <c r="ACA238" s="824"/>
      <c r="ACB238" s="824"/>
      <c r="ACC238" s="824"/>
      <c r="ACD238" s="824"/>
      <c r="ACE238" s="824"/>
      <c r="ACF238" s="824"/>
      <c r="ACG238" s="824"/>
      <c r="ACH238" s="824"/>
      <c r="ACI238" s="824"/>
      <c r="ACJ238" s="824"/>
      <c r="ACK238" s="824"/>
      <c r="ACL238" s="824"/>
      <c r="ACM238" s="824"/>
      <c r="ACN238" s="824"/>
      <c r="ACO238" s="824"/>
      <c r="ACP238" s="824"/>
      <c r="ACQ238" s="824"/>
      <c r="ACR238" s="824"/>
      <c r="ACS238" s="824"/>
      <c r="ACT238" s="824"/>
      <c r="ACU238" s="824"/>
      <c r="ACV238" s="824"/>
      <c r="ACW238" s="824"/>
      <c r="ACX238" s="824"/>
      <c r="ACY238" s="824"/>
      <c r="ACZ238" s="824"/>
      <c r="ADA238" s="824"/>
      <c r="ADB238" s="824"/>
      <c r="ADC238" s="824"/>
      <c r="ADD238" s="824"/>
      <c r="ADE238" s="824"/>
      <c r="ADF238" s="824"/>
      <c r="ADG238" s="824"/>
      <c r="ADH238" s="824"/>
      <c r="ADI238" s="824"/>
      <c r="ADJ238" s="824"/>
      <c r="ADK238" s="824"/>
      <c r="ADL238" s="824"/>
      <c r="ADM238" s="824"/>
      <c r="ADN238" s="824"/>
      <c r="ADO238" s="824"/>
      <c r="ADP238" s="824"/>
      <c r="ADQ238" s="824"/>
      <c r="ADR238" s="824"/>
      <c r="ADS238" s="824"/>
      <c r="ADT238" s="824"/>
      <c r="ADU238" s="824"/>
      <c r="ADV238" s="824"/>
      <c r="ADW238" s="824"/>
      <c r="ADX238" s="824"/>
      <c r="ADY238" s="824"/>
      <c r="ADZ238" s="824"/>
      <c r="AEA238" s="824"/>
      <c r="AEB238" s="824"/>
      <c r="AEC238" s="824"/>
      <c r="AED238" s="824"/>
      <c r="AEE238" s="824"/>
      <c r="AEF238" s="824"/>
      <c r="AEG238" s="824"/>
      <c r="AEH238" s="824"/>
      <c r="AEI238" s="824"/>
      <c r="AEJ238" s="824"/>
      <c r="AEK238" s="824"/>
      <c r="AEL238" s="824"/>
      <c r="AEM238" s="824"/>
      <c r="AEN238" s="824"/>
      <c r="AEO238" s="824"/>
      <c r="AEP238" s="824"/>
      <c r="AEQ238" s="824"/>
      <c r="AER238" s="824"/>
      <c r="AES238" s="824"/>
      <c r="AET238" s="824"/>
      <c r="AEU238" s="824"/>
      <c r="AEV238" s="824"/>
      <c r="AEW238" s="824"/>
      <c r="AEX238" s="824"/>
      <c r="AEY238" s="824"/>
      <c r="AEZ238" s="824"/>
      <c r="AFA238" s="824"/>
      <c r="AFB238" s="824"/>
      <c r="AFC238" s="824"/>
      <c r="AFD238" s="824"/>
      <c r="AFE238" s="824"/>
      <c r="AFF238" s="824"/>
      <c r="AFG238" s="824"/>
      <c r="AFH238" s="824"/>
      <c r="AFI238" s="824"/>
      <c r="AFJ238" s="824"/>
      <c r="AFK238" s="824"/>
      <c r="AFL238" s="824"/>
      <c r="AFM238" s="824"/>
      <c r="AFN238" s="824"/>
      <c r="AFO238" s="824"/>
      <c r="AFP238" s="824"/>
      <c r="AFQ238" s="824"/>
      <c r="AFR238" s="824"/>
      <c r="AFS238" s="824"/>
      <c r="AFT238" s="824"/>
      <c r="AFU238" s="824"/>
      <c r="AFV238" s="824"/>
      <c r="AFW238" s="824"/>
      <c r="AFX238" s="824"/>
      <c r="AFY238" s="824"/>
      <c r="AFZ238" s="824"/>
      <c r="AGA238" s="824"/>
      <c r="AGB238" s="824"/>
      <c r="AGC238" s="824"/>
      <c r="AGD238" s="824"/>
      <c r="AGE238" s="824"/>
      <c r="AGF238" s="824"/>
      <c r="AGG238" s="824"/>
      <c r="AGH238" s="824"/>
      <c r="AGI238" s="824"/>
      <c r="AGJ238" s="824"/>
    </row>
    <row r="239" spans="1:868" s="825" customFormat="1">
      <c r="A239" s="151" t="s">
        <v>112</v>
      </c>
      <c r="B239" s="34" t="s">
        <v>234</v>
      </c>
      <c r="C239" s="40" t="s">
        <v>139</v>
      </c>
      <c r="D239" s="34" t="s">
        <v>88</v>
      </c>
      <c r="E239" s="257">
        <v>0</v>
      </c>
      <c r="F239" s="232">
        <v>1</v>
      </c>
      <c r="G239" s="40"/>
      <c r="H239" s="29"/>
      <c r="I239" s="9"/>
      <c r="J239" s="9"/>
      <c r="K239" s="9"/>
      <c r="L239" s="9"/>
      <c r="M239" s="9"/>
      <c r="N239" s="185" t="str">
        <f t="shared" si="16"/>
        <v/>
      </c>
      <c r="O239" s="159" t="str">
        <f t="shared" si="15"/>
        <v/>
      </c>
      <c r="P239" s="63"/>
      <c r="Q239" s="824"/>
      <c r="R239" s="824"/>
      <c r="S239" s="824"/>
      <c r="T239" s="824"/>
      <c r="U239" s="824"/>
      <c r="V239" s="824"/>
      <c r="W239" s="824"/>
      <c r="X239" s="824"/>
      <c r="Y239" s="824"/>
      <c r="Z239" s="824"/>
      <c r="AA239" s="824"/>
      <c r="AB239" s="824"/>
      <c r="AC239" s="824"/>
      <c r="AD239" s="824"/>
      <c r="AE239" s="824"/>
      <c r="AF239" s="824"/>
      <c r="AG239" s="824"/>
      <c r="AH239" s="824"/>
      <c r="AI239" s="824"/>
      <c r="AJ239" s="824"/>
      <c r="AK239" s="824"/>
      <c r="AL239" s="824"/>
      <c r="AM239" s="824"/>
      <c r="AN239" s="824"/>
      <c r="AO239" s="824"/>
      <c r="AP239" s="824"/>
      <c r="AQ239" s="824"/>
      <c r="AR239" s="824"/>
      <c r="AS239" s="824"/>
      <c r="AT239" s="824"/>
      <c r="AU239" s="824"/>
      <c r="AV239" s="824"/>
      <c r="AW239" s="824"/>
      <c r="AX239" s="824"/>
      <c r="AY239" s="824"/>
      <c r="AZ239" s="824"/>
      <c r="BA239" s="824"/>
      <c r="BB239" s="824"/>
      <c r="BC239" s="824"/>
      <c r="BD239" s="824"/>
      <c r="BE239" s="824"/>
      <c r="BF239" s="824"/>
      <c r="BG239" s="824"/>
      <c r="BH239" s="824"/>
      <c r="BI239" s="824"/>
      <c r="BJ239" s="824"/>
      <c r="BK239" s="824"/>
      <c r="BL239" s="824"/>
      <c r="BM239" s="824"/>
      <c r="BN239" s="824"/>
      <c r="BO239" s="824"/>
      <c r="BP239" s="824"/>
      <c r="BQ239" s="824"/>
      <c r="BR239" s="824"/>
      <c r="BS239" s="824"/>
      <c r="BT239" s="824"/>
      <c r="BU239" s="824"/>
      <c r="BV239" s="824"/>
      <c r="BW239" s="824"/>
      <c r="BX239" s="824"/>
      <c r="BY239" s="824"/>
      <c r="BZ239" s="824"/>
      <c r="CA239" s="824"/>
      <c r="CB239" s="824"/>
      <c r="CC239" s="824"/>
      <c r="CD239" s="824"/>
      <c r="CE239" s="824"/>
      <c r="CF239" s="824"/>
      <c r="CG239" s="824"/>
      <c r="CH239" s="824"/>
      <c r="CI239" s="824"/>
      <c r="CJ239" s="824"/>
      <c r="CK239" s="824"/>
      <c r="CL239" s="824"/>
      <c r="CM239" s="824"/>
      <c r="CN239" s="824"/>
      <c r="CO239" s="824"/>
      <c r="CP239" s="824"/>
      <c r="CQ239" s="824"/>
      <c r="CR239" s="824"/>
      <c r="CS239" s="824"/>
      <c r="CT239" s="824"/>
      <c r="CU239" s="824"/>
      <c r="CV239" s="824"/>
      <c r="CW239" s="824"/>
      <c r="CX239" s="824"/>
      <c r="CY239" s="824"/>
      <c r="CZ239" s="824"/>
      <c r="DA239" s="824"/>
      <c r="DB239" s="824"/>
      <c r="DC239" s="824"/>
      <c r="DD239" s="824"/>
      <c r="DE239" s="824"/>
      <c r="DF239" s="824"/>
      <c r="DG239" s="824"/>
      <c r="DH239" s="824"/>
      <c r="DI239" s="824"/>
      <c r="DJ239" s="824"/>
      <c r="DK239" s="824"/>
      <c r="DL239" s="824"/>
      <c r="DM239" s="824"/>
      <c r="DN239" s="824"/>
      <c r="DO239" s="824"/>
      <c r="DP239" s="824"/>
      <c r="DQ239" s="824"/>
      <c r="DR239" s="824"/>
      <c r="DS239" s="824"/>
      <c r="DT239" s="824"/>
      <c r="DU239" s="824"/>
      <c r="DV239" s="824"/>
      <c r="DW239" s="824"/>
      <c r="DX239" s="824"/>
      <c r="DY239" s="824"/>
      <c r="DZ239" s="824"/>
      <c r="EA239" s="824"/>
      <c r="EB239" s="824"/>
      <c r="EC239" s="824"/>
      <c r="ED239" s="824"/>
      <c r="EE239" s="824"/>
      <c r="EF239" s="824"/>
      <c r="EG239" s="824"/>
      <c r="EH239" s="824"/>
      <c r="EI239" s="824"/>
      <c r="EJ239" s="824"/>
      <c r="EK239" s="824"/>
      <c r="EL239" s="824"/>
      <c r="EM239" s="824"/>
      <c r="EN239" s="824"/>
      <c r="EO239" s="824"/>
      <c r="EP239" s="824"/>
      <c r="EQ239" s="824"/>
      <c r="ER239" s="824"/>
      <c r="ES239" s="824"/>
      <c r="ET239" s="824"/>
      <c r="EU239" s="824"/>
      <c r="EV239" s="824"/>
      <c r="EW239" s="824"/>
      <c r="EX239" s="824"/>
      <c r="EY239" s="824"/>
      <c r="EZ239" s="824"/>
      <c r="FA239" s="824"/>
      <c r="FB239" s="824"/>
      <c r="FC239" s="824"/>
      <c r="FD239" s="824"/>
      <c r="FE239" s="824"/>
      <c r="FF239" s="824"/>
      <c r="FG239" s="824"/>
      <c r="FH239" s="824"/>
      <c r="FI239" s="824"/>
      <c r="FJ239" s="824"/>
      <c r="FK239" s="824"/>
      <c r="FL239" s="824"/>
      <c r="FM239" s="824"/>
      <c r="FN239" s="824"/>
      <c r="FO239" s="824"/>
      <c r="FP239" s="824"/>
      <c r="FQ239" s="824"/>
      <c r="FR239" s="824"/>
      <c r="FS239" s="824"/>
      <c r="FT239" s="824"/>
      <c r="FU239" s="824"/>
      <c r="FV239" s="824"/>
      <c r="FW239" s="824"/>
      <c r="FX239" s="824"/>
      <c r="FY239" s="824"/>
      <c r="FZ239" s="824"/>
      <c r="GA239" s="824"/>
      <c r="GB239" s="824"/>
      <c r="GC239" s="824"/>
      <c r="GD239" s="824"/>
      <c r="GE239" s="824"/>
      <c r="GF239" s="824"/>
      <c r="GG239" s="824"/>
      <c r="GH239" s="824"/>
      <c r="GI239" s="824"/>
      <c r="GJ239" s="824"/>
      <c r="GK239" s="824"/>
      <c r="GL239" s="824"/>
      <c r="GM239" s="824"/>
      <c r="GN239" s="824"/>
      <c r="GO239" s="824"/>
      <c r="GP239" s="824"/>
      <c r="GQ239" s="824"/>
      <c r="GR239" s="824"/>
      <c r="GS239" s="824"/>
      <c r="GT239" s="824"/>
      <c r="GU239" s="824"/>
      <c r="GV239" s="824"/>
      <c r="GW239" s="824"/>
      <c r="GX239" s="824"/>
      <c r="GY239" s="824"/>
      <c r="GZ239" s="824"/>
      <c r="HA239" s="824"/>
      <c r="HB239" s="824"/>
      <c r="HC239" s="824"/>
      <c r="HD239" s="824"/>
      <c r="HE239" s="824"/>
      <c r="HF239" s="824"/>
      <c r="HG239" s="824"/>
      <c r="HH239" s="824"/>
      <c r="HI239" s="824"/>
      <c r="HJ239" s="824"/>
      <c r="HK239" s="824"/>
      <c r="HL239" s="824"/>
      <c r="HM239" s="824"/>
      <c r="HN239" s="824"/>
      <c r="HO239" s="824"/>
      <c r="HP239" s="824"/>
      <c r="HQ239" s="824"/>
      <c r="HR239" s="824"/>
      <c r="HS239" s="824"/>
      <c r="HT239" s="824"/>
      <c r="HU239" s="824"/>
      <c r="HV239" s="824"/>
      <c r="HW239" s="824"/>
      <c r="HX239" s="824"/>
      <c r="HY239" s="824"/>
      <c r="HZ239" s="824"/>
      <c r="IA239" s="824"/>
      <c r="IB239" s="824"/>
      <c r="IC239" s="824"/>
      <c r="ID239" s="824"/>
      <c r="IE239" s="824"/>
      <c r="IF239" s="824"/>
      <c r="IG239" s="824"/>
      <c r="IH239" s="824"/>
      <c r="II239" s="824"/>
      <c r="IJ239" s="824"/>
      <c r="IK239" s="824"/>
      <c r="IL239" s="824"/>
      <c r="IM239" s="824"/>
      <c r="IN239" s="824"/>
      <c r="IO239" s="824"/>
      <c r="IP239" s="824"/>
      <c r="IQ239" s="824"/>
      <c r="IR239" s="824"/>
      <c r="IS239" s="824"/>
      <c r="IT239" s="824"/>
      <c r="IU239" s="824"/>
      <c r="IV239" s="824"/>
      <c r="IW239" s="824"/>
      <c r="IX239" s="824"/>
      <c r="IY239" s="824"/>
      <c r="IZ239" s="824"/>
      <c r="JA239" s="824"/>
      <c r="JB239" s="824"/>
      <c r="JC239" s="824"/>
      <c r="JD239" s="824"/>
      <c r="JE239" s="824"/>
      <c r="JF239" s="824"/>
      <c r="JG239" s="824"/>
      <c r="JH239" s="824"/>
      <c r="JI239" s="824"/>
      <c r="JJ239" s="824"/>
      <c r="JK239" s="824"/>
      <c r="JL239" s="824"/>
      <c r="JM239" s="824"/>
      <c r="JN239" s="824"/>
      <c r="JO239" s="824"/>
      <c r="JP239" s="824"/>
      <c r="JQ239" s="824"/>
      <c r="JR239" s="824"/>
      <c r="JS239" s="824"/>
      <c r="JT239" s="824"/>
      <c r="JU239" s="824"/>
      <c r="JV239" s="824"/>
      <c r="JW239" s="824"/>
      <c r="JX239" s="824"/>
      <c r="JY239" s="824"/>
      <c r="JZ239" s="824"/>
      <c r="KA239" s="824"/>
      <c r="KB239" s="824"/>
      <c r="KC239" s="824"/>
      <c r="KD239" s="824"/>
      <c r="KE239" s="824"/>
      <c r="KF239" s="824"/>
      <c r="KG239" s="824"/>
      <c r="KH239" s="824"/>
      <c r="KI239" s="824"/>
      <c r="KJ239" s="824"/>
      <c r="KK239" s="824"/>
      <c r="KL239" s="824"/>
      <c r="KM239" s="824"/>
      <c r="KN239" s="824"/>
      <c r="KO239" s="824"/>
      <c r="KP239" s="824"/>
      <c r="KQ239" s="824"/>
      <c r="KR239" s="824"/>
      <c r="KS239" s="824"/>
      <c r="KT239" s="824"/>
      <c r="KU239" s="824"/>
      <c r="KV239" s="824"/>
      <c r="KW239" s="824"/>
      <c r="KX239" s="824"/>
      <c r="KY239" s="824"/>
      <c r="KZ239" s="824"/>
      <c r="LA239" s="824"/>
      <c r="LB239" s="824"/>
      <c r="LC239" s="824"/>
      <c r="LD239" s="824"/>
      <c r="LE239" s="824"/>
      <c r="LF239" s="824"/>
      <c r="LG239" s="824"/>
      <c r="LH239" s="824"/>
      <c r="LI239" s="824"/>
      <c r="LJ239" s="824"/>
      <c r="LK239" s="824"/>
      <c r="LL239" s="824"/>
      <c r="LM239" s="824"/>
      <c r="LN239" s="824"/>
      <c r="LO239" s="824"/>
      <c r="LP239" s="824"/>
      <c r="LQ239" s="824"/>
      <c r="LR239" s="824"/>
      <c r="LS239" s="824"/>
      <c r="LT239" s="824"/>
      <c r="LU239" s="824"/>
      <c r="LV239" s="824"/>
      <c r="LW239" s="824"/>
      <c r="LX239" s="824"/>
      <c r="LY239" s="824"/>
      <c r="LZ239" s="824"/>
      <c r="MA239" s="824"/>
      <c r="MB239" s="824"/>
      <c r="MC239" s="824"/>
      <c r="MD239" s="824"/>
      <c r="ME239" s="824"/>
      <c r="MF239" s="824"/>
      <c r="MG239" s="824"/>
      <c r="MH239" s="824"/>
      <c r="MI239" s="824"/>
      <c r="MJ239" s="824"/>
      <c r="MK239" s="824"/>
      <c r="ML239" s="824"/>
      <c r="MM239" s="824"/>
      <c r="MN239" s="824"/>
      <c r="MO239" s="824"/>
      <c r="MP239" s="824"/>
      <c r="MQ239" s="824"/>
      <c r="MR239" s="824"/>
      <c r="MS239" s="824"/>
      <c r="MT239" s="824"/>
      <c r="MU239" s="824"/>
      <c r="MV239" s="824"/>
      <c r="MW239" s="824"/>
      <c r="MX239" s="824"/>
      <c r="MY239" s="824"/>
      <c r="MZ239" s="824"/>
      <c r="NA239" s="824"/>
      <c r="NB239" s="824"/>
      <c r="NC239" s="824"/>
      <c r="ND239" s="824"/>
      <c r="NE239" s="824"/>
      <c r="NF239" s="824"/>
      <c r="NG239" s="824"/>
      <c r="NH239" s="824"/>
      <c r="NI239" s="824"/>
      <c r="NJ239" s="824"/>
      <c r="NK239" s="824"/>
      <c r="NL239" s="824"/>
      <c r="NM239" s="824"/>
      <c r="NN239" s="824"/>
      <c r="NO239" s="824"/>
      <c r="NP239" s="824"/>
      <c r="NQ239" s="824"/>
      <c r="NR239" s="824"/>
      <c r="NS239" s="824"/>
      <c r="NT239" s="824"/>
      <c r="NU239" s="824"/>
      <c r="NV239" s="824"/>
      <c r="NW239" s="824"/>
      <c r="NX239" s="824"/>
      <c r="NY239" s="824"/>
      <c r="NZ239" s="824"/>
      <c r="OA239" s="824"/>
      <c r="OB239" s="824"/>
      <c r="OC239" s="824"/>
      <c r="OD239" s="824"/>
      <c r="OE239" s="824"/>
      <c r="OF239" s="824"/>
      <c r="OG239" s="824"/>
      <c r="OH239" s="824"/>
      <c r="OI239" s="824"/>
      <c r="OJ239" s="824"/>
      <c r="OK239" s="824"/>
      <c r="OL239" s="824"/>
      <c r="OM239" s="824"/>
      <c r="ON239" s="824"/>
      <c r="OO239" s="824"/>
      <c r="OP239" s="824"/>
      <c r="OQ239" s="824"/>
      <c r="OR239" s="824"/>
      <c r="OS239" s="824"/>
      <c r="OT239" s="824"/>
      <c r="OU239" s="824"/>
      <c r="OV239" s="824"/>
      <c r="OW239" s="824"/>
      <c r="OX239" s="824"/>
      <c r="OY239" s="824"/>
      <c r="OZ239" s="824"/>
      <c r="PA239" s="824"/>
      <c r="PB239" s="824"/>
      <c r="PC239" s="824"/>
      <c r="PD239" s="824"/>
      <c r="PE239" s="824"/>
      <c r="PF239" s="824"/>
      <c r="PG239" s="824"/>
      <c r="PH239" s="824"/>
      <c r="PI239" s="824"/>
      <c r="PJ239" s="824"/>
      <c r="PK239" s="824"/>
      <c r="PL239" s="824"/>
      <c r="PM239" s="824"/>
      <c r="PN239" s="824"/>
      <c r="PO239" s="824"/>
      <c r="PP239" s="824"/>
      <c r="PQ239" s="824"/>
      <c r="PR239" s="824"/>
      <c r="PS239" s="824"/>
      <c r="PT239" s="824"/>
      <c r="PU239" s="824"/>
      <c r="PV239" s="824"/>
      <c r="PW239" s="824"/>
      <c r="PX239" s="824"/>
      <c r="PY239" s="824"/>
      <c r="PZ239" s="824"/>
      <c r="QA239" s="824"/>
      <c r="QB239" s="824"/>
      <c r="QC239" s="824"/>
      <c r="QD239" s="824"/>
      <c r="QE239" s="824"/>
      <c r="QF239" s="824"/>
      <c r="QG239" s="824"/>
      <c r="QH239" s="824"/>
      <c r="QI239" s="824"/>
      <c r="QJ239" s="824"/>
      <c r="QK239" s="824"/>
      <c r="QL239" s="824"/>
      <c r="QM239" s="824"/>
      <c r="QN239" s="824"/>
      <c r="QO239" s="824"/>
      <c r="QP239" s="824"/>
      <c r="QQ239" s="824"/>
      <c r="QR239" s="824"/>
      <c r="QS239" s="824"/>
      <c r="QT239" s="824"/>
      <c r="QU239" s="824"/>
      <c r="QV239" s="824"/>
      <c r="QW239" s="824"/>
      <c r="QX239" s="824"/>
      <c r="QY239" s="824"/>
      <c r="QZ239" s="824"/>
      <c r="RA239" s="824"/>
      <c r="RB239" s="824"/>
      <c r="RC239" s="824"/>
      <c r="RD239" s="824"/>
      <c r="RE239" s="824"/>
      <c r="RF239" s="824"/>
      <c r="RG239" s="824"/>
      <c r="RH239" s="824"/>
      <c r="RI239" s="824"/>
      <c r="RJ239" s="824"/>
      <c r="RK239" s="824"/>
      <c r="RL239" s="824"/>
      <c r="RM239" s="824"/>
      <c r="RN239" s="824"/>
      <c r="RO239" s="824"/>
      <c r="RP239" s="824"/>
      <c r="RQ239" s="824"/>
      <c r="RR239" s="824"/>
      <c r="RS239" s="824"/>
      <c r="RT239" s="824"/>
      <c r="RU239" s="824"/>
      <c r="RV239" s="824"/>
      <c r="RW239" s="824"/>
      <c r="RX239" s="824"/>
      <c r="RY239" s="824"/>
      <c r="RZ239" s="824"/>
      <c r="SA239" s="824"/>
      <c r="SB239" s="824"/>
      <c r="SC239" s="824"/>
      <c r="SD239" s="824"/>
      <c r="SE239" s="824"/>
      <c r="SF239" s="824"/>
      <c r="SG239" s="824"/>
      <c r="SH239" s="824"/>
      <c r="SI239" s="824"/>
      <c r="SJ239" s="824"/>
      <c r="SK239" s="824"/>
      <c r="SL239" s="824"/>
      <c r="SM239" s="824"/>
      <c r="SN239" s="824"/>
      <c r="SO239" s="824"/>
      <c r="SP239" s="824"/>
      <c r="SQ239" s="824"/>
      <c r="SR239" s="824"/>
      <c r="SS239" s="824"/>
      <c r="ST239" s="824"/>
      <c r="SU239" s="824"/>
      <c r="SV239" s="824"/>
      <c r="SW239" s="824"/>
      <c r="SX239" s="824"/>
      <c r="SY239" s="824"/>
      <c r="SZ239" s="824"/>
      <c r="TA239" s="824"/>
      <c r="TB239" s="824"/>
      <c r="TC239" s="824"/>
      <c r="TD239" s="824"/>
      <c r="TE239" s="824"/>
      <c r="TF239" s="824"/>
      <c r="TG239" s="824"/>
      <c r="TH239" s="824"/>
      <c r="TI239" s="824"/>
      <c r="TJ239" s="824"/>
      <c r="TK239" s="824"/>
      <c r="TL239" s="824"/>
      <c r="TM239" s="824"/>
      <c r="TN239" s="824"/>
      <c r="TO239" s="824"/>
      <c r="TP239" s="824"/>
      <c r="TQ239" s="824"/>
      <c r="TR239" s="824"/>
      <c r="TS239" s="824"/>
      <c r="TT239" s="824"/>
      <c r="TU239" s="824"/>
      <c r="TV239" s="824"/>
      <c r="TW239" s="824"/>
      <c r="TX239" s="824"/>
      <c r="TY239" s="824"/>
      <c r="TZ239" s="824"/>
      <c r="UA239" s="824"/>
      <c r="UB239" s="824"/>
      <c r="UC239" s="824"/>
      <c r="UD239" s="824"/>
      <c r="UE239" s="824"/>
      <c r="UF239" s="824"/>
      <c r="UG239" s="824"/>
      <c r="UH239" s="824"/>
      <c r="UI239" s="824"/>
      <c r="UJ239" s="824"/>
      <c r="UK239" s="824"/>
      <c r="UL239" s="824"/>
      <c r="UM239" s="824"/>
      <c r="UN239" s="824"/>
      <c r="UO239" s="824"/>
      <c r="UP239" s="824"/>
      <c r="UQ239" s="824"/>
      <c r="UR239" s="824"/>
      <c r="US239" s="824"/>
      <c r="UT239" s="824"/>
      <c r="UU239" s="824"/>
      <c r="UV239" s="824"/>
      <c r="UW239" s="824"/>
      <c r="UX239" s="824"/>
      <c r="UY239" s="824"/>
      <c r="UZ239" s="824"/>
      <c r="VA239" s="824"/>
      <c r="VB239" s="824"/>
      <c r="VC239" s="824"/>
      <c r="VD239" s="824"/>
      <c r="VE239" s="824"/>
      <c r="VF239" s="824"/>
      <c r="VG239" s="824"/>
      <c r="VH239" s="824"/>
      <c r="VI239" s="824"/>
      <c r="VJ239" s="824"/>
      <c r="VK239" s="824"/>
      <c r="VL239" s="824"/>
      <c r="VM239" s="824"/>
      <c r="VN239" s="824"/>
      <c r="VO239" s="824"/>
      <c r="VP239" s="824"/>
      <c r="VQ239" s="824"/>
      <c r="VR239" s="824"/>
      <c r="VS239" s="824"/>
      <c r="VT239" s="824"/>
      <c r="VU239" s="824"/>
      <c r="VV239" s="824"/>
      <c r="VW239" s="824"/>
      <c r="VX239" s="824"/>
      <c r="VY239" s="824"/>
      <c r="VZ239" s="824"/>
      <c r="WA239" s="824"/>
      <c r="WB239" s="824"/>
      <c r="WC239" s="824"/>
      <c r="WD239" s="824"/>
      <c r="WE239" s="824"/>
      <c r="WF239" s="824"/>
      <c r="WG239" s="824"/>
      <c r="WH239" s="824"/>
      <c r="WI239" s="824"/>
      <c r="WJ239" s="824"/>
      <c r="WK239" s="824"/>
      <c r="WL239" s="824"/>
      <c r="WM239" s="824"/>
      <c r="WN239" s="824"/>
      <c r="WO239" s="824"/>
      <c r="WP239" s="824"/>
      <c r="WQ239" s="824"/>
      <c r="WR239" s="824"/>
      <c r="WS239" s="824"/>
      <c r="WT239" s="824"/>
      <c r="WU239" s="824"/>
      <c r="WV239" s="824"/>
      <c r="WW239" s="824"/>
      <c r="WX239" s="824"/>
      <c r="WY239" s="824"/>
      <c r="WZ239" s="824"/>
      <c r="XA239" s="824"/>
      <c r="XB239" s="824"/>
      <c r="XC239" s="824"/>
      <c r="XD239" s="824"/>
      <c r="XE239" s="824"/>
      <c r="XF239" s="824"/>
      <c r="XG239" s="824"/>
      <c r="XH239" s="824"/>
      <c r="XI239" s="824"/>
      <c r="XJ239" s="824"/>
      <c r="XK239" s="824"/>
      <c r="XL239" s="824"/>
      <c r="XM239" s="824"/>
      <c r="XN239" s="824"/>
      <c r="XO239" s="824"/>
      <c r="XP239" s="824"/>
      <c r="XQ239" s="824"/>
      <c r="XR239" s="824"/>
      <c r="XS239" s="824"/>
      <c r="XT239" s="824"/>
      <c r="XU239" s="824"/>
      <c r="XV239" s="824"/>
      <c r="XW239" s="824"/>
      <c r="XX239" s="824"/>
      <c r="XY239" s="824"/>
      <c r="XZ239" s="824"/>
      <c r="YA239" s="824"/>
      <c r="YB239" s="824"/>
      <c r="YC239" s="824"/>
      <c r="YD239" s="824"/>
      <c r="YE239" s="824"/>
      <c r="YF239" s="824"/>
      <c r="YG239" s="824"/>
      <c r="YH239" s="824"/>
      <c r="YI239" s="824"/>
      <c r="YJ239" s="824"/>
      <c r="YK239" s="824"/>
      <c r="YL239" s="824"/>
      <c r="YM239" s="824"/>
      <c r="YN239" s="824"/>
      <c r="YO239" s="824"/>
      <c r="YP239" s="824"/>
      <c r="YQ239" s="824"/>
      <c r="YR239" s="824"/>
      <c r="YS239" s="824"/>
      <c r="YT239" s="824"/>
      <c r="YU239" s="824"/>
      <c r="YV239" s="824"/>
      <c r="YW239" s="824"/>
      <c r="YX239" s="824"/>
      <c r="YY239" s="824"/>
      <c r="YZ239" s="824"/>
      <c r="ZA239" s="824"/>
      <c r="ZB239" s="824"/>
      <c r="ZC239" s="824"/>
      <c r="ZD239" s="824"/>
      <c r="ZE239" s="824"/>
      <c r="ZF239" s="824"/>
      <c r="ZG239" s="824"/>
      <c r="ZH239" s="824"/>
      <c r="ZI239" s="824"/>
      <c r="ZJ239" s="824"/>
      <c r="ZK239" s="824"/>
      <c r="ZL239" s="824"/>
      <c r="ZM239" s="824"/>
      <c r="ZN239" s="824"/>
      <c r="ZO239" s="824"/>
      <c r="ZP239" s="824"/>
      <c r="ZQ239" s="824"/>
      <c r="ZR239" s="824"/>
      <c r="ZS239" s="824"/>
      <c r="ZT239" s="824"/>
      <c r="ZU239" s="824"/>
      <c r="ZV239" s="824"/>
      <c r="ZW239" s="824"/>
      <c r="ZX239" s="824"/>
      <c r="ZY239" s="824"/>
      <c r="ZZ239" s="824"/>
      <c r="AAA239" s="824"/>
      <c r="AAB239" s="824"/>
      <c r="AAC239" s="824"/>
      <c r="AAD239" s="824"/>
      <c r="AAE239" s="824"/>
      <c r="AAF239" s="824"/>
      <c r="AAG239" s="824"/>
      <c r="AAH239" s="824"/>
      <c r="AAI239" s="824"/>
      <c r="AAJ239" s="824"/>
      <c r="AAK239" s="824"/>
      <c r="AAL239" s="824"/>
      <c r="AAM239" s="824"/>
      <c r="AAN239" s="824"/>
      <c r="AAO239" s="824"/>
      <c r="AAP239" s="824"/>
      <c r="AAQ239" s="824"/>
      <c r="AAR239" s="824"/>
      <c r="AAS239" s="824"/>
      <c r="AAT239" s="824"/>
      <c r="AAU239" s="824"/>
      <c r="AAV239" s="824"/>
      <c r="AAW239" s="824"/>
      <c r="AAX239" s="824"/>
      <c r="AAY239" s="824"/>
      <c r="AAZ239" s="824"/>
      <c r="ABA239" s="824"/>
      <c r="ABB239" s="824"/>
      <c r="ABC239" s="824"/>
      <c r="ABD239" s="824"/>
      <c r="ABE239" s="824"/>
      <c r="ABF239" s="824"/>
      <c r="ABG239" s="824"/>
      <c r="ABH239" s="824"/>
      <c r="ABI239" s="824"/>
      <c r="ABJ239" s="824"/>
      <c r="ABK239" s="824"/>
      <c r="ABL239" s="824"/>
      <c r="ABM239" s="824"/>
      <c r="ABN239" s="824"/>
      <c r="ABO239" s="824"/>
      <c r="ABP239" s="824"/>
      <c r="ABQ239" s="824"/>
      <c r="ABR239" s="824"/>
      <c r="ABS239" s="824"/>
      <c r="ABT239" s="824"/>
      <c r="ABU239" s="824"/>
      <c r="ABV239" s="824"/>
      <c r="ABW239" s="824"/>
      <c r="ABX239" s="824"/>
      <c r="ABY239" s="824"/>
      <c r="ABZ239" s="824"/>
      <c r="ACA239" s="824"/>
      <c r="ACB239" s="824"/>
      <c r="ACC239" s="824"/>
      <c r="ACD239" s="824"/>
      <c r="ACE239" s="824"/>
      <c r="ACF239" s="824"/>
      <c r="ACG239" s="824"/>
      <c r="ACH239" s="824"/>
      <c r="ACI239" s="824"/>
      <c r="ACJ239" s="824"/>
      <c r="ACK239" s="824"/>
      <c r="ACL239" s="824"/>
      <c r="ACM239" s="824"/>
      <c r="ACN239" s="824"/>
      <c r="ACO239" s="824"/>
      <c r="ACP239" s="824"/>
      <c r="ACQ239" s="824"/>
      <c r="ACR239" s="824"/>
      <c r="ACS239" s="824"/>
      <c r="ACT239" s="824"/>
      <c r="ACU239" s="824"/>
      <c r="ACV239" s="824"/>
      <c r="ACW239" s="824"/>
      <c r="ACX239" s="824"/>
      <c r="ACY239" s="824"/>
      <c r="ACZ239" s="824"/>
      <c r="ADA239" s="824"/>
      <c r="ADB239" s="824"/>
      <c r="ADC239" s="824"/>
      <c r="ADD239" s="824"/>
      <c r="ADE239" s="824"/>
      <c r="ADF239" s="824"/>
      <c r="ADG239" s="824"/>
      <c r="ADH239" s="824"/>
      <c r="ADI239" s="824"/>
      <c r="ADJ239" s="824"/>
      <c r="ADK239" s="824"/>
      <c r="ADL239" s="824"/>
      <c r="ADM239" s="824"/>
      <c r="ADN239" s="824"/>
      <c r="ADO239" s="824"/>
      <c r="ADP239" s="824"/>
      <c r="ADQ239" s="824"/>
      <c r="ADR239" s="824"/>
      <c r="ADS239" s="824"/>
      <c r="ADT239" s="824"/>
      <c r="ADU239" s="824"/>
      <c r="ADV239" s="824"/>
      <c r="ADW239" s="824"/>
      <c r="ADX239" s="824"/>
      <c r="ADY239" s="824"/>
      <c r="ADZ239" s="824"/>
      <c r="AEA239" s="824"/>
      <c r="AEB239" s="824"/>
      <c r="AEC239" s="824"/>
      <c r="AED239" s="824"/>
      <c r="AEE239" s="824"/>
      <c r="AEF239" s="824"/>
      <c r="AEG239" s="824"/>
      <c r="AEH239" s="824"/>
      <c r="AEI239" s="824"/>
      <c r="AEJ239" s="824"/>
      <c r="AEK239" s="824"/>
      <c r="AEL239" s="824"/>
      <c r="AEM239" s="824"/>
      <c r="AEN239" s="824"/>
      <c r="AEO239" s="824"/>
      <c r="AEP239" s="824"/>
      <c r="AEQ239" s="824"/>
      <c r="AER239" s="824"/>
      <c r="AES239" s="824"/>
      <c r="AET239" s="824"/>
      <c r="AEU239" s="824"/>
      <c r="AEV239" s="824"/>
      <c r="AEW239" s="824"/>
      <c r="AEX239" s="824"/>
      <c r="AEY239" s="824"/>
      <c r="AEZ239" s="824"/>
      <c r="AFA239" s="824"/>
      <c r="AFB239" s="824"/>
      <c r="AFC239" s="824"/>
      <c r="AFD239" s="824"/>
      <c r="AFE239" s="824"/>
      <c r="AFF239" s="824"/>
      <c r="AFG239" s="824"/>
      <c r="AFH239" s="824"/>
      <c r="AFI239" s="824"/>
      <c r="AFJ239" s="824"/>
      <c r="AFK239" s="824"/>
      <c r="AFL239" s="824"/>
      <c r="AFM239" s="824"/>
      <c r="AFN239" s="824"/>
      <c r="AFO239" s="824"/>
      <c r="AFP239" s="824"/>
      <c r="AFQ239" s="824"/>
      <c r="AFR239" s="824"/>
      <c r="AFS239" s="824"/>
      <c r="AFT239" s="824"/>
      <c r="AFU239" s="824"/>
      <c r="AFV239" s="824"/>
      <c r="AFW239" s="824"/>
      <c r="AFX239" s="824"/>
      <c r="AFY239" s="824"/>
      <c r="AFZ239" s="824"/>
      <c r="AGA239" s="824"/>
      <c r="AGB239" s="824"/>
      <c r="AGC239" s="824"/>
      <c r="AGD239" s="824"/>
      <c r="AGE239" s="824"/>
      <c r="AGF239" s="824"/>
      <c r="AGG239" s="824"/>
      <c r="AGH239" s="824"/>
      <c r="AGI239" s="824"/>
      <c r="AGJ239" s="824"/>
    </row>
    <row r="240" spans="1:868" s="825" customFormat="1">
      <c r="A240" s="151" t="s">
        <v>112</v>
      </c>
      <c r="B240" s="34" t="s">
        <v>234</v>
      </c>
      <c r="C240" s="40" t="s">
        <v>139</v>
      </c>
      <c r="D240" s="34" t="s">
        <v>89</v>
      </c>
      <c r="E240" s="257">
        <v>0</v>
      </c>
      <c r="F240" s="232">
        <v>1</v>
      </c>
      <c r="G240" s="40"/>
      <c r="H240" s="29"/>
      <c r="I240" s="9"/>
      <c r="J240" s="9"/>
      <c r="K240" s="9"/>
      <c r="L240" s="9"/>
      <c r="M240" s="9"/>
      <c r="N240" s="185" t="str">
        <f t="shared" si="16"/>
        <v/>
      </c>
      <c r="O240" s="159" t="str">
        <f t="shared" si="15"/>
        <v/>
      </c>
      <c r="P240" s="63"/>
      <c r="Q240" s="824"/>
      <c r="R240" s="824"/>
      <c r="S240" s="824"/>
      <c r="T240" s="824"/>
      <c r="U240" s="824"/>
      <c r="V240" s="824"/>
      <c r="W240" s="824"/>
      <c r="X240" s="824"/>
      <c r="Y240" s="824"/>
      <c r="Z240" s="824"/>
      <c r="AA240" s="824"/>
      <c r="AB240" s="824"/>
      <c r="AC240" s="824"/>
      <c r="AD240" s="824"/>
      <c r="AE240" s="824"/>
      <c r="AF240" s="824"/>
      <c r="AG240" s="824"/>
      <c r="AH240" s="824"/>
      <c r="AI240" s="824"/>
      <c r="AJ240" s="824"/>
      <c r="AK240" s="824"/>
      <c r="AL240" s="824"/>
      <c r="AM240" s="824"/>
      <c r="AN240" s="824"/>
      <c r="AO240" s="824"/>
      <c r="AP240" s="824"/>
      <c r="AQ240" s="824"/>
      <c r="AR240" s="824"/>
      <c r="AS240" s="824"/>
      <c r="AT240" s="824"/>
      <c r="AU240" s="824"/>
      <c r="AV240" s="824"/>
      <c r="AW240" s="824"/>
      <c r="AX240" s="824"/>
      <c r="AY240" s="824"/>
      <c r="AZ240" s="824"/>
      <c r="BA240" s="824"/>
      <c r="BB240" s="824"/>
      <c r="BC240" s="824"/>
      <c r="BD240" s="824"/>
      <c r="BE240" s="824"/>
      <c r="BF240" s="824"/>
      <c r="BG240" s="824"/>
      <c r="BH240" s="824"/>
      <c r="BI240" s="824"/>
      <c r="BJ240" s="824"/>
      <c r="BK240" s="824"/>
      <c r="BL240" s="824"/>
      <c r="BM240" s="824"/>
      <c r="BN240" s="824"/>
      <c r="BO240" s="824"/>
      <c r="BP240" s="824"/>
      <c r="BQ240" s="824"/>
      <c r="BR240" s="824"/>
      <c r="BS240" s="824"/>
      <c r="BT240" s="824"/>
      <c r="BU240" s="824"/>
      <c r="BV240" s="824"/>
      <c r="BW240" s="824"/>
      <c r="BX240" s="824"/>
      <c r="BY240" s="824"/>
      <c r="BZ240" s="824"/>
      <c r="CA240" s="824"/>
      <c r="CB240" s="824"/>
      <c r="CC240" s="824"/>
      <c r="CD240" s="824"/>
      <c r="CE240" s="824"/>
      <c r="CF240" s="824"/>
      <c r="CG240" s="824"/>
      <c r="CH240" s="824"/>
      <c r="CI240" s="824"/>
      <c r="CJ240" s="824"/>
      <c r="CK240" s="824"/>
      <c r="CL240" s="824"/>
      <c r="CM240" s="824"/>
      <c r="CN240" s="824"/>
      <c r="CO240" s="824"/>
      <c r="CP240" s="824"/>
      <c r="CQ240" s="824"/>
      <c r="CR240" s="824"/>
      <c r="CS240" s="824"/>
      <c r="CT240" s="824"/>
      <c r="CU240" s="824"/>
      <c r="CV240" s="824"/>
      <c r="CW240" s="824"/>
      <c r="CX240" s="824"/>
      <c r="CY240" s="824"/>
      <c r="CZ240" s="824"/>
      <c r="DA240" s="824"/>
      <c r="DB240" s="824"/>
      <c r="DC240" s="824"/>
      <c r="DD240" s="824"/>
      <c r="DE240" s="824"/>
      <c r="DF240" s="824"/>
      <c r="DG240" s="824"/>
      <c r="DH240" s="824"/>
      <c r="DI240" s="824"/>
      <c r="DJ240" s="824"/>
      <c r="DK240" s="824"/>
      <c r="DL240" s="824"/>
      <c r="DM240" s="824"/>
      <c r="DN240" s="824"/>
      <c r="DO240" s="824"/>
      <c r="DP240" s="824"/>
      <c r="DQ240" s="824"/>
      <c r="DR240" s="824"/>
      <c r="DS240" s="824"/>
      <c r="DT240" s="824"/>
      <c r="DU240" s="824"/>
      <c r="DV240" s="824"/>
      <c r="DW240" s="824"/>
      <c r="DX240" s="824"/>
      <c r="DY240" s="824"/>
      <c r="DZ240" s="824"/>
      <c r="EA240" s="824"/>
      <c r="EB240" s="824"/>
      <c r="EC240" s="824"/>
      <c r="ED240" s="824"/>
      <c r="EE240" s="824"/>
      <c r="EF240" s="824"/>
      <c r="EG240" s="824"/>
      <c r="EH240" s="824"/>
      <c r="EI240" s="824"/>
      <c r="EJ240" s="824"/>
      <c r="EK240" s="824"/>
      <c r="EL240" s="824"/>
      <c r="EM240" s="824"/>
      <c r="EN240" s="824"/>
      <c r="EO240" s="824"/>
      <c r="EP240" s="824"/>
      <c r="EQ240" s="824"/>
      <c r="ER240" s="824"/>
      <c r="ES240" s="824"/>
      <c r="ET240" s="824"/>
      <c r="EU240" s="824"/>
      <c r="EV240" s="824"/>
      <c r="EW240" s="824"/>
      <c r="EX240" s="824"/>
      <c r="EY240" s="824"/>
      <c r="EZ240" s="824"/>
      <c r="FA240" s="824"/>
      <c r="FB240" s="824"/>
      <c r="FC240" s="824"/>
      <c r="FD240" s="824"/>
      <c r="FE240" s="824"/>
      <c r="FF240" s="824"/>
      <c r="FG240" s="824"/>
      <c r="FH240" s="824"/>
      <c r="FI240" s="824"/>
      <c r="FJ240" s="824"/>
      <c r="FK240" s="824"/>
      <c r="FL240" s="824"/>
      <c r="FM240" s="824"/>
      <c r="FN240" s="824"/>
      <c r="FO240" s="824"/>
      <c r="FP240" s="824"/>
      <c r="FQ240" s="824"/>
      <c r="FR240" s="824"/>
      <c r="FS240" s="824"/>
      <c r="FT240" s="824"/>
      <c r="FU240" s="824"/>
      <c r="FV240" s="824"/>
      <c r="FW240" s="824"/>
      <c r="FX240" s="824"/>
      <c r="FY240" s="824"/>
      <c r="FZ240" s="824"/>
      <c r="GA240" s="824"/>
      <c r="GB240" s="824"/>
      <c r="GC240" s="824"/>
      <c r="GD240" s="824"/>
      <c r="GE240" s="824"/>
      <c r="GF240" s="824"/>
      <c r="GG240" s="824"/>
      <c r="GH240" s="824"/>
      <c r="GI240" s="824"/>
      <c r="GJ240" s="824"/>
      <c r="GK240" s="824"/>
      <c r="GL240" s="824"/>
      <c r="GM240" s="824"/>
      <c r="GN240" s="824"/>
      <c r="GO240" s="824"/>
      <c r="GP240" s="824"/>
      <c r="GQ240" s="824"/>
      <c r="GR240" s="824"/>
      <c r="GS240" s="824"/>
      <c r="GT240" s="824"/>
      <c r="GU240" s="824"/>
      <c r="GV240" s="824"/>
      <c r="GW240" s="824"/>
      <c r="GX240" s="824"/>
      <c r="GY240" s="824"/>
      <c r="GZ240" s="824"/>
      <c r="HA240" s="824"/>
      <c r="HB240" s="824"/>
      <c r="HC240" s="824"/>
      <c r="HD240" s="824"/>
      <c r="HE240" s="824"/>
      <c r="HF240" s="824"/>
      <c r="HG240" s="824"/>
      <c r="HH240" s="824"/>
      <c r="HI240" s="824"/>
      <c r="HJ240" s="824"/>
      <c r="HK240" s="824"/>
      <c r="HL240" s="824"/>
      <c r="HM240" s="824"/>
      <c r="HN240" s="824"/>
      <c r="HO240" s="824"/>
      <c r="HP240" s="824"/>
      <c r="HQ240" s="824"/>
      <c r="HR240" s="824"/>
      <c r="HS240" s="824"/>
      <c r="HT240" s="824"/>
      <c r="HU240" s="824"/>
      <c r="HV240" s="824"/>
      <c r="HW240" s="824"/>
      <c r="HX240" s="824"/>
      <c r="HY240" s="824"/>
      <c r="HZ240" s="824"/>
      <c r="IA240" s="824"/>
      <c r="IB240" s="824"/>
      <c r="IC240" s="824"/>
      <c r="ID240" s="824"/>
      <c r="IE240" s="824"/>
      <c r="IF240" s="824"/>
      <c r="IG240" s="824"/>
      <c r="IH240" s="824"/>
      <c r="II240" s="824"/>
      <c r="IJ240" s="824"/>
      <c r="IK240" s="824"/>
      <c r="IL240" s="824"/>
      <c r="IM240" s="824"/>
      <c r="IN240" s="824"/>
      <c r="IO240" s="824"/>
      <c r="IP240" s="824"/>
      <c r="IQ240" s="824"/>
      <c r="IR240" s="824"/>
      <c r="IS240" s="824"/>
      <c r="IT240" s="824"/>
      <c r="IU240" s="824"/>
      <c r="IV240" s="824"/>
      <c r="IW240" s="824"/>
      <c r="IX240" s="824"/>
      <c r="IY240" s="824"/>
      <c r="IZ240" s="824"/>
      <c r="JA240" s="824"/>
      <c r="JB240" s="824"/>
      <c r="JC240" s="824"/>
      <c r="JD240" s="824"/>
      <c r="JE240" s="824"/>
      <c r="JF240" s="824"/>
      <c r="JG240" s="824"/>
      <c r="JH240" s="824"/>
      <c r="JI240" s="824"/>
      <c r="JJ240" s="824"/>
      <c r="JK240" s="824"/>
      <c r="JL240" s="824"/>
      <c r="JM240" s="824"/>
      <c r="JN240" s="824"/>
      <c r="JO240" s="824"/>
      <c r="JP240" s="824"/>
      <c r="JQ240" s="824"/>
      <c r="JR240" s="824"/>
      <c r="JS240" s="824"/>
      <c r="JT240" s="824"/>
      <c r="JU240" s="824"/>
      <c r="JV240" s="824"/>
      <c r="JW240" s="824"/>
      <c r="JX240" s="824"/>
      <c r="JY240" s="824"/>
      <c r="JZ240" s="824"/>
      <c r="KA240" s="824"/>
      <c r="KB240" s="824"/>
      <c r="KC240" s="824"/>
      <c r="KD240" s="824"/>
      <c r="KE240" s="824"/>
      <c r="KF240" s="824"/>
      <c r="KG240" s="824"/>
      <c r="KH240" s="824"/>
      <c r="KI240" s="824"/>
      <c r="KJ240" s="824"/>
      <c r="KK240" s="824"/>
      <c r="KL240" s="824"/>
      <c r="KM240" s="824"/>
      <c r="KN240" s="824"/>
      <c r="KO240" s="824"/>
      <c r="KP240" s="824"/>
      <c r="KQ240" s="824"/>
      <c r="KR240" s="824"/>
      <c r="KS240" s="824"/>
      <c r="KT240" s="824"/>
      <c r="KU240" s="824"/>
      <c r="KV240" s="824"/>
      <c r="KW240" s="824"/>
      <c r="KX240" s="824"/>
      <c r="KY240" s="824"/>
      <c r="KZ240" s="824"/>
      <c r="LA240" s="824"/>
      <c r="LB240" s="824"/>
      <c r="LC240" s="824"/>
      <c r="LD240" s="824"/>
      <c r="LE240" s="824"/>
      <c r="LF240" s="824"/>
      <c r="LG240" s="824"/>
      <c r="LH240" s="824"/>
      <c r="LI240" s="824"/>
      <c r="LJ240" s="824"/>
      <c r="LK240" s="824"/>
      <c r="LL240" s="824"/>
      <c r="LM240" s="824"/>
      <c r="LN240" s="824"/>
      <c r="LO240" s="824"/>
      <c r="LP240" s="824"/>
      <c r="LQ240" s="824"/>
      <c r="LR240" s="824"/>
      <c r="LS240" s="824"/>
      <c r="LT240" s="824"/>
      <c r="LU240" s="824"/>
      <c r="LV240" s="824"/>
      <c r="LW240" s="824"/>
      <c r="LX240" s="824"/>
      <c r="LY240" s="824"/>
      <c r="LZ240" s="824"/>
      <c r="MA240" s="824"/>
      <c r="MB240" s="824"/>
      <c r="MC240" s="824"/>
      <c r="MD240" s="824"/>
      <c r="ME240" s="824"/>
      <c r="MF240" s="824"/>
      <c r="MG240" s="824"/>
      <c r="MH240" s="824"/>
      <c r="MI240" s="824"/>
      <c r="MJ240" s="824"/>
      <c r="MK240" s="824"/>
      <c r="ML240" s="824"/>
      <c r="MM240" s="824"/>
      <c r="MN240" s="824"/>
      <c r="MO240" s="824"/>
      <c r="MP240" s="824"/>
      <c r="MQ240" s="824"/>
      <c r="MR240" s="824"/>
      <c r="MS240" s="824"/>
      <c r="MT240" s="824"/>
      <c r="MU240" s="824"/>
      <c r="MV240" s="824"/>
      <c r="MW240" s="824"/>
      <c r="MX240" s="824"/>
      <c r="MY240" s="824"/>
      <c r="MZ240" s="824"/>
      <c r="NA240" s="824"/>
      <c r="NB240" s="824"/>
      <c r="NC240" s="824"/>
      <c r="ND240" s="824"/>
      <c r="NE240" s="824"/>
      <c r="NF240" s="824"/>
      <c r="NG240" s="824"/>
      <c r="NH240" s="824"/>
      <c r="NI240" s="824"/>
      <c r="NJ240" s="824"/>
      <c r="NK240" s="824"/>
      <c r="NL240" s="824"/>
      <c r="NM240" s="824"/>
      <c r="NN240" s="824"/>
      <c r="NO240" s="824"/>
      <c r="NP240" s="824"/>
      <c r="NQ240" s="824"/>
      <c r="NR240" s="824"/>
      <c r="NS240" s="824"/>
      <c r="NT240" s="824"/>
      <c r="NU240" s="824"/>
      <c r="NV240" s="824"/>
      <c r="NW240" s="824"/>
      <c r="NX240" s="824"/>
      <c r="NY240" s="824"/>
      <c r="NZ240" s="824"/>
      <c r="OA240" s="824"/>
      <c r="OB240" s="824"/>
      <c r="OC240" s="824"/>
      <c r="OD240" s="824"/>
      <c r="OE240" s="824"/>
      <c r="OF240" s="824"/>
      <c r="OG240" s="824"/>
      <c r="OH240" s="824"/>
      <c r="OI240" s="824"/>
      <c r="OJ240" s="824"/>
      <c r="OK240" s="824"/>
      <c r="OL240" s="824"/>
      <c r="OM240" s="824"/>
      <c r="ON240" s="824"/>
      <c r="OO240" s="824"/>
      <c r="OP240" s="824"/>
      <c r="OQ240" s="824"/>
      <c r="OR240" s="824"/>
      <c r="OS240" s="824"/>
      <c r="OT240" s="824"/>
      <c r="OU240" s="824"/>
      <c r="OV240" s="824"/>
      <c r="OW240" s="824"/>
      <c r="OX240" s="824"/>
      <c r="OY240" s="824"/>
      <c r="OZ240" s="824"/>
      <c r="PA240" s="824"/>
      <c r="PB240" s="824"/>
      <c r="PC240" s="824"/>
      <c r="PD240" s="824"/>
      <c r="PE240" s="824"/>
      <c r="PF240" s="824"/>
      <c r="PG240" s="824"/>
      <c r="PH240" s="824"/>
      <c r="PI240" s="824"/>
      <c r="PJ240" s="824"/>
      <c r="PK240" s="824"/>
      <c r="PL240" s="824"/>
      <c r="PM240" s="824"/>
      <c r="PN240" s="824"/>
      <c r="PO240" s="824"/>
      <c r="PP240" s="824"/>
      <c r="PQ240" s="824"/>
      <c r="PR240" s="824"/>
      <c r="PS240" s="824"/>
      <c r="PT240" s="824"/>
      <c r="PU240" s="824"/>
      <c r="PV240" s="824"/>
      <c r="PW240" s="824"/>
      <c r="PX240" s="824"/>
      <c r="PY240" s="824"/>
      <c r="PZ240" s="824"/>
      <c r="QA240" s="824"/>
      <c r="QB240" s="824"/>
      <c r="QC240" s="824"/>
      <c r="QD240" s="824"/>
      <c r="QE240" s="824"/>
      <c r="QF240" s="824"/>
      <c r="QG240" s="824"/>
      <c r="QH240" s="824"/>
      <c r="QI240" s="824"/>
      <c r="QJ240" s="824"/>
      <c r="QK240" s="824"/>
      <c r="QL240" s="824"/>
      <c r="QM240" s="824"/>
      <c r="QN240" s="824"/>
      <c r="QO240" s="824"/>
      <c r="QP240" s="824"/>
      <c r="QQ240" s="824"/>
      <c r="QR240" s="824"/>
      <c r="QS240" s="824"/>
      <c r="QT240" s="824"/>
      <c r="QU240" s="824"/>
      <c r="QV240" s="824"/>
      <c r="QW240" s="824"/>
      <c r="QX240" s="824"/>
      <c r="QY240" s="824"/>
      <c r="QZ240" s="824"/>
      <c r="RA240" s="824"/>
      <c r="RB240" s="824"/>
      <c r="RC240" s="824"/>
      <c r="RD240" s="824"/>
      <c r="RE240" s="824"/>
      <c r="RF240" s="824"/>
      <c r="RG240" s="824"/>
      <c r="RH240" s="824"/>
      <c r="RI240" s="824"/>
      <c r="RJ240" s="824"/>
      <c r="RK240" s="824"/>
      <c r="RL240" s="824"/>
      <c r="RM240" s="824"/>
      <c r="RN240" s="824"/>
      <c r="RO240" s="824"/>
      <c r="RP240" s="824"/>
      <c r="RQ240" s="824"/>
      <c r="RR240" s="824"/>
      <c r="RS240" s="824"/>
      <c r="RT240" s="824"/>
      <c r="RU240" s="824"/>
      <c r="RV240" s="824"/>
      <c r="RW240" s="824"/>
      <c r="RX240" s="824"/>
      <c r="RY240" s="824"/>
      <c r="RZ240" s="824"/>
      <c r="SA240" s="824"/>
      <c r="SB240" s="824"/>
      <c r="SC240" s="824"/>
      <c r="SD240" s="824"/>
      <c r="SE240" s="824"/>
      <c r="SF240" s="824"/>
      <c r="SG240" s="824"/>
      <c r="SH240" s="824"/>
      <c r="SI240" s="824"/>
      <c r="SJ240" s="824"/>
      <c r="SK240" s="824"/>
      <c r="SL240" s="824"/>
      <c r="SM240" s="824"/>
      <c r="SN240" s="824"/>
      <c r="SO240" s="824"/>
      <c r="SP240" s="824"/>
      <c r="SQ240" s="824"/>
      <c r="SR240" s="824"/>
      <c r="SS240" s="824"/>
      <c r="ST240" s="824"/>
      <c r="SU240" s="824"/>
      <c r="SV240" s="824"/>
      <c r="SW240" s="824"/>
      <c r="SX240" s="824"/>
      <c r="SY240" s="824"/>
      <c r="SZ240" s="824"/>
      <c r="TA240" s="824"/>
      <c r="TB240" s="824"/>
      <c r="TC240" s="824"/>
      <c r="TD240" s="824"/>
      <c r="TE240" s="824"/>
      <c r="TF240" s="824"/>
      <c r="TG240" s="824"/>
      <c r="TH240" s="824"/>
      <c r="TI240" s="824"/>
      <c r="TJ240" s="824"/>
      <c r="TK240" s="824"/>
      <c r="TL240" s="824"/>
      <c r="TM240" s="824"/>
      <c r="TN240" s="824"/>
      <c r="TO240" s="824"/>
      <c r="TP240" s="824"/>
      <c r="TQ240" s="824"/>
      <c r="TR240" s="824"/>
      <c r="TS240" s="824"/>
      <c r="TT240" s="824"/>
      <c r="TU240" s="824"/>
      <c r="TV240" s="824"/>
      <c r="TW240" s="824"/>
      <c r="TX240" s="824"/>
      <c r="TY240" s="824"/>
      <c r="TZ240" s="824"/>
      <c r="UA240" s="824"/>
      <c r="UB240" s="824"/>
      <c r="UC240" s="824"/>
      <c r="UD240" s="824"/>
      <c r="UE240" s="824"/>
      <c r="UF240" s="824"/>
      <c r="UG240" s="824"/>
      <c r="UH240" s="824"/>
      <c r="UI240" s="824"/>
      <c r="UJ240" s="824"/>
      <c r="UK240" s="824"/>
      <c r="UL240" s="824"/>
      <c r="UM240" s="824"/>
      <c r="UN240" s="824"/>
      <c r="UO240" s="824"/>
      <c r="UP240" s="824"/>
      <c r="UQ240" s="824"/>
      <c r="UR240" s="824"/>
      <c r="US240" s="824"/>
      <c r="UT240" s="824"/>
      <c r="UU240" s="824"/>
      <c r="UV240" s="824"/>
      <c r="UW240" s="824"/>
      <c r="UX240" s="824"/>
      <c r="UY240" s="824"/>
      <c r="UZ240" s="824"/>
      <c r="VA240" s="824"/>
      <c r="VB240" s="824"/>
      <c r="VC240" s="824"/>
      <c r="VD240" s="824"/>
      <c r="VE240" s="824"/>
      <c r="VF240" s="824"/>
      <c r="VG240" s="824"/>
      <c r="VH240" s="824"/>
      <c r="VI240" s="824"/>
      <c r="VJ240" s="824"/>
      <c r="VK240" s="824"/>
      <c r="VL240" s="824"/>
      <c r="VM240" s="824"/>
      <c r="VN240" s="824"/>
      <c r="VO240" s="824"/>
      <c r="VP240" s="824"/>
      <c r="VQ240" s="824"/>
      <c r="VR240" s="824"/>
      <c r="VS240" s="824"/>
      <c r="VT240" s="824"/>
      <c r="VU240" s="824"/>
      <c r="VV240" s="824"/>
      <c r="VW240" s="824"/>
      <c r="VX240" s="824"/>
      <c r="VY240" s="824"/>
      <c r="VZ240" s="824"/>
      <c r="WA240" s="824"/>
      <c r="WB240" s="824"/>
      <c r="WC240" s="824"/>
      <c r="WD240" s="824"/>
      <c r="WE240" s="824"/>
      <c r="WF240" s="824"/>
      <c r="WG240" s="824"/>
      <c r="WH240" s="824"/>
      <c r="WI240" s="824"/>
      <c r="WJ240" s="824"/>
      <c r="WK240" s="824"/>
      <c r="WL240" s="824"/>
      <c r="WM240" s="824"/>
      <c r="WN240" s="824"/>
      <c r="WO240" s="824"/>
      <c r="WP240" s="824"/>
      <c r="WQ240" s="824"/>
      <c r="WR240" s="824"/>
      <c r="WS240" s="824"/>
      <c r="WT240" s="824"/>
      <c r="WU240" s="824"/>
      <c r="WV240" s="824"/>
      <c r="WW240" s="824"/>
      <c r="WX240" s="824"/>
      <c r="WY240" s="824"/>
      <c r="WZ240" s="824"/>
      <c r="XA240" s="824"/>
      <c r="XB240" s="824"/>
      <c r="XC240" s="824"/>
      <c r="XD240" s="824"/>
      <c r="XE240" s="824"/>
      <c r="XF240" s="824"/>
      <c r="XG240" s="824"/>
      <c r="XH240" s="824"/>
      <c r="XI240" s="824"/>
      <c r="XJ240" s="824"/>
      <c r="XK240" s="824"/>
      <c r="XL240" s="824"/>
      <c r="XM240" s="824"/>
      <c r="XN240" s="824"/>
      <c r="XO240" s="824"/>
      <c r="XP240" s="824"/>
      <c r="XQ240" s="824"/>
      <c r="XR240" s="824"/>
      <c r="XS240" s="824"/>
      <c r="XT240" s="824"/>
      <c r="XU240" s="824"/>
      <c r="XV240" s="824"/>
      <c r="XW240" s="824"/>
      <c r="XX240" s="824"/>
      <c r="XY240" s="824"/>
      <c r="XZ240" s="824"/>
      <c r="YA240" s="824"/>
      <c r="YB240" s="824"/>
      <c r="YC240" s="824"/>
      <c r="YD240" s="824"/>
      <c r="YE240" s="824"/>
      <c r="YF240" s="824"/>
      <c r="YG240" s="824"/>
      <c r="YH240" s="824"/>
      <c r="YI240" s="824"/>
      <c r="YJ240" s="824"/>
      <c r="YK240" s="824"/>
      <c r="YL240" s="824"/>
      <c r="YM240" s="824"/>
      <c r="YN240" s="824"/>
      <c r="YO240" s="824"/>
      <c r="YP240" s="824"/>
      <c r="YQ240" s="824"/>
      <c r="YR240" s="824"/>
      <c r="YS240" s="824"/>
      <c r="YT240" s="824"/>
      <c r="YU240" s="824"/>
      <c r="YV240" s="824"/>
      <c r="YW240" s="824"/>
      <c r="YX240" s="824"/>
      <c r="YY240" s="824"/>
      <c r="YZ240" s="824"/>
      <c r="ZA240" s="824"/>
      <c r="ZB240" s="824"/>
      <c r="ZC240" s="824"/>
      <c r="ZD240" s="824"/>
      <c r="ZE240" s="824"/>
      <c r="ZF240" s="824"/>
      <c r="ZG240" s="824"/>
      <c r="ZH240" s="824"/>
      <c r="ZI240" s="824"/>
      <c r="ZJ240" s="824"/>
      <c r="ZK240" s="824"/>
      <c r="ZL240" s="824"/>
      <c r="ZM240" s="824"/>
      <c r="ZN240" s="824"/>
      <c r="ZO240" s="824"/>
      <c r="ZP240" s="824"/>
      <c r="ZQ240" s="824"/>
      <c r="ZR240" s="824"/>
      <c r="ZS240" s="824"/>
      <c r="ZT240" s="824"/>
      <c r="ZU240" s="824"/>
      <c r="ZV240" s="824"/>
      <c r="ZW240" s="824"/>
      <c r="ZX240" s="824"/>
      <c r="ZY240" s="824"/>
      <c r="ZZ240" s="824"/>
      <c r="AAA240" s="824"/>
      <c r="AAB240" s="824"/>
      <c r="AAC240" s="824"/>
      <c r="AAD240" s="824"/>
      <c r="AAE240" s="824"/>
      <c r="AAF240" s="824"/>
      <c r="AAG240" s="824"/>
      <c r="AAH240" s="824"/>
      <c r="AAI240" s="824"/>
      <c r="AAJ240" s="824"/>
      <c r="AAK240" s="824"/>
      <c r="AAL240" s="824"/>
      <c r="AAM240" s="824"/>
      <c r="AAN240" s="824"/>
      <c r="AAO240" s="824"/>
      <c r="AAP240" s="824"/>
      <c r="AAQ240" s="824"/>
      <c r="AAR240" s="824"/>
      <c r="AAS240" s="824"/>
      <c r="AAT240" s="824"/>
      <c r="AAU240" s="824"/>
      <c r="AAV240" s="824"/>
      <c r="AAW240" s="824"/>
      <c r="AAX240" s="824"/>
      <c r="AAY240" s="824"/>
      <c r="AAZ240" s="824"/>
      <c r="ABA240" s="824"/>
      <c r="ABB240" s="824"/>
      <c r="ABC240" s="824"/>
      <c r="ABD240" s="824"/>
      <c r="ABE240" s="824"/>
      <c r="ABF240" s="824"/>
      <c r="ABG240" s="824"/>
      <c r="ABH240" s="824"/>
      <c r="ABI240" s="824"/>
      <c r="ABJ240" s="824"/>
      <c r="ABK240" s="824"/>
      <c r="ABL240" s="824"/>
      <c r="ABM240" s="824"/>
      <c r="ABN240" s="824"/>
      <c r="ABO240" s="824"/>
      <c r="ABP240" s="824"/>
      <c r="ABQ240" s="824"/>
      <c r="ABR240" s="824"/>
      <c r="ABS240" s="824"/>
      <c r="ABT240" s="824"/>
      <c r="ABU240" s="824"/>
      <c r="ABV240" s="824"/>
      <c r="ABW240" s="824"/>
      <c r="ABX240" s="824"/>
      <c r="ABY240" s="824"/>
      <c r="ABZ240" s="824"/>
      <c r="ACA240" s="824"/>
      <c r="ACB240" s="824"/>
      <c r="ACC240" s="824"/>
      <c r="ACD240" s="824"/>
      <c r="ACE240" s="824"/>
      <c r="ACF240" s="824"/>
      <c r="ACG240" s="824"/>
      <c r="ACH240" s="824"/>
      <c r="ACI240" s="824"/>
      <c r="ACJ240" s="824"/>
      <c r="ACK240" s="824"/>
      <c r="ACL240" s="824"/>
      <c r="ACM240" s="824"/>
      <c r="ACN240" s="824"/>
      <c r="ACO240" s="824"/>
      <c r="ACP240" s="824"/>
      <c r="ACQ240" s="824"/>
      <c r="ACR240" s="824"/>
      <c r="ACS240" s="824"/>
      <c r="ACT240" s="824"/>
      <c r="ACU240" s="824"/>
      <c r="ACV240" s="824"/>
      <c r="ACW240" s="824"/>
      <c r="ACX240" s="824"/>
      <c r="ACY240" s="824"/>
      <c r="ACZ240" s="824"/>
      <c r="ADA240" s="824"/>
      <c r="ADB240" s="824"/>
      <c r="ADC240" s="824"/>
      <c r="ADD240" s="824"/>
      <c r="ADE240" s="824"/>
      <c r="ADF240" s="824"/>
      <c r="ADG240" s="824"/>
      <c r="ADH240" s="824"/>
      <c r="ADI240" s="824"/>
      <c r="ADJ240" s="824"/>
      <c r="ADK240" s="824"/>
      <c r="ADL240" s="824"/>
      <c r="ADM240" s="824"/>
      <c r="ADN240" s="824"/>
      <c r="ADO240" s="824"/>
      <c r="ADP240" s="824"/>
      <c r="ADQ240" s="824"/>
      <c r="ADR240" s="824"/>
      <c r="ADS240" s="824"/>
      <c r="ADT240" s="824"/>
      <c r="ADU240" s="824"/>
      <c r="ADV240" s="824"/>
      <c r="ADW240" s="824"/>
      <c r="ADX240" s="824"/>
      <c r="ADY240" s="824"/>
      <c r="ADZ240" s="824"/>
      <c r="AEA240" s="824"/>
      <c r="AEB240" s="824"/>
      <c r="AEC240" s="824"/>
      <c r="AED240" s="824"/>
      <c r="AEE240" s="824"/>
      <c r="AEF240" s="824"/>
      <c r="AEG240" s="824"/>
      <c r="AEH240" s="824"/>
      <c r="AEI240" s="824"/>
      <c r="AEJ240" s="824"/>
      <c r="AEK240" s="824"/>
      <c r="AEL240" s="824"/>
      <c r="AEM240" s="824"/>
      <c r="AEN240" s="824"/>
      <c r="AEO240" s="824"/>
      <c r="AEP240" s="824"/>
      <c r="AEQ240" s="824"/>
      <c r="AER240" s="824"/>
      <c r="AES240" s="824"/>
      <c r="AET240" s="824"/>
      <c r="AEU240" s="824"/>
      <c r="AEV240" s="824"/>
      <c r="AEW240" s="824"/>
      <c r="AEX240" s="824"/>
      <c r="AEY240" s="824"/>
      <c r="AEZ240" s="824"/>
      <c r="AFA240" s="824"/>
      <c r="AFB240" s="824"/>
      <c r="AFC240" s="824"/>
      <c r="AFD240" s="824"/>
      <c r="AFE240" s="824"/>
      <c r="AFF240" s="824"/>
      <c r="AFG240" s="824"/>
      <c r="AFH240" s="824"/>
      <c r="AFI240" s="824"/>
      <c r="AFJ240" s="824"/>
      <c r="AFK240" s="824"/>
      <c r="AFL240" s="824"/>
      <c r="AFM240" s="824"/>
      <c r="AFN240" s="824"/>
      <c r="AFO240" s="824"/>
      <c r="AFP240" s="824"/>
      <c r="AFQ240" s="824"/>
      <c r="AFR240" s="824"/>
      <c r="AFS240" s="824"/>
      <c r="AFT240" s="824"/>
      <c r="AFU240" s="824"/>
      <c r="AFV240" s="824"/>
      <c r="AFW240" s="824"/>
      <c r="AFX240" s="824"/>
      <c r="AFY240" s="824"/>
      <c r="AFZ240" s="824"/>
      <c r="AGA240" s="824"/>
      <c r="AGB240" s="824"/>
      <c r="AGC240" s="824"/>
      <c r="AGD240" s="824"/>
      <c r="AGE240" s="824"/>
      <c r="AGF240" s="824"/>
      <c r="AGG240" s="824"/>
      <c r="AGH240" s="824"/>
      <c r="AGI240" s="824"/>
      <c r="AGJ240" s="824"/>
    </row>
    <row r="241" spans="1:868" s="825" customFormat="1">
      <c r="A241" s="151" t="s">
        <v>142</v>
      </c>
      <c r="B241" s="34" t="s">
        <v>204</v>
      </c>
      <c r="C241" s="40" t="s">
        <v>139</v>
      </c>
      <c r="D241" s="34" t="s">
        <v>139</v>
      </c>
      <c r="E241" s="257">
        <v>2.7E-4</v>
      </c>
      <c r="F241" s="232">
        <v>2</v>
      </c>
      <c r="G241" s="40" t="s">
        <v>205</v>
      </c>
      <c r="H241" s="29">
        <v>1</v>
      </c>
      <c r="I241" s="9"/>
      <c r="J241" s="9">
        <v>1</v>
      </c>
      <c r="K241" s="9">
        <v>3</v>
      </c>
      <c r="L241" s="9">
        <v>3</v>
      </c>
      <c r="M241" s="9">
        <v>3</v>
      </c>
      <c r="N241" s="185">
        <f t="shared" si="16"/>
        <v>1.1181151966036349</v>
      </c>
      <c r="O241" s="159" t="str">
        <f t="shared" si="15"/>
        <v/>
      </c>
      <c r="P241" s="63"/>
      <c r="Q241" s="824"/>
      <c r="R241" s="824"/>
      <c r="S241" s="824"/>
      <c r="T241" s="824"/>
      <c r="U241" s="824"/>
      <c r="V241" s="824"/>
      <c r="W241" s="824"/>
      <c r="X241" s="824"/>
      <c r="Y241" s="824"/>
      <c r="Z241" s="824"/>
      <c r="AA241" s="824"/>
      <c r="AB241" s="824"/>
      <c r="AC241" s="824"/>
      <c r="AD241" s="824"/>
      <c r="AE241" s="824"/>
      <c r="AF241" s="824"/>
      <c r="AG241" s="824"/>
      <c r="AH241" s="824"/>
      <c r="AI241" s="824"/>
      <c r="AJ241" s="824"/>
      <c r="AK241" s="824"/>
      <c r="AL241" s="824"/>
      <c r="AM241" s="824"/>
      <c r="AN241" s="824"/>
      <c r="AO241" s="824"/>
      <c r="AP241" s="824"/>
      <c r="AQ241" s="824"/>
      <c r="AR241" s="824"/>
      <c r="AS241" s="824"/>
      <c r="AT241" s="824"/>
      <c r="AU241" s="824"/>
      <c r="AV241" s="824"/>
      <c r="AW241" s="824"/>
      <c r="AX241" s="824"/>
      <c r="AY241" s="824"/>
      <c r="AZ241" s="824"/>
      <c r="BA241" s="824"/>
      <c r="BB241" s="824"/>
      <c r="BC241" s="824"/>
      <c r="BD241" s="824"/>
      <c r="BE241" s="824"/>
      <c r="BF241" s="824"/>
      <c r="BG241" s="824"/>
      <c r="BH241" s="824"/>
      <c r="BI241" s="824"/>
      <c r="BJ241" s="824"/>
      <c r="BK241" s="824"/>
      <c r="BL241" s="824"/>
      <c r="BM241" s="824"/>
      <c r="BN241" s="824"/>
      <c r="BO241" s="824"/>
      <c r="BP241" s="824"/>
      <c r="BQ241" s="824"/>
      <c r="BR241" s="824"/>
      <c r="BS241" s="824"/>
      <c r="BT241" s="824"/>
      <c r="BU241" s="824"/>
      <c r="BV241" s="824"/>
      <c r="BW241" s="824"/>
      <c r="BX241" s="824"/>
      <c r="BY241" s="824"/>
      <c r="BZ241" s="824"/>
      <c r="CA241" s="824"/>
      <c r="CB241" s="824"/>
      <c r="CC241" s="824"/>
      <c r="CD241" s="824"/>
      <c r="CE241" s="824"/>
      <c r="CF241" s="824"/>
      <c r="CG241" s="824"/>
      <c r="CH241" s="824"/>
      <c r="CI241" s="824"/>
      <c r="CJ241" s="824"/>
      <c r="CK241" s="824"/>
      <c r="CL241" s="824"/>
      <c r="CM241" s="824"/>
      <c r="CN241" s="824"/>
      <c r="CO241" s="824"/>
      <c r="CP241" s="824"/>
      <c r="CQ241" s="824"/>
      <c r="CR241" s="824"/>
      <c r="CS241" s="824"/>
      <c r="CT241" s="824"/>
      <c r="CU241" s="824"/>
      <c r="CV241" s="824"/>
      <c r="CW241" s="824"/>
      <c r="CX241" s="824"/>
      <c r="CY241" s="824"/>
      <c r="CZ241" s="824"/>
      <c r="DA241" s="824"/>
      <c r="DB241" s="824"/>
      <c r="DC241" s="824"/>
      <c r="DD241" s="824"/>
      <c r="DE241" s="824"/>
      <c r="DF241" s="824"/>
      <c r="DG241" s="824"/>
      <c r="DH241" s="824"/>
      <c r="DI241" s="824"/>
      <c r="DJ241" s="824"/>
      <c r="DK241" s="824"/>
      <c r="DL241" s="824"/>
      <c r="DM241" s="824"/>
      <c r="DN241" s="824"/>
      <c r="DO241" s="824"/>
      <c r="DP241" s="824"/>
      <c r="DQ241" s="824"/>
      <c r="DR241" s="824"/>
      <c r="DS241" s="824"/>
      <c r="DT241" s="824"/>
      <c r="DU241" s="824"/>
      <c r="DV241" s="824"/>
      <c r="DW241" s="824"/>
      <c r="DX241" s="824"/>
      <c r="DY241" s="824"/>
      <c r="DZ241" s="824"/>
      <c r="EA241" s="824"/>
      <c r="EB241" s="824"/>
      <c r="EC241" s="824"/>
      <c r="ED241" s="824"/>
      <c r="EE241" s="824"/>
      <c r="EF241" s="824"/>
      <c r="EG241" s="824"/>
      <c r="EH241" s="824"/>
      <c r="EI241" s="824"/>
      <c r="EJ241" s="824"/>
      <c r="EK241" s="824"/>
      <c r="EL241" s="824"/>
      <c r="EM241" s="824"/>
      <c r="EN241" s="824"/>
      <c r="EO241" s="824"/>
      <c r="EP241" s="824"/>
      <c r="EQ241" s="824"/>
      <c r="ER241" s="824"/>
      <c r="ES241" s="824"/>
      <c r="ET241" s="824"/>
      <c r="EU241" s="824"/>
      <c r="EV241" s="824"/>
      <c r="EW241" s="824"/>
      <c r="EX241" s="824"/>
      <c r="EY241" s="824"/>
      <c r="EZ241" s="824"/>
      <c r="FA241" s="824"/>
      <c r="FB241" s="824"/>
      <c r="FC241" s="824"/>
      <c r="FD241" s="824"/>
      <c r="FE241" s="824"/>
      <c r="FF241" s="824"/>
      <c r="FG241" s="824"/>
      <c r="FH241" s="824"/>
      <c r="FI241" s="824"/>
      <c r="FJ241" s="824"/>
      <c r="FK241" s="824"/>
      <c r="FL241" s="824"/>
      <c r="FM241" s="824"/>
      <c r="FN241" s="824"/>
      <c r="FO241" s="824"/>
      <c r="FP241" s="824"/>
      <c r="FQ241" s="824"/>
      <c r="FR241" s="824"/>
      <c r="FS241" s="824"/>
      <c r="FT241" s="824"/>
      <c r="FU241" s="824"/>
      <c r="FV241" s="824"/>
      <c r="FW241" s="824"/>
      <c r="FX241" s="824"/>
      <c r="FY241" s="824"/>
      <c r="FZ241" s="824"/>
      <c r="GA241" s="824"/>
      <c r="GB241" s="824"/>
      <c r="GC241" s="824"/>
      <c r="GD241" s="824"/>
      <c r="GE241" s="824"/>
      <c r="GF241" s="824"/>
      <c r="GG241" s="824"/>
      <c r="GH241" s="824"/>
      <c r="GI241" s="824"/>
      <c r="GJ241" s="824"/>
      <c r="GK241" s="824"/>
      <c r="GL241" s="824"/>
      <c r="GM241" s="824"/>
      <c r="GN241" s="824"/>
      <c r="GO241" s="824"/>
      <c r="GP241" s="824"/>
      <c r="GQ241" s="824"/>
      <c r="GR241" s="824"/>
      <c r="GS241" s="824"/>
      <c r="GT241" s="824"/>
      <c r="GU241" s="824"/>
      <c r="GV241" s="824"/>
      <c r="GW241" s="824"/>
      <c r="GX241" s="824"/>
      <c r="GY241" s="824"/>
      <c r="GZ241" s="824"/>
      <c r="HA241" s="824"/>
      <c r="HB241" s="824"/>
      <c r="HC241" s="824"/>
      <c r="HD241" s="824"/>
      <c r="HE241" s="824"/>
      <c r="HF241" s="824"/>
      <c r="HG241" s="824"/>
      <c r="HH241" s="824"/>
      <c r="HI241" s="824"/>
      <c r="HJ241" s="824"/>
      <c r="HK241" s="824"/>
      <c r="HL241" s="824"/>
      <c r="HM241" s="824"/>
      <c r="HN241" s="824"/>
      <c r="HO241" s="824"/>
      <c r="HP241" s="824"/>
      <c r="HQ241" s="824"/>
      <c r="HR241" s="824"/>
      <c r="HS241" s="824"/>
      <c r="HT241" s="824"/>
      <c r="HU241" s="824"/>
      <c r="HV241" s="824"/>
      <c r="HW241" s="824"/>
      <c r="HX241" s="824"/>
      <c r="HY241" s="824"/>
      <c r="HZ241" s="824"/>
      <c r="IA241" s="824"/>
      <c r="IB241" s="824"/>
      <c r="IC241" s="824"/>
      <c r="ID241" s="824"/>
      <c r="IE241" s="824"/>
      <c r="IF241" s="824"/>
      <c r="IG241" s="824"/>
      <c r="IH241" s="824"/>
      <c r="II241" s="824"/>
      <c r="IJ241" s="824"/>
      <c r="IK241" s="824"/>
      <c r="IL241" s="824"/>
      <c r="IM241" s="824"/>
      <c r="IN241" s="824"/>
      <c r="IO241" s="824"/>
      <c r="IP241" s="824"/>
      <c r="IQ241" s="824"/>
      <c r="IR241" s="824"/>
      <c r="IS241" s="824"/>
      <c r="IT241" s="824"/>
      <c r="IU241" s="824"/>
      <c r="IV241" s="824"/>
      <c r="IW241" s="824"/>
      <c r="IX241" s="824"/>
      <c r="IY241" s="824"/>
      <c r="IZ241" s="824"/>
      <c r="JA241" s="824"/>
      <c r="JB241" s="824"/>
      <c r="JC241" s="824"/>
      <c r="JD241" s="824"/>
      <c r="JE241" s="824"/>
      <c r="JF241" s="824"/>
      <c r="JG241" s="824"/>
      <c r="JH241" s="824"/>
      <c r="JI241" s="824"/>
      <c r="JJ241" s="824"/>
      <c r="JK241" s="824"/>
      <c r="JL241" s="824"/>
      <c r="JM241" s="824"/>
      <c r="JN241" s="824"/>
      <c r="JO241" s="824"/>
      <c r="JP241" s="824"/>
      <c r="JQ241" s="824"/>
      <c r="JR241" s="824"/>
      <c r="JS241" s="824"/>
      <c r="JT241" s="824"/>
      <c r="JU241" s="824"/>
      <c r="JV241" s="824"/>
      <c r="JW241" s="824"/>
      <c r="JX241" s="824"/>
      <c r="JY241" s="824"/>
      <c r="JZ241" s="824"/>
      <c r="KA241" s="824"/>
      <c r="KB241" s="824"/>
      <c r="KC241" s="824"/>
      <c r="KD241" s="824"/>
      <c r="KE241" s="824"/>
      <c r="KF241" s="824"/>
      <c r="KG241" s="824"/>
      <c r="KH241" s="824"/>
      <c r="KI241" s="824"/>
      <c r="KJ241" s="824"/>
      <c r="KK241" s="824"/>
      <c r="KL241" s="824"/>
      <c r="KM241" s="824"/>
      <c r="KN241" s="824"/>
      <c r="KO241" s="824"/>
      <c r="KP241" s="824"/>
      <c r="KQ241" s="824"/>
      <c r="KR241" s="824"/>
      <c r="KS241" s="824"/>
      <c r="KT241" s="824"/>
      <c r="KU241" s="824"/>
      <c r="KV241" s="824"/>
      <c r="KW241" s="824"/>
      <c r="KX241" s="824"/>
      <c r="KY241" s="824"/>
      <c r="KZ241" s="824"/>
      <c r="LA241" s="824"/>
      <c r="LB241" s="824"/>
      <c r="LC241" s="824"/>
      <c r="LD241" s="824"/>
      <c r="LE241" s="824"/>
      <c r="LF241" s="824"/>
      <c r="LG241" s="824"/>
      <c r="LH241" s="824"/>
      <c r="LI241" s="824"/>
      <c r="LJ241" s="824"/>
      <c r="LK241" s="824"/>
      <c r="LL241" s="824"/>
      <c r="LM241" s="824"/>
      <c r="LN241" s="824"/>
      <c r="LO241" s="824"/>
      <c r="LP241" s="824"/>
      <c r="LQ241" s="824"/>
      <c r="LR241" s="824"/>
      <c r="LS241" s="824"/>
      <c r="LT241" s="824"/>
      <c r="LU241" s="824"/>
      <c r="LV241" s="824"/>
      <c r="LW241" s="824"/>
      <c r="LX241" s="824"/>
      <c r="LY241" s="824"/>
      <c r="LZ241" s="824"/>
      <c r="MA241" s="824"/>
      <c r="MB241" s="824"/>
      <c r="MC241" s="824"/>
      <c r="MD241" s="824"/>
      <c r="ME241" s="824"/>
      <c r="MF241" s="824"/>
      <c r="MG241" s="824"/>
      <c r="MH241" s="824"/>
      <c r="MI241" s="824"/>
      <c r="MJ241" s="824"/>
      <c r="MK241" s="824"/>
      <c r="ML241" s="824"/>
      <c r="MM241" s="824"/>
      <c r="MN241" s="824"/>
      <c r="MO241" s="824"/>
      <c r="MP241" s="824"/>
      <c r="MQ241" s="824"/>
      <c r="MR241" s="824"/>
      <c r="MS241" s="824"/>
      <c r="MT241" s="824"/>
      <c r="MU241" s="824"/>
      <c r="MV241" s="824"/>
      <c r="MW241" s="824"/>
      <c r="MX241" s="824"/>
      <c r="MY241" s="824"/>
      <c r="MZ241" s="824"/>
      <c r="NA241" s="824"/>
      <c r="NB241" s="824"/>
      <c r="NC241" s="824"/>
      <c r="ND241" s="824"/>
      <c r="NE241" s="824"/>
      <c r="NF241" s="824"/>
      <c r="NG241" s="824"/>
      <c r="NH241" s="824"/>
      <c r="NI241" s="824"/>
      <c r="NJ241" s="824"/>
      <c r="NK241" s="824"/>
      <c r="NL241" s="824"/>
      <c r="NM241" s="824"/>
      <c r="NN241" s="824"/>
      <c r="NO241" s="824"/>
      <c r="NP241" s="824"/>
      <c r="NQ241" s="824"/>
      <c r="NR241" s="824"/>
      <c r="NS241" s="824"/>
      <c r="NT241" s="824"/>
      <c r="NU241" s="824"/>
      <c r="NV241" s="824"/>
      <c r="NW241" s="824"/>
      <c r="NX241" s="824"/>
      <c r="NY241" s="824"/>
      <c r="NZ241" s="824"/>
      <c r="OA241" s="824"/>
      <c r="OB241" s="824"/>
      <c r="OC241" s="824"/>
      <c r="OD241" s="824"/>
      <c r="OE241" s="824"/>
      <c r="OF241" s="824"/>
      <c r="OG241" s="824"/>
      <c r="OH241" s="824"/>
      <c r="OI241" s="824"/>
      <c r="OJ241" s="824"/>
      <c r="OK241" s="824"/>
      <c r="OL241" s="824"/>
      <c r="OM241" s="824"/>
      <c r="ON241" s="824"/>
      <c r="OO241" s="824"/>
      <c r="OP241" s="824"/>
      <c r="OQ241" s="824"/>
      <c r="OR241" s="824"/>
      <c r="OS241" s="824"/>
      <c r="OT241" s="824"/>
      <c r="OU241" s="824"/>
      <c r="OV241" s="824"/>
      <c r="OW241" s="824"/>
      <c r="OX241" s="824"/>
      <c r="OY241" s="824"/>
      <c r="OZ241" s="824"/>
      <c r="PA241" s="824"/>
      <c r="PB241" s="824"/>
      <c r="PC241" s="824"/>
      <c r="PD241" s="824"/>
      <c r="PE241" s="824"/>
      <c r="PF241" s="824"/>
      <c r="PG241" s="824"/>
      <c r="PH241" s="824"/>
      <c r="PI241" s="824"/>
      <c r="PJ241" s="824"/>
      <c r="PK241" s="824"/>
      <c r="PL241" s="824"/>
      <c r="PM241" s="824"/>
      <c r="PN241" s="824"/>
      <c r="PO241" s="824"/>
      <c r="PP241" s="824"/>
      <c r="PQ241" s="824"/>
      <c r="PR241" s="824"/>
      <c r="PS241" s="824"/>
      <c r="PT241" s="824"/>
      <c r="PU241" s="824"/>
      <c r="PV241" s="824"/>
      <c r="PW241" s="824"/>
      <c r="PX241" s="824"/>
      <c r="PY241" s="824"/>
      <c r="PZ241" s="824"/>
      <c r="QA241" s="824"/>
      <c r="QB241" s="824"/>
      <c r="QC241" s="824"/>
      <c r="QD241" s="824"/>
      <c r="QE241" s="824"/>
      <c r="QF241" s="824"/>
      <c r="QG241" s="824"/>
      <c r="QH241" s="824"/>
      <c r="QI241" s="824"/>
      <c r="QJ241" s="824"/>
      <c r="QK241" s="824"/>
      <c r="QL241" s="824"/>
      <c r="QM241" s="824"/>
      <c r="QN241" s="824"/>
      <c r="QO241" s="824"/>
      <c r="QP241" s="824"/>
      <c r="QQ241" s="824"/>
      <c r="QR241" s="824"/>
      <c r="QS241" s="824"/>
      <c r="QT241" s="824"/>
      <c r="QU241" s="824"/>
      <c r="QV241" s="824"/>
      <c r="QW241" s="824"/>
      <c r="QX241" s="824"/>
      <c r="QY241" s="824"/>
      <c r="QZ241" s="824"/>
      <c r="RA241" s="824"/>
      <c r="RB241" s="824"/>
      <c r="RC241" s="824"/>
      <c r="RD241" s="824"/>
      <c r="RE241" s="824"/>
      <c r="RF241" s="824"/>
      <c r="RG241" s="824"/>
      <c r="RH241" s="824"/>
      <c r="RI241" s="824"/>
      <c r="RJ241" s="824"/>
      <c r="RK241" s="824"/>
      <c r="RL241" s="824"/>
      <c r="RM241" s="824"/>
      <c r="RN241" s="824"/>
      <c r="RO241" s="824"/>
      <c r="RP241" s="824"/>
      <c r="RQ241" s="824"/>
      <c r="RR241" s="824"/>
      <c r="RS241" s="824"/>
      <c r="RT241" s="824"/>
      <c r="RU241" s="824"/>
      <c r="RV241" s="824"/>
      <c r="RW241" s="824"/>
      <c r="RX241" s="824"/>
      <c r="RY241" s="824"/>
      <c r="RZ241" s="824"/>
      <c r="SA241" s="824"/>
      <c r="SB241" s="824"/>
      <c r="SC241" s="824"/>
      <c r="SD241" s="824"/>
      <c r="SE241" s="824"/>
      <c r="SF241" s="824"/>
      <c r="SG241" s="824"/>
      <c r="SH241" s="824"/>
      <c r="SI241" s="824"/>
      <c r="SJ241" s="824"/>
      <c r="SK241" s="824"/>
      <c r="SL241" s="824"/>
      <c r="SM241" s="824"/>
      <c r="SN241" s="824"/>
      <c r="SO241" s="824"/>
      <c r="SP241" s="824"/>
      <c r="SQ241" s="824"/>
      <c r="SR241" s="824"/>
      <c r="SS241" s="824"/>
      <c r="ST241" s="824"/>
      <c r="SU241" s="824"/>
      <c r="SV241" s="824"/>
      <c r="SW241" s="824"/>
      <c r="SX241" s="824"/>
      <c r="SY241" s="824"/>
      <c r="SZ241" s="824"/>
      <c r="TA241" s="824"/>
      <c r="TB241" s="824"/>
      <c r="TC241" s="824"/>
      <c r="TD241" s="824"/>
      <c r="TE241" s="824"/>
      <c r="TF241" s="824"/>
      <c r="TG241" s="824"/>
      <c r="TH241" s="824"/>
      <c r="TI241" s="824"/>
      <c r="TJ241" s="824"/>
      <c r="TK241" s="824"/>
      <c r="TL241" s="824"/>
      <c r="TM241" s="824"/>
      <c r="TN241" s="824"/>
      <c r="TO241" s="824"/>
      <c r="TP241" s="824"/>
      <c r="TQ241" s="824"/>
      <c r="TR241" s="824"/>
      <c r="TS241" s="824"/>
      <c r="TT241" s="824"/>
      <c r="TU241" s="824"/>
      <c r="TV241" s="824"/>
      <c r="TW241" s="824"/>
      <c r="TX241" s="824"/>
      <c r="TY241" s="824"/>
      <c r="TZ241" s="824"/>
      <c r="UA241" s="824"/>
      <c r="UB241" s="824"/>
      <c r="UC241" s="824"/>
      <c r="UD241" s="824"/>
      <c r="UE241" s="824"/>
      <c r="UF241" s="824"/>
      <c r="UG241" s="824"/>
      <c r="UH241" s="824"/>
      <c r="UI241" s="824"/>
      <c r="UJ241" s="824"/>
      <c r="UK241" s="824"/>
      <c r="UL241" s="824"/>
      <c r="UM241" s="824"/>
      <c r="UN241" s="824"/>
      <c r="UO241" s="824"/>
      <c r="UP241" s="824"/>
      <c r="UQ241" s="824"/>
      <c r="UR241" s="824"/>
      <c r="US241" s="824"/>
      <c r="UT241" s="824"/>
      <c r="UU241" s="824"/>
      <c r="UV241" s="824"/>
      <c r="UW241" s="824"/>
      <c r="UX241" s="824"/>
      <c r="UY241" s="824"/>
      <c r="UZ241" s="824"/>
      <c r="VA241" s="824"/>
      <c r="VB241" s="824"/>
      <c r="VC241" s="824"/>
      <c r="VD241" s="824"/>
      <c r="VE241" s="824"/>
      <c r="VF241" s="824"/>
      <c r="VG241" s="824"/>
      <c r="VH241" s="824"/>
      <c r="VI241" s="824"/>
      <c r="VJ241" s="824"/>
      <c r="VK241" s="824"/>
      <c r="VL241" s="824"/>
      <c r="VM241" s="824"/>
      <c r="VN241" s="824"/>
      <c r="VO241" s="824"/>
      <c r="VP241" s="824"/>
      <c r="VQ241" s="824"/>
      <c r="VR241" s="824"/>
      <c r="VS241" s="824"/>
      <c r="VT241" s="824"/>
      <c r="VU241" s="824"/>
      <c r="VV241" s="824"/>
      <c r="VW241" s="824"/>
      <c r="VX241" s="824"/>
      <c r="VY241" s="824"/>
      <c r="VZ241" s="824"/>
      <c r="WA241" s="824"/>
      <c r="WB241" s="824"/>
      <c r="WC241" s="824"/>
      <c r="WD241" s="824"/>
      <c r="WE241" s="824"/>
      <c r="WF241" s="824"/>
      <c r="WG241" s="824"/>
      <c r="WH241" s="824"/>
      <c r="WI241" s="824"/>
      <c r="WJ241" s="824"/>
      <c r="WK241" s="824"/>
      <c r="WL241" s="824"/>
      <c r="WM241" s="824"/>
      <c r="WN241" s="824"/>
      <c r="WO241" s="824"/>
      <c r="WP241" s="824"/>
      <c r="WQ241" s="824"/>
      <c r="WR241" s="824"/>
      <c r="WS241" s="824"/>
      <c r="WT241" s="824"/>
      <c r="WU241" s="824"/>
      <c r="WV241" s="824"/>
      <c r="WW241" s="824"/>
      <c r="WX241" s="824"/>
      <c r="WY241" s="824"/>
      <c r="WZ241" s="824"/>
      <c r="XA241" s="824"/>
      <c r="XB241" s="824"/>
      <c r="XC241" s="824"/>
      <c r="XD241" s="824"/>
      <c r="XE241" s="824"/>
      <c r="XF241" s="824"/>
      <c r="XG241" s="824"/>
      <c r="XH241" s="824"/>
      <c r="XI241" s="824"/>
      <c r="XJ241" s="824"/>
      <c r="XK241" s="824"/>
      <c r="XL241" s="824"/>
      <c r="XM241" s="824"/>
      <c r="XN241" s="824"/>
      <c r="XO241" s="824"/>
      <c r="XP241" s="824"/>
      <c r="XQ241" s="824"/>
      <c r="XR241" s="824"/>
      <c r="XS241" s="824"/>
      <c r="XT241" s="824"/>
      <c r="XU241" s="824"/>
      <c r="XV241" s="824"/>
      <c r="XW241" s="824"/>
      <c r="XX241" s="824"/>
      <c r="XY241" s="824"/>
      <c r="XZ241" s="824"/>
      <c r="YA241" s="824"/>
      <c r="YB241" s="824"/>
      <c r="YC241" s="824"/>
      <c r="YD241" s="824"/>
      <c r="YE241" s="824"/>
      <c r="YF241" s="824"/>
      <c r="YG241" s="824"/>
      <c r="YH241" s="824"/>
      <c r="YI241" s="824"/>
      <c r="YJ241" s="824"/>
      <c r="YK241" s="824"/>
      <c r="YL241" s="824"/>
      <c r="YM241" s="824"/>
      <c r="YN241" s="824"/>
      <c r="YO241" s="824"/>
      <c r="YP241" s="824"/>
      <c r="YQ241" s="824"/>
      <c r="YR241" s="824"/>
      <c r="YS241" s="824"/>
      <c r="YT241" s="824"/>
      <c r="YU241" s="824"/>
      <c r="YV241" s="824"/>
      <c r="YW241" s="824"/>
      <c r="YX241" s="824"/>
      <c r="YY241" s="824"/>
      <c r="YZ241" s="824"/>
      <c r="ZA241" s="824"/>
      <c r="ZB241" s="824"/>
      <c r="ZC241" s="824"/>
      <c r="ZD241" s="824"/>
      <c r="ZE241" s="824"/>
      <c r="ZF241" s="824"/>
      <c r="ZG241" s="824"/>
      <c r="ZH241" s="824"/>
      <c r="ZI241" s="824"/>
      <c r="ZJ241" s="824"/>
      <c r="ZK241" s="824"/>
      <c r="ZL241" s="824"/>
      <c r="ZM241" s="824"/>
      <c r="ZN241" s="824"/>
      <c r="ZO241" s="824"/>
      <c r="ZP241" s="824"/>
      <c r="ZQ241" s="824"/>
      <c r="ZR241" s="824"/>
      <c r="ZS241" s="824"/>
      <c r="ZT241" s="824"/>
      <c r="ZU241" s="824"/>
      <c r="ZV241" s="824"/>
      <c r="ZW241" s="824"/>
      <c r="ZX241" s="824"/>
      <c r="ZY241" s="824"/>
      <c r="ZZ241" s="824"/>
      <c r="AAA241" s="824"/>
      <c r="AAB241" s="824"/>
      <c r="AAC241" s="824"/>
      <c r="AAD241" s="824"/>
      <c r="AAE241" s="824"/>
      <c r="AAF241" s="824"/>
      <c r="AAG241" s="824"/>
      <c r="AAH241" s="824"/>
      <c r="AAI241" s="824"/>
      <c r="AAJ241" s="824"/>
      <c r="AAK241" s="824"/>
      <c r="AAL241" s="824"/>
      <c r="AAM241" s="824"/>
      <c r="AAN241" s="824"/>
      <c r="AAO241" s="824"/>
      <c r="AAP241" s="824"/>
      <c r="AAQ241" s="824"/>
      <c r="AAR241" s="824"/>
      <c r="AAS241" s="824"/>
      <c r="AAT241" s="824"/>
      <c r="AAU241" s="824"/>
      <c r="AAV241" s="824"/>
      <c r="AAW241" s="824"/>
      <c r="AAX241" s="824"/>
      <c r="AAY241" s="824"/>
      <c r="AAZ241" s="824"/>
      <c r="ABA241" s="824"/>
      <c r="ABB241" s="824"/>
      <c r="ABC241" s="824"/>
      <c r="ABD241" s="824"/>
      <c r="ABE241" s="824"/>
      <c r="ABF241" s="824"/>
      <c r="ABG241" s="824"/>
      <c r="ABH241" s="824"/>
      <c r="ABI241" s="824"/>
      <c r="ABJ241" s="824"/>
      <c r="ABK241" s="824"/>
      <c r="ABL241" s="824"/>
      <c r="ABM241" s="824"/>
      <c r="ABN241" s="824"/>
      <c r="ABO241" s="824"/>
      <c r="ABP241" s="824"/>
      <c r="ABQ241" s="824"/>
      <c r="ABR241" s="824"/>
      <c r="ABS241" s="824"/>
      <c r="ABT241" s="824"/>
      <c r="ABU241" s="824"/>
      <c r="ABV241" s="824"/>
      <c r="ABW241" s="824"/>
      <c r="ABX241" s="824"/>
      <c r="ABY241" s="824"/>
      <c r="ABZ241" s="824"/>
      <c r="ACA241" s="824"/>
      <c r="ACB241" s="824"/>
      <c r="ACC241" s="824"/>
      <c r="ACD241" s="824"/>
      <c r="ACE241" s="824"/>
      <c r="ACF241" s="824"/>
      <c r="ACG241" s="824"/>
      <c r="ACH241" s="824"/>
      <c r="ACI241" s="824"/>
      <c r="ACJ241" s="824"/>
      <c r="ACK241" s="824"/>
      <c r="ACL241" s="824"/>
      <c r="ACM241" s="824"/>
      <c r="ACN241" s="824"/>
      <c r="ACO241" s="824"/>
      <c r="ACP241" s="824"/>
      <c r="ACQ241" s="824"/>
      <c r="ACR241" s="824"/>
      <c r="ACS241" s="824"/>
      <c r="ACT241" s="824"/>
      <c r="ACU241" s="824"/>
      <c r="ACV241" s="824"/>
      <c r="ACW241" s="824"/>
      <c r="ACX241" s="824"/>
      <c r="ACY241" s="824"/>
      <c r="ACZ241" s="824"/>
      <c r="ADA241" s="824"/>
      <c r="ADB241" s="824"/>
      <c r="ADC241" s="824"/>
      <c r="ADD241" s="824"/>
      <c r="ADE241" s="824"/>
      <c r="ADF241" s="824"/>
      <c r="ADG241" s="824"/>
      <c r="ADH241" s="824"/>
      <c r="ADI241" s="824"/>
      <c r="ADJ241" s="824"/>
      <c r="ADK241" s="824"/>
      <c r="ADL241" s="824"/>
      <c r="ADM241" s="824"/>
      <c r="ADN241" s="824"/>
      <c r="ADO241" s="824"/>
      <c r="ADP241" s="824"/>
      <c r="ADQ241" s="824"/>
      <c r="ADR241" s="824"/>
      <c r="ADS241" s="824"/>
      <c r="ADT241" s="824"/>
      <c r="ADU241" s="824"/>
      <c r="ADV241" s="824"/>
      <c r="ADW241" s="824"/>
      <c r="ADX241" s="824"/>
      <c r="ADY241" s="824"/>
      <c r="ADZ241" s="824"/>
      <c r="AEA241" s="824"/>
      <c r="AEB241" s="824"/>
      <c r="AEC241" s="824"/>
      <c r="AED241" s="824"/>
      <c r="AEE241" s="824"/>
      <c r="AEF241" s="824"/>
      <c r="AEG241" s="824"/>
      <c r="AEH241" s="824"/>
      <c r="AEI241" s="824"/>
      <c r="AEJ241" s="824"/>
      <c r="AEK241" s="824"/>
      <c r="AEL241" s="824"/>
      <c r="AEM241" s="824"/>
      <c r="AEN241" s="824"/>
      <c r="AEO241" s="824"/>
      <c r="AEP241" s="824"/>
      <c r="AEQ241" s="824"/>
      <c r="AER241" s="824"/>
      <c r="AES241" s="824"/>
      <c r="AET241" s="824"/>
      <c r="AEU241" s="824"/>
      <c r="AEV241" s="824"/>
      <c r="AEW241" s="824"/>
      <c r="AEX241" s="824"/>
      <c r="AEY241" s="824"/>
      <c r="AEZ241" s="824"/>
      <c r="AFA241" s="824"/>
      <c r="AFB241" s="824"/>
      <c r="AFC241" s="824"/>
      <c r="AFD241" s="824"/>
      <c r="AFE241" s="824"/>
      <c r="AFF241" s="824"/>
      <c r="AFG241" s="824"/>
      <c r="AFH241" s="824"/>
      <c r="AFI241" s="824"/>
      <c r="AFJ241" s="824"/>
      <c r="AFK241" s="824"/>
      <c r="AFL241" s="824"/>
      <c r="AFM241" s="824"/>
      <c r="AFN241" s="824"/>
      <c r="AFO241" s="824"/>
      <c r="AFP241" s="824"/>
      <c r="AFQ241" s="824"/>
      <c r="AFR241" s="824"/>
      <c r="AFS241" s="824"/>
      <c r="AFT241" s="824"/>
      <c r="AFU241" s="824"/>
      <c r="AFV241" s="824"/>
      <c r="AFW241" s="824"/>
      <c r="AFX241" s="824"/>
      <c r="AFY241" s="824"/>
      <c r="AFZ241" s="824"/>
      <c r="AGA241" s="824"/>
      <c r="AGB241" s="824"/>
      <c r="AGC241" s="824"/>
      <c r="AGD241" s="824"/>
      <c r="AGE241" s="824"/>
      <c r="AGF241" s="824"/>
      <c r="AGG241" s="824"/>
      <c r="AGH241" s="824"/>
      <c r="AGI241" s="824"/>
      <c r="AGJ241" s="824"/>
    </row>
    <row r="242" spans="1:868" s="825" customFormat="1">
      <c r="A242" s="151" t="str">
        <f>Agriculture!A132</f>
        <v>Agricultural pipes (discarded)</v>
      </c>
      <c r="B242" s="34" t="str">
        <f>Agriculture!B132</f>
        <v>Dumping</v>
      </c>
      <c r="C242" s="40" t="str">
        <f>Agriculture!C132</f>
        <v>any</v>
      </c>
      <c r="D242" s="34" t="str">
        <f>Agriculture!D132</f>
        <v>any</v>
      </c>
      <c r="E242" s="240">
        <f>Agriculture!E132</f>
        <v>2.9157667386609074E-4</v>
      </c>
      <c r="F242" s="232">
        <f>Agriculture!F132</f>
        <v>2</v>
      </c>
      <c r="G242" s="40" t="str">
        <f>Agriculture!G132</f>
        <v>SI Kawecki and Nowack, 2019</v>
      </c>
      <c r="H242" s="29">
        <v>2</v>
      </c>
      <c r="I242" s="9">
        <v>2</v>
      </c>
      <c r="J242" s="9">
        <v>1</v>
      </c>
      <c r="K242" s="9">
        <v>3</v>
      </c>
      <c r="L242" s="9">
        <v>3</v>
      </c>
      <c r="M242" s="9">
        <v>3</v>
      </c>
      <c r="N242" s="185">
        <f t="shared" si="16"/>
        <v>1.123005955058592</v>
      </c>
      <c r="O242" s="159">
        <f t="shared" si="15"/>
        <v>1.123005955058592</v>
      </c>
      <c r="P242" s="63" t="str">
        <f>Agriculture!P132</f>
        <v>Normalized (See Agriculture sheet)</v>
      </c>
      <c r="Q242" s="824"/>
      <c r="R242" s="824"/>
      <c r="S242" s="824"/>
      <c r="T242" s="824"/>
      <c r="U242" s="824"/>
      <c r="V242" s="824"/>
      <c r="W242" s="824"/>
      <c r="X242" s="824"/>
      <c r="Y242" s="824"/>
      <c r="Z242" s="824"/>
      <c r="AA242" s="824"/>
      <c r="AB242" s="824"/>
      <c r="AC242" s="824"/>
      <c r="AD242" s="824"/>
      <c r="AE242" s="824"/>
      <c r="AF242" s="824"/>
      <c r="AG242" s="824"/>
      <c r="AH242" s="824"/>
      <c r="AI242" s="824"/>
      <c r="AJ242" s="824"/>
      <c r="AK242" s="824"/>
      <c r="AL242" s="824"/>
      <c r="AM242" s="824"/>
      <c r="AN242" s="824"/>
      <c r="AO242" s="824"/>
      <c r="AP242" s="824"/>
      <c r="AQ242" s="824"/>
      <c r="AR242" s="824"/>
      <c r="AS242" s="824"/>
      <c r="AT242" s="824"/>
      <c r="AU242" s="824"/>
      <c r="AV242" s="824"/>
      <c r="AW242" s="824"/>
      <c r="AX242" s="824"/>
      <c r="AY242" s="824"/>
      <c r="AZ242" s="824"/>
      <c r="BA242" s="824"/>
      <c r="BB242" s="824"/>
      <c r="BC242" s="824"/>
      <c r="BD242" s="824"/>
      <c r="BE242" s="824"/>
      <c r="BF242" s="824"/>
      <c r="BG242" s="824"/>
      <c r="BH242" s="824"/>
      <c r="BI242" s="824"/>
      <c r="BJ242" s="824"/>
      <c r="BK242" s="824"/>
      <c r="BL242" s="824"/>
      <c r="BM242" s="824"/>
      <c r="BN242" s="824"/>
      <c r="BO242" s="824"/>
      <c r="BP242" s="824"/>
      <c r="BQ242" s="824"/>
      <c r="BR242" s="824"/>
      <c r="BS242" s="824"/>
      <c r="BT242" s="824"/>
      <c r="BU242" s="824"/>
      <c r="BV242" s="824"/>
      <c r="BW242" s="824"/>
      <c r="BX242" s="824"/>
      <c r="BY242" s="824"/>
      <c r="BZ242" s="824"/>
      <c r="CA242" s="824"/>
      <c r="CB242" s="824"/>
      <c r="CC242" s="824"/>
      <c r="CD242" s="824"/>
      <c r="CE242" s="824"/>
      <c r="CF242" s="824"/>
      <c r="CG242" s="824"/>
      <c r="CH242" s="824"/>
      <c r="CI242" s="824"/>
      <c r="CJ242" s="824"/>
      <c r="CK242" s="824"/>
      <c r="CL242" s="824"/>
      <c r="CM242" s="824"/>
      <c r="CN242" s="824"/>
      <c r="CO242" s="824"/>
      <c r="CP242" s="824"/>
      <c r="CQ242" s="824"/>
      <c r="CR242" s="824"/>
      <c r="CS242" s="824"/>
      <c r="CT242" s="824"/>
      <c r="CU242" s="824"/>
      <c r="CV242" s="824"/>
      <c r="CW242" s="824"/>
      <c r="CX242" s="824"/>
      <c r="CY242" s="824"/>
      <c r="CZ242" s="824"/>
      <c r="DA242" s="824"/>
      <c r="DB242" s="824"/>
      <c r="DC242" s="824"/>
      <c r="DD242" s="824"/>
      <c r="DE242" s="824"/>
      <c r="DF242" s="824"/>
      <c r="DG242" s="824"/>
      <c r="DH242" s="824"/>
      <c r="DI242" s="824"/>
      <c r="DJ242" s="824"/>
      <c r="DK242" s="824"/>
      <c r="DL242" s="824"/>
      <c r="DM242" s="824"/>
      <c r="DN242" s="824"/>
      <c r="DO242" s="824"/>
      <c r="DP242" s="824"/>
      <c r="DQ242" s="824"/>
      <c r="DR242" s="824"/>
      <c r="DS242" s="824"/>
      <c r="DT242" s="824"/>
      <c r="DU242" s="824"/>
      <c r="DV242" s="824"/>
      <c r="DW242" s="824"/>
      <c r="DX242" s="824"/>
      <c r="DY242" s="824"/>
      <c r="DZ242" s="824"/>
      <c r="EA242" s="824"/>
      <c r="EB242" s="824"/>
      <c r="EC242" s="824"/>
      <c r="ED242" s="824"/>
      <c r="EE242" s="824"/>
      <c r="EF242" s="824"/>
      <c r="EG242" s="824"/>
      <c r="EH242" s="824"/>
      <c r="EI242" s="824"/>
      <c r="EJ242" s="824"/>
      <c r="EK242" s="824"/>
      <c r="EL242" s="824"/>
      <c r="EM242" s="824"/>
      <c r="EN242" s="824"/>
      <c r="EO242" s="824"/>
      <c r="EP242" s="824"/>
      <c r="EQ242" s="824"/>
      <c r="ER242" s="824"/>
      <c r="ES242" s="824"/>
      <c r="ET242" s="824"/>
      <c r="EU242" s="824"/>
      <c r="EV242" s="824"/>
      <c r="EW242" s="824"/>
      <c r="EX242" s="824"/>
      <c r="EY242" s="824"/>
      <c r="EZ242" s="824"/>
      <c r="FA242" s="824"/>
      <c r="FB242" s="824"/>
      <c r="FC242" s="824"/>
      <c r="FD242" s="824"/>
      <c r="FE242" s="824"/>
      <c r="FF242" s="824"/>
      <c r="FG242" s="824"/>
      <c r="FH242" s="824"/>
      <c r="FI242" s="824"/>
      <c r="FJ242" s="824"/>
      <c r="FK242" s="824"/>
      <c r="FL242" s="824"/>
      <c r="FM242" s="824"/>
      <c r="FN242" s="824"/>
      <c r="FO242" s="824"/>
      <c r="FP242" s="824"/>
      <c r="FQ242" s="824"/>
      <c r="FR242" s="824"/>
      <c r="FS242" s="824"/>
      <c r="FT242" s="824"/>
      <c r="FU242" s="824"/>
      <c r="FV242" s="824"/>
      <c r="FW242" s="824"/>
      <c r="FX242" s="824"/>
      <c r="FY242" s="824"/>
      <c r="FZ242" s="824"/>
      <c r="GA242" s="824"/>
      <c r="GB242" s="824"/>
      <c r="GC242" s="824"/>
      <c r="GD242" s="824"/>
      <c r="GE242" s="824"/>
      <c r="GF242" s="824"/>
      <c r="GG242" s="824"/>
      <c r="GH242" s="824"/>
      <c r="GI242" s="824"/>
      <c r="GJ242" s="824"/>
      <c r="GK242" s="824"/>
      <c r="GL242" s="824"/>
      <c r="GM242" s="824"/>
      <c r="GN242" s="824"/>
      <c r="GO242" s="824"/>
      <c r="GP242" s="824"/>
      <c r="GQ242" s="824"/>
      <c r="GR242" s="824"/>
      <c r="GS242" s="824"/>
      <c r="GT242" s="824"/>
      <c r="GU242" s="824"/>
      <c r="GV242" s="824"/>
      <c r="GW242" s="824"/>
      <c r="GX242" s="824"/>
      <c r="GY242" s="824"/>
      <c r="GZ242" s="824"/>
      <c r="HA242" s="824"/>
      <c r="HB242" s="824"/>
      <c r="HC242" s="824"/>
      <c r="HD242" s="824"/>
      <c r="HE242" s="824"/>
      <c r="HF242" s="824"/>
      <c r="HG242" s="824"/>
      <c r="HH242" s="824"/>
      <c r="HI242" s="824"/>
      <c r="HJ242" s="824"/>
      <c r="HK242" s="824"/>
      <c r="HL242" s="824"/>
      <c r="HM242" s="824"/>
      <c r="HN242" s="824"/>
      <c r="HO242" s="824"/>
      <c r="HP242" s="824"/>
      <c r="HQ242" s="824"/>
      <c r="HR242" s="824"/>
      <c r="HS242" s="824"/>
      <c r="HT242" s="824"/>
      <c r="HU242" s="824"/>
      <c r="HV242" s="824"/>
      <c r="HW242" s="824"/>
      <c r="HX242" s="824"/>
      <c r="HY242" s="824"/>
      <c r="HZ242" s="824"/>
      <c r="IA242" s="824"/>
      <c r="IB242" s="824"/>
      <c r="IC242" s="824"/>
      <c r="ID242" s="824"/>
      <c r="IE242" s="824"/>
      <c r="IF242" s="824"/>
      <c r="IG242" s="824"/>
      <c r="IH242" s="824"/>
      <c r="II242" s="824"/>
      <c r="IJ242" s="824"/>
      <c r="IK242" s="824"/>
      <c r="IL242" s="824"/>
      <c r="IM242" s="824"/>
      <c r="IN242" s="824"/>
      <c r="IO242" s="824"/>
      <c r="IP242" s="824"/>
      <c r="IQ242" s="824"/>
      <c r="IR242" s="824"/>
      <c r="IS242" s="824"/>
      <c r="IT242" s="824"/>
      <c r="IU242" s="824"/>
      <c r="IV242" s="824"/>
      <c r="IW242" s="824"/>
      <c r="IX242" s="824"/>
      <c r="IY242" s="824"/>
      <c r="IZ242" s="824"/>
      <c r="JA242" s="824"/>
      <c r="JB242" s="824"/>
      <c r="JC242" s="824"/>
      <c r="JD242" s="824"/>
      <c r="JE242" s="824"/>
      <c r="JF242" s="824"/>
      <c r="JG242" s="824"/>
      <c r="JH242" s="824"/>
      <c r="JI242" s="824"/>
      <c r="JJ242" s="824"/>
      <c r="JK242" s="824"/>
      <c r="JL242" s="824"/>
      <c r="JM242" s="824"/>
      <c r="JN242" s="824"/>
      <c r="JO242" s="824"/>
      <c r="JP242" s="824"/>
      <c r="JQ242" s="824"/>
      <c r="JR242" s="824"/>
      <c r="JS242" s="824"/>
      <c r="JT242" s="824"/>
      <c r="JU242" s="824"/>
      <c r="JV242" s="824"/>
      <c r="JW242" s="824"/>
      <c r="JX242" s="824"/>
      <c r="JY242" s="824"/>
      <c r="JZ242" s="824"/>
      <c r="KA242" s="824"/>
      <c r="KB242" s="824"/>
      <c r="KC242" s="824"/>
      <c r="KD242" s="824"/>
      <c r="KE242" s="824"/>
      <c r="KF242" s="824"/>
      <c r="KG242" s="824"/>
      <c r="KH242" s="824"/>
      <c r="KI242" s="824"/>
      <c r="KJ242" s="824"/>
      <c r="KK242" s="824"/>
      <c r="KL242" s="824"/>
      <c r="KM242" s="824"/>
      <c r="KN242" s="824"/>
      <c r="KO242" s="824"/>
      <c r="KP242" s="824"/>
      <c r="KQ242" s="824"/>
      <c r="KR242" s="824"/>
      <c r="KS242" s="824"/>
      <c r="KT242" s="824"/>
      <c r="KU242" s="824"/>
      <c r="KV242" s="824"/>
      <c r="KW242" s="824"/>
      <c r="KX242" s="824"/>
      <c r="KY242" s="824"/>
      <c r="KZ242" s="824"/>
      <c r="LA242" s="824"/>
      <c r="LB242" s="824"/>
      <c r="LC242" s="824"/>
      <c r="LD242" s="824"/>
      <c r="LE242" s="824"/>
      <c r="LF242" s="824"/>
      <c r="LG242" s="824"/>
      <c r="LH242" s="824"/>
      <c r="LI242" s="824"/>
      <c r="LJ242" s="824"/>
      <c r="LK242" s="824"/>
      <c r="LL242" s="824"/>
      <c r="LM242" s="824"/>
      <c r="LN242" s="824"/>
      <c r="LO242" s="824"/>
      <c r="LP242" s="824"/>
      <c r="LQ242" s="824"/>
      <c r="LR242" s="824"/>
      <c r="LS242" s="824"/>
      <c r="LT242" s="824"/>
      <c r="LU242" s="824"/>
      <c r="LV242" s="824"/>
      <c r="LW242" s="824"/>
      <c r="LX242" s="824"/>
      <c r="LY242" s="824"/>
      <c r="LZ242" s="824"/>
      <c r="MA242" s="824"/>
      <c r="MB242" s="824"/>
      <c r="MC242" s="824"/>
      <c r="MD242" s="824"/>
      <c r="ME242" s="824"/>
      <c r="MF242" s="824"/>
      <c r="MG242" s="824"/>
      <c r="MH242" s="824"/>
      <c r="MI242" s="824"/>
      <c r="MJ242" s="824"/>
      <c r="MK242" s="824"/>
      <c r="ML242" s="824"/>
      <c r="MM242" s="824"/>
      <c r="MN242" s="824"/>
      <c r="MO242" s="824"/>
      <c r="MP242" s="824"/>
      <c r="MQ242" s="824"/>
      <c r="MR242" s="824"/>
      <c r="MS242" s="824"/>
      <c r="MT242" s="824"/>
      <c r="MU242" s="824"/>
      <c r="MV242" s="824"/>
      <c r="MW242" s="824"/>
      <c r="MX242" s="824"/>
      <c r="MY242" s="824"/>
      <c r="MZ242" s="824"/>
      <c r="NA242" s="824"/>
      <c r="NB242" s="824"/>
      <c r="NC242" s="824"/>
      <c r="ND242" s="824"/>
      <c r="NE242" s="824"/>
      <c r="NF242" s="824"/>
      <c r="NG242" s="824"/>
      <c r="NH242" s="824"/>
      <c r="NI242" s="824"/>
      <c r="NJ242" s="824"/>
      <c r="NK242" s="824"/>
      <c r="NL242" s="824"/>
      <c r="NM242" s="824"/>
      <c r="NN242" s="824"/>
      <c r="NO242" s="824"/>
      <c r="NP242" s="824"/>
      <c r="NQ242" s="824"/>
      <c r="NR242" s="824"/>
      <c r="NS242" s="824"/>
      <c r="NT242" s="824"/>
      <c r="NU242" s="824"/>
      <c r="NV242" s="824"/>
      <c r="NW242" s="824"/>
      <c r="NX242" s="824"/>
      <c r="NY242" s="824"/>
      <c r="NZ242" s="824"/>
      <c r="OA242" s="824"/>
      <c r="OB242" s="824"/>
      <c r="OC242" s="824"/>
      <c r="OD242" s="824"/>
      <c r="OE242" s="824"/>
      <c r="OF242" s="824"/>
      <c r="OG242" s="824"/>
      <c r="OH242" s="824"/>
      <c r="OI242" s="824"/>
      <c r="OJ242" s="824"/>
      <c r="OK242" s="824"/>
      <c r="OL242" s="824"/>
      <c r="OM242" s="824"/>
      <c r="ON242" s="824"/>
      <c r="OO242" s="824"/>
      <c r="OP242" s="824"/>
      <c r="OQ242" s="824"/>
      <c r="OR242" s="824"/>
      <c r="OS242" s="824"/>
      <c r="OT242" s="824"/>
      <c r="OU242" s="824"/>
      <c r="OV242" s="824"/>
      <c r="OW242" s="824"/>
      <c r="OX242" s="824"/>
      <c r="OY242" s="824"/>
      <c r="OZ242" s="824"/>
      <c r="PA242" s="824"/>
      <c r="PB242" s="824"/>
      <c r="PC242" s="824"/>
      <c r="PD242" s="824"/>
      <c r="PE242" s="824"/>
      <c r="PF242" s="824"/>
      <c r="PG242" s="824"/>
      <c r="PH242" s="824"/>
      <c r="PI242" s="824"/>
      <c r="PJ242" s="824"/>
      <c r="PK242" s="824"/>
      <c r="PL242" s="824"/>
      <c r="PM242" s="824"/>
      <c r="PN242" s="824"/>
      <c r="PO242" s="824"/>
      <c r="PP242" s="824"/>
      <c r="PQ242" s="824"/>
      <c r="PR242" s="824"/>
      <c r="PS242" s="824"/>
      <c r="PT242" s="824"/>
      <c r="PU242" s="824"/>
      <c r="PV242" s="824"/>
      <c r="PW242" s="824"/>
      <c r="PX242" s="824"/>
      <c r="PY242" s="824"/>
      <c r="PZ242" s="824"/>
      <c r="QA242" s="824"/>
      <c r="QB242" s="824"/>
      <c r="QC242" s="824"/>
      <c r="QD242" s="824"/>
      <c r="QE242" s="824"/>
      <c r="QF242" s="824"/>
      <c r="QG242" s="824"/>
      <c r="QH242" s="824"/>
      <c r="QI242" s="824"/>
      <c r="QJ242" s="824"/>
      <c r="QK242" s="824"/>
      <c r="QL242" s="824"/>
      <c r="QM242" s="824"/>
      <c r="QN242" s="824"/>
      <c r="QO242" s="824"/>
      <c r="QP242" s="824"/>
      <c r="QQ242" s="824"/>
      <c r="QR242" s="824"/>
      <c r="QS242" s="824"/>
      <c r="QT242" s="824"/>
      <c r="QU242" s="824"/>
      <c r="QV242" s="824"/>
      <c r="QW242" s="824"/>
      <c r="QX242" s="824"/>
      <c r="QY242" s="824"/>
      <c r="QZ242" s="824"/>
      <c r="RA242" s="824"/>
      <c r="RB242" s="824"/>
      <c r="RC242" s="824"/>
      <c r="RD242" s="824"/>
      <c r="RE242" s="824"/>
      <c r="RF242" s="824"/>
      <c r="RG242" s="824"/>
      <c r="RH242" s="824"/>
      <c r="RI242" s="824"/>
      <c r="RJ242" s="824"/>
      <c r="RK242" s="824"/>
      <c r="RL242" s="824"/>
      <c r="RM242" s="824"/>
      <c r="RN242" s="824"/>
      <c r="RO242" s="824"/>
      <c r="RP242" s="824"/>
      <c r="RQ242" s="824"/>
      <c r="RR242" s="824"/>
      <c r="RS242" s="824"/>
      <c r="RT242" s="824"/>
      <c r="RU242" s="824"/>
      <c r="RV242" s="824"/>
      <c r="RW242" s="824"/>
      <c r="RX242" s="824"/>
      <c r="RY242" s="824"/>
      <c r="RZ242" s="824"/>
      <c r="SA242" s="824"/>
      <c r="SB242" s="824"/>
      <c r="SC242" s="824"/>
      <c r="SD242" s="824"/>
      <c r="SE242" s="824"/>
      <c r="SF242" s="824"/>
      <c r="SG242" s="824"/>
      <c r="SH242" s="824"/>
      <c r="SI242" s="824"/>
      <c r="SJ242" s="824"/>
      <c r="SK242" s="824"/>
      <c r="SL242" s="824"/>
      <c r="SM242" s="824"/>
      <c r="SN242" s="824"/>
      <c r="SO242" s="824"/>
      <c r="SP242" s="824"/>
      <c r="SQ242" s="824"/>
      <c r="SR242" s="824"/>
      <c r="SS242" s="824"/>
      <c r="ST242" s="824"/>
      <c r="SU242" s="824"/>
      <c r="SV242" s="824"/>
      <c r="SW242" s="824"/>
      <c r="SX242" s="824"/>
      <c r="SY242" s="824"/>
      <c r="SZ242" s="824"/>
      <c r="TA242" s="824"/>
      <c r="TB242" s="824"/>
      <c r="TC242" s="824"/>
      <c r="TD242" s="824"/>
      <c r="TE242" s="824"/>
      <c r="TF242" s="824"/>
      <c r="TG242" s="824"/>
      <c r="TH242" s="824"/>
      <c r="TI242" s="824"/>
      <c r="TJ242" s="824"/>
      <c r="TK242" s="824"/>
      <c r="TL242" s="824"/>
      <c r="TM242" s="824"/>
      <c r="TN242" s="824"/>
      <c r="TO242" s="824"/>
      <c r="TP242" s="824"/>
      <c r="TQ242" s="824"/>
      <c r="TR242" s="824"/>
      <c r="TS242" s="824"/>
      <c r="TT242" s="824"/>
      <c r="TU242" s="824"/>
      <c r="TV242" s="824"/>
      <c r="TW242" s="824"/>
      <c r="TX242" s="824"/>
      <c r="TY242" s="824"/>
      <c r="TZ242" s="824"/>
      <c r="UA242" s="824"/>
      <c r="UB242" s="824"/>
      <c r="UC242" s="824"/>
      <c r="UD242" s="824"/>
      <c r="UE242" s="824"/>
      <c r="UF242" s="824"/>
      <c r="UG242" s="824"/>
      <c r="UH242" s="824"/>
      <c r="UI242" s="824"/>
      <c r="UJ242" s="824"/>
      <c r="UK242" s="824"/>
      <c r="UL242" s="824"/>
      <c r="UM242" s="824"/>
      <c r="UN242" s="824"/>
      <c r="UO242" s="824"/>
      <c r="UP242" s="824"/>
      <c r="UQ242" s="824"/>
      <c r="UR242" s="824"/>
      <c r="US242" s="824"/>
      <c r="UT242" s="824"/>
      <c r="UU242" s="824"/>
      <c r="UV242" s="824"/>
      <c r="UW242" s="824"/>
      <c r="UX242" s="824"/>
      <c r="UY242" s="824"/>
      <c r="UZ242" s="824"/>
      <c r="VA242" s="824"/>
      <c r="VB242" s="824"/>
      <c r="VC242" s="824"/>
      <c r="VD242" s="824"/>
      <c r="VE242" s="824"/>
      <c r="VF242" s="824"/>
      <c r="VG242" s="824"/>
      <c r="VH242" s="824"/>
      <c r="VI242" s="824"/>
      <c r="VJ242" s="824"/>
      <c r="VK242" s="824"/>
      <c r="VL242" s="824"/>
      <c r="VM242" s="824"/>
      <c r="VN242" s="824"/>
      <c r="VO242" s="824"/>
      <c r="VP242" s="824"/>
      <c r="VQ242" s="824"/>
      <c r="VR242" s="824"/>
      <c r="VS242" s="824"/>
      <c r="VT242" s="824"/>
      <c r="VU242" s="824"/>
      <c r="VV242" s="824"/>
      <c r="VW242" s="824"/>
      <c r="VX242" s="824"/>
      <c r="VY242" s="824"/>
      <c r="VZ242" s="824"/>
      <c r="WA242" s="824"/>
      <c r="WB242" s="824"/>
      <c r="WC242" s="824"/>
      <c r="WD242" s="824"/>
      <c r="WE242" s="824"/>
      <c r="WF242" s="824"/>
      <c r="WG242" s="824"/>
      <c r="WH242" s="824"/>
      <c r="WI242" s="824"/>
      <c r="WJ242" s="824"/>
      <c r="WK242" s="824"/>
      <c r="WL242" s="824"/>
      <c r="WM242" s="824"/>
      <c r="WN242" s="824"/>
      <c r="WO242" s="824"/>
      <c r="WP242" s="824"/>
      <c r="WQ242" s="824"/>
      <c r="WR242" s="824"/>
      <c r="WS242" s="824"/>
      <c r="WT242" s="824"/>
      <c r="WU242" s="824"/>
      <c r="WV242" s="824"/>
      <c r="WW242" s="824"/>
      <c r="WX242" s="824"/>
      <c r="WY242" s="824"/>
      <c r="WZ242" s="824"/>
      <c r="XA242" s="824"/>
      <c r="XB242" s="824"/>
      <c r="XC242" s="824"/>
      <c r="XD242" s="824"/>
      <c r="XE242" s="824"/>
      <c r="XF242" s="824"/>
      <c r="XG242" s="824"/>
      <c r="XH242" s="824"/>
      <c r="XI242" s="824"/>
      <c r="XJ242" s="824"/>
      <c r="XK242" s="824"/>
      <c r="XL242" s="824"/>
      <c r="XM242" s="824"/>
      <c r="XN242" s="824"/>
      <c r="XO242" s="824"/>
      <c r="XP242" s="824"/>
      <c r="XQ242" s="824"/>
      <c r="XR242" s="824"/>
      <c r="XS242" s="824"/>
      <c r="XT242" s="824"/>
      <c r="XU242" s="824"/>
      <c r="XV242" s="824"/>
      <c r="XW242" s="824"/>
      <c r="XX242" s="824"/>
      <c r="XY242" s="824"/>
      <c r="XZ242" s="824"/>
      <c r="YA242" s="824"/>
      <c r="YB242" s="824"/>
      <c r="YC242" s="824"/>
      <c r="YD242" s="824"/>
      <c r="YE242" s="824"/>
      <c r="YF242" s="824"/>
      <c r="YG242" s="824"/>
      <c r="YH242" s="824"/>
      <c r="YI242" s="824"/>
      <c r="YJ242" s="824"/>
      <c r="YK242" s="824"/>
      <c r="YL242" s="824"/>
      <c r="YM242" s="824"/>
      <c r="YN242" s="824"/>
      <c r="YO242" s="824"/>
      <c r="YP242" s="824"/>
      <c r="YQ242" s="824"/>
      <c r="YR242" s="824"/>
      <c r="YS242" s="824"/>
      <c r="YT242" s="824"/>
      <c r="YU242" s="824"/>
      <c r="YV242" s="824"/>
      <c r="YW242" s="824"/>
      <c r="YX242" s="824"/>
      <c r="YY242" s="824"/>
      <c r="YZ242" s="824"/>
      <c r="ZA242" s="824"/>
      <c r="ZB242" s="824"/>
      <c r="ZC242" s="824"/>
      <c r="ZD242" s="824"/>
      <c r="ZE242" s="824"/>
      <c r="ZF242" s="824"/>
      <c r="ZG242" s="824"/>
      <c r="ZH242" s="824"/>
      <c r="ZI242" s="824"/>
      <c r="ZJ242" s="824"/>
      <c r="ZK242" s="824"/>
      <c r="ZL242" s="824"/>
      <c r="ZM242" s="824"/>
      <c r="ZN242" s="824"/>
      <c r="ZO242" s="824"/>
      <c r="ZP242" s="824"/>
      <c r="ZQ242" s="824"/>
      <c r="ZR242" s="824"/>
      <c r="ZS242" s="824"/>
      <c r="ZT242" s="824"/>
      <c r="ZU242" s="824"/>
      <c r="ZV242" s="824"/>
      <c r="ZW242" s="824"/>
      <c r="ZX242" s="824"/>
      <c r="ZY242" s="824"/>
      <c r="ZZ242" s="824"/>
      <c r="AAA242" s="824"/>
      <c r="AAB242" s="824"/>
      <c r="AAC242" s="824"/>
      <c r="AAD242" s="824"/>
      <c r="AAE242" s="824"/>
      <c r="AAF242" s="824"/>
      <c r="AAG242" s="824"/>
      <c r="AAH242" s="824"/>
      <c r="AAI242" s="824"/>
      <c r="AAJ242" s="824"/>
      <c r="AAK242" s="824"/>
      <c r="AAL242" s="824"/>
      <c r="AAM242" s="824"/>
      <c r="AAN242" s="824"/>
      <c r="AAO242" s="824"/>
      <c r="AAP242" s="824"/>
      <c r="AAQ242" s="824"/>
      <c r="AAR242" s="824"/>
      <c r="AAS242" s="824"/>
      <c r="AAT242" s="824"/>
      <c r="AAU242" s="824"/>
      <c r="AAV242" s="824"/>
      <c r="AAW242" s="824"/>
      <c r="AAX242" s="824"/>
      <c r="AAY242" s="824"/>
      <c r="AAZ242" s="824"/>
      <c r="ABA242" s="824"/>
      <c r="ABB242" s="824"/>
      <c r="ABC242" s="824"/>
      <c r="ABD242" s="824"/>
      <c r="ABE242" s="824"/>
      <c r="ABF242" s="824"/>
      <c r="ABG242" s="824"/>
      <c r="ABH242" s="824"/>
      <c r="ABI242" s="824"/>
      <c r="ABJ242" s="824"/>
      <c r="ABK242" s="824"/>
      <c r="ABL242" s="824"/>
      <c r="ABM242" s="824"/>
      <c r="ABN242" s="824"/>
      <c r="ABO242" s="824"/>
      <c r="ABP242" s="824"/>
      <c r="ABQ242" s="824"/>
      <c r="ABR242" s="824"/>
      <c r="ABS242" s="824"/>
      <c r="ABT242" s="824"/>
      <c r="ABU242" s="824"/>
      <c r="ABV242" s="824"/>
      <c r="ABW242" s="824"/>
      <c r="ABX242" s="824"/>
      <c r="ABY242" s="824"/>
      <c r="ABZ242" s="824"/>
      <c r="ACA242" s="824"/>
      <c r="ACB242" s="824"/>
      <c r="ACC242" s="824"/>
      <c r="ACD242" s="824"/>
      <c r="ACE242" s="824"/>
      <c r="ACF242" s="824"/>
      <c r="ACG242" s="824"/>
      <c r="ACH242" s="824"/>
      <c r="ACI242" s="824"/>
      <c r="ACJ242" s="824"/>
      <c r="ACK242" s="824"/>
      <c r="ACL242" s="824"/>
      <c r="ACM242" s="824"/>
      <c r="ACN242" s="824"/>
      <c r="ACO242" s="824"/>
      <c r="ACP242" s="824"/>
      <c r="ACQ242" s="824"/>
      <c r="ACR242" s="824"/>
      <c r="ACS242" s="824"/>
      <c r="ACT242" s="824"/>
      <c r="ACU242" s="824"/>
      <c r="ACV242" s="824"/>
      <c r="ACW242" s="824"/>
      <c r="ACX242" s="824"/>
      <c r="ACY242" s="824"/>
      <c r="ACZ242" s="824"/>
      <c r="ADA242" s="824"/>
      <c r="ADB242" s="824"/>
      <c r="ADC242" s="824"/>
      <c r="ADD242" s="824"/>
      <c r="ADE242" s="824"/>
      <c r="ADF242" s="824"/>
      <c r="ADG242" s="824"/>
      <c r="ADH242" s="824"/>
      <c r="ADI242" s="824"/>
      <c r="ADJ242" s="824"/>
      <c r="ADK242" s="824"/>
      <c r="ADL242" s="824"/>
      <c r="ADM242" s="824"/>
      <c r="ADN242" s="824"/>
      <c r="ADO242" s="824"/>
      <c r="ADP242" s="824"/>
      <c r="ADQ242" s="824"/>
      <c r="ADR242" s="824"/>
      <c r="ADS242" s="824"/>
      <c r="ADT242" s="824"/>
      <c r="ADU242" s="824"/>
      <c r="ADV242" s="824"/>
      <c r="ADW242" s="824"/>
      <c r="ADX242" s="824"/>
      <c r="ADY242" s="824"/>
      <c r="ADZ242" s="824"/>
      <c r="AEA242" s="824"/>
      <c r="AEB242" s="824"/>
      <c r="AEC242" s="824"/>
      <c r="AED242" s="824"/>
      <c r="AEE242" s="824"/>
      <c r="AEF242" s="824"/>
      <c r="AEG242" s="824"/>
      <c r="AEH242" s="824"/>
      <c r="AEI242" s="824"/>
      <c r="AEJ242" s="824"/>
      <c r="AEK242" s="824"/>
      <c r="AEL242" s="824"/>
      <c r="AEM242" s="824"/>
      <c r="AEN242" s="824"/>
      <c r="AEO242" s="824"/>
      <c r="AEP242" s="824"/>
      <c r="AEQ242" s="824"/>
      <c r="AER242" s="824"/>
      <c r="AES242" s="824"/>
      <c r="AET242" s="824"/>
      <c r="AEU242" s="824"/>
      <c r="AEV242" s="824"/>
      <c r="AEW242" s="824"/>
      <c r="AEX242" s="824"/>
      <c r="AEY242" s="824"/>
      <c r="AEZ242" s="824"/>
      <c r="AFA242" s="824"/>
      <c r="AFB242" s="824"/>
      <c r="AFC242" s="824"/>
      <c r="AFD242" s="824"/>
      <c r="AFE242" s="824"/>
      <c r="AFF242" s="824"/>
      <c r="AFG242" s="824"/>
      <c r="AFH242" s="824"/>
      <c r="AFI242" s="824"/>
      <c r="AFJ242" s="824"/>
      <c r="AFK242" s="824"/>
      <c r="AFL242" s="824"/>
      <c r="AFM242" s="824"/>
      <c r="AFN242" s="824"/>
      <c r="AFO242" s="824"/>
      <c r="AFP242" s="824"/>
      <c r="AFQ242" s="824"/>
      <c r="AFR242" s="824"/>
      <c r="AFS242" s="824"/>
      <c r="AFT242" s="824"/>
      <c r="AFU242" s="824"/>
      <c r="AFV242" s="824"/>
      <c r="AFW242" s="824"/>
      <c r="AFX242" s="824"/>
      <c r="AFY242" s="824"/>
      <c r="AFZ242" s="824"/>
      <c r="AGA242" s="824"/>
      <c r="AGB242" s="824"/>
      <c r="AGC242" s="824"/>
      <c r="AGD242" s="824"/>
      <c r="AGE242" s="824"/>
      <c r="AGF242" s="824"/>
      <c r="AGG242" s="824"/>
      <c r="AGH242" s="824"/>
      <c r="AGI242" s="824"/>
      <c r="AGJ242" s="824"/>
    </row>
    <row r="243" spans="1:868" s="825" customFormat="1">
      <c r="A243" s="289" t="s">
        <v>153</v>
      </c>
      <c r="B243" s="55" t="s">
        <v>204</v>
      </c>
      <c r="C243" s="262" t="s">
        <v>139</v>
      </c>
      <c r="D243" s="55" t="s">
        <v>139</v>
      </c>
      <c r="E243" s="257">
        <v>2.7E-4</v>
      </c>
      <c r="F243" s="232">
        <v>2</v>
      </c>
      <c r="G243" s="262"/>
      <c r="H243" s="29">
        <v>2</v>
      </c>
      <c r="I243" s="9">
        <v>2</v>
      </c>
      <c r="J243" s="9">
        <v>2</v>
      </c>
      <c r="K243" s="9">
        <v>3</v>
      </c>
      <c r="L243" s="9">
        <v>3</v>
      </c>
      <c r="M243" s="9">
        <v>3</v>
      </c>
      <c r="N243" s="185">
        <f t="shared" ref="N243:N273" si="17">IF( OR( ISBLANK(H243),ISBLANK(J243), ISBLANK(K243), ISBLANK(L243), ISBLANK(M243) ), "", 1.5*SQRT(   EXP(2.21*(H243-1)) + EXP(2.21*(J243-1)) + EXP(2.21*(K243-1)) + EXP(2.21*(L243-1)) + EXP(2.21*M243)   )/100*2.45 )</f>
        <v>1.1278755061256258</v>
      </c>
      <c r="O243" s="159">
        <f t="shared" si="15"/>
        <v>1.1278755061256258</v>
      </c>
      <c r="P243" s="6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c r="AX243" s="824"/>
      <c r="AY243" s="824"/>
      <c r="AZ243" s="824"/>
      <c r="BA243" s="824"/>
      <c r="BB243" s="824"/>
      <c r="BC243" s="824"/>
      <c r="BD243" s="824"/>
      <c r="BE243" s="824"/>
      <c r="BF243" s="824"/>
      <c r="BG243" s="824"/>
      <c r="BH243" s="824"/>
      <c r="BI243" s="824"/>
      <c r="BJ243" s="824"/>
      <c r="BK243" s="824"/>
      <c r="BL243" s="824"/>
      <c r="BM243" s="824"/>
      <c r="BN243" s="824"/>
      <c r="BO243" s="824"/>
      <c r="BP243" s="824"/>
      <c r="BQ243" s="824"/>
      <c r="BR243" s="824"/>
      <c r="BS243" s="824"/>
      <c r="BT243" s="824"/>
      <c r="BU243" s="824"/>
      <c r="BV243" s="824"/>
      <c r="BW243" s="824"/>
      <c r="BX243" s="824"/>
      <c r="BY243" s="824"/>
      <c r="BZ243" s="824"/>
      <c r="CA243" s="824"/>
      <c r="CB243" s="824"/>
      <c r="CC243" s="824"/>
      <c r="CD243" s="824"/>
      <c r="CE243" s="824"/>
      <c r="CF243" s="824"/>
      <c r="CG243" s="824"/>
      <c r="CH243" s="824"/>
      <c r="CI243" s="824"/>
      <c r="CJ243" s="824"/>
      <c r="CK243" s="824"/>
      <c r="CL243" s="824"/>
      <c r="CM243" s="824"/>
      <c r="CN243" s="824"/>
      <c r="CO243" s="824"/>
      <c r="CP243" s="824"/>
      <c r="CQ243" s="824"/>
      <c r="CR243" s="824"/>
      <c r="CS243" s="824"/>
      <c r="CT243" s="824"/>
      <c r="CU243" s="824"/>
      <c r="CV243" s="824"/>
      <c r="CW243" s="824"/>
      <c r="CX243" s="824"/>
      <c r="CY243" s="824"/>
      <c r="CZ243" s="824"/>
      <c r="DA243" s="824"/>
      <c r="DB243" s="824"/>
      <c r="DC243" s="824"/>
      <c r="DD243" s="824"/>
      <c r="DE243" s="824"/>
      <c r="DF243" s="824"/>
      <c r="DG243" s="824"/>
      <c r="DH243" s="824"/>
      <c r="DI243" s="824"/>
      <c r="DJ243" s="824"/>
      <c r="DK243" s="824"/>
      <c r="DL243" s="824"/>
      <c r="DM243" s="824"/>
      <c r="DN243" s="824"/>
      <c r="DO243" s="824"/>
      <c r="DP243" s="824"/>
      <c r="DQ243" s="824"/>
      <c r="DR243" s="824"/>
      <c r="DS243" s="824"/>
      <c r="DT243" s="824"/>
      <c r="DU243" s="824"/>
      <c r="DV243" s="824"/>
      <c r="DW243" s="824"/>
      <c r="DX243" s="824"/>
      <c r="DY243" s="824"/>
      <c r="DZ243" s="824"/>
      <c r="EA243" s="824"/>
      <c r="EB243" s="824"/>
      <c r="EC243" s="824"/>
      <c r="ED243" s="824"/>
      <c r="EE243" s="824"/>
      <c r="EF243" s="824"/>
      <c r="EG243" s="824"/>
      <c r="EH243" s="824"/>
      <c r="EI243" s="824"/>
      <c r="EJ243" s="824"/>
      <c r="EK243" s="824"/>
      <c r="EL243" s="824"/>
      <c r="EM243" s="824"/>
      <c r="EN243" s="824"/>
      <c r="EO243" s="824"/>
      <c r="EP243" s="824"/>
      <c r="EQ243" s="824"/>
      <c r="ER243" s="824"/>
      <c r="ES243" s="824"/>
      <c r="ET243" s="824"/>
      <c r="EU243" s="824"/>
      <c r="EV243" s="824"/>
      <c r="EW243" s="824"/>
      <c r="EX243" s="824"/>
      <c r="EY243" s="824"/>
      <c r="EZ243" s="824"/>
      <c r="FA243" s="824"/>
      <c r="FB243" s="824"/>
      <c r="FC243" s="824"/>
      <c r="FD243" s="824"/>
      <c r="FE243" s="824"/>
      <c r="FF243" s="824"/>
      <c r="FG243" s="824"/>
      <c r="FH243" s="824"/>
      <c r="FI243" s="824"/>
      <c r="FJ243" s="824"/>
      <c r="FK243" s="824"/>
      <c r="FL243" s="824"/>
      <c r="FM243" s="824"/>
      <c r="FN243" s="824"/>
      <c r="FO243" s="824"/>
      <c r="FP243" s="824"/>
      <c r="FQ243" s="824"/>
      <c r="FR243" s="824"/>
      <c r="FS243" s="824"/>
      <c r="FT243" s="824"/>
      <c r="FU243" s="824"/>
      <c r="FV243" s="824"/>
      <c r="FW243" s="824"/>
      <c r="FX243" s="824"/>
      <c r="FY243" s="824"/>
      <c r="FZ243" s="824"/>
      <c r="GA243" s="824"/>
      <c r="GB243" s="824"/>
      <c r="GC243" s="824"/>
      <c r="GD243" s="824"/>
      <c r="GE243" s="824"/>
      <c r="GF243" s="824"/>
      <c r="GG243" s="824"/>
      <c r="GH243" s="824"/>
      <c r="GI243" s="824"/>
      <c r="GJ243" s="824"/>
      <c r="GK243" s="824"/>
      <c r="GL243" s="824"/>
      <c r="GM243" s="824"/>
      <c r="GN243" s="824"/>
      <c r="GO243" s="824"/>
      <c r="GP243" s="824"/>
      <c r="GQ243" s="824"/>
      <c r="GR243" s="824"/>
      <c r="GS243" s="824"/>
      <c r="GT243" s="824"/>
      <c r="GU243" s="824"/>
      <c r="GV243" s="824"/>
      <c r="GW243" s="824"/>
      <c r="GX243" s="824"/>
      <c r="GY243" s="824"/>
      <c r="GZ243" s="824"/>
      <c r="HA243" s="824"/>
      <c r="HB243" s="824"/>
      <c r="HC243" s="824"/>
      <c r="HD243" s="824"/>
      <c r="HE243" s="824"/>
      <c r="HF243" s="824"/>
      <c r="HG243" s="824"/>
      <c r="HH243" s="824"/>
      <c r="HI243" s="824"/>
      <c r="HJ243" s="824"/>
      <c r="HK243" s="824"/>
      <c r="HL243" s="824"/>
      <c r="HM243" s="824"/>
      <c r="HN243" s="824"/>
      <c r="HO243" s="824"/>
      <c r="HP243" s="824"/>
      <c r="HQ243" s="824"/>
      <c r="HR243" s="824"/>
      <c r="HS243" s="824"/>
      <c r="HT243" s="824"/>
      <c r="HU243" s="824"/>
      <c r="HV243" s="824"/>
      <c r="HW243" s="824"/>
      <c r="HX243" s="824"/>
      <c r="HY243" s="824"/>
      <c r="HZ243" s="824"/>
      <c r="IA243" s="824"/>
      <c r="IB243" s="824"/>
      <c r="IC243" s="824"/>
      <c r="ID243" s="824"/>
      <c r="IE243" s="824"/>
      <c r="IF243" s="824"/>
      <c r="IG243" s="824"/>
      <c r="IH243" s="824"/>
      <c r="II243" s="824"/>
      <c r="IJ243" s="824"/>
      <c r="IK243" s="824"/>
      <c r="IL243" s="824"/>
      <c r="IM243" s="824"/>
      <c r="IN243" s="824"/>
      <c r="IO243" s="824"/>
      <c r="IP243" s="824"/>
      <c r="IQ243" s="824"/>
      <c r="IR243" s="824"/>
      <c r="IS243" s="824"/>
      <c r="IT243" s="824"/>
      <c r="IU243" s="824"/>
      <c r="IV243" s="824"/>
      <c r="IW243" s="824"/>
      <c r="IX243" s="824"/>
      <c r="IY243" s="824"/>
      <c r="IZ243" s="824"/>
      <c r="JA243" s="824"/>
      <c r="JB243" s="824"/>
      <c r="JC243" s="824"/>
      <c r="JD243" s="824"/>
      <c r="JE243" s="824"/>
      <c r="JF243" s="824"/>
      <c r="JG243" s="824"/>
      <c r="JH243" s="824"/>
      <c r="JI243" s="824"/>
      <c r="JJ243" s="824"/>
      <c r="JK243" s="824"/>
      <c r="JL243" s="824"/>
      <c r="JM243" s="824"/>
      <c r="JN243" s="824"/>
      <c r="JO243" s="824"/>
      <c r="JP243" s="824"/>
      <c r="JQ243" s="824"/>
      <c r="JR243" s="824"/>
      <c r="JS243" s="824"/>
      <c r="JT243" s="824"/>
      <c r="JU243" s="824"/>
      <c r="JV243" s="824"/>
      <c r="JW243" s="824"/>
      <c r="JX243" s="824"/>
      <c r="JY243" s="824"/>
      <c r="JZ243" s="824"/>
      <c r="KA243" s="824"/>
      <c r="KB243" s="824"/>
      <c r="KC243" s="824"/>
      <c r="KD243" s="824"/>
      <c r="KE243" s="824"/>
      <c r="KF243" s="824"/>
      <c r="KG243" s="824"/>
      <c r="KH243" s="824"/>
      <c r="KI243" s="824"/>
      <c r="KJ243" s="824"/>
      <c r="KK243" s="824"/>
      <c r="KL243" s="824"/>
      <c r="KM243" s="824"/>
      <c r="KN243" s="824"/>
      <c r="KO243" s="824"/>
      <c r="KP243" s="824"/>
      <c r="KQ243" s="824"/>
      <c r="KR243" s="824"/>
      <c r="KS243" s="824"/>
      <c r="KT243" s="824"/>
      <c r="KU243" s="824"/>
      <c r="KV243" s="824"/>
      <c r="KW243" s="824"/>
      <c r="KX243" s="824"/>
      <c r="KY243" s="824"/>
      <c r="KZ243" s="824"/>
      <c r="LA243" s="824"/>
      <c r="LB243" s="824"/>
      <c r="LC243" s="824"/>
      <c r="LD243" s="824"/>
      <c r="LE243" s="824"/>
      <c r="LF243" s="824"/>
      <c r="LG243" s="824"/>
      <c r="LH243" s="824"/>
      <c r="LI243" s="824"/>
      <c r="LJ243" s="824"/>
      <c r="LK243" s="824"/>
      <c r="LL243" s="824"/>
      <c r="LM243" s="824"/>
      <c r="LN243" s="824"/>
      <c r="LO243" s="824"/>
      <c r="LP243" s="824"/>
      <c r="LQ243" s="824"/>
      <c r="LR243" s="824"/>
      <c r="LS243" s="824"/>
      <c r="LT243" s="824"/>
      <c r="LU243" s="824"/>
      <c r="LV243" s="824"/>
      <c r="LW243" s="824"/>
      <c r="LX243" s="824"/>
      <c r="LY243" s="824"/>
      <c r="LZ243" s="824"/>
      <c r="MA243" s="824"/>
      <c r="MB243" s="824"/>
      <c r="MC243" s="824"/>
      <c r="MD243" s="824"/>
      <c r="ME243" s="824"/>
      <c r="MF243" s="824"/>
      <c r="MG243" s="824"/>
      <c r="MH243" s="824"/>
      <c r="MI243" s="824"/>
      <c r="MJ243" s="824"/>
      <c r="MK243" s="824"/>
      <c r="ML243" s="824"/>
      <c r="MM243" s="824"/>
      <c r="MN243" s="824"/>
      <c r="MO243" s="824"/>
      <c r="MP243" s="824"/>
      <c r="MQ243" s="824"/>
      <c r="MR243" s="824"/>
      <c r="MS243" s="824"/>
      <c r="MT243" s="824"/>
      <c r="MU243" s="824"/>
      <c r="MV243" s="824"/>
      <c r="MW243" s="824"/>
      <c r="MX243" s="824"/>
      <c r="MY243" s="824"/>
      <c r="MZ243" s="824"/>
      <c r="NA243" s="824"/>
      <c r="NB243" s="824"/>
      <c r="NC243" s="824"/>
      <c r="ND243" s="824"/>
      <c r="NE243" s="824"/>
      <c r="NF243" s="824"/>
      <c r="NG243" s="824"/>
      <c r="NH243" s="824"/>
      <c r="NI243" s="824"/>
      <c r="NJ243" s="824"/>
      <c r="NK243" s="824"/>
      <c r="NL243" s="824"/>
      <c r="NM243" s="824"/>
      <c r="NN243" s="824"/>
      <c r="NO243" s="824"/>
      <c r="NP243" s="824"/>
      <c r="NQ243" s="824"/>
      <c r="NR243" s="824"/>
      <c r="NS243" s="824"/>
      <c r="NT243" s="824"/>
      <c r="NU243" s="824"/>
      <c r="NV243" s="824"/>
      <c r="NW243" s="824"/>
      <c r="NX243" s="824"/>
      <c r="NY243" s="824"/>
      <c r="NZ243" s="824"/>
      <c r="OA243" s="824"/>
      <c r="OB243" s="824"/>
      <c r="OC243" s="824"/>
      <c r="OD243" s="824"/>
      <c r="OE243" s="824"/>
      <c r="OF243" s="824"/>
      <c r="OG243" s="824"/>
      <c r="OH243" s="824"/>
      <c r="OI243" s="824"/>
      <c r="OJ243" s="824"/>
      <c r="OK243" s="824"/>
      <c r="OL243" s="824"/>
      <c r="OM243" s="824"/>
      <c r="ON243" s="824"/>
      <c r="OO243" s="824"/>
      <c r="OP243" s="824"/>
      <c r="OQ243" s="824"/>
      <c r="OR243" s="824"/>
      <c r="OS243" s="824"/>
      <c r="OT243" s="824"/>
      <c r="OU243" s="824"/>
      <c r="OV243" s="824"/>
      <c r="OW243" s="824"/>
      <c r="OX243" s="824"/>
      <c r="OY243" s="824"/>
      <c r="OZ243" s="824"/>
      <c r="PA243" s="824"/>
      <c r="PB243" s="824"/>
      <c r="PC243" s="824"/>
      <c r="PD243" s="824"/>
      <c r="PE243" s="824"/>
      <c r="PF243" s="824"/>
      <c r="PG243" s="824"/>
      <c r="PH243" s="824"/>
      <c r="PI243" s="824"/>
      <c r="PJ243" s="824"/>
      <c r="PK243" s="824"/>
      <c r="PL243" s="824"/>
      <c r="PM243" s="824"/>
      <c r="PN243" s="824"/>
      <c r="PO243" s="824"/>
      <c r="PP243" s="824"/>
      <c r="PQ243" s="824"/>
      <c r="PR243" s="824"/>
      <c r="PS243" s="824"/>
      <c r="PT243" s="824"/>
      <c r="PU243" s="824"/>
      <c r="PV243" s="824"/>
      <c r="PW243" s="824"/>
      <c r="PX243" s="824"/>
      <c r="PY243" s="824"/>
      <c r="PZ243" s="824"/>
      <c r="QA243" s="824"/>
      <c r="QB243" s="824"/>
      <c r="QC243" s="824"/>
      <c r="QD243" s="824"/>
      <c r="QE243" s="824"/>
      <c r="QF243" s="824"/>
      <c r="QG243" s="824"/>
      <c r="QH243" s="824"/>
      <c r="QI243" s="824"/>
      <c r="QJ243" s="824"/>
      <c r="QK243" s="824"/>
      <c r="QL243" s="824"/>
      <c r="QM243" s="824"/>
      <c r="QN243" s="824"/>
      <c r="QO243" s="824"/>
      <c r="QP243" s="824"/>
      <c r="QQ243" s="824"/>
      <c r="QR243" s="824"/>
      <c r="QS243" s="824"/>
      <c r="QT243" s="824"/>
      <c r="QU243" s="824"/>
      <c r="QV243" s="824"/>
      <c r="QW243" s="824"/>
      <c r="QX243" s="824"/>
      <c r="QY243" s="824"/>
      <c r="QZ243" s="824"/>
      <c r="RA243" s="824"/>
      <c r="RB243" s="824"/>
      <c r="RC243" s="824"/>
      <c r="RD243" s="824"/>
      <c r="RE243" s="824"/>
      <c r="RF243" s="824"/>
      <c r="RG243" s="824"/>
      <c r="RH243" s="824"/>
      <c r="RI243" s="824"/>
      <c r="RJ243" s="824"/>
      <c r="RK243" s="824"/>
      <c r="RL243" s="824"/>
      <c r="RM243" s="824"/>
      <c r="RN243" s="824"/>
      <c r="RO243" s="824"/>
      <c r="RP243" s="824"/>
      <c r="RQ243" s="824"/>
      <c r="RR243" s="824"/>
      <c r="RS243" s="824"/>
      <c r="RT243" s="824"/>
      <c r="RU243" s="824"/>
      <c r="RV243" s="824"/>
      <c r="RW243" s="824"/>
      <c r="RX243" s="824"/>
      <c r="RY243" s="824"/>
      <c r="RZ243" s="824"/>
      <c r="SA243" s="824"/>
      <c r="SB243" s="824"/>
      <c r="SC243" s="824"/>
      <c r="SD243" s="824"/>
      <c r="SE243" s="824"/>
      <c r="SF243" s="824"/>
      <c r="SG243" s="824"/>
      <c r="SH243" s="824"/>
      <c r="SI243" s="824"/>
      <c r="SJ243" s="824"/>
      <c r="SK243" s="824"/>
      <c r="SL243" s="824"/>
      <c r="SM243" s="824"/>
      <c r="SN243" s="824"/>
      <c r="SO243" s="824"/>
      <c r="SP243" s="824"/>
      <c r="SQ243" s="824"/>
      <c r="SR243" s="824"/>
      <c r="SS243" s="824"/>
      <c r="ST243" s="824"/>
      <c r="SU243" s="824"/>
      <c r="SV243" s="824"/>
      <c r="SW243" s="824"/>
      <c r="SX243" s="824"/>
      <c r="SY243" s="824"/>
      <c r="SZ243" s="824"/>
      <c r="TA243" s="824"/>
      <c r="TB243" s="824"/>
      <c r="TC243" s="824"/>
      <c r="TD243" s="824"/>
      <c r="TE243" s="824"/>
      <c r="TF243" s="824"/>
      <c r="TG243" s="824"/>
      <c r="TH243" s="824"/>
      <c r="TI243" s="824"/>
      <c r="TJ243" s="824"/>
      <c r="TK243" s="824"/>
      <c r="TL243" s="824"/>
      <c r="TM243" s="824"/>
      <c r="TN243" s="824"/>
      <c r="TO243" s="824"/>
      <c r="TP243" s="824"/>
      <c r="TQ243" s="824"/>
      <c r="TR243" s="824"/>
      <c r="TS243" s="824"/>
      <c r="TT243" s="824"/>
      <c r="TU243" s="824"/>
      <c r="TV243" s="824"/>
      <c r="TW243" s="824"/>
      <c r="TX243" s="824"/>
      <c r="TY243" s="824"/>
      <c r="TZ243" s="824"/>
      <c r="UA243" s="824"/>
      <c r="UB243" s="824"/>
      <c r="UC243" s="824"/>
      <c r="UD243" s="824"/>
      <c r="UE243" s="824"/>
      <c r="UF243" s="824"/>
      <c r="UG243" s="824"/>
      <c r="UH243" s="824"/>
      <c r="UI243" s="824"/>
      <c r="UJ243" s="824"/>
      <c r="UK243" s="824"/>
      <c r="UL243" s="824"/>
      <c r="UM243" s="824"/>
      <c r="UN243" s="824"/>
      <c r="UO243" s="824"/>
      <c r="UP243" s="824"/>
      <c r="UQ243" s="824"/>
      <c r="UR243" s="824"/>
      <c r="US243" s="824"/>
      <c r="UT243" s="824"/>
      <c r="UU243" s="824"/>
      <c r="UV243" s="824"/>
      <c r="UW243" s="824"/>
      <c r="UX243" s="824"/>
      <c r="UY243" s="824"/>
      <c r="UZ243" s="824"/>
      <c r="VA243" s="824"/>
      <c r="VB243" s="824"/>
      <c r="VC243" s="824"/>
      <c r="VD243" s="824"/>
      <c r="VE243" s="824"/>
      <c r="VF243" s="824"/>
      <c r="VG243" s="824"/>
      <c r="VH243" s="824"/>
      <c r="VI243" s="824"/>
      <c r="VJ243" s="824"/>
      <c r="VK243" s="824"/>
      <c r="VL243" s="824"/>
      <c r="VM243" s="824"/>
      <c r="VN243" s="824"/>
      <c r="VO243" s="824"/>
      <c r="VP243" s="824"/>
      <c r="VQ243" s="824"/>
      <c r="VR243" s="824"/>
      <c r="VS243" s="824"/>
      <c r="VT243" s="824"/>
      <c r="VU243" s="824"/>
      <c r="VV243" s="824"/>
      <c r="VW243" s="824"/>
      <c r="VX243" s="824"/>
      <c r="VY243" s="824"/>
      <c r="VZ243" s="824"/>
      <c r="WA243" s="824"/>
      <c r="WB243" s="824"/>
      <c r="WC243" s="824"/>
      <c r="WD243" s="824"/>
      <c r="WE243" s="824"/>
      <c r="WF243" s="824"/>
      <c r="WG243" s="824"/>
      <c r="WH243" s="824"/>
      <c r="WI243" s="824"/>
      <c r="WJ243" s="824"/>
      <c r="WK243" s="824"/>
      <c r="WL243" s="824"/>
      <c r="WM243" s="824"/>
      <c r="WN243" s="824"/>
      <c r="WO243" s="824"/>
      <c r="WP243" s="824"/>
      <c r="WQ243" s="824"/>
      <c r="WR243" s="824"/>
      <c r="WS243" s="824"/>
      <c r="WT243" s="824"/>
      <c r="WU243" s="824"/>
      <c r="WV243" s="824"/>
      <c r="WW243" s="824"/>
      <c r="WX243" s="824"/>
      <c r="WY243" s="824"/>
      <c r="WZ243" s="824"/>
      <c r="XA243" s="824"/>
      <c r="XB243" s="824"/>
      <c r="XC243" s="824"/>
      <c r="XD243" s="824"/>
      <c r="XE243" s="824"/>
      <c r="XF243" s="824"/>
      <c r="XG243" s="824"/>
      <c r="XH243" s="824"/>
      <c r="XI243" s="824"/>
      <c r="XJ243" s="824"/>
      <c r="XK243" s="824"/>
      <c r="XL243" s="824"/>
      <c r="XM243" s="824"/>
      <c r="XN243" s="824"/>
      <c r="XO243" s="824"/>
      <c r="XP243" s="824"/>
      <c r="XQ243" s="824"/>
      <c r="XR243" s="824"/>
      <c r="XS243" s="824"/>
      <c r="XT243" s="824"/>
      <c r="XU243" s="824"/>
      <c r="XV243" s="824"/>
      <c r="XW243" s="824"/>
      <c r="XX243" s="824"/>
      <c r="XY243" s="824"/>
      <c r="XZ243" s="824"/>
      <c r="YA243" s="824"/>
      <c r="YB243" s="824"/>
      <c r="YC243" s="824"/>
      <c r="YD243" s="824"/>
      <c r="YE243" s="824"/>
      <c r="YF243" s="824"/>
      <c r="YG243" s="824"/>
      <c r="YH243" s="824"/>
      <c r="YI243" s="824"/>
      <c r="YJ243" s="824"/>
      <c r="YK243" s="824"/>
      <c r="YL243" s="824"/>
      <c r="YM243" s="824"/>
      <c r="YN243" s="824"/>
      <c r="YO243" s="824"/>
      <c r="YP243" s="824"/>
      <c r="YQ243" s="824"/>
      <c r="YR243" s="824"/>
      <c r="YS243" s="824"/>
      <c r="YT243" s="824"/>
      <c r="YU243" s="824"/>
      <c r="YV243" s="824"/>
      <c r="YW243" s="824"/>
      <c r="YX243" s="824"/>
      <c r="YY243" s="824"/>
      <c r="YZ243" s="824"/>
      <c r="ZA243" s="824"/>
      <c r="ZB243" s="824"/>
      <c r="ZC243" s="824"/>
      <c r="ZD243" s="824"/>
      <c r="ZE243" s="824"/>
      <c r="ZF243" s="824"/>
      <c r="ZG243" s="824"/>
      <c r="ZH243" s="824"/>
      <c r="ZI243" s="824"/>
      <c r="ZJ243" s="824"/>
      <c r="ZK243" s="824"/>
      <c r="ZL243" s="824"/>
      <c r="ZM243" s="824"/>
      <c r="ZN243" s="824"/>
      <c r="ZO243" s="824"/>
      <c r="ZP243" s="824"/>
      <c r="ZQ243" s="824"/>
      <c r="ZR243" s="824"/>
      <c r="ZS243" s="824"/>
      <c r="ZT243" s="824"/>
      <c r="ZU243" s="824"/>
      <c r="ZV243" s="824"/>
      <c r="ZW243" s="824"/>
      <c r="ZX243" s="824"/>
      <c r="ZY243" s="824"/>
      <c r="ZZ243" s="824"/>
      <c r="AAA243" s="824"/>
      <c r="AAB243" s="824"/>
      <c r="AAC243" s="824"/>
      <c r="AAD243" s="824"/>
      <c r="AAE243" s="824"/>
      <c r="AAF243" s="824"/>
      <c r="AAG243" s="824"/>
      <c r="AAH243" s="824"/>
      <c r="AAI243" s="824"/>
      <c r="AAJ243" s="824"/>
      <c r="AAK243" s="824"/>
      <c r="AAL243" s="824"/>
      <c r="AAM243" s="824"/>
      <c r="AAN243" s="824"/>
      <c r="AAO243" s="824"/>
      <c r="AAP243" s="824"/>
      <c r="AAQ243" s="824"/>
      <c r="AAR243" s="824"/>
      <c r="AAS243" s="824"/>
      <c r="AAT243" s="824"/>
      <c r="AAU243" s="824"/>
      <c r="AAV243" s="824"/>
      <c r="AAW243" s="824"/>
      <c r="AAX243" s="824"/>
      <c r="AAY243" s="824"/>
      <c r="AAZ243" s="824"/>
      <c r="ABA243" s="824"/>
      <c r="ABB243" s="824"/>
      <c r="ABC243" s="824"/>
      <c r="ABD243" s="824"/>
      <c r="ABE243" s="824"/>
      <c r="ABF243" s="824"/>
      <c r="ABG243" s="824"/>
      <c r="ABH243" s="824"/>
      <c r="ABI243" s="824"/>
      <c r="ABJ243" s="824"/>
      <c r="ABK243" s="824"/>
      <c r="ABL243" s="824"/>
      <c r="ABM243" s="824"/>
      <c r="ABN243" s="824"/>
      <c r="ABO243" s="824"/>
      <c r="ABP243" s="824"/>
      <c r="ABQ243" s="824"/>
      <c r="ABR243" s="824"/>
      <c r="ABS243" s="824"/>
      <c r="ABT243" s="824"/>
      <c r="ABU243" s="824"/>
      <c r="ABV243" s="824"/>
      <c r="ABW243" s="824"/>
      <c r="ABX243" s="824"/>
      <c r="ABY243" s="824"/>
      <c r="ABZ243" s="824"/>
      <c r="ACA243" s="824"/>
      <c r="ACB243" s="824"/>
      <c r="ACC243" s="824"/>
      <c r="ACD243" s="824"/>
      <c r="ACE243" s="824"/>
      <c r="ACF243" s="824"/>
      <c r="ACG243" s="824"/>
      <c r="ACH243" s="824"/>
      <c r="ACI243" s="824"/>
      <c r="ACJ243" s="824"/>
      <c r="ACK243" s="824"/>
      <c r="ACL243" s="824"/>
      <c r="ACM243" s="824"/>
      <c r="ACN243" s="824"/>
      <c r="ACO243" s="824"/>
      <c r="ACP243" s="824"/>
      <c r="ACQ243" s="824"/>
      <c r="ACR243" s="824"/>
      <c r="ACS243" s="824"/>
      <c r="ACT243" s="824"/>
      <c r="ACU243" s="824"/>
      <c r="ACV243" s="824"/>
      <c r="ACW243" s="824"/>
      <c r="ACX243" s="824"/>
      <c r="ACY243" s="824"/>
      <c r="ACZ243" s="824"/>
      <c r="ADA243" s="824"/>
      <c r="ADB243" s="824"/>
      <c r="ADC243" s="824"/>
      <c r="ADD243" s="824"/>
      <c r="ADE243" s="824"/>
      <c r="ADF243" s="824"/>
      <c r="ADG243" s="824"/>
      <c r="ADH243" s="824"/>
      <c r="ADI243" s="824"/>
      <c r="ADJ243" s="824"/>
      <c r="ADK243" s="824"/>
      <c r="ADL243" s="824"/>
      <c r="ADM243" s="824"/>
      <c r="ADN243" s="824"/>
      <c r="ADO243" s="824"/>
      <c r="ADP243" s="824"/>
      <c r="ADQ243" s="824"/>
      <c r="ADR243" s="824"/>
      <c r="ADS243" s="824"/>
      <c r="ADT243" s="824"/>
      <c r="ADU243" s="824"/>
      <c r="ADV243" s="824"/>
      <c r="ADW243" s="824"/>
      <c r="ADX243" s="824"/>
      <c r="ADY243" s="824"/>
      <c r="ADZ243" s="824"/>
      <c r="AEA243" s="824"/>
      <c r="AEB243" s="824"/>
      <c r="AEC243" s="824"/>
      <c r="AED243" s="824"/>
      <c r="AEE243" s="824"/>
      <c r="AEF243" s="824"/>
      <c r="AEG243" s="824"/>
      <c r="AEH243" s="824"/>
      <c r="AEI243" s="824"/>
      <c r="AEJ243" s="824"/>
      <c r="AEK243" s="824"/>
      <c r="AEL243" s="824"/>
      <c r="AEM243" s="824"/>
      <c r="AEN243" s="824"/>
      <c r="AEO243" s="824"/>
      <c r="AEP243" s="824"/>
      <c r="AEQ243" s="824"/>
      <c r="AER243" s="824"/>
      <c r="AES243" s="824"/>
      <c r="AET243" s="824"/>
      <c r="AEU243" s="824"/>
      <c r="AEV243" s="824"/>
      <c r="AEW243" s="824"/>
      <c r="AEX243" s="824"/>
      <c r="AEY243" s="824"/>
      <c r="AEZ243" s="824"/>
      <c r="AFA243" s="824"/>
      <c r="AFB243" s="824"/>
      <c r="AFC243" s="824"/>
      <c r="AFD243" s="824"/>
      <c r="AFE243" s="824"/>
      <c r="AFF243" s="824"/>
      <c r="AFG243" s="824"/>
      <c r="AFH243" s="824"/>
      <c r="AFI243" s="824"/>
      <c r="AFJ243" s="824"/>
      <c r="AFK243" s="824"/>
      <c r="AFL243" s="824"/>
      <c r="AFM243" s="824"/>
      <c r="AFN243" s="824"/>
      <c r="AFO243" s="824"/>
      <c r="AFP243" s="824"/>
      <c r="AFQ243" s="824"/>
      <c r="AFR243" s="824"/>
      <c r="AFS243" s="824"/>
      <c r="AFT243" s="824"/>
      <c r="AFU243" s="824"/>
      <c r="AFV243" s="824"/>
      <c r="AFW243" s="824"/>
      <c r="AFX243" s="824"/>
      <c r="AFY243" s="824"/>
      <c r="AFZ243" s="824"/>
      <c r="AGA243" s="824"/>
      <c r="AGB243" s="824"/>
      <c r="AGC243" s="824"/>
      <c r="AGD243" s="824"/>
      <c r="AGE243" s="824"/>
      <c r="AGF243" s="824"/>
      <c r="AGG243" s="824"/>
      <c r="AGH243" s="824"/>
      <c r="AGI243" s="824"/>
      <c r="AGJ243" s="824"/>
    </row>
    <row r="244" spans="1:868" s="825" customFormat="1">
      <c r="A244" s="151" t="s">
        <v>183</v>
      </c>
      <c r="B244" s="34" t="s">
        <v>204</v>
      </c>
      <c r="C244" s="40" t="s">
        <v>139</v>
      </c>
      <c r="D244" s="34" t="s">
        <v>139</v>
      </c>
      <c r="E244" s="40">
        <v>2.7E-4</v>
      </c>
      <c r="F244" s="232">
        <v>2</v>
      </c>
      <c r="G244" s="40" t="s">
        <v>205</v>
      </c>
      <c r="H244" s="29">
        <v>1</v>
      </c>
      <c r="I244" s="9"/>
      <c r="J244" s="9">
        <v>1</v>
      </c>
      <c r="K244" s="9">
        <v>3</v>
      </c>
      <c r="L244" s="9">
        <v>3</v>
      </c>
      <c r="M244" s="9">
        <v>3</v>
      </c>
      <c r="N244" s="185">
        <f t="shared" si="17"/>
        <v>1.1181151966036349</v>
      </c>
      <c r="O244" s="159" t="str">
        <f t="shared" si="15"/>
        <v/>
      </c>
      <c r="P244" s="838"/>
      <c r="Q244" s="824"/>
      <c r="R244" s="824"/>
      <c r="S244" s="824"/>
      <c r="T244" s="824"/>
      <c r="U244" s="824"/>
      <c r="V244" s="824"/>
      <c r="W244" s="824"/>
      <c r="X244" s="824"/>
      <c r="Y244" s="824"/>
      <c r="Z244" s="824"/>
      <c r="AA244" s="824"/>
      <c r="AB244" s="824"/>
      <c r="AC244" s="824"/>
      <c r="AD244" s="824"/>
      <c r="AE244" s="824"/>
      <c r="AF244" s="824"/>
      <c r="AG244" s="824"/>
      <c r="AH244" s="824"/>
      <c r="AI244" s="824"/>
      <c r="AJ244" s="824"/>
      <c r="AK244" s="824"/>
      <c r="AL244" s="824"/>
      <c r="AM244" s="824"/>
      <c r="AN244" s="824"/>
      <c r="AO244" s="824"/>
      <c r="AP244" s="824"/>
      <c r="AQ244" s="824"/>
      <c r="AR244" s="824"/>
      <c r="AS244" s="824"/>
      <c r="AT244" s="824"/>
      <c r="AU244" s="824"/>
      <c r="AV244" s="824"/>
      <c r="AW244" s="824"/>
      <c r="AX244" s="824"/>
      <c r="AY244" s="824"/>
      <c r="AZ244" s="824"/>
      <c r="BA244" s="824"/>
      <c r="BB244" s="824"/>
      <c r="BC244" s="824"/>
      <c r="BD244" s="824"/>
      <c r="BE244" s="824"/>
      <c r="BF244" s="824"/>
      <c r="BG244" s="824"/>
      <c r="BH244" s="824"/>
      <c r="BI244" s="824"/>
      <c r="BJ244" s="824"/>
      <c r="BK244" s="824"/>
      <c r="BL244" s="824"/>
      <c r="BM244" s="824"/>
      <c r="BN244" s="824"/>
      <c r="BO244" s="824"/>
      <c r="BP244" s="824"/>
      <c r="BQ244" s="824"/>
      <c r="BR244" s="824"/>
      <c r="BS244" s="824"/>
      <c r="BT244" s="824"/>
      <c r="BU244" s="824"/>
      <c r="BV244" s="824"/>
      <c r="BW244" s="824"/>
      <c r="BX244" s="824"/>
      <c r="BY244" s="824"/>
      <c r="BZ244" s="824"/>
      <c r="CA244" s="824"/>
      <c r="CB244" s="824"/>
      <c r="CC244" s="824"/>
      <c r="CD244" s="824"/>
      <c r="CE244" s="824"/>
      <c r="CF244" s="824"/>
      <c r="CG244" s="824"/>
      <c r="CH244" s="824"/>
      <c r="CI244" s="824"/>
      <c r="CJ244" s="824"/>
      <c r="CK244" s="824"/>
      <c r="CL244" s="824"/>
      <c r="CM244" s="824"/>
      <c r="CN244" s="824"/>
      <c r="CO244" s="824"/>
      <c r="CP244" s="824"/>
      <c r="CQ244" s="824"/>
      <c r="CR244" s="824"/>
      <c r="CS244" s="824"/>
      <c r="CT244" s="824"/>
      <c r="CU244" s="824"/>
      <c r="CV244" s="824"/>
      <c r="CW244" s="824"/>
      <c r="CX244" s="824"/>
      <c r="CY244" s="824"/>
      <c r="CZ244" s="824"/>
      <c r="DA244" s="824"/>
      <c r="DB244" s="824"/>
      <c r="DC244" s="824"/>
      <c r="DD244" s="824"/>
      <c r="DE244" s="824"/>
      <c r="DF244" s="824"/>
      <c r="DG244" s="824"/>
      <c r="DH244" s="824"/>
      <c r="DI244" s="824"/>
      <c r="DJ244" s="824"/>
      <c r="DK244" s="824"/>
      <c r="DL244" s="824"/>
      <c r="DM244" s="824"/>
      <c r="DN244" s="824"/>
      <c r="DO244" s="824"/>
      <c r="DP244" s="824"/>
      <c r="DQ244" s="824"/>
      <c r="DR244" s="824"/>
      <c r="DS244" s="824"/>
      <c r="DT244" s="824"/>
      <c r="DU244" s="824"/>
      <c r="DV244" s="824"/>
      <c r="DW244" s="824"/>
      <c r="DX244" s="824"/>
      <c r="DY244" s="824"/>
      <c r="DZ244" s="824"/>
      <c r="EA244" s="824"/>
      <c r="EB244" s="824"/>
      <c r="EC244" s="824"/>
      <c r="ED244" s="824"/>
      <c r="EE244" s="824"/>
      <c r="EF244" s="824"/>
      <c r="EG244" s="824"/>
      <c r="EH244" s="824"/>
      <c r="EI244" s="824"/>
      <c r="EJ244" s="824"/>
      <c r="EK244" s="824"/>
      <c r="EL244" s="824"/>
      <c r="EM244" s="824"/>
      <c r="EN244" s="824"/>
      <c r="EO244" s="824"/>
      <c r="EP244" s="824"/>
      <c r="EQ244" s="824"/>
      <c r="ER244" s="824"/>
      <c r="ES244" s="824"/>
      <c r="ET244" s="824"/>
      <c r="EU244" s="824"/>
      <c r="EV244" s="824"/>
      <c r="EW244" s="824"/>
      <c r="EX244" s="824"/>
      <c r="EY244" s="824"/>
      <c r="EZ244" s="824"/>
      <c r="FA244" s="824"/>
      <c r="FB244" s="824"/>
      <c r="FC244" s="824"/>
      <c r="FD244" s="824"/>
      <c r="FE244" s="824"/>
      <c r="FF244" s="824"/>
      <c r="FG244" s="824"/>
      <c r="FH244" s="824"/>
      <c r="FI244" s="824"/>
      <c r="FJ244" s="824"/>
      <c r="FK244" s="824"/>
      <c r="FL244" s="824"/>
      <c r="FM244" s="824"/>
      <c r="FN244" s="824"/>
      <c r="FO244" s="824"/>
      <c r="FP244" s="824"/>
      <c r="FQ244" s="824"/>
      <c r="FR244" s="824"/>
      <c r="FS244" s="824"/>
      <c r="FT244" s="824"/>
      <c r="FU244" s="824"/>
      <c r="FV244" s="824"/>
      <c r="FW244" s="824"/>
      <c r="FX244" s="824"/>
      <c r="FY244" s="824"/>
      <c r="FZ244" s="824"/>
      <c r="GA244" s="824"/>
      <c r="GB244" s="824"/>
      <c r="GC244" s="824"/>
      <c r="GD244" s="824"/>
      <c r="GE244" s="824"/>
      <c r="GF244" s="824"/>
      <c r="GG244" s="824"/>
      <c r="GH244" s="824"/>
      <c r="GI244" s="824"/>
      <c r="GJ244" s="824"/>
      <c r="GK244" s="824"/>
      <c r="GL244" s="824"/>
      <c r="GM244" s="824"/>
      <c r="GN244" s="824"/>
      <c r="GO244" s="824"/>
      <c r="GP244" s="824"/>
      <c r="GQ244" s="824"/>
      <c r="GR244" s="824"/>
      <c r="GS244" s="824"/>
      <c r="GT244" s="824"/>
      <c r="GU244" s="824"/>
      <c r="GV244" s="824"/>
      <c r="GW244" s="824"/>
      <c r="GX244" s="824"/>
      <c r="GY244" s="824"/>
      <c r="GZ244" s="824"/>
      <c r="HA244" s="824"/>
      <c r="HB244" s="824"/>
      <c r="HC244" s="824"/>
      <c r="HD244" s="824"/>
      <c r="HE244" s="824"/>
      <c r="HF244" s="824"/>
      <c r="HG244" s="824"/>
      <c r="HH244" s="824"/>
      <c r="HI244" s="824"/>
      <c r="HJ244" s="824"/>
      <c r="HK244" s="824"/>
      <c r="HL244" s="824"/>
      <c r="HM244" s="824"/>
      <c r="HN244" s="824"/>
      <c r="HO244" s="824"/>
      <c r="HP244" s="824"/>
      <c r="HQ244" s="824"/>
      <c r="HR244" s="824"/>
      <c r="HS244" s="824"/>
      <c r="HT244" s="824"/>
      <c r="HU244" s="824"/>
      <c r="HV244" s="824"/>
      <c r="HW244" s="824"/>
      <c r="HX244" s="824"/>
      <c r="HY244" s="824"/>
      <c r="HZ244" s="824"/>
      <c r="IA244" s="824"/>
      <c r="IB244" s="824"/>
      <c r="IC244" s="824"/>
      <c r="ID244" s="824"/>
      <c r="IE244" s="824"/>
      <c r="IF244" s="824"/>
      <c r="IG244" s="824"/>
      <c r="IH244" s="824"/>
      <c r="II244" s="824"/>
      <c r="IJ244" s="824"/>
      <c r="IK244" s="824"/>
      <c r="IL244" s="824"/>
      <c r="IM244" s="824"/>
      <c r="IN244" s="824"/>
      <c r="IO244" s="824"/>
      <c r="IP244" s="824"/>
      <c r="IQ244" s="824"/>
      <c r="IR244" s="824"/>
      <c r="IS244" s="824"/>
      <c r="IT244" s="824"/>
      <c r="IU244" s="824"/>
      <c r="IV244" s="824"/>
      <c r="IW244" s="824"/>
      <c r="IX244" s="824"/>
      <c r="IY244" s="824"/>
      <c r="IZ244" s="824"/>
      <c r="JA244" s="824"/>
      <c r="JB244" s="824"/>
      <c r="JC244" s="824"/>
      <c r="JD244" s="824"/>
      <c r="JE244" s="824"/>
      <c r="JF244" s="824"/>
      <c r="JG244" s="824"/>
      <c r="JH244" s="824"/>
      <c r="JI244" s="824"/>
      <c r="JJ244" s="824"/>
      <c r="JK244" s="824"/>
      <c r="JL244" s="824"/>
      <c r="JM244" s="824"/>
      <c r="JN244" s="824"/>
      <c r="JO244" s="824"/>
      <c r="JP244" s="824"/>
      <c r="JQ244" s="824"/>
      <c r="JR244" s="824"/>
      <c r="JS244" s="824"/>
      <c r="JT244" s="824"/>
      <c r="JU244" s="824"/>
      <c r="JV244" s="824"/>
      <c r="JW244" s="824"/>
      <c r="JX244" s="824"/>
      <c r="JY244" s="824"/>
      <c r="JZ244" s="824"/>
      <c r="KA244" s="824"/>
      <c r="KB244" s="824"/>
      <c r="KC244" s="824"/>
      <c r="KD244" s="824"/>
      <c r="KE244" s="824"/>
      <c r="KF244" s="824"/>
      <c r="KG244" s="824"/>
      <c r="KH244" s="824"/>
      <c r="KI244" s="824"/>
      <c r="KJ244" s="824"/>
      <c r="KK244" s="824"/>
      <c r="KL244" s="824"/>
      <c r="KM244" s="824"/>
      <c r="KN244" s="824"/>
      <c r="KO244" s="824"/>
      <c r="KP244" s="824"/>
      <c r="KQ244" s="824"/>
      <c r="KR244" s="824"/>
      <c r="KS244" s="824"/>
      <c r="KT244" s="824"/>
      <c r="KU244" s="824"/>
      <c r="KV244" s="824"/>
      <c r="KW244" s="824"/>
      <c r="KX244" s="824"/>
      <c r="KY244" s="824"/>
      <c r="KZ244" s="824"/>
      <c r="LA244" s="824"/>
      <c r="LB244" s="824"/>
      <c r="LC244" s="824"/>
      <c r="LD244" s="824"/>
      <c r="LE244" s="824"/>
      <c r="LF244" s="824"/>
      <c r="LG244" s="824"/>
      <c r="LH244" s="824"/>
      <c r="LI244" s="824"/>
      <c r="LJ244" s="824"/>
      <c r="LK244" s="824"/>
      <c r="LL244" s="824"/>
      <c r="LM244" s="824"/>
      <c r="LN244" s="824"/>
      <c r="LO244" s="824"/>
      <c r="LP244" s="824"/>
      <c r="LQ244" s="824"/>
      <c r="LR244" s="824"/>
      <c r="LS244" s="824"/>
      <c r="LT244" s="824"/>
      <c r="LU244" s="824"/>
      <c r="LV244" s="824"/>
      <c r="LW244" s="824"/>
      <c r="LX244" s="824"/>
      <c r="LY244" s="824"/>
      <c r="LZ244" s="824"/>
      <c r="MA244" s="824"/>
      <c r="MB244" s="824"/>
      <c r="MC244" s="824"/>
      <c r="MD244" s="824"/>
      <c r="ME244" s="824"/>
      <c r="MF244" s="824"/>
      <c r="MG244" s="824"/>
      <c r="MH244" s="824"/>
      <c r="MI244" s="824"/>
      <c r="MJ244" s="824"/>
      <c r="MK244" s="824"/>
      <c r="ML244" s="824"/>
      <c r="MM244" s="824"/>
      <c r="MN244" s="824"/>
      <c r="MO244" s="824"/>
      <c r="MP244" s="824"/>
      <c r="MQ244" s="824"/>
      <c r="MR244" s="824"/>
      <c r="MS244" s="824"/>
      <c r="MT244" s="824"/>
      <c r="MU244" s="824"/>
      <c r="MV244" s="824"/>
      <c r="MW244" s="824"/>
      <c r="MX244" s="824"/>
      <c r="MY244" s="824"/>
      <c r="MZ244" s="824"/>
      <c r="NA244" s="824"/>
      <c r="NB244" s="824"/>
      <c r="NC244" s="824"/>
      <c r="ND244" s="824"/>
      <c r="NE244" s="824"/>
      <c r="NF244" s="824"/>
      <c r="NG244" s="824"/>
      <c r="NH244" s="824"/>
      <c r="NI244" s="824"/>
      <c r="NJ244" s="824"/>
      <c r="NK244" s="824"/>
      <c r="NL244" s="824"/>
      <c r="NM244" s="824"/>
      <c r="NN244" s="824"/>
      <c r="NO244" s="824"/>
      <c r="NP244" s="824"/>
      <c r="NQ244" s="824"/>
      <c r="NR244" s="824"/>
      <c r="NS244" s="824"/>
      <c r="NT244" s="824"/>
      <c r="NU244" s="824"/>
      <c r="NV244" s="824"/>
      <c r="NW244" s="824"/>
      <c r="NX244" s="824"/>
      <c r="NY244" s="824"/>
      <c r="NZ244" s="824"/>
      <c r="OA244" s="824"/>
      <c r="OB244" s="824"/>
      <c r="OC244" s="824"/>
      <c r="OD244" s="824"/>
      <c r="OE244" s="824"/>
      <c r="OF244" s="824"/>
      <c r="OG244" s="824"/>
      <c r="OH244" s="824"/>
      <c r="OI244" s="824"/>
      <c r="OJ244" s="824"/>
      <c r="OK244" s="824"/>
      <c r="OL244" s="824"/>
      <c r="OM244" s="824"/>
      <c r="ON244" s="824"/>
      <c r="OO244" s="824"/>
      <c r="OP244" s="824"/>
      <c r="OQ244" s="824"/>
      <c r="OR244" s="824"/>
      <c r="OS244" s="824"/>
      <c r="OT244" s="824"/>
      <c r="OU244" s="824"/>
      <c r="OV244" s="824"/>
      <c r="OW244" s="824"/>
      <c r="OX244" s="824"/>
      <c r="OY244" s="824"/>
      <c r="OZ244" s="824"/>
      <c r="PA244" s="824"/>
      <c r="PB244" s="824"/>
      <c r="PC244" s="824"/>
      <c r="PD244" s="824"/>
      <c r="PE244" s="824"/>
      <c r="PF244" s="824"/>
      <c r="PG244" s="824"/>
      <c r="PH244" s="824"/>
      <c r="PI244" s="824"/>
      <c r="PJ244" s="824"/>
      <c r="PK244" s="824"/>
      <c r="PL244" s="824"/>
      <c r="PM244" s="824"/>
      <c r="PN244" s="824"/>
      <c r="PO244" s="824"/>
      <c r="PP244" s="824"/>
      <c r="PQ244" s="824"/>
      <c r="PR244" s="824"/>
      <c r="PS244" s="824"/>
      <c r="PT244" s="824"/>
      <c r="PU244" s="824"/>
      <c r="PV244" s="824"/>
      <c r="PW244" s="824"/>
      <c r="PX244" s="824"/>
      <c r="PY244" s="824"/>
      <c r="PZ244" s="824"/>
      <c r="QA244" s="824"/>
      <c r="QB244" s="824"/>
      <c r="QC244" s="824"/>
      <c r="QD244" s="824"/>
      <c r="QE244" s="824"/>
      <c r="QF244" s="824"/>
      <c r="QG244" s="824"/>
      <c r="QH244" s="824"/>
      <c r="QI244" s="824"/>
      <c r="QJ244" s="824"/>
      <c r="QK244" s="824"/>
      <c r="QL244" s="824"/>
      <c r="QM244" s="824"/>
      <c r="QN244" s="824"/>
      <c r="QO244" s="824"/>
      <c r="QP244" s="824"/>
      <c r="QQ244" s="824"/>
      <c r="QR244" s="824"/>
      <c r="QS244" s="824"/>
      <c r="QT244" s="824"/>
      <c r="QU244" s="824"/>
      <c r="QV244" s="824"/>
      <c r="QW244" s="824"/>
      <c r="QX244" s="824"/>
      <c r="QY244" s="824"/>
      <c r="QZ244" s="824"/>
      <c r="RA244" s="824"/>
      <c r="RB244" s="824"/>
      <c r="RC244" s="824"/>
      <c r="RD244" s="824"/>
      <c r="RE244" s="824"/>
      <c r="RF244" s="824"/>
      <c r="RG244" s="824"/>
      <c r="RH244" s="824"/>
      <c r="RI244" s="824"/>
      <c r="RJ244" s="824"/>
      <c r="RK244" s="824"/>
      <c r="RL244" s="824"/>
      <c r="RM244" s="824"/>
      <c r="RN244" s="824"/>
      <c r="RO244" s="824"/>
      <c r="RP244" s="824"/>
      <c r="RQ244" s="824"/>
      <c r="RR244" s="824"/>
      <c r="RS244" s="824"/>
      <c r="RT244" s="824"/>
      <c r="RU244" s="824"/>
      <c r="RV244" s="824"/>
      <c r="RW244" s="824"/>
      <c r="RX244" s="824"/>
      <c r="RY244" s="824"/>
      <c r="RZ244" s="824"/>
      <c r="SA244" s="824"/>
      <c r="SB244" s="824"/>
      <c r="SC244" s="824"/>
      <c r="SD244" s="824"/>
      <c r="SE244" s="824"/>
      <c r="SF244" s="824"/>
      <c r="SG244" s="824"/>
      <c r="SH244" s="824"/>
      <c r="SI244" s="824"/>
      <c r="SJ244" s="824"/>
      <c r="SK244" s="824"/>
      <c r="SL244" s="824"/>
      <c r="SM244" s="824"/>
      <c r="SN244" s="824"/>
      <c r="SO244" s="824"/>
      <c r="SP244" s="824"/>
      <c r="SQ244" s="824"/>
      <c r="SR244" s="824"/>
      <c r="SS244" s="824"/>
      <c r="ST244" s="824"/>
      <c r="SU244" s="824"/>
      <c r="SV244" s="824"/>
      <c r="SW244" s="824"/>
      <c r="SX244" s="824"/>
      <c r="SY244" s="824"/>
      <c r="SZ244" s="824"/>
      <c r="TA244" s="824"/>
      <c r="TB244" s="824"/>
      <c r="TC244" s="824"/>
      <c r="TD244" s="824"/>
      <c r="TE244" s="824"/>
      <c r="TF244" s="824"/>
      <c r="TG244" s="824"/>
      <c r="TH244" s="824"/>
      <c r="TI244" s="824"/>
      <c r="TJ244" s="824"/>
      <c r="TK244" s="824"/>
      <c r="TL244" s="824"/>
      <c r="TM244" s="824"/>
      <c r="TN244" s="824"/>
      <c r="TO244" s="824"/>
      <c r="TP244" s="824"/>
      <c r="TQ244" s="824"/>
      <c r="TR244" s="824"/>
      <c r="TS244" s="824"/>
      <c r="TT244" s="824"/>
      <c r="TU244" s="824"/>
      <c r="TV244" s="824"/>
      <c r="TW244" s="824"/>
      <c r="TX244" s="824"/>
      <c r="TY244" s="824"/>
      <c r="TZ244" s="824"/>
      <c r="UA244" s="824"/>
      <c r="UB244" s="824"/>
      <c r="UC244" s="824"/>
      <c r="UD244" s="824"/>
      <c r="UE244" s="824"/>
      <c r="UF244" s="824"/>
      <c r="UG244" s="824"/>
      <c r="UH244" s="824"/>
      <c r="UI244" s="824"/>
      <c r="UJ244" s="824"/>
      <c r="UK244" s="824"/>
      <c r="UL244" s="824"/>
      <c r="UM244" s="824"/>
      <c r="UN244" s="824"/>
      <c r="UO244" s="824"/>
      <c r="UP244" s="824"/>
      <c r="UQ244" s="824"/>
      <c r="UR244" s="824"/>
      <c r="US244" s="824"/>
      <c r="UT244" s="824"/>
      <c r="UU244" s="824"/>
      <c r="UV244" s="824"/>
      <c r="UW244" s="824"/>
      <c r="UX244" s="824"/>
      <c r="UY244" s="824"/>
      <c r="UZ244" s="824"/>
      <c r="VA244" s="824"/>
      <c r="VB244" s="824"/>
      <c r="VC244" s="824"/>
      <c r="VD244" s="824"/>
      <c r="VE244" s="824"/>
      <c r="VF244" s="824"/>
      <c r="VG244" s="824"/>
      <c r="VH244" s="824"/>
      <c r="VI244" s="824"/>
      <c r="VJ244" s="824"/>
      <c r="VK244" s="824"/>
      <c r="VL244" s="824"/>
      <c r="VM244" s="824"/>
      <c r="VN244" s="824"/>
      <c r="VO244" s="824"/>
      <c r="VP244" s="824"/>
      <c r="VQ244" s="824"/>
      <c r="VR244" s="824"/>
      <c r="VS244" s="824"/>
      <c r="VT244" s="824"/>
      <c r="VU244" s="824"/>
      <c r="VV244" s="824"/>
      <c r="VW244" s="824"/>
      <c r="VX244" s="824"/>
      <c r="VY244" s="824"/>
      <c r="VZ244" s="824"/>
      <c r="WA244" s="824"/>
      <c r="WB244" s="824"/>
      <c r="WC244" s="824"/>
      <c r="WD244" s="824"/>
      <c r="WE244" s="824"/>
      <c r="WF244" s="824"/>
      <c r="WG244" s="824"/>
      <c r="WH244" s="824"/>
      <c r="WI244" s="824"/>
      <c r="WJ244" s="824"/>
      <c r="WK244" s="824"/>
      <c r="WL244" s="824"/>
      <c r="WM244" s="824"/>
      <c r="WN244" s="824"/>
      <c r="WO244" s="824"/>
      <c r="WP244" s="824"/>
      <c r="WQ244" s="824"/>
      <c r="WR244" s="824"/>
      <c r="WS244" s="824"/>
      <c r="WT244" s="824"/>
      <c r="WU244" s="824"/>
      <c r="WV244" s="824"/>
      <c r="WW244" s="824"/>
      <c r="WX244" s="824"/>
      <c r="WY244" s="824"/>
      <c r="WZ244" s="824"/>
      <c r="XA244" s="824"/>
      <c r="XB244" s="824"/>
      <c r="XC244" s="824"/>
      <c r="XD244" s="824"/>
      <c r="XE244" s="824"/>
      <c r="XF244" s="824"/>
      <c r="XG244" s="824"/>
      <c r="XH244" s="824"/>
      <c r="XI244" s="824"/>
      <c r="XJ244" s="824"/>
      <c r="XK244" s="824"/>
      <c r="XL244" s="824"/>
      <c r="XM244" s="824"/>
      <c r="XN244" s="824"/>
      <c r="XO244" s="824"/>
      <c r="XP244" s="824"/>
      <c r="XQ244" s="824"/>
      <c r="XR244" s="824"/>
      <c r="XS244" s="824"/>
      <c r="XT244" s="824"/>
      <c r="XU244" s="824"/>
      <c r="XV244" s="824"/>
      <c r="XW244" s="824"/>
      <c r="XX244" s="824"/>
      <c r="XY244" s="824"/>
      <c r="XZ244" s="824"/>
      <c r="YA244" s="824"/>
      <c r="YB244" s="824"/>
      <c r="YC244" s="824"/>
      <c r="YD244" s="824"/>
      <c r="YE244" s="824"/>
      <c r="YF244" s="824"/>
      <c r="YG244" s="824"/>
      <c r="YH244" s="824"/>
      <c r="YI244" s="824"/>
      <c r="YJ244" s="824"/>
      <c r="YK244" s="824"/>
      <c r="YL244" s="824"/>
      <c r="YM244" s="824"/>
      <c r="YN244" s="824"/>
      <c r="YO244" s="824"/>
      <c r="YP244" s="824"/>
      <c r="YQ244" s="824"/>
      <c r="YR244" s="824"/>
      <c r="YS244" s="824"/>
      <c r="YT244" s="824"/>
      <c r="YU244" s="824"/>
      <c r="YV244" s="824"/>
      <c r="YW244" s="824"/>
      <c r="YX244" s="824"/>
      <c r="YY244" s="824"/>
      <c r="YZ244" s="824"/>
      <c r="ZA244" s="824"/>
      <c r="ZB244" s="824"/>
      <c r="ZC244" s="824"/>
      <c r="ZD244" s="824"/>
      <c r="ZE244" s="824"/>
      <c r="ZF244" s="824"/>
      <c r="ZG244" s="824"/>
      <c r="ZH244" s="824"/>
      <c r="ZI244" s="824"/>
      <c r="ZJ244" s="824"/>
      <c r="ZK244" s="824"/>
      <c r="ZL244" s="824"/>
      <c r="ZM244" s="824"/>
      <c r="ZN244" s="824"/>
      <c r="ZO244" s="824"/>
      <c r="ZP244" s="824"/>
      <c r="ZQ244" s="824"/>
      <c r="ZR244" s="824"/>
      <c r="ZS244" s="824"/>
      <c r="ZT244" s="824"/>
      <c r="ZU244" s="824"/>
      <c r="ZV244" s="824"/>
      <c r="ZW244" s="824"/>
      <c r="ZX244" s="824"/>
      <c r="ZY244" s="824"/>
      <c r="ZZ244" s="824"/>
      <c r="AAA244" s="824"/>
      <c r="AAB244" s="824"/>
      <c r="AAC244" s="824"/>
      <c r="AAD244" s="824"/>
      <c r="AAE244" s="824"/>
      <c r="AAF244" s="824"/>
      <c r="AAG244" s="824"/>
      <c r="AAH244" s="824"/>
      <c r="AAI244" s="824"/>
      <c r="AAJ244" s="824"/>
      <c r="AAK244" s="824"/>
      <c r="AAL244" s="824"/>
      <c r="AAM244" s="824"/>
      <c r="AAN244" s="824"/>
      <c r="AAO244" s="824"/>
      <c r="AAP244" s="824"/>
      <c r="AAQ244" s="824"/>
      <c r="AAR244" s="824"/>
      <c r="AAS244" s="824"/>
      <c r="AAT244" s="824"/>
      <c r="AAU244" s="824"/>
      <c r="AAV244" s="824"/>
      <c r="AAW244" s="824"/>
      <c r="AAX244" s="824"/>
      <c r="AAY244" s="824"/>
      <c r="AAZ244" s="824"/>
      <c r="ABA244" s="824"/>
      <c r="ABB244" s="824"/>
      <c r="ABC244" s="824"/>
      <c r="ABD244" s="824"/>
      <c r="ABE244" s="824"/>
      <c r="ABF244" s="824"/>
      <c r="ABG244" s="824"/>
      <c r="ABH244" s="824"/>
      <c r="ABI244" s="824"/>
      <c r="ABJ244" s="824"/>
      <c r="ABK244" s="824"/>
      <c r="ABL244" s="824"/>
      <c r="ABM244" s="824"/>
      <c r="ABN244" s="824"/>
      <c r="ABO244" s="824"/>
      <c r="ABP244" s="824"/>
      <c r="ABQ244" s="824"/>
      <c r="ABR244" s="824"/>
      <c r="ABS244" s="824"/>
      <c r="ABT244" s="824"/>
      <c r="ABU244" s="824"/>
      <c r="ABV244" s="824"/>
      <c r="ABW244" s="824"/>
      <c r="ABX244" s="824"/>
      <c r="ABY244" s="824"/>
      <c r="ABZ244" s="824"/>
      <c r="ACA244" s="824"/>
      <c r="ACB244" s="824"/>
      <c r="ACC244" s="824"/>
      <c r="ACD244" s="824"/>
      <c r="ACE244" s="824"/>
      <c r="ACF244" s="824"/>
      <c r="ACG244" s="824"/>
      <c r="ACH244" s="824"/>
      <c r="ACI244" s="824"/>
      <c r="ACJ244" s="824"/>
      <c r="ACK244" s="824"/>
      <c r="ACL244" s="824"/>
      <c r="ACM244" s="824"/>
      <c r="ACN244" s="824"/>
      <c r="ACO244" s="824"/>
      <c r="ACP244" s="824"/>
      <c r="ACQ244" s="824"/>
      <c r="ACR244" s="824"/>
      <c r="ACS244" s="824"/>
      <c r="ACT244" s="824"/>
      <c r="ACU244" s="824"/>
      <c r="ACV244" s="824"/>
      <c r="ACW244" s="824"/>
      <c r="ACX244" s="824"/>
      <c r="ACY244" s="824"/>
      <c r="ACZ244" s="824"/>
      <c r="ADA244" s="824"/>
      <c r="ADB244" s="824"/>
      <c r="ADC244" s="824"/>
      <c r="ADD244" s="824"/>
      <c r="ADE244" s="824"/>
      <c r="ADF244" s="824"/>
      <c r="ADG244" s="824"/>
      <c r="ADH244" s="824"/>
      <c r="ADI244" s="824"/>
      <c r="ADJ244" s="824"/>
      <c r="ADK244" s="824"/>
      <c r="ADL244" s="824"/>
      <c r="ADM244" s="824"/>
      <c r="ADN244" s="824"/>
      <c r="ADO244" s="824"/>
      <c r="ADP244" s="824"/>
      <c r="ADQ244" s="824"/>
      <c r="ADR244" s="824"/>
      <c r="ADS244" s="824"/>
      <c r="ADT244" s="824"/>
      <c r="ADU244" s="824"/>
      <c r="ADV244" s="824"/>
      <c r="ADW244" s="824"/>
      <c r="ADX244" s="824"/>
      <c r="ADY244" s="824"/>
      <c r="ADZ244" s="824"/>
      <c r="AEA244" s="824"/>
      <c r="AEB244" s="824"/>
      <c r="AEC244" s="824"/>
      <c r="AED244" s="824"/>
      <c r="AEE244" s="824"/>
      <c r="AEF244" s="824"/>
      <c r="AEG244" s="824"/>
      <c r="AEH244" s="824"/>
      <c r="AEI244" s="824"/>
      <c r="AEJ244" s="824"/>
      <c r="AEK244" s="824"/>
      <c r="AEL244" s="824"/>
      <c r="AEM244" s="824"/>
      <c r="AEN244" s="824"/>
      <c r="AEO244" s="824"/>
      <c r="AEP244" s="824"/>
      <c r="AEQ244" s="824"/>
      <c r="AER244" s="824"/>
      <c r="AES244" s="824"/>
      <c r="AET244" s="824"/>
      <c r="AEU244" s="824"/>
      <c r="AEV244" s="824"/>
      <c r="AEW244" s="824"/>
      <c r="AEX244" s="824"/>
      <c r="AEY244" s="824"/>
      <c r="AEZ244" s="824"/>
      <c r="AFA244" s="824"/>
      <c r="AFB244" s="824"/>
      <c r="AFC244" s="824"/>
      <c r="AFD244" s="824"/>
      <c r="AFE244" s="824"/>
      <c r="AFF244" s="824"/>
      <c r="AFG244" s="824"/>
      <c r="AFH244" s="824"/>
      <c r="AFI244" s="824"/>
      <c r="AFJ244" s="824"/>
      <c r="AFK244" s="824"/>
      <c r="AFL244" s="824"/>
      <c r="AFM244" s="824"/>
      <c r="AFN244" s="824"/>
      <c r="AFO244" s="824"/>
      <c r="AFP244" s="824"/>
      <c r="AFQ244" s="824"/>
      <c r="AFR244" s="824"/>
      <c r="AFS244" s="824"/>
      <c r="AFT244" s="824"/>
      <c r="AFU244" s="824"/>
      <c r="AFV244" s="824"/>
      <c r="AFW244" s="824"/>
      <c r="AFX244" s="824"/>
      <c r="AFY244" s="824"/>
      <c r="AFZ244" s="824"/>
      <c r="AGA244" s="824"/>
      <c r="AGB244" s="824"/>
      <c r="AGC244" s="824"/>
      <c r="AGD244" s="824"/>
      <c r="AGE244" s="824"/>
      <c r="AGF244" s="824"/>
      <c r="AGG244" s="824"/>
      <c r="AGH244" s="824"/>
      <c r="AGI244" s="824"/>
      <c r="AGJ244" s="824"/>
    </row>
    <row r="245" spans="1:868" s="825" customFormat="1">
      <c r="A245" s="289" t="s">
        <v>171</v>
      </c>
      <c r="B245" s="55" t="s">
        <v>204</v>
      </c>
      <c r="C245" s="262" t="s">
        <v>139</v>
      </c>
      <c r="D245" s="55" t="s">
        <v>139</v>
      </c>
      <c r="E245" s="257">
        <v>2.7E-4</v>
      </c>
      <c r="F245" s="232">
        <v>2</v>
      </c>
      <c r="G245" s="262" t="s">
        <v>163</v>
      </c>
      <c r="H245" s="29">
        <v>2</v>
      </c>
      <c r="I245" s="9">
        <v>2</v>
      </c>
      <c r="J245" s="9">
        <v>2</v>
      </c>
      <c r="K245" s="9">
        <v>3</v>
      </c>
      <c r="L245" s="9">
        <v>3</v>
      </c>
      <c r="M245" s="9">
        <v>3</v>
      </c>
      <c r="N245" s="185">
        <f t="shared" si="17"/>
        <v>1.1278755061256258</v>
      </c>
      <c r="O245" s="159">
        <f t="shared" si="15"/>
        <v>1.1278755061256258</v>
      </c>
      <c r="P245" s="63"/>
      <c r="Q245" s="824"/>
      <c r="R245" s="824"/>
      <c r="S245" s="824"/>
      <c r="T245" s="824"/>
      <c r="U245" s="824"/>
      <c r="V245" s="824"/>
      <c r="W245" s="824"/>
      <c r="X245" s="824"/>
      <c r="Y245" s="824"/>
      <c r="Z245" s="824"/>
      <c r="AA245" s="824"/>
      <c r="AB245" s="824"/>
      <c r="AC245" s="824"/>
      <c r="AD245" s="824"/>
      <c r="AE245" s="824"/>
      <c r="AF245" s="824"/>
      <c r="AG245" s="824"/>
      <c r="AH245" s="824"/>
      <c r="AI245" s="824"/>
      <c r="AJ245" s="824"/>
      <c r="AK245" s="824"/>
      <c r="AL245" s="824"/>
      <c r="AM245" s="824"/>
      <c r="AN245" s="824"/>
      <c r="AO245" s="824"/>
      <c r="AP245" s="824"/>
      <c r="AQ245" s="824"/>
      <c r="AR245" s="824"/>
      <c r="AS245" s="824"/>
      <c r="AT245" s="824"/>
      <c r="AU245" s="824"/>
      <c r="AV245" s="824"/>
      <c r="AW245" s="824"/>
      <c r="AX245" s="824"/>
      <c r="AY245" s="824"/>
      <c r="AZ245" s="824"/>
      <c r="BA245" s="824"/>
      <c r="BB245" s="824"/>
      <c r="BC245" s="824"/>
      <c r="BD245" s="824"/>
      <c r="BE245" s="824"/>
      <c r="BF245" s="824"/>
      <c r="BG245" s="824"/>
      <c r="BH245" s="824"/>
      <c r="BI245" s="824"/>
      <c r="BJ245" s="824"/>
      <c r="BK245" s="824"/>
      <c r="BL245" s="824"/>
      <c r="BM245" s="824"/>
      <c r="BN245" s="824"/>
      <c r="BO245" s="824"/>
      <c r="BP245" s="824"/>
      <c r="BQ245" s="824"/>
      <c r="BR245" s="824"/>
      <c r="BS245" s="824"/>
      <c r="BT245" s="824"/>
      <c r="BU245" s="824"/>
      <c r="BV245" s="824"/>
      <c r="BW245" s="824"/>
      <c r="BX245" s="824"/>
      <c r="BY245" s="824"/>
      <c r="BZ245" s="824"/>
      <c r="CA245" s="824"/>
      <c r="CB245" s="824"/>
      <c r="CC245" s="824"/>
      <c r="CD245" s="824"/>
      <c r="CE245" s="824"/>
      <c r="CF245" s="824"/>
      <c r="CG245" s="824"/>
      <c r="CH245" s="824"/>
      <c r="CI245" s="824"/>
      <c r="CJ245" s="824"/>
      <c r="CK245" s="824"/>
      <c r="CL245" s="824"/>
      <c r="CM245" s="824"/>
      <c r="CN245" s="824"/>
      <c r="CO245" s="824"/>
      <c r="CP245" s="824"/>
      <c r="CQ245" s="824"/>
      <c r="CR245" s="824"/>
      <c r="CS245" s="824"/>
      <c r="CT245" s="824"/>
      <c r="CU245" s="824"/>
      <c r="CV245" s="824"/>
      <c r="CW245" s="824"/>
      <c r="CX245" s="824"/>
      <c r="CY245" s="824"/>
      <c r="CZ245" s="824"/>
      <c r="DA245" s="824"/>
      <c r="DB245" s="824"/>
      <c r="DC245" s="824"/>
      <c r="DD245" s="824"/>
      <c r="DE245" s="824"/>
      <c r="DF245" s="824"/>
      <c r="DG245" s="824"/>
      <c r="DH245" s="824"/>
      <c r="DI245" s="824"/>
      <c r="DJ245" s="824"/>
      <c r="DK245" s="824"/>
      <c r="DL245" s="824"/>
      <c r="DM245" s="824"/>
      <c r="DN245" s="824"/>
      <c r="DO245" s="824"/>
      <c r="DP245" s="824"/>
      <c r="DQ245" s="824"/>
      <c r="DR245" s="824"/>
      <c r="DS245" s="824"/>
      <c r="DT245" s="824"/>
      <c r="DU245" s="824"/>
      <c r="DV245" s="824"/>
      <c r="DW245" s="824"/>
      <c r="DX245" s="824"/>
      <c r="DY245" s="824"/>
      <c r="DZ245" s="824"/>
      <c r="EA245" s="824"/>
      <c r="EB245" s="824"/>
      <c r="EC245" s="824"/>
      <c r="ED245" s="824"/>
      <c r="EE245" s="824"/>
      <c r="EF245" s="824"/>
      <c r="EG245" s="824"/>
      <c r="EH245" s="824"/>
      <c r="EI245" s="824"/>
      <c r="EJ245" s="824"/>
      <c r="EK245" s="824"/>
      <c r="EL245" s="824"/>
      <c r="EM245" s="824"/>
      <c r="EN245" s="824"/>
      <c r="EO245" s="824"/>
      <c r="EP245" s="824"/>
      <c r="EQ245" s="824"/>
      <c r="ER245" s="824"/>
      <c r="ES245" s="824"/>
      <c r="ET245" s="824"/>
      <c r="EU245" s="824"/>
      <c r="EV245" s="824"/>
      <c r="EW245" s="824"/>
      <c r="EX245" s="824"/>
      <c r="EY245" s="824"/>
      <c r="EZ245" s="824"/>
      <c r="FA245" s="824"/>
      <c r="FB245" s="824"/>
      <c r="FC245" s="824"/>
      <c r="FD245" s="824"/>
      <c r="FE245" s="824"/>
      <c r="FF245" s="824"/>
      <c r="FG245" s="824"/>
      <c r="FH245" s="824"/>
      <c r="FI245" s="824"/>
      <c r="FJ245" s="824"/>
      <c r="FK245" s="824"/>
      <c r="FL245" s="824"/>
      <c r="FM245" s="824"/>
      <c r="FN245" s="824"/>
      <c r="FO245" s="824"/>
      <c r="FP245" s="824"/>
      <c r="FQ245" s="824"/>
      <c r="FR245" s="824"/>
      <c r="FS245" s="824"/>
      <c r="FT245" s="824"/>
      <c r="FU245" s="824"/>
      <c r="FV245" s="824"/>
      <c r="FW245" s="824"/>
      <c r="FX245" s="824"/>
      <c r="FY245" s="824"/>
      <c r="FZ245" s="824"/>
      <c r="GA245" s="824"/>
      <c r="GB245" s="824"/>
      <c r="GC245" s="824"/>
      <c r="GD245" s="824"/>
      <c r="GE245" s="824"/>
      <c r="GF245" s="824"/>
      <c r="GG245" s="824"/>
      <c r="GH245" s="824"/>
      <c r="GI245" s="824"/>
      <c r="GJ245" s="824"/>
      <c r="GK245" s="824"/>
      <c r="GL245" s="824"/>
      <c r="GM245" s="824"/>
      <c r="GN245" s="824"/>
      <c r="GO245" s="824"/>
      <c r="GP245" s="824"/>
      <c r="GQ245" s="824"/>
      <c r="GR245" s="824"/>
      <c r="GS245" s="824"/>
      <c r="GT245" s="824"/>
      <c r="GU245" s="824"/>
      <c r="GV245" s="824"/>
      <c r="GW245" s="824"/>
      <c r="GX245" s="824"/>
      <c r="GY245" s="824"/>
      <c r="GZ245" s="824"/>
      <c r="HA245" s="824"/>
      <c r="HB245" s="824"/>
      <c r="HC245" s="824"/>
      <c r="HD245" s="824"/>
      <c r="HE245" s="824"/>
      <c r="HF245" s="824"/>
      <c r="HG245" s="824"/>
      <c r="HH245" s="824"/>
      <c r="HI245" s="824"/>
      <c r="HJ245" s="824"/>
      <c r="HK245" s="824"/>
      <c r="HL245" s="824"/>
      <c r="HM245" s="824"/>
      <c r="HN245" s="824"/>
      <c r="HO245" s="824"/>
      <c r="HP245" s="824"/>
      <c r="HQ245" s="824"/>
      <c r="HR245" s="824"/>
      <c r="HS245" s="824"/>
      <c r="HT245" s="824"/>
      <c r="HU245" s="824"/>
      <c r="HV245" s="824"/>
      <c r="HW245" s="824"/>
      <c r="HX245" s="824"/>
      <c r="HY245" s="824"/>
      <c r="HZ245" s="824"/>
      <c r="IA245" s="824"/>
      <c r="IB245" s="824"/>
      <c r="IC245" s="824"/>
      <c r="ID245" s="824"/>
      <c r="IE245" s="824"/>
      <c r="IF245" s="824"/>
      <c r="IG245" s="824"/>
      <c r="IH245" s="824"/>
      <c r="II245" s="824"/>
      <c r="IJ245" s="824"/>
      <c r="IK245" s="824"/>
      <c r="IL245" s="824"/>
      <c r="IM245" s="824"/>
      <c r="IN245" s="824"/>
      <c r="IO245" s="824"/>
      <c r="IP245" s="824"/>
      <c r="IQ245" s="824"/>
      <c r="IR245" s="824"/>
      <c r="IS245" s="824"/>
      <c r="IT245" s="824"/>
      <c r="IU245" s="824"/>
      <c r="IV245" s="824"/>
      <c r="IW245" s="824"/>
      <c r="IX245" s="824"/>
      <c r="IY245" s="824"/>
      <c r="IZ245" s="824"/>
      <c r="JA245" s="824"/>
      <c r="JB245" s="824"/>
      <c r="JC245" s="824"/>
      <c r="JD245" s="824"/>
      <c r="JE245" s="824"/>
      <c r="JF245" s="824"/>
      <c r="JG245" s="824"/>
      <c r="JH245" s="824"/>
      <c r="JI245" s="824"/>
      <c r="JJ245" s="824"/>
      <c r="JK245" s="824"/>
      <c r="JL245" s="824"/>
      <c r="JM245" s="824"/>
      <c r="JN245" s="824"/>
      <c r="JO245" s="824"/>
      <c r="JP245" s="824"/>
      <c r="JQ245" s="824"/>
      <c r="JR245" s="824"/>
      <c r="JS245" s="824"/>
      <c r="JT245" s="824"/>
      <c r="JU245" s="824"/>
      <c r="JV245" s="824"/>
      <c r="JW245" s="824"/>
      <c r="JX245" s="824"/>
      <c r="JY245" s="824"/>
      <c r="JZ245" s="824"/>
      <c r="KA245" s="824"/>
      <c r="KB245" s="824"/>
      <c r="KC245" s="824"/>
      <c r="KD245" s="824"/>
      <c r="KE245" s="824"/>
      <c r="KF245" s="824"/>
      <c r="KG245" s="824"/>
      <c r="KH245" s="824"/>
      <c r="KI245" s="824"/>
      <c r="KJ245" s="824"/>
      <c r="KK245" s="824"/>
      <c r="KL245" s="824"/>
      <c r="KM245" s="824"/>
      <c r="KN245" s="824"/>
      <c r="KO245" s="824"/>
      <c r="KP245" s="824"/>
      <c r="KQ245" s="824"/>
      <c r="KR245" s="824"/>
      <c r="KS245" s="824"/>
      <c r="KT245" s="824"/>
      <c r="KU245" s="824"/>
      <c r="KV245" s="824"/>
      <c r="KW245" s="824"/>
      <c r="KX245" s="824"/>
      <c r="KY245" s="824"/>
      <c r="KZ245" s="824"/>
      <c r="LA245" s="824"/>
      <c r="LB245" s="824"/>
      <c r="LC245" s="824"/>
      <c r="LD245" s="824"/>
      <c r="LE245" s="824"/>
      <c r="LF245" s="824"/>
      <c r="LG245" s="824"/>
      <c r="LH245" s="824"/>
      <c r="LI245" s="824"/>
      <c r="LJ245" s="824"/>
      <c r="LK245" s="824"/>
      <c r="LL245" s="824"/>
      <c r="LM245" s="824"/>
      <c r="LN245" s="824"/>
      <c r="LO245" s="824"/>
      <c r="LP245" s="824"/>
      <c r="LQ245" s="824"/>
      <c r="LR245" s="824"/>
      <c r="LS245" s="824"/>
      <c r="LT245" s="824"/>
      <c r="LU245" s="824"/>
      <c r="LV245" s="824"/>
      <c r="LW245" s="824"/>
      <c r="LX245" s="824"/>
      <c r="LY245" s="824"/>
      <c r="LZ245" s="824"/>
      <c r="MA245" s="824"/>
      <c r="MB245" s="824"/>
      <c r="MC245" s="824"/>
      <c r="MD245" s="824"/>
      <c r="ME245" s="824"/>
      <c r="MF245" s="824"/>
      <c r="MG245" s="824"/>
      <c r="MH245" s="824"/>
      <c r="MI245" s="824"/>
      <c r="MJ245" s="824"/>
      <c r="MK245" s="824"/>
      <c r="ML245" s="824"/>
      <c r="MM245" s="824"/>
      <c r="MN245" s="824"/>
      <c r="MO245" s="824"/>
      <c r="MP245" s="824"/>
      <c r="MQ245" s="824"/>
      <c r="MR245" s="824"/>
      <c r="MS245" s="824"/>
      <c r="MT245" s="824"/>
      <c r="MU245" s="824"/>
      <c r="MV245" s="824"/>
      <c r="MW245" s="824"/>
      <c r="MX245" s="824"/>
      <c r="MY245" s="824"/>
      <c r="MZ245" s="824"/>
      <c r="NA245" s="824"/>
      <c r="NB245" s="824"/>
      <c r="NC245" s="824"/>
      <c r="ND245" s="824"/>
      <c r="NE245" s="824"/>
      <c r="NF245" s="824"/>
      <c r="NG245" s="824"/>
      <c r="NH245" s="824"/>
      <c r="NI245" s="824"/>
      <c r="NJ245" s="824"/>
      <c r="NK245" s="824"/>
      <c r="NL245" s="824"/>
      <c r="NM245" s="824"/>
      <c r="NN245" s="824"/>
      <c r="NO245" s="824"/>
      <c r="NP245" s="824"/>
      <c r="NQ245" s="824"/>
      <c r="NR245" s="824"/>
      <c r="NS245" s="824"/>
      <c r="NT245" s="824"/>
      <c r="NU245" s="824"/>
      <c r="NV245" s="824"/>
      <c r="NW245" s="824"/>
      <c r="NX245" s="824"/>
      <c r="NY245" s="824"/>
      <c r="NZ245" s="824"/>
      <c r="OA245" s="824"/>
      <c r="OB245" s="824"/>
      <c r="OC245" s="824"/>
      <c r="OD245" s="824"/>
      <c r="OE245" s="824"/>
      <c r="OF245" s="824"/>
      <c r="OG245" s="824"/>
      <c r="OH245" s="824"/>
      <c r="OI245" s="824"/>
      <c r="OJ245" s="824"/>
      <c r="OK245" s="824"/>
      <c r="OL245" s="824"/>
      <c r="OM245" s="824"/>
      <c r="ON245" s="824"/>
      <c r="OO245" s="824"/>
      <c r="OP245" s="824"/>
      <c r="OQ245" s="824"/>
      <c r="OR245" s="824"/>
      <c r="OS245" s="824"/>
      <c r="OT245" s="824"/>
      <c r="OU245" s="824"/>
      <c r="OV245" s="824"/>
      <c r="OW245" s="824"/>
      <c r="OX245" s="824"/>
      <c r="OY245" s="824"/>
      <c r="OZ245" s="824"/>
      <c r="PA245" s="824"/>
      <c r="PB245" s="824"/>
      <c r="PC245" s="824"/>
      <c r="PD245" s="824"/>
      <c r="PE245" s="824"/>
      <c r="PF245" s="824"/>
      <c r="PG245" s="824"/>
      <c r="PH245" s="824"/>
      <c r="PI245" s="824"/>
      <c r="PJ245" s="824"/>
      <c r="PK245" s="824"/>
      <c r="PL245" s="824"/>
      <c r="PM245" s="824"/>
      <c r="PN245" s="824"/>
      <c r="PO245" s="824"/>
      <c r="PP245" s="824"/>
      <c r="PQ245" s="824"/>
      <c r="PR245" s="824"/>
      <c r="PS245" s="824"/>
      <c r="PT245" s="824"/>
      <c r="PU245" s="824"/>
      <c r="PV245" s="824"/>
      <c r="PW245" s="824"/>
      <c r="PX245" s="824"/>
      <c r="PY245" s="824"/>
      <c r="PZ245" s="824"/>
      <c r="QA245" s="824"/>
      <c r="QB245" s="824"/>
      <c r="QC245" s="824"/>
      <c r="QD245" s="824"/>
      <c r="QE245" s="824"/>
      <c r="QF245" s="824"/>
      <c r="QG245" s="824"/>
      <c r="QH245" s="824"/>
      <c r="QI245" s="824"/>
      <c r="QJ245" s="824"/>
      <c r="QK245" s="824"/>
      <c r="QL245" s="824"/>
      <c r="QM245" s="824"/>
      <c r="QN245" s="824"/>
      <c r="QO245" s="824"/>
      <c r="QP245" s="824"/>
      <c r="QQ245" s="824"/>
      <c r="QR245" s="824"/>
      <c r="QS245" s="824"/>
      <c r="QT245" s="824"/>
      <c r="QU245" s="824"/>
      <c r="QV245" s="824"/>
      <c r="QW245" s="824"/>
      <c r="QX245" s="824"/>
      <c r="QY245" s="824"/>
      <c r="QZ245" s="824"/>
      <c r="RA245" s="824"/>
      <c r="RB245" s="824"/>
      <c r="RC245" s="824"/>
      <c r="RD245" s="824"/>
      <c r="RE245" s="824"/>
      <c r="RF245" s="824"/>
      <c r="RG245" s="824"/>
      <c r="RH245" s="824"/>
      <c r="RI245" s="824"/>
      <c r="RJ245" s="824"/>
      <c r="RK245" s="824"/>
      <c r="RL245" s="824"/>
      <c r="RM245" s="824"/>
      <c r="RN245" s="824"/>
      <c r="RO245" s="824"/>
      <c r="RP245" s="824"/>
      <c r="RQ245" s="824"/>
      <c r="RR245" s="824"/>
      <c r="RS245" s="824"/>
      <c r="RT245" s="824"/>
      <c r="RU245" s="824"/>
      <c r="RV245" s="824"/>
      <c r="RW245" s="824"/>
      <c r="RX245" s="824"/>
      <c r="RY245" s="824"/>
      <c r="RZ245" s="824"/>
      <c r="SA245" s="824"/>
      <c r="SB245" s="824"/>
      <c r="SC245" s="824"/>
      <c r="SD245" s="824"/>
      <c r="SE245" s="824"/>
      <c r="SF245" s="824"/>
      <c r="SG245" s="824"/>
      <c r="SH245" s="824"/>
      <c r="SI245" s="824"/>
      <c r="SJ245" s="824"/>
      <c r="SK245" s="824"/>
      <c r="SL245" s="824"/>
      <c r="SM245" s="824"/>
      <c r="SN245" s="824"/>
      <c r="SO245" s="824"/>
      <c r="SP245" s="824"/>
      <c r="SQ245" s="824"/>
      <c r="SR245" s="824"/>
      <c r="SS245" s="824"/>
      <c r="ST245" s="824"/>
      <c r="SU245" s="824"/>
      <c r="SV245" s="824"/>
      <c r="SW245" s="824"/>
      <c r="SX245" s="824"/>
      <c r="SY245" s="824"/>
      <c r="SZ245" s="824"/>
      <c r="TA245" s="824"/>
      <c r="TB245" s="824"/>
      <c r="TC245" s="824"/>
      <c r="TD245" s="824"/>
      <c r="TE245" s="824"/>
      <c r="TF245" s="824"/>
      <c r="TG245" s="824"/>
      <c r="TH245" s="824"/>
      <c r="TI245" s="824"/>
      <c r="TJ245" s="824"/>
      <c r="TK245" s="824"/>
      <c r="TL245" s="824"/>
      <c r="TM245" s="824"/>
      <c r="TN245" s="824"/>
      <c r="TO245" s="824"/>
      <c r="TP245" s="824"/>
      <c r="TQ245" s="824"/>
      <c r="TR245" s="824"/>
      <c r="TS245" s="824"/>
      <c r="TT245" s="824"/>
      <c r="TU245" s="824"/>
      <c r="TV245" s="824"/>
      <c r="TW245" s="824"/>
      <c r="TX245" s="824"/>
      <c r="TY245" s="824"/>
      <c r="TZ245" s="824"/>
      <c r="UA245" s="824"/>
      <c r="UB245" s="824"/>
      <c r="UC245" s="824"/>
      <c r="UD245" s="824"/>
      <c r="UE245" s="824"/>
      <c r="UF245" s="824"/>
      <c r="UG245" s="824"/>
      <c r="UH245" s="824"/>
      <c r="UI245" s="824"/>
      <c r="UJ245" s="824"/>
      <c r="UK245" s="824"/>
      <c r="UL245" s="824"/>
      <c r="UM245" s="824"/>
      <c r="UN245" s="824"/>
      <c r="UO245" s="824"/>
      <c r="UP245" s="824"/>
      <c r="UQ245" s="824"/>
      <c r="UR245" s="824"/>
      <c r="US245" s="824"/>
      <c r="UT245" s="824"/>
      <c r="UU245" s="824"/>
      <c r="UV245" s="824"/>
      <c r="UW245" s="824"/>
      <c r="UX245" s="824"/>
      <c r="UY245" s="824"/>
      <c r="UZ245" s="824"/>
      <c r="VA245" s="824"/>
      <c r="VB245" s="824"/>
      <c r="VC245" s="824"/>
      <c r="VD245" s="824"/>
      <c r="VE245" s="824"/>
      <c r="VF245" s="824"/>
      <c r="VG245" s="824"/>
      <c r="VH245" s="824"/>
      <c r="VI245" s="824"/>
      <c r="VJ245" s="824"/>
      <c r="VK245" s="824"/>
      <c r="VL245" s="824"/>
      <c r="VM245" s="824"/>
      <c r="VN245" s="824"/>
      <c r="VO245" s="824"/>
      <c r="VP245" s="824"/>
      <c r="VQ245" s="824"/>
      <c r="VR245" s="824"/>
      <c r="VS245" s="824"/>
      <c r="VT245" s="824"/>
      <c r="VU245" s="824"/>
      <c r="VV245" s="824"/>
      <c r="VW245" s="824"/>
      <c r="VX245" s="824"/>
      <c r="VY245" s="824"/>
      <c r="VZ245" s="824"/>
      <c r="WA245" s="824"/>
      <c r="WB245" s="824"/>
      <c r="WC245" s="824"/>
      <c r="WD245" s="824"/>
      <c r="WE245" s="824"/>
      <c r="WF245" s="824"/>
      <c r="WG245" s="824"/>
      <c r="WH245" s="824"/>
      <c r="WI245" s="824"/>
      <c r="WJ245" s="824"/>
      <c r="WK245" s="824"/>
      <c r="WL245" s="824"/>
      <c r="WM245" s="824"/>
      <c r="WN245" s="824"/>
      <c r="WO245" s="824"/>
      <c r="WP245" s="824"/>
      <c r="WQ245" s="824"/>
      <c r="WR245" s="824"/>
      <c r="WS245" s="824"/>
      <c r="WT245" s="824"/>
      <c r="WU245" s="824"/>
      <c r="WV245" s="824"/>
      <c r="WW245" s="824"/>
      <c r="WX245" s="824"/>
      <c r="WY245" s="824"/>
      <c r="WZ245" s="824"/>
      <c r="XA245" s="824"/>
      <c r="XB245" s="824"/>
      <c r="XC245" s="824"/>
      <c r="XD245" s="824"/>
      <c r="XE245" s="824"/>
      <c r="XF245" s="824"/>
      <c r="XG245" s="824"/>
      <c r="XH245" s="824"/>
      <c r="XI245" s="824"/>
      <c r="XJ245" s="824"/>
      <c r="XK245" s="824"/>
      <c r="XL245" s="824"/>
      <c r="XM245" s="824"/>
      <c r="XN245" s="824"/>
      <c r="XO245" s="824"/>
      <c r="XP245" s="824"/>
      <c r="XQ245" s="824"/>
      <c r="XR245" s="824"/>
      <c r="XS245" s="824"/>
      <c r="XT245" s="824"/>
      <c r="XU245" s="824"/>
      <c r="XV245" s="824"/>
      <c r="XW245" s="824"/>
      <c r="XX245" s="824"/>
      <c r="XY245" s="824"/>
      <c r="XZ245" s="824"/>
      <c r="YA245" s="824"/>
      <c r="YB245" s="824"/>
      <c r="YC245" s="824"/>
      <c r="YD245" s="824"/>
      <c r="YE245" s="824"/>
      <c r="YF245" s="824"/>
      <c r="YG245" s="824"/>
      <c r="YH245" s="824"/>
      <c r="YI245" s="824"/>
      <c r="YJ245" s="824"/>
      <c r="YK245" s="824"/>
      <c r="YL245" s="824"/>
      <c r="YM245" s="824"/>
      <c r="YN245" s="824"/>
      <c r="YO245" s="824"/>
      <c r="YP245" s="824"/>
      <c r="YQ245" s="824"/>
      <c r="YR245" s="824"/>
      <c r="YS245" s="824"/>
      <c r="YT245" s="824"/>
      <c r="YU245" s="824"/>
      <c r="YV245" s="824"/>
      <c r="YW245" s="824"/>
      <c r="YX245" s="824"/>
      <c r="YY245" s="824"/>
      <c r="YZ245" s="824"/>
      <c r="ZA245" s="824"/>
      <c r="ZB245" s="824"/>
      <c r="ZC245" s="824"/>
      <c r="ZD245" s="824"/>
      <c r="ZE245" s="824"/>
      <c r="ZF245" s="824"/>
      <c r="ZG245" s="824"/>
      <c r="ZH245" s="824"/>
      <c r="ZI245" s="824"/>
      <c r="ZJ245" s="824"/>
      <c r="ZK245" s="824"/>
      <c r="ZL245" s="824"/>
      <c r="ZM245" s="824"/>
      <c r="ZN245" s="824"/>
      <c r="ZO245" s="824"/>
      <c r="ZP245" s="824"/>
      <c r="ZQ245" s="824"/>
      <c r="ZR245" s="824"/>
      <c r="ZS245" s="824"/>
      <c r="ZT245" s="824"/>
      <c r="ZU245" s="824"/>
      <c r="ZV245" s="824"/>
      <c r="ZW245" s="824"/>
      <c r="ZX245" s="824"/>
      <c r="ZY245" s="824"/>
      <c r="ZZ245" s="824"/>
      <c r="AAA245" s="824"/>
      <c r="AAB245" s="824"/>
      <c r="AAC245" s="824"/>
      <c r="AAD245" s="824"/>
      <c r="AAE245" s="824"/>
      <c r="AAF245" s="824"/>
      <c r="AAG245" s="824"/>
      <c r="AAH245" s="824"/>
      <c r="AAI245" s="824"/>
      <c r="AAJ245" s="824"/>
      <c r="AAK245" s="824"/>
      <c r="AAL245" s="824"/>
      <c r="AAM245" s="824"/>
      <c r="AAN245" s="824"/>
      <c r="AAO245" s="824"/>
      <c r="AAP245" s="824"/>
      <c r="AAQ245" s="824"/>
      <c r="AAR245" s="824"/>
      <c r="AAS245" s="824"/>
      <c r="AAT245" s="824"/>
      <c r="AAU245" s="824"/>
      <c r="AAV245" s="824"/>
      <c r="AAW245" s="824"/>
      <c r="AAX245" s="824"/>
      <c r="AAY245" s="824"/>
      <c r="AAZ245" s="824"/>
      <c r="ABA245" s="824"/>
      <c r="ABB245" s="824"/>
      <c r="ABC245" s="824"/>
      <c r="ABD245" s="824"/>
      <c r="ABE245" s="824"/>
      <c r="ABF245" s="824"/>
      <c r="ABG245" s="824"/>
      <c r="ABH245" s="824"/>
      <c r="ABI245" s="824"/>
      <c r="ABJ245" s="824"/>
      <c r="ABK245" s="824"/>
      <c r="ABL245" s="824"/>
      <c r="ABM245" s="824"/>
      <c r="ABN245" s="824"/>
      <c r="ABO245" s="824"/>
      <c r="ABP245" s="824"/>
      <c r="ABQ245" s="824"/>
      <c r="ABR245" s="824"/>
      <c r="ABS245" s="824"/>
      <c r="ABT245" s="824"/>
      <c r="ABU245" s="824"/>
      <c r="ABV245" s="824"/>
      <c r="ABW245" s="824"/>
      <c r="ABX245" s="824"/>
      <c r="ABY245" s="824"/>
      <c r="ABZ245" s="824"/>
      <c r="ACA245" s="824"/>
      <c r="ACB245" s="824"/>
      <c r="ACC245" s="824"/>
      <c r="ACD245" s="824"/>
      <c r="ACE245" s="824"/>
      <c r="ACF245" s="824"/>
      <c r="ACG245" s="824"/>
      <c r="ACH245" s="824"/>
      <c r="ACI245" s="824"/>
      <c r="ACJ245" s="824"/>
      <c r="ACK245" s="824"/>
      <c r="ACL245" s="824"/>
      <c r="ACM245" s="824"/>
      <c r="ACN245" s="824"/>
      <c r="ACO245" s="824"/>
      <c r="ACP245" s="824"/>
      <c r="ACQ245" s="824"/>
      <c r="ACR245" s="824"/>
      <c r="ACS245" s="824"/>
      <c r="ACT245" s="824"/>
      <c r="ACU245" s="824"/>
      <c r="ACV245" s="824"/>
      <c r="ACW245" s="824"/>
      <c r="ACX245" s="824"/>
      <c r="ACY245" s="824"/>
      <c r="ACZ245" s="824"/>
      <c r="ADA245" s="824"/>
      <c r="ADB245" s="824"/>
      <c r="ADC245" s="824"/>
      <c r="ADD245" s="824"/>
      <c r="ADE245" s="824"/>
      <c r="ADF245" s="824"/>
      <c r="ADG245" s="824"/>
      <c r="ADH245" s="824"/>
      <c r="ADI245" s="824"/>
      <c r="ADJ245" s="824"/>
      <c r="ADK245" s="824"/>
      <c r="ADL245" s="824"/>
      <c r="ADM245" s="824"/>
      <c r="ADN245" s="824"/>
      <c r="ADO245" s="824"/>
      <c r="ADP245" s="824"/>
      <c r="ADQ245" s="824"/>
      <c r="ADR245" s="824"/>
      <c r="ADS245" s="824"/>
      <c r="ADT245" s="824"/>
      <c r="ADU245" s="824"/>
      <c r="ADV245" s="824"/>
      <c r="ADW245" s="824"/>
      <c r="ADX245" s="824"/>
      <c r="ADY245" s="824"/>
      <c r="ADZ245" s="824"/>
      <c r="AEA245" s="824"/>
      <c r="AEB245" s="824"/>
      <c r="AEC245" s="824"/>
      <c r="AED245" s="824"/>
      <c r="AEE245" s="824"/>
      <c r="AEF245" s="824"/>
      <c r="AEG245" s="824"/>
      <c r="AEH245" s="824"/>
      <c r="AEI245" s="824"/>
      <c r="AEJ245" s="824"/>
      <c r="AEK245" s="824"/>
      <c r="AEL245" s="824"/>
      <c r="AEM245" s="824"/>
      <c r="AEN245" s="824"/>
      <c r="AEO245" s="824"/>
      <c r="AEP245" s="824"/>
      <c r="AEQ245" s="824"/>
      <c r="AER245" s="824"/>
      <c r="AES245" s="824"/>
      <c r="AET245" s="824"/>
      <c r="AEU245" s="824"/>
      <c r="AEV245" s="824"/>
      <c r="AEW245" s="824"/>
      <c r="AEX245" s="824"/>
      <c r="AEY245" s="824"/>
      <c r="AEZ245" s="824"/>
      <c r="AFA245" s="824"/>
      <c r="AFB245" s="824"/>
      <c r="AFC245" s="824"/>
      <c r="AFD245" s="824"/>
      <c r="AFE245" s="824"/>
      <c r="AFF245" s="824"/>
      <c r="AFG245" s="824"/>
      <c r="AFH245" s="824"/>
      <c r="AFI245" s="824"/>
      <c r="AFJ245" s="824"/>
      <c r="AFK245" s="824"/>
      <c r="AFL245" s="824"/>
      <c r="AFM245" s="824"/>
      <c r="AFN245" s="824"/>
      <c r="AFO245" s="824"/>
      <c r="AFP245" s="824"/>
      <c r="AFQ245" s="824"/>
      <c r="AFR245" s="824"/>
      <c r="AFS245" s="824"/>
      <c r="AFT245" s="824"/>
      <c r="AFU245" s="824"/>
      <c r="AFV245" s="824"/>
      <c r="AFW245" s="824"/>
      <c r="AFX245" s="824"/>
      <c r="AFY245" s="824"/>
      <c r="AFZ245" s="824"/>
      <c r="AGA245" s="824"/>
      <c r="AGB245" s="824"/>
      <c r="AGC245" s="824"/>
      <c r="AGD245" s="824"/>
      <c r="AGE245" s="824"/>
      <c r="AGF245" s="824"/>
      <c r="AGG245" s="824"/>
      <c r="AGH245" s="824"/>
      <c r="AGI245" s="824"/>
      <c r="AGJ245" s="824"/>
    </row>
    <row r="246" spans="1:868" s="825" customFormat="1">
      <c r="A246" s="151" t="s">
        <v>200</v>
      </c>
      <c r="B246" s="34" t="s">
        <v>204</v>
      </c>
      <c r="C246" s="40" t="s">
        <v>139</v>
      </c>
      <c r="D246" s="34" t="s">
        <v>139</v>
      </c>
      <c r="E246" s="257">
        <v>2.7E-4</v>
      </c>
      <c r="F246" s="232">
        <v>2</v>
      </c>
      <c r="G246" s="40" t="s">
        <v>205</v>
      </c>
      <c r="H246" s="29">
        <v>1</v>
      </c>
      <c r="I246" s="9">
        <v>2</v>
      </c>
      <c r="J246" s="9">
        <v>1</v>
      </c>
      <c r="K246" s="9">
        <v>3</v>
      </c>
      <c r="L246" s="9">
        <v>3</v>
      </c>
      <c r="M246" s="9">
        <v>3</v>
      </c>
      <c r="N246" s="185">
        <f t="shared" si="17"/>
        <v>1.1181151966036349</v>
      </c>
      <c r="O246" s="159">
        <f t="shared" ref="O246:O275" si="18">IF( OR( ISBLANK(I246),ISBLANK(J246), ISBLANK(K246), ISBLANK(L246), ISBLANK(M246) ), "", 1.5*SQRT( EXP(2.21*(I246-1)) + EXP(2.21*(J246-1)) + EXP(2.21*(K246-1)) + EXP(2.21*(L246-1)) + EXP(2.21*M246)   )/100*2.45 )</f>
        <v>1.123005955058592</v>
      </c>
      <c r="P246" s="63"/>
      <c r="Q246" s="824"/>
      <c r="R246" s="824"/>
      <c r="S246" s="824"/>
      <c r="T246" s="824"/>
      <c r="U246" s="824"/>
      <c r="V246" s="824"/>
      <c r="W246" s="824"/>
      <c r="X246" s="824"/>
      <c r="Y246" s="824"/>
      <c r="Z246" s="824"/>
      <c r="AA246" s="824"/>
      <c r="AB246" s="824"/>
      <c r="AC246" s="824"/>
      <c r="AD246" s="824"/>
      <c r="AE246" s="824"/>
      <c r="AF246" s="824"/>
      <c r="AG246" s="824"/>
      <c r="AH246" s="824"/>
      <c r="AI246" s="824"/>
      <c r="AJ246" s="824"/>
      <c r="AK246" s="824"/>
      <c r="AL246" s="824"/>
      <c r="AM246" s="824"/>
      <c r="AN246" s="824"/>
      <c r="AO246" s="824"/>
      <c r="AP246" s="824"/>
      <c r="AQ246" s="824"/>
      <c r="AR246" s="824"/>
      <c r="AS246" s="824"/>
      <c r="AT246" s="824"/>
      <c r="AU246" s="824"/>
      <c r="AV246" s="824"/>
      <c r="AW246" s="824"/>
      <c r="AX246" s="824"/>
      <c r="AY246" s="824"/>
      <c r="AZ246" s="824"/>
      <c r="BA246" s="824"/>
      <c r="BB246" s="824"/>
      <c r="BC246" s="824"/>
      <c r="BD246" s="824"/>
      <c r="BE246" s="824"/>
      <c r="BF246" s="824"/>
      <c r="BG246" s="824"/>
      <c r="BH246" s="824"/>
      <c r="BI246" s="824"/>
      <c r="BJ246" s="824"/>
      <c r="BK246" s="824"/>
      <c r="BL246" s="824"/>
      <c r="BM246" s="824"/>
      <c r="BN246" s="824"/>
      <c r="BO246" s="824"/>
      <c r="BP246" s="824"/>
      <c r="BQ246" s="824"/>
      <c r="BR246" s="824"/>
      <c r="BS246" s="824"/>
      <c r="BT246" s="824"/>
      <c r="BU246" s="824"/>
      <c r="BV246" s="824"/>
      <c r="BW246" s="824"/>
      <c r="BX246" s="824"/>
      <c r="BY246" s="824"/>
      <c r="BZ246" s="824"/>
      <c r="CA246" s="824"/>
      <c r="CB246" s="824"/>
      <c r="CC246" s="824"/>
      <c r="CD246" s="824"/>
      <c r="CE246" s="824"/>
      <c r="CF246" s="824"/>
      <c r="CG246" s="824"/>
      <c r="CH246" s="824"/>
      <c r="CI246" s="824"/>
      <c r="CJ246" s="824"/>
      <c r="CK246" s="824"/>
      <c r="CL246" s="824"/>
      <c r="CM246" s="824"/>
      <c r="CN246" s="824"/>
      <c r="CO246" s="824"/>
      <c r="CP246" s="824"/>
      <c r="CQ246" s="824"/>
      <c r="CR246" s="824"/>
      <c r="CS246" s="824"/>
      <c r="CT246" s="824"/>
      <c r="CU246" s="824"/>
      <c r="CV246" s="824"/>
      <c r="CW246" s="824"/>
      <c r="CX246" s="824"/>
      <c r="CY246" s="824"/>
      <c r="CZ246" s="824"/>
      <c r="DA246" s="824"/>
      <c r="DB246" s="824"/>
      <c r="DC246" s="824"/>
      <c r="DD246" s="824"/>
      <c r="DE246" s="824"/>
      <c r="DF246" s="824"/>
      <c r="DG246" s="824"/>
      <c r="DH246" s="824"/>
      <c r="DI246" s="824"/>
      <c r="DJ246" s="824"/>
      <c r="DK246" s="824"/>
      <c r="DL246" s="824"/>
      <c r="DM246" s="824"/>
      <c r="DN246" s="824"/>
      <c r="DO246" s="824"/>
      <c r="DP246" s="824"/>
      <c r="DQ246" s="824"/>
      <c r="DR246" s="824"/>
      <c r="DS246" s="824"/>
      <c r="DT246" s="824"/>
      <c r="DU246" s="824"/>
      <c r="DV246" s="824"/>
      <c r="DW246" s="824"/>
      <c r="DX246" s="824"/>
      <c r="DY246" s="824"/>
      <c r="DZ246" s="824"/>
      <c r="EA246" s="824"/>
      <c r="EB246" s="824"/>
      <c r="EC246" s="824"/>
      <c r="ED246" s="824"/>
      <c r="EE246" s="824"/>
      <c r="EF246" s="824"/>
      <c r="EG246" s="824"/>
      <c r="EH246" s="824"/>
      <c r="EI246" s="824"/>
      <c r="EJ246" s="824"/>
      <c r="EK246" s="824"/>
      <c r="EL246" s="824"/>
      <c r="EM246" s="824"/>
      <c r="EN246" s="824"/>
      <c r="EO246" s="824"/>
      <c r="EP246" s="824"/>
      <c r="EQ246" s="824"/>
      <c r="ER246" s="824"/>
      <c r="ES246" s="824"/>
      <c r="ET246" s="824"/>
      <c r="EU246" s="824"/>
      <c r="EV246" s="824"/>
      <c r="EW246" s="824"/>
      <c r="EX246" s="824"/>
      <c r="EY246" s="824"/>
      <c r="EZ246" s="824"/>
      <c r="FA246" s="824"/>
      <c r="FB246" s="824"/>
      <c r="FC246" s="824"/>
      <c r="FD246" s="824"/>
      <c r="FE246" s="824"/>
      <c r="FF246" s="824"/>
      <c r="FG246" s="824"/>
      <c r="FH246" s="824"/>
      <c r="FI246" s="824"/>
      <c r="FJ246" s="824"/>
      <c r="FK246" s="824"/>
      <c r="FL246" s="824"/>
      <c r="FM246" s="824"/>
      <c r="FN246" s="824"/>
      <c r="FO246" s="824"/>
      <c r="FP246" s="824"/>
      <c r="FQ246" s="824"/>
      <c r="FR246" s="824"/>
      <c r="FS246" s="824"/>
      <c r="FT246" s="824"/>
      <c r="FU246" s="824"/>
      <c r="FV246" s="824"/>
      <c r="FW246" s="824"/>
      <c r="FX246" s="824"/>
      <c r="FY246" s="824"/>
      <c r="FZ246" s="824"/>
      <c r="GA246" s="824"/>
      <c r="GB246" s="824"/>
      <c r="GC246" s="824"/>
      <c r="GD246" s="824"/>
      <c r="GE246" s="824"/>
      <c r="GF246" s="824"/>
      <c r="GG246" s="824"/>
      <c r="GH246" s="824"/>
      <c r="GI246" s="824"/>
      <c r="GJ246" s="824"/>
      <c r="GK246" s="824"/>
      <c r="GL246" s="824"/>
      <c r="GM246" s="824"/>
      <c r="GN246" s="824"/>
      <c r="GO246" s="824"/>
      <c r="GP246" s="824"/>
      <c r="GQ246" s="824"/>
      <c r="GR246" s="824"/>
      <c r="GS246" s="824"/>
      <c r="GT246" s="824"/>
      <c r="GU246" s="824"/>
      <c r="GV246" s="824"/>
      <c r="GW246" s="824"/>
      <c r="GX246" s="824"/>
      <c r="GY246" s="824"/>
      <c r="GZ246" s="824"/>
      <c r="HA246" s="824"/>
      <c r="HB246" s="824"/>
      <c r="HC246" s="824"/>
      <c r="HD246" s="824"/>
      <c r="HE246" s="824"/>
      <c r="HF246" s="824"/>
      <c r="HG246" s="824"/>
      <c r="HH246" s="824"/>
      <c r="HI246" s="824"/>
      <c r="HJ246" s="824"/>
      <c r="HK246" s="824"/>
      <c r="HL246" s="824"/>
      <c r="HM246" s="824"/>
      <c r="HN246" s="824"/>
      <c r="HO246" s="824"/>
      <c r="HP246" s="824"/>
      <c r="HQ246" s="824"/>
      <c r="HR246" s="824"/>
      <c r="HS246" s="824"/>
      <c r="HT246" s="824"/>
      <c r="HU246" s="824"/>
      <c r="HV246" s="824"/>
      <c r="HW246" s="824"/>
      <c r="HX246" s="824"/>
      <c r="HY246" s="824"/>
      <c r="HZ246" s="824"/>
      <c r="IA246" s="824"/>
      <c r="IB246" s="824"/>
      <c r="IC246" s="824"/>
      <c r="ID246" s="824"/>
      <c r="IE246" s="824"/>
      <c r="IF246" s="824"/>
      <c r="IG246" s="824"/>
      <c r="IH246" s="824"/>
      <c r="II246" s="824"/>
      <c r="IJ246" s="824"/>
      <c r="IK246" s="824"/>
      <c r="IL246" s="824"/>
      <c r="IM246" s="824"/>
      <c r="IN246" s="824"/>
      <c r="IO246" s="824"/>
      <c r="IP246" s="824"/>
      <c r="IQ246" s="824"/>
      <c r="IR246" s="824"/>
      <c r="IS246" s="824"/>
      <c r="IT246" s="824"/>
      <c r="IU246" s="824"/>
      <c r="IV246" s="824"/>
      <c r="IW246" s="824"/>
      <c r="IX246" s="824"/>
      <c r="IY246" s="824"/>
      <c r="IZ246" s="824"/>
      <c r="JA246" s="824"/>
      <c r="JB246" s="824"/>
      <c r="JC246" s="824"/>
      <c r="JD246" s="824"/>
      <c r="JE246" s="824"/>
      <c r="JF246" s="824"/>
      <c r="JG246" s="824"/>
      <c r="JH246" s="824"/>
      <c r="JI246" s="824"/>
      <c r="JJ246" s="824"/>
      <c r="JK246" s="824"/>
      <c r="JL246" s="824"/>
      <c r="JM246" s="824"/>
      <c r="JN246" s="824"/>
      <c r="JO246" s="824"/>
      <c r="JP246" s="824"/>
      <c r="JQ246" s="824"/>
      <c r="JR246" s="824"/>
      <c r="JS246" s="824"/>
      <c r="JT246" s="824"/>
      <c r="JU246" s="824"/>
      <c r="JV246" s="824"/>
      <c r="JW246" s="824"/>
      <c r="JX246" s="824"/>
      <c r="JY246" s="824"/>
      <c r="JZ246" s="824"/>
      <c r="KA246" s="824"/>
      <c r="KB246" s="824"/>
      <c r="KC246" s="824"/>
      <c r="KD246" s="824"/>
      <c r="KE246" s="824"/>
      <c r="KF246" s="824"/>
      <c r="KG246" s="824"/>
      <c r="KH246" s="824"/>
      <c r="KI246" s="824"/>
      <c r="KJ246" s="824"/>
      <c r="KK246" s="824"/>
      <c r="KL246" s="824"/>
      <c r="KM246" s="824"/>
      <c r="KN246" s="824"/>
      <c r="KO246" s="824"/>
      <c r="KP246" s="824"/>
      <c r="KQ246" s="824"/>
      <c r="KR246" s="824"/>
      <c r="KS246" s="824"/>
      <c r="KT246" s="824"/>
      <c r="KU246" s="824"/>
      <c r="KV246" s="824"/>
      <c r="KW246" s="824"/>
      <c r="KX246" s="824"/>
      <c r="KY246" s="824"/>
      <c r="KZ246" s="824"/>
      <c r="LA246" s="824"/>
      <c r="LB246" s="824"/>
      <c r="LC246" s="824"/>
      <c r="LD246" s="824"/>
      <c r="LE246" s="824"/>
      <c r="LF246" s="824"/>
      <c r="LG246" s="824"/>
      <c r="LH246" s="824"/>
      <c r="LI246" s="824"/>
      <c r="LJ246" s="824"/>
      <c r="LK246" s="824"/>
      <c r="LL246" s="824"/>
      <c r="LM246" s="824"/>
      <c r="LN246" s="824"/>
      <c r="LO246" s="824"/>
      <c r="LP246" s="824"/>
      <c r="LQ246" s="824"/>
      <c r="LR246" s="824"/>
      <c r="LS246" s="824"/>
      <c r="LT246" s="824"/>
      <c r="LU246" s="824"/>
      <c r="LV246" s="824"/>
      <c r="LW246" s="824"/>
      <c r="LX246" s="824"/>
      <c r="LY246" s="824"/>
      <c r="LZ246" s="824"/>
      <c r="MA246" s="824"/>
      <c r="MB246" s="824"/>
      <c r="MC246" s="824"/>
      <c r="MD246" s="824"/>
      <c r="ME246" s="824"/>
      <c r="MF246" s="824"/>
      <c r="MG246" s="824"/>
      <c r="MH246" s="824"/>
      <c r="MI246" s="824"/>
      <c r="MJ246" s="824"/>
      <c r="MK246" s="824"/>
      <c r="ML246" s="824"/>
      <c r="MM246" s="824"/>
      <c r="MN246" s="824"/>
      <c r="MO246" s="824"/>
      <c r="MP246" s="824"/>
      <c r="MQ246" s="824"/>
      <c r="MR246" s="824"/>
      <c r="MS246" s="824"/>
      <c r="MT246" s="824"/>
      <c r="MU246" s="824"/>
      <c r="MV246" s="824"/>
      <c r="MW246" s="824"/>
      <c r="MX246" s="824"/>
      <c r="MY246" s="824"/>
      <c r="MZ246" s="824"/>
      <c r="NA246" s="824"/>
      <c r="NB246" s="824"/>
      <c r="NC246" s="824"/>
      <c r="ND246" s="824"/>
      <c r="NE246" s="824"/>
      <c r="NF246" s="824"/>
      <c r="NG246" s="824"/>
      <c r="NH246" s="824"/>
      <c r="NI246" s="824"/>
      <c r="NJ246" s="824"/>
      <c r="NK246" s="824"/>
      <c r="NL246" s="824"/>
      <c r="NM246" s="824"/>
      <c r="NN246" s="824"/>
      <c r="NO246" s="824"/>
      <c r="NP246" s="824"/>
      <c r="NQ246" s="824"/>
      <c r="NR246" s="824"/>
      <c r="NS246" s="824"/>
      <c r="NT246" s="824"/>
      <c r="NU246" s="824"/>
      <c r="NV246" s="824"/>
      <c r="NW246" s="824"/>
      <c r="NX246" s="824"/>
      <c r="NY246" s="824"/>
      <c r="NZ246" s="824"/>
      <c r="OA246" s="824"/>
      <c r="OB246" s="824"/>
      <c r="OC246" s="824"/>
      <c r="OD246" s="824"/>
      <c r="OE246" s="824"/>
      <c r="OF246" s="824"/>
      <c r="OG246" s="824"/>
      <c r="OH246" s="824"/>
      <c r="OI246" s="824"/>
      <c r="OJ246" s="824"/>
      <c r="OK246" s="824"/>
      <c r="OL246" s="824"/>
      <c r="OM246" s="824"/>
      <c r="ON246" s="824"/>
      <c r="OO246" s="824"/>
      <c r="OP246" s="824"/>
      <c r="OQ246" s="824"/>
      <c r="OR246" s="824"/>
      <c r="OS246" s="824"/>
      <c r="OT246" s="824"/>
      <c r="OU246" s="824"/>
      <c r="OV246" s="824"/>
      <c r="OW246" s="824"/>
      <c r="OX246" s="824"/>
      <c r="OY246" s="824"/>
      <c r="OZ246" s="824"/>
      <c r="PA246" s="824"/>
      <c r="PB246" s="824"/>
      <c r="PC246" s="824"/>
      <c r="PD246" s="824"/>
      <c r="PE246" s="824"/>
      <c r="PF246" s="824"/>
      <c r="PG246" s="824"/>
      <c r="PH246" s="824"/>
      <c r="PI246" s="824"/>
      <c r="PJ246" s="824"/>
      <c r="PK246" s="824"/>
      <c r="PL246" s="824"/>
      <c r="PM246" s="824"/>
      <c r="PN246" s="824"/>
      <c r="PO246" s="824"/>
      <c r="PP246" s="824"/>
      <c r="PQ246" s="824"/>
      <c r="PR246" s="824"/>
      <c r="PS246" s="824"/>
      <c r="PT246" s="824"/>
      <c r="PU246" s="824"/>
      <c r="PV246" s="824"/>
      <c r="PW246" s="824"/>
      <c r="PX246" s="824"/>
      <c r="PY246" s="824"/>
      <c r="PZ246" s="824"/>
      <c r="QA246" s="824"/>
      <c r="QB246" s="824"/>
      <c r="QC246" s="824"/>
      <c r="QD246" s="824"/>
      <c r="QE246" s="824"/>
      <c r="QF246" s="824"/>
      <c r="QG246" s="824"/>
      <c r="QH246" s="824"/>
      <c r="QI246" s="824"/>
      <c r="QJ246" s="824"/>
      <c r="QK246" s="824"/>
      <c r="QL246" s="824"/>
      <c r="QM246" s="824"/>
      <c r="QN246" s="824"/>
      <c r="QO246" s="824"/>
      <c r="QP246" s="824"/>
      <c r="QQ246" s="824"/>
      <c r="QR246" s="824"/>
      <c r="QS246" s="824"/>
      <c r="QT246" s="824"/>
      <c r="QU246" s="824"/>
      <c r="QV246" s="824"/>
      <c r="QW246" s="824"/>
      <c r="QX246" s="824"/>
      <c r="QY246" s="824"/>
      <c r="QZ246" s="824"/>
      <c r="RA246" s="824"/>
      <c r="RB246" s="824"/>
      <c r="RC246" s="824"/>
      <c r="RD246" s="824"/>
      <c r="RE246" s="824"/>
      <c r="RF246" s="824"/>
      <c r="RG246" s="824"/>
      <c r="RH246" s="824"/>
      <c r="RI246" s="824"/>
      <c r="RJ246" s="824"/>
      <c r="RK246" s="824"/>
      <c r="RL246" s="824"/>
      <c r="RM246" s="824"/>
      <c r="RN246" s="824"/>
      <c r="RO246" s="824"/>
      <c r="RP246" s="824"/>
      <c r="RQ246" s="824"/>
      <c r="RR246" s="824"/>
      <c r="RS246" s="824"/>
      <c r="RT246" s="824"/>
      <c r="RU246" s="824"/>
      <c r="RV246" s="824"/>
      <c r="RW246" s="824"/>
      <c r="RX246" s="824"/>
      <c r="RY246" s="824"/>
      <c r="RZ246" s="824"/>
      <c r="SA246" s="824"/>
      <c r="SB246" s="824"/>
      <c r="SC246" s="824"/>
      <c r="SD246" s="824"/>
      <c r="SE246" s="824"/>
      <c r="SF246" s="824"/>
      <c r="SG246" s="824"/>
      <c r="SH246" s="824"/>
      <c r="SI246" s="824"/>
      <c r="SJ246" s="824"/>
      <c r="SK246" s="824"/>
      <c r="SL246" s="824"/>
      <c r="SM246" s="824"/>
      <c r="SN246" s="824"/>
      <c r="SO246" s="824"/>
      <c r="SP246" s="824"/>
      <c r="SQ246" s="824"/>
      <c r="SR246" s="824"/>
      <c r="SS246" s="824"/>
      <c r="ST246" s="824"/>
      <c r="SU246" s="824"/>
      <c r="SV246" s="824"/>
      <c r="SW246" s="824"/>
      <c r="SX246" s="824"/>
      <c r="SY246" s="824"/>
      <c r="SZ246" s="824"/>
      <c r="TA246" s="824"/>
      <c r="TB246" s="824"/>
      <c r="TC246" s="824"/>
      <c r="TD246" s="824"/>
      <c r="TE246" s="824"/>
      <c r="TF246" s="824"/>
      <c r="TG246" s="824"/>
      <c r="TH246" s="824"/>
      <c r="TI246" s="824"/>
      <c r="TJ246" s="824"/>
      <c r="TK246" s="824"/>
      <c r="TL246" s="824"/>
      <c r="TM246" s="824"/>
      <c r="TN246" s="824"/>
      <c r="TO246" s="824"/>
      <c r="TP246" s="824"/>
      <c r="TQ246" s="824"/>
      <c r="TR246" s="824"/>
      <c r="TS246" s="824"/>
      <c r="TT246" s="824"/>
      <c r="TU246" s="824"/>
      <c r="TV246" s="824"/>
      <c r="TW246" s="824"/>
      <c r="TX246" s="824"/>
      <c r="TY246" s="824"/>
      <c r="TZ246" s="824"/>
      <c r="UA246" s="824"/>
      <c r="UB246" s="824"/>
      <c r="UC246" s="824"/>
      <c r="UD246" s="824"/>
      <c r="UE246" s="824"/>
      <c r="UF246" s="824"/>
      <c r="UG246" s="824"/>
      <c r="UH246" s="824"/>
      <c r="UI246" s="824"/>
      <c r="UJ246" s="824"/>
      <c r="UK246" s="824"/>
      <c r="UL246" s="824"/>
      <c r="UM246" s="824"/>
      <c r="UN246" s="824"/>
      <c r="UO246" s="824"/>
      <c r="UP246" s="824"/>
      <c r="UQ246" s="824"/>
      <c r="UR246" s="824"/>
      <c r="US246" s="824"/>
      <c r="UT246" s="824"/>
      <c r="UU246" s="824"/>
      <c r="UV246" s="824"/>
      <c r="UW246" s="824"/>
      <c r="UX246" s="824"/>
      <c r="UY246" s="824"/>
      <c r="UZ246" s="824"/>
      <c r="VA246" s="824"/>
      <c r="VB246" s="824"/>
      <c r="VC246" s="824"/>
      <c r="VD246" s="824"/>
      <c r="VE246" s="824"/>
      <c r="VF246" s="824"/>
      <c r="VG246" s="824"/>
      <c r="VH246" s="824"/>
      <c r="VI246" s="824"/>
      <c r="VJ246" s="824"/>
      <c r="VK246" s="824"/>
      <c r="VL246" s="824"/>
      <c r="VM246" s="824"/>
      <c r="VN246" s="824"/>
      <c r="VO246" s="824"/>
      <c r="VP246" s="824"/>
      <c r="VQ246" s="824"/>
      <c r="VR246" s="824"/>
      <c r="VS246" s="824"/>
      <c r="VT246" s="824"/>
      <c r="VU246" s="824"/>
      <c r="VV246" s="824"/>
      <c r="VW246" s="824"/>
      <c r="VX246" s="824"/>
      <c r="VY246" s="824"/>
      <c r="VZ246" s="824"/>
      <c r="WA246" s="824"/>
      <c r="WB246" s="824"/>
      <c r="WC246" s="824"/>
      <c r="WD246" s="824"/>
      <c r="WE246" s="824"/>
      <c r="WF246" s="824"/>
      <c r="WG246" s="824"/>
      <c r="WH246" s="824"/>
      <c r="WI246" s="824"/>
      <c r="WJ246" s="824"/>
      <c r="WK246" s="824"/>
      <c r="WL246" s="824"/>
      <c r="WM246" s="824"/>
      <c r="WN246" s="824"/>
      <c r="WO246" s="824"/>
      <c r="WP246" s="824"/>
      <c r="WQ246" s="824"/>
      <c r="WR246" s="824"/>
      <c r="WS246" s="824"/>
      <c r="WT246" s="824"/>
      <c r="WU246" s="824"/>
      <c r="WV246" s="824"/>
      <c r="WW246" s="824"/>
      <c r="WX246" s="824"/>
      <c r="WY246" s="824"/>
      <c r="WZ246" s="824"/>
      <c r="XA246" s="824"/>
      <c r="XB246" s="824"/>
      <c r="XC246" s="824"/>
      <c r="XD246" s="824"/>
      <c r="XE246" s="824"/>
      <c r="XF246" s="824"/>
      <c r="XG246" s="824"/>
      <c r="XH246" s="824"/>
      <c r="XI246" s="824"/>
      <c r="XJ246" s="824"/>
      <c r="XK246" s="824"/>
      <c r="XL246" s="824"/>
      <c r="XM246" s="824"/>
      <c r="XN246" s="824"/>
      <c r="XO246" s="824"/>
      <c r="XP246" s="824"/>
      <c r="XQ246" s="824"/>
      <c r="XR246" s="824"/>
      <c r="XS246" s="824"/>
      <c r="XT246" s="824"/>
      <c r="XU246" s="824"/>
      <c r="XV246" s="824"/>
      <c r="XW246" s="824"/>
      <c r="XX246" s="824"/>
      <c r="XY246" s="824"/>
      <c r="XZ246" s="824"/>
      <c r="YA246" s="824"/>
      <c r="YB246" s="824"/>
      <c r="YC246" s="824"/>
      <c r="YD246" s="824"/>
      <c r="YE246" s="824"/>
      <c r="YF246" s="824"/>
      <c r="YG246" s="824"/>
      <c r="YH246" s="824"/>
      <c r="YI246" s="824"/>
      <c r="YJ246" s="824"/>
      <c r="YK246" s="824"/>
      <c r="YL246" s="824"/>
      <c r="YM246" s="824"/>
      <c r="YN246" s="824"/>
      <c r="YO246" s="824"/>
      <c r="YP246" s="824"/>
      <c r="YQ246" s="824"/>
      <c r="YR246" s="824"/>
      <c r="YS246" s="824"/>
      <c r="YT246" s="824"/>
      <c r="YU246" s="824"/>
      <c r="YV246" s="824"/>
      <c r="YW246" s="824"/>
      <c r="YX246" s="824"/>
      <c r="YY246" s="824"/>
      <c r="YZ246" s="824"/>
      <c r="ZA246" s="824"/>
      <c r="ZB246" s="824"/>
      <c r="ZC246" s="824"/>
      <c r="ZD246" s="824"/>
      <c r="ZE246" s="824"/>
      <c r="ZF246" s="824"/>
      <c r="ZG246" s="824"/>
      <c r="ZH246" s="824"/>
      <c r="ZI246" s="824"/>
      <c r="ZJ246" s="824"/>
      <c r="ZK246" s="824"/>
      <c r="ZL246" s="824"/>
      <c r="ZM246" s="824"/>
      <c r="ZN246" s="824"/>
      <c r="ZO246" s="824"/>
      <c r="ZP246" s="824"/>
      <c r="ZQ246" s="824"/>
      <c r="ZR246" s="824"/>
      <c r="ZS246" s="824"/>
      <c r="ZT246" s="824"/>
      <c r="ZU246" s="824"/>
      <c r="ZV246" s="824"/>
      <c r="ZW246" s="824"/>
      <c r="ZX246" s="824"/>
      <c r="ZY246" s="824"/>
      <c r="ZZ246" s="824"/>
      <c r="AAA246" s="824"/>
      <c r="AAB246" s="824"/>
      <c r="AAC246" s="824"/>
      <c r="AAD246" s="824"/>
      <c r="AAE246" s="824"/>
      <c r="AAF246" s="824"/>
      <c r="AAG246" s="824"/>
      <c r="AAH246" s="824"/>
      <c r="AAI246" s="824"/>
      <c r="AAJ246" s="824"/>
      <c r="AAK246" s="824"/>
      <c r="AAL246" s="824"/>
      <c r="AAM246" s="824"/>
      <c r="AAN246" s="824"/>
      <c r="AAO246" s="824"/>
      <c r="AAP246" s="824"/>
      <c r="AAQ246" s="824"/>
      <c r="AAR246" s="824"/>
      <c r="AAS246" s="824"/>
      <c r="AAT246" s="824"/>
      <c r="AAU246" s="824"/>
      <c r="AAV246" s="824"/>
      <c r="AAW246" s="824"/>
      <c r="AAX246" s="824"/>
      <c r="AAY246" s="824"/>
      <c r="AAZ246" s="824"/>
      <c r="ABA246" s="824"/>
      <c r="ABB246" s="824"/>
      <c r="ABC246" s="824"/>
      <c r="ABD246" s="824"/>
      <c r="ABE246" s="824"/>
      <c r="ABF246" s="824"/>
      <c r="ABG246" s="824"/>
      <c r="ABH246" s="824"/>
      <c r="ABI246" s="824"/>
      <c r="ABJ246" s="824"/>
      <c r="ABK246" s="824"/>
      <c r="ABL246" s="824"/>
      <c r="ABM246" s="824"/>
      <c r="ABN246" s="824"/>
      <c r="ABO246" s="824"/>
      <c r="ABP246" s="824"/>
      <c r="ABQ246" s="824"/>
      <c r="ABR246" s="824"/>
      <c r="ABS246" s="824"/>
      <c r="ABT246" s="824"/>
      <c r="ABU246" s="824"/>
      <c r="ABV246" s="824"/>
      <c r="ABW246" s="824"/>
      <c r="ABX246" s="824"/>
      <c r="ABY246" s="824"/>
      <c r="ABZ246" s="824"/>
      <c r="ACA246" s="824"/>
      <c r="ACB246" s="824"/>
      <c r="ACC246" s="824"/>
      <c r="ACD246" s="824"/>
      <c r="ACE246" s="824"/>
      <c r="ACF246" s="824"/>
      <c r="ACG246" s="824"/>
      <c r="ACH246" s="824"/>
      <c r="ACI246" s="824"/>
      <c r="ACJ246" s="824"/>
      <c r="ACK246" s="824"/>
      <c r="ACL246" s="824"/>
      <c r="ACM246" s="824"/>
      <c r="ACN246" s="824"/>
      <c r="ACO246" s="824"/>
      <c r="ACP246" s="824"/>
      <c r="ACQ246" s="824"/>
      <c r="ACR246" s="824"/>
      <c r="ACS246" s="824"/>
      <c r="ACT246" s="824"/>
      <c r="ACU246" s="824"/>
      <c r="ACV246" s="824"/>
      <c r="ACW246" s="824"/>
      <c r="ACX246" s="824"/>
      <c r="ACY246" s="824"/>
      <c r="ACZ246" s="824"/>
      <c r="ADA246" s="824"/>
      <c r="ADB246" s="824"/>
      <c r="ADC246" s="824"/>
      <c r="ADD246" s="824"/>
      <c r="ADE246" s="824"/>
      <c r="ADF246" s="824"/>
      <c r="ADG246" s="824"/>
      <c r="ADH246" s="824"/>
      <c r="ADI246" s="824"/>
      <c r="ADJ246" s="824"/>
      <c r="ADK246" s="824"/>
      <c r="ADL246" s="824"/>
      <c r="ADM246" s="824"/>
      <c r="ADN246" s="824"/>
      <c r="ADO246" s="824"/>
      <c r="ADP246" s="824"/>
      <c r="ADQ246" s="824"/>
      <c r="ADR246" s="824"/>
      <c r="ADS246" s="824"/>
      <c r="ADT246" s="824"/>
      <c r="ADU246" s="824"/>
      <c r="ADV246" s="824"/>
      <c r="ADW246" s="824"/>
      <c r="ADX246" s="824"/>
      <c r="ADY246" s="824"/>
      <c r="ADZ246" s="824"/>
      <c r="AEA246" s="824"/>
      <c r="AEB246" s="824"/>
      <c r="AEC246" s="824"/>
      <c r="AED246" s="824"/>
      <c r="AEE246" s="824"/>
      <c r="AEF246" s="824"/>
      <c r="AEG246" s="824"/>
      <c r="AEH246" s="824"/>
      <c r="AEI246" s="824"/>
      <c r="AEJ246" s="824"/>
      <c r="AEK246" s="824"/>
      <c r="AEL246" s="824"/>
      <c r="AEM246" s="824"/>
      <c r="AEN246" s="824"/>
      <c r="AEO246" s="824"/>
      <c r="AEP246" s="824"/>
      <c r="AEQ246" s="824"/>
      <c r="AER246" s="824"/>
      <c r="AES246" s="824"/>
      <c r="AET246" s="824"/>
      <c r="AEU246" s="824"/>
      <c r="AEV246" s="824"/>
      <c r="AEW246" s="824"/>
      <c r="AEX246" s="824"/>
      <c r="AEY246" s="824"/>
      <c r="AEZ246" s="824"/>
      <c r="AFA246" s="824"/>
      <c r="AFB246" s="824"/>
      <c r="AFC246" s="824"/>
      <c r="AFD246" s="824"/>
      <c r="AFE246" s="824"/>
      <c r="AFF246" s="824"/>
      <c r="AFG246" s="824"/>
      <c r="AFH246" s="824"/>
      <c r="AFI246" s="824"/>
      <c r="AFJ246" s="824"/>
      <c r="AFK246" s="824"/>
      <c r="AFL246" s="824"/>
      <c r="AFM246" s="824"/>
      <c r="AFN246" s="824"/>
      <c r="AFO246" s="824"/>
      <c r="AFP246" s="824"/>
      <c r="AFQ246" s="824"/>
      <c r="AFR246" s="824"/>
      <c r="AFS246" s="824"/>
      <c r="AFT246" s="824"/>
      <c r="AFU246" s="824"/>
      <c r="AFV246" s="824"/>
      <c r="AFW246" s="824"/>
      <c r="AFX246" s="824"/>
      <c r="AFY246" s="824"/>
      <c r="AFZ246" s="824"/>
      <c r="AGA246" s="824"/>
      <c r="AGB246" s="824"/>
      <c r="AGC246" s="824"/>
      <c r="AGD246" s="824"/>
      <c r="AGE246" s="824"/>
      <c r="AGF246" s="824"/>
      <c r="AGG246" s="824"/>
      <c r="AGH246" s="824"/>
      <c r="AGI246" s="824"/>
      <c r="AGJ246" s="824"/>
    </row>
    <row r="247" spans="1:868">
      <c r="A247" s="151" t="s">
        <v>201</v>
      </c>
      <c r="B247" s="34" t="s">
        <v>204</v>
      </c>
      <c r="C247" s="40" t="s">
        <v>139</v>
      </c>
      <c r="D247" s="34" t="s">
        <v>139</v>
      </c>
      <c r="E247" s="257">
        <v>2.7E-4</v>
      </c>
      <c r="F247" s="232">
        <v>2</v>
      </c>
      <c r="G247" s="40" t="s">
        <v>205</v>
      </c>
      <c r="H247" s="29">
        <v>1</v>
      </c>
      <c r="I247" s="9">
        <v>2</v>
      </c>
      <c r="J247" s="9">
        <v>1</v>
      </c>
      <c r="K247" s="9">
        <v>3</v>
      </c>
      <c r="L247" s="9">
        <v>3</v>
      </c>
      <c r="M247" s="9">
        <v>3</v>
      </c>
      <c r="N247" s="185">
        <f t="shared" si="17"/>
        <v>1.1181151966036349</v>
      </c>
      <c r="O247" s="159">
        <f t="shared" si="18"/>
        <v>1.123005955058592</v>
      </c>
      <c r="P247" s="63"/>
    </row>
    <row r="248" spans="1:868">
      <c r="A248" s="151" t="s">
        <v>202</v>
      </c>
      <c r="B248" s="34" t="s">
        <v>204</v>
      </c>
      <c r="C248" s="40" t="s">
        <v>139</v>
      </c>
      <c r="D248" s="34" t="s">
        <v>139</v>
      </c>
      <c r="E248" s="257">
        <v>2.7E-4</v>
      </c>
      <c r="F248" s="232">
        <v>2</v>
      </c>
      <c r="G248" s="40" t="s">
        <v>205</v>
      </c>
      <c r="H248" s="29">
        <v>1</v>
      </c>
      <c r="I248" s="9">
        <v>2</v>
      </c>
      <c r="J248" s="9">
        <v>1</v>
      </c>
      <c r="K248" s="9">
        <v>3</v>
      </c>
      <c r="L248" s="9">
        <v>3</v>
      </c>
      <c r="M248" s="9">
        <v>3</v>
      </c>
      <c r="N248" s="185">
        <f t="shared" si="17"/>
        <v>1.1181151966036349</v>
      </c>
      <c r="O248" s="159">
        <f t="shared" si="18"/>
        <v>1.123005955058592</v>
      </c>
      <c r="P248" s="63"/>
    </row>
    <row r="249" spans="1:868">
      <c r="A249" s="151" t="s">
        <v>234</v>
      </c>
      <c r="B249" s="55" t="s">
        <v>204</v>
      </c>
      <c r="C249" s="262" t="s">
        <v>139</v>
      </c>
      <c r="D249" s="55" t="s">
        <v>139</v>
      </c>
      <c r="E249" s="257">
        <v>2.7E-4</v>
      </c>
      <c r="F249" s="232">
        <v>2</v>
      </c>
      <c r="G249" s="262" t="s">
        <v>163</v>
      </c>
      <c r="H249" s="29">
        <v>2</v>
      </c>
      <c r="I249" s="9">
        <v>2</v>
      </c>
      <c r="J249" s="9">
        <v>2</v>
      </c>
      <c r="K249" s="9">
        <v>3</v>
      </c>
      <c r="L249" s="9">
        <v>3</v>
      </c>
      <c r="M249" s="9">
        <v>3</v>
      </c>
      <c r="N249" s="185">
        <f t="shared" si="17"/>
        <v>1.1278755061256258</v>
      </c>
      <c r="O249" s="159">
        <f t="shared" si="18"/>
        <v>1.1278755061256258</v>
      </c>
      <c r="P249" s="63"/>
    </row>
    <row r="250" spans="1:868">
      <c r="A250" s="289" t="s">
        <v>186</v>
      </c>
      <c r="B250" s="55" t="s">
        <v>204</v>
      </c>
      <c r="C250" s="262" t="s">
        <v>139</v>
      </c>
      <c r="D250" s="55" t="s">
        <v>139</v>
      </c>
      <c r="E250" s="257">
        <v>2.7E-4</v>
      </c>
      <c r="F250" s="232">
        <v>2</v>
      </c>
      <c r="G250" s="262" t="s">
        <v>163</v>
      </c>
      <c r="H250" s="29">
        <v>2</v>
      </c>
      <c r="I250" s="9">
        <v>2</v>
      </c>
      <c r="J250" s="9">
        <v>2</v>
      </c>
      <c r="K250" s="9">
        <v>3</v>
      </c>
      <c r="L250" s="9">
        <v>3</v>
      </c>
      <c r="M250" s="9">
        <v>3</v>
      </c>
      <c r="N250" s="185">
        <f t="shared" si="17"/>
        <v>1.1278755061256258</v>
      </c>
      <c r="O250" s="159">
        <f t="shared" si="18"/>
        <v>1.1278755061256258</v>
      </c>
      <c r="P250" s="63"/>
    </row>
    <row r="251" spans="1:868">
      <c r="A251" s="289" t="s">
        <v>190</v>
      </c>
      <c r="B251" s="55" t="s">
        <v>204</v>
      </c>
      <c r="C251" s="262" t="s">
        <v>139</v>
      </c>
      <c r="D251" s="55" t="s">
        <v>139</v>
      </c>
      <c r="E251" s="257">
        <v>2.7E-4</v>
      </c>
      <c r="F251" s="232">
        <v>2</v>
      </c>
      <c r="G251" s="262" t="s">
        <v>163</v>
      </c>
      <c r="H251" s="29">
        <v>2</v>
      </c>
      <c r="I251" s="9">
        <v>2</v>
      </c>
      <c r="J251" s="9">
        <v>2</v>
      </c>
      <c r="K251" s="9">
        <v>3</v>
      </c>
      <c r="L251" s="9">
        <v>3</v>
      </c>
      <c r="M251" s="9">
        <v>3</v>
      </c>
      <c r="N251" s="185">
        <f t="shared" si="17"/>
        <v>1.1278755061256258</v>
      </c>
      <c r="O251" s="159">
        <f t="shared" si="18"/>
        <v>1.1278755061256258</v>
      </c>
      <c r="P251" s="63"/>
    </row>
    <row r="252" spans="1:868">
      <c r="A252" s="151" t="s">
        <v>235</v>
      </c>
      <c r="B252" s="34" t="s">
        <v>204</v>
      </c>
      <c r="C252" s="40" t="s">
        <v>139</v>
      </c>
      <c r="D252" s="34" t="s">
        <v>139</v>
      </c>
      <c r="E252" s="257">
        <v>2.7E-4</v>
      </c>
      <c r="F252" s="232">
        <v>2</v>
      </c>
      <c r="G252" s="40" t="s">
        <v>205</v>
      </c>
      <c r="H252" s="29">
        <v>1</v>
      </c>
      <c r="I252" s="9"/>
      <c r="J252" s="9">
        <v>1</v>
      </c>
      <c r="K252" s="9">
        <v>3</v>
      </c>
      <c r="L252" s="9">
        <v>3</v>
      </c>
      <c r="M252" s="9">
        <v>3</v>
      </c>
      <c r="N252" s="185">
        <f t="shared" si="17"/>
        <v>1.1181151966036349</v>
      </c>
      <c r="O252" s="159" t="str">
        <f t="shared" si="18"/>
        <v/>
      </c>
      <c r="P252" s="63"/>
    </row>
    <row r="253" spans="1:868">
      <c r="A253" s="151" t="s">
        <v>203</v>
      </c>
      <c r="B253" s="34" t="s">
        <v>204</v>
      </c>
      <c r="C253" s="40" t="s">
        <v>139</v>
      </c>
      <c r="D253" s="34" t="s">
        <v>139</v>
      </c>
      <c r="E253" s="257">
        <v>2.7E-4</v>
      </c>
      <c r="F253" s="232">
        <v>2</v>
      </c>
      <c r="G253" s="40" t="s">
        <v>205</v>
      </c>
      <c r="H253" s="29">
        <v>1</v>
      </c>
      <c r="I253" s="9"/>
      <c r="J253" s="9">
        <v>1</v>
      </c>
      <c r="K253" s="9">
        <v>3</v>
      </c>
      <c r="L253" s="9">
        <v>3</v>
      </c>
      <c r="M253" s="9">
        <v>3</v>
      </c>
      <c r="N253" s="185">
        <f t="shared" si="17"/>
        <v>1.1181151966036349</v>
      </c>
      <c r="O253" s="159" t="str">
        <f t="shared" si="18"/>
        <v/>
      </c>
      <c r="P253" s="63"/>
    </row>
    <row r="254" spans="1:868">
      <c r="A254" s="151" t="s">
        <v>112</v>
      </c>
      <c r="B254" s="34" t="s">
        <v>234</v>
      </c>
      <c r="C254" s="40" t="s">
        <v>139</v>
      </c>
      <c r="D254" s="34" t="s">
        <v>90</v>
      </c>
      <c r="E254" s="257">
        <v>0</v>
      </c>
      <c r="F254" s="232">
        <v>1</v>
      </c>
      <c r="G254" s="40"/>
      <c r="H254" s="29"/>
      <c r="I254" s="9"/>
      <c r="J254" s="9"/>
      <c r="K254" s="9"/>
      <c r="L254" s="9"/>
      <c r="M254" s="9"/>
      <c r="N254" s="185" t="str">
        <f t="shared" si="17"/>
        <v/>
      </c>
      <c r="O254" s="159" t="str">
        <f t="shared" si="18"/>
        <v/>
      </c>
      <c r="P254" s="63"/>
    </row>
    <row r="255" spans="1:868">
      <c r="A255" s="151" t="s">
        <v>236</v>
      </c>
      <c r="B255" s="34" t="s">
        <v>204</v>
      </c>
      <c r="C255" s="40" t="s">
        <v>139</v>
      </c>
      <c r="D255" s="34" t="s">
        <v>139</v>
      </c>
      <c r="E255" s="257">
        <v>2.7E-4</v>
      </c>
      <c r="F255" s="232">
        <v>2</v>
      </c>
      <c r="G255" s="40" t="s">
        <v>205</v>
      </c>
      <c r="H255" s="29">
        <v>1</v>
      </c>
      <c r="I255" s="9"/>
      <c r="J255" s="9">
        <v>1</v>
      </c>
      <c r="K255" s="9">
        <v>3</v>
      </c>
      <c r="L255" s="9">
        <v>3</v>
      </c>
      <c r="M255" s="9">
        <v>3</v>
      </c>
      <c r="N255" s="185">
        <f t="shared" si="17"/>
        <v>1.1181151966036349</v>
      </c>
      <c r="O255" s="159" t="str">
        <f t="shared" si="18"/>
        <v/>
      </c>
      <c r="P255" s="63"/>
    </row>
    <row r="256" spans="1:868">
      <c r="A256" s="151" t="s">
        <v>112</v>
      </c>
      <c r="B256" s="34" t="s">
        <v>234</v>
      </c>
      <c r="C256" s="40" t="s">
        <v>139</v>
      </c>
      <c r="D256" s="34" t="s">
        <v>91</v>
      </c>
      <c r="E256" s="257">
        <v>2.7068708019976597E-2</v>
      </c>
      <c r="F256" s="232">
        <v>1</v>
      </c>
      <c r="G256" s="40" t="s">
        <v>163</v>
      </c>
      <c r="H256" s="29">
        <v>2</v>
      </c>
      <c r="I256" s="9">
        <v>2</v>
      </c>
      <c r="J256" s="9">
        <v>2</v>
      </c>
      <c r="K256" s="9">
        <v>2</v>
      </c>
      <c r="L256" s="9">
        <v>1</v>
      </c>
      <c r="M256" s="9">
        <v>2</v>
      </c>
      <c r="N256" s="185">
        <f t="shared" si="17"/>
        <v>0.38795788889711302</v>
      </c>
      <c r="O256" s="159">
        <f t="shared" si="18"/>
        <v>0.38795788889711302</v>
      </c>
      <c r="P256" s="63"/>
    </row>
    <row r="257" spans="1:16">
      <c r="A257" s="151" t="s">
        <v>237</v>
      </c>
      <c r="B257" s="34" t="s">
        <v>204</v>
      </c>
      <c r="C257" s="40" t="s">
        <v>139</v>
      </c>
      <c r="D257" s="34" t="s">
        <v>139</v>
      </c>
      <c r="E257" s="257">
        <v>2.7E-4</v>
      </c>
      <c r="F257" s="232">
        <v>2</v>
      </c>
      <c r="G257" s="40" t="s">
        <v>205</v>
      </c>
      <c r="H257" s="29">
        <v>1</v>
      </c>
      <c r="I257" s="9"/>
      <c r="J257" s="9">
        <v>1</v>
      </c>
      <c r="K257" s="9">
        <v>3</v>
      </c>
      <c r="L257" s="9">
        <v>3</v>
      </c>
      <c r="M257" s="9">
        <v>3</v>
      </c>
      <c r="N257" s="185">
        <f t="shared" si="17"/>
        <v>1.1181151966036349</v>
      </c>
      <c r="O257" s="159" t="str">
        <f t="shared" si="18"/>
        <v/>
      </c>
      <c r="P257" s="63"/>
    </row>
    <row r="258" spans="1:16">
      <c r="A258" s="289" t="s">
        <v>238</v>
      </c>
      <c r="B258" s="55" t="s">
        <v>204</v>
      </c>
      <c r="C258" s="262" t="s">
        <v>139</v>
      </c>
      <c r="D258" s="55" t="s">
        <v>139</v>
      </c>
      <c r="E258" s="257">
        <v>2.7E-4</v>
      </c>
      <c r="F258" s="232">
        <v>2</v>
      </c>
      <c r="G258" s="262" t="s">
        <v>163</v>
      </c>
      <c r="H258" s="29">
        <v>2</v>
      </c>
      <c r="I258" s="9">
        <v>2</v>
      </c>
      <c r="J258" s="9">
        <v>2</v>
      </c>
      <c r="K258" s="9">
        <v>3</v>
      </c>
      <c r="L258" s="9">
        <v>3</v>
      </c>
      <c r="M258" s="9">
        <v>3</v>
      </c>
      <c r="N258" s="185">
        <f t="shared" si="17"/>
        <v>1.1278755061256258</v>
      </c>
      <c r="O258" s="159">
        <f t="shared" si="18"/>
        <v>1.1278755061256258</v>
      </c>
      <c r="P258" s="63"/>
    </row>
    <row r="259" spans="1:16">
      <c r="A259" s="289" t="s">
        <v>239</v>
      </c>
      <c r="B259" s="55" t="s">
        <v>204</v>
      </c>
      <c r="C259" s="262" t="s">
        <v>139</v>
      </c>
      <c r="D259" s="55" t="s">
        <v>139</v>
      </c>
      <c r="E259" s="257">
        <v>2.7E-4</v>
      </c>
      <c r="F259" s="232">
        <v>2</v>
      </c>
      <c r="G259" s="262" t="s">
        <v>163</v>
      </c>
      <c r="H259" s="29">
        <v>2</v>
      </c>
      <c r="I259" s="9">
        <v>2</v>
      </c>
      <c r="J259" s="9">
        <v>2</v>
      </c>
      <c r="K259" s="9">
        <v>3</v>
      </c>
      <c r="L259" s="9">
        <v>3</v>
      </c>
      <c r="M259" s="9">
        <v>3</v>
      </c>
      <c r="N259" s="185">
        <f t="shared" si="17"/>
        <v>1.1278755061256258</v>
      </c>
      <c r="O259" s="159">
        <f t="shared" si="18"/>
        <v>1.1278755061256258</v>
      </c>
      <c r="P259" s="63"/>
    </row>
    <row r="260" spans="1:16">
      <c r="A260" s="151" t="s">
        <v>112</v>
      </c>
      <c r="B260" s="34" t="s">
        <v>234</v>
      </c>
      <c r="C260" s="40" t="s">
        <v>139</v>
      </c>
      <c r="D260" s="34" t="s">
        <v>95</v>
      </c>
      <c r="E260" s="257">
        <v>0.18991471314722469</v>
      </c>
      <c r="F260" s="232">
        <v>1</v>
      </c>
      <c r="G260" s="40" t="s">
        <v>163</v>
      </c>
      <c r="H260" s="29">
        <v>2</v>
      </c>
      <c r="I260" s="9">
        <v>2</v>
      </c>
      <c r="J260" s="9">
        <v>2</v>
      </c>
      <c r="K260" s="9">
        <v>2</v>
      </c>
      <c r="L260" s="9">
        <v>1</v>
      </c>
      <c r="M260" s="9">
        <v>2</v>
      </c>
      <c r="N260" s="185">
        <f t="shared" si="17"/>
        <v>0.38795788889711302</v>
      </c>
      <c r="O260" s="159">
        <f t="shared" si="18"/>
        <v>0.38795788889711302</v>
      </c>
      <c r="P260" s="63"/>
    </row>
    <row r="261" spans="1:16">
      <c r="A261" s="151" t="s">
        <v>112</v>
      </c>
      <c r="B261" s="34" t="s">
        <v>234</v>
      </c>
      <c r="C261" s="40" t="s">
        <v>139</v>
      </c>
      <c r="D261" s="34" t="s">
        <v>99</v>
      </c>
      <c r="E261" s="257">
        <v>0</v>
      </c>
      <c r="F261" s="232">
        <v>1</v>
      </c>
      <c r="G261" s="40"/>
      <c r="H261" s="29"/>
      <c r="I261" s="9"/>
      <c r="J261" s="9"/>
      <c r="K261" s="9"/>
      <c r="L261" s="9"/>
      <c r="M261" s="9"/>
      <c r="N261" s="185" t="str">
        <f t="shared" si="17"/>
        <v/>
      </c>
      <c r="O261" s="159" t="str">
        <f t="shared" si="18"/>
        <v/>
      </c>
      <c r="P261" s="63"/>
    </row>
    <row r="262" spans="1:16">
      <c r="A262" s="151" t="s">
        <v>112</v>
      </c>
      <c r="B262" s="34" t="s">
        <v>189</v>
      </c>
      <c r="C262" s="40" t="s">
        <v>139</v>
      </c>
      <c r="D262" s="34" t="s">
        <v>85</v>
      </c>
      <c r="E262" s="257">
        <v>0</v>
      </c>
      <c r="F262" s="232">
        <v>1</v>
      </c>
      <c r="G262" s="40"/>
      <c r="H262" s="29"/>
      <c r="I262" s="9"/>
      <c r="J262" s="9"/>
      <c r="K262" s="9"/>
      <c r="L262" s="9"/>
      <c r="M262" s="9"/>
      <c r="N262" s="185" t="str">
        <f t="shared" si="17"/>
        <v/>
      </c>
      <c r="O262" s="159" t="str">
        <f t="shared" si="18"/>
        <v/>
      </c>
      <c r="P262" s="63"/>
    </row>
    <row r="263" spans="1:16">
      <c r="A263" s="151" t="s">
        <v>112</v>
      </c>
      <c r="B263" s="34" t="s">
        <v>189</v>
      </c>
      <c r="C263" s="40" t="s">
        <v>139</v>
      </c>
      <c r="D263" s="34" t="s">
        <v>86</v>
      </c>
      <c r="E263" s="257">
        <v>3.9813826497656801E-2</v>
      </c>
      <c r="F263" s="232">
        <v>1</v>
      </c>
      <c r="G263" s="40" t="s">
        <v>195</v>
      </c>
      <c r="H263" s="29">
        <v>1</v>
      </c>
      <c r="I263" s="9">
        <v>2</v>
      </c>
      <c r="J263" s="9">
        <v>2</v>
      </c>
      <c r="K263" s="9">
        <v>2</v>
      </c>
      <c r="L263" s="9">
        <v>1</v>
      </c>
      <c r="M263" s="9">
        <v>2</v>
      </c>
      <c r="N263" s="185">
        <f t="shared" si="17"/>
        <v>0.37356464144298934</v>
      </c>
      <c r="O263" s="159">
        <f t="shared" si="18"/>
        <v>0.38795788889711302</v>
      </c>
      <c r="P263" s="63"/>
    </row>
    <row r="264" spans="1:16">
      <c r="A264" s="289" t="s">
        <v>240</v>
      </c>
      <c r="B264" s="55" t="s">
        <v>204</v>
      </c>
      <c r="C264" s="262" t="s">
        <v>139</v>
      </c>
      <c r="D264" s="55" t="s">
        <v>139</v>
      </c>
      <c r="E264" s="257">
        <v>2.7E-4</v>
      </c>
      <c r="F264" s="232">
        <v>2</v>
      </c>
      <c r="G264" s="262" t="s">
        <v>163</v>
      </c>
      <c r="H264" s="29">
        <v>2</v>
      </c>
      <c r="I264" s="9">
        <v>2</v>
      </c>
      <c r="J264" s="9">
        <v>2</v>
      </c>
      <c r="K264" s="9">
        <v>3</v>
      </c>
      <c r="L264" s="9">
        <v>3</v>
      </c>
      <c r="M264" s="9">
        <v>3</v>
      </c>
      <c r="N264" s="185">
        <f t="shared" si="17"/>
        <v>1.1278755061256258</v>
      </c>
      <c r="O264" s="159">
        <f t="shared" si="18"/>
        <v>1.1278755061256258</v>
      </c>
      <c r="P264" s="63"/>
    </row>
    <row r="265" spans="1:16">
      <c r="A265" s="289" t="s">
        <v>241</v>
      </c>
      <c r="B265" s="55" t="s">
        <v>204</v>
      </c>
      <c r="C265" s="262" t="s">
        <v>139</v>
      </c>
      <c r="D265" s="55" t="s">
        <v>139</v>
      </c>
      <c r="E265" s="257">
        <v>2.7E-4</v>
      </c>
      <c r="F265" s="232">
        <v>2</v>
      </c>
      <c r="G265" s="262" t="s">
        <v>163</v>
      </c>
      <c r="H265" s="29">
        <v>2</v>
      </c>
      <c r="I265" s="9">
        <v>2</v>
      </c>
      <c r="J265" s="9">
        <v>2</v>
      </c>
      <c r="K265" s="9">
        <v>3</v>
      </c>
      <c r="L265" s="9">
        <v>3</v>
      </c>
      <c r="M265" s="9">
        <v>3</v>
      </c>
      <c r="N265" s="185">
        <f t="shared" si="17"/>
        <v>1.1278755061256258</v>
      </c>
      <c r="O265" s="159">
        <f t="shared" si="18"/>
        <v>1.1278755061256258</v>
      </c>
      <c r="P265" s="63"/>
    </row>
    <row r="266" spans="1:16">
      <c r="A266" s="289" t="s">
        <v>242</v>
      </c>
      <c r="B266" s="55" t="s">
        <v>204</v>
      </c>
      <c r="C266" s="262" t="s">
        <v>139</v>
      </c>
      <c r="D266" s="55" t="s">
        <v>139</v>
      </c>
      <c r="E266" s="240">
        <v>2.7E-4</v>
      </c>
      <c r="F266" s="232">
        <v>2</v>
      </c>
      <c r="G266" s="262" t="s">
        <v>163</v>
      </c>
      <c r="H266" s="29">
        <v>2</v>
      </c>
      <c r="I266" s="9">
        <v>2</v>
      </c>
      <c r="J266" s="9">
        <v>2</v>
      </c>
      <c r="K266" s="9">
        <v>3</v>
      </c>
      <c r="L266" s="9">
        <v>3</v>
      </c>
      <c r="M266" s="9">
        <v>3</v>
      </c>
      <c r="N266" s="185">
        <f t="shared" si="17"/>
        <v>1.1278755061256258</v>
      </c>
      <c r="O266" s="159">
        <f t="shared" si="18"/>
        <v>1.1278755061256258</v>
      </c>
      <c r="P266" s="63"/>
    </row>
    <row r="267" spans="1:16">
      <c r="A267" s="151" t="s">
        <v>179</v>
      </c>
      <c r="B267" s="34" t="s">
        <v>243</v>
      </c>
      <c r="C267" s="40" t="s">
        <v>139</v>
      </c>
      <c r="D267" s="34" t="s">
        <v>139</v>
      </c>
      <c r="E267" s="257">
        <v>1</v>
      </c>
      <c r="F267" s="232">
        <v>1</v>
      </c>
      <c r="G267" s="40"/>
      <c r="H267" s="29"/>
      <c r="I267" s="9"/>
      <c r="J267" s="9"/>
      <c r="K267" s="9"/>
      <c r="L267" s="9"/>
      <c r="M267" s="9"/>
      <c r="N267" s="185" t="str">
        <f t="shared" si="17"/>
        <v/>
      </c>
      <c r="O267" s="159" t="str">
        <f t="shared" si="18"/>
        <v/>
      </c>
      <c r="P267" s="63"/>
    </row>
    <row r="268" spans="1:16">
      <c r="A268" s="151" t="s">
        <v>112</v>
      </c>
      <c r="B268" s="34" t="s">
        <v>189</v>
      </c>
      <c r="C268" s="40" t="s">
        <v>139</v>
      </c>
      <c r="D268" s="34" t="s">
        <v>87</v>
      </c>
      <c r="E268" s="257">
        <v>6.8545874707195309E-2</v>
      </c>
      <c r="F268" s="232">
        <v>1</v>
      </c>
      <c r="G268" s="40" t="s">
        <v>195</v>
      </c>
      <c r="H268" s="29">
        <v>1</v>
      </c>
      <c r="I268" s="9">
        <v>2</v>
      </c>
      <c r="J268" s="9">
        <v>2</v>
      </c>
      <c r="K268" s="9">
        <v>2</v>
      </c>
      <c r="L268" s="9">
        <v>1</v>
      </c>
      <c r="M268" s="9">
        <v>2</v>
      </c>
      <c r="N268" s="185">
        <f t="shared" si="17"/>
        <v>0.37356464144298934</v>
      </c>
      <c r="O268" s="159">
        <f t="shared" si="18"/>
        <v>0.38795788889711302</v>
      </c>
      <c r="P268" s="63"/>
    </row>
    <row r="269" spans="1:16">
      <c r="A269" s="151" t="s">
        <v>244</v>
      </c>
      <c r="B269" s="34" t="s">
        <v>245</v>
      </c>
      <c r="C269" s="40" t="s">
        <v>139</v>
      </c>
      <c r="D269" s="34" t="s">
        <v>85</v>
      </c>
      <c r="E269" s="257">
        <v>9.4320486815415827E-2</v>
      </c>
      <c r="F269" s="232">
        <v>1</v>
      </c>
      <c r="G269" s="40" t="s">
        <v>246</v>
      </c>
      <c r="H269" s="29">
        <v>2</v>
      </c>
      <c r="I269" s="9">
        <v>2</v>
      </c>
      <c r="J269" s="9">
        <v>2</v>
      </c>
      <c r="K269" s="9">
        <v>3</v>
      </c>
      <c r="L269" s="9">
        <v>1</v>
      </c>
      <c r="M269" s="9">
        <v>3</v>
      </c>
      <c r="N269" s="185">
        <f t="shared" si="17"/>
        <v>1.0776024280428556</v>
      </c>
      <c r="O269" s="159">
        <f t="shared" si="18"/>
        <v>1.0776024280428556</v>
      </c>
      <c r="P269" s="63" t="s">
        <v>247</v>
      </c>
    </row>
    <row r="270" spans="1:16">
      <c r="A270" s="151" t="s">
        <v>244</v>
      </c>
      <c r="B270" s="34" t="s">
        <v>245</v>
      </c>
      <c r="C270" s="40" t="s">
        <v>139</v>
      </c>
      <c r="D270" s="34" t="s">
        <v>86</v>
      </c>
      <c r="E270" s="257">
        <v>9.4320486815415827E-2</v>
      </c>
      <c r="F270" s="232">
        <v>1</v>
      </c>
      <c r="G270" s="40" t="s">
        <v>246</v>
      </c>
      <c r="H270" s="29">
        <v>2</v>
      </c>
      <c r="I270" s="9">
        <v>2</v>
      </c>
      <c r="J270" s="9">
        <v>2</v>
      </c>
      <c r="K270" s="9">
        <v>3</v>
      </c>
      <c r="L270" s="9">
        <v>1</v>
      </c>
      <c r="M270" s="9">
        <v>3</v>
      </c>
      <c r="N270" s="185">
        <f t="shared" si="17"/>
        <v>1.0776024280428556</v>
      </c>
      <c r="O270" s="159">
        <f t="shared" si="18"/>
        <v>1.0776024280428556</v>
      </c>
      <c r="P270" s="63" t="s">
        <v>247</v>
      </c>
    </row>
    <row r="271" spans="1:16">
      <c r="A271" s="151" t="s">
        <v>244</v>
      </c>
      <c r="B271" s="34" t="s">
        <v>245</v>
      </c>
      <c r="C271" s="40" t="s">
        <v>139</v>
      </c>
      <c r="D271" s="34" t="s">
        <v>87</v>
      </c>
      <c r="E271" s="257">
        <v>9.4320486815415827E-2</v>
      </c>
      <c r="F271" s="232">
        <v>1</v>
      </c>
      <c r="G271" s="40" t="s">
        <v>246</v>
      </c>
      <c r="H271" s="29">
        <v>2</v>
      </c>
      <c r="I271" s="9">
        <v>2</v>
      </c>
      <c r="J271" s="9">
        <v>2</v>
      </c>
      <c r="K271" s="9">
        <v>3</v>
      </c>
      <c r="L271" s="9">
        <v>1</v>
      </c>
      <c r="M271" s="9">
        <v>3</v>
      </c>
      <c r="N271" s="185">
        <f t="shared" si="17"/>
        <v>1.0776024280428556</v>
      </c>
      <c r="O271" s="159">
        <f t="shared" si="18"/>
        <v>1.0776024280428556</v>
      </c>
      <c r="P271" s="63" t="s">
        <v>247</v>
      </c>
    </row>
    <row r="272" spans="1:16">
      <c r="A272" s="151" t="s">
        <v>244</v>
      </c>
      <c r="B272" s="34" t="s">
        <v>245</v>
      </c>
      <c r="C272" s="40" t="s">
        <v>139</v>
      </c>
      <c r="D272" s="34" t="s">
        <v>88</v>
      </c>
      <c r="E272" s="257">
        <v>9.4320486815415827E-2</v>
      </c>
      <c r="F272" s="232">
        <v>1</v>
      </c>
      <c r="G272" s="40" t="s">
        <v>246</v>
      </c>
      <c r="H272" s="29">
        <v>2</v>
      </c>
      <c r="I272" s="9">
        <v>2</v>
      </c>
      <c r="J272" s="9">
        <v>2</v>
      </c>
      <c r="K272" s="9">
        <v>3</v>
      </c>
      <c r="L272" s="9">
        <v>1</v>
      </c>
      <c r="M272" s="9">
        <v>3</v>
      </c>
      <c r="N272" s="185">
        <f t="shared" si="17"/>
        <v>1.0776024280428556</v>
      </c>
      <c r="O272" s="159">
        <f t="shared" si="18"/>
        <v>1.0776024280428556</v>
      </c>
      <c r="P272" s="63" t="s">
        <v>247</v>
      </c>
    </row>
    <row r="273" spans="1:32">
      <c r="A273" s="151" t="s">
        <v>244</v>
      </c>
      <c r="B273" s="34" t="s">
        <v>245</v>
      </c>
      <c r="C273" s="40" t="s">
        <v>139</v>
      </c>
      <c r="D273" s="34" t="s">
        <v>89</v>
      </c>
      <c r="E273" s="257">
        <v>9.4320486815415827E-2</v>
      </c>
      <c r="F273" s="232">
        <v>1</v>
      </c>
      <c r="G273" s="40" t="s">
        <v>246</v>
      </c>
      <c r="H273" s="29">
        <v>2</v>
      </c>
      <c r="I273" s="9">
        <v>2</v>
      </c>
      <c r="J273" s="9">
        <v>2</v>
      </c>
      <c r="K273" s="9">
        <v>3</v>
      </c>
      <c r="L273" s="9">
        <v>1</v>
      </c>
      <c r="M273" s="9">
        <v>3</v>
      </c>
      <c r="N273" s="185">
        <f t="shared" si="17"/>
        <v>1.0776024280428556</v>
      </c>
      <c r="O273" s="159">
        <f t="shared" si="18"/>
        <v>1.0776024280428556</v>
      </c>
      <c r="P273" s="63" t="s">
        <v>247</v>
      </c>
    </row>
    <row r="274" spans="1:32">
      <c r="A274" s="151" t="s">
        <v>244</v>
      </c>
      <c r="B274" s="34" t="s">
        <v>245</v>
      </c>
      <c r="C274" s="40" t="s">
        <v>139</v>
      </c>
      <c r="D274" s="34" t="s">
        <v>90</v>
      </c>
      <c r="E274" s="257">
        <v>9.4320486815415827E-2</v>
      </c>
      <c r="F274" s="232">
        <v>1</v>
      </c>
      <c r="G274" s="40" t="s">
        <v>246</v>
      </c>
      <c r="H274" s="29">
        <v>2</v>
      </c>
      <c r="I274" s="9">
        <v>2</v>
      </c>
      <c r="J274" s="9">
        <v>2</v>
      </c>
      <c r="K274" s="9">
        <v>3</v>
      </c>
      <c r="L274" s="9">
        <v>1</v>
      </c>
      <c r="M274" s="9">
        <v>3</v>
      </c>
      <c r="N274" s="185">
        <f t="shared" ref="N274:N275" si="19">IF( OR( ISBLANK(H274),ISBLANK(J274), ISBLANK(K274), ISBLANK(L274), ISBLANK(M274) ), "", 1.5*SQRT(   EXP(2.21*(H274-1)) + EXP(2.21*(J274-1)) + EXP(2.21*(K274-1)) + EXP(2.21*(L274-1)) + EXP(2.21*M274)   )/100*2.45 )</f>
        <v>1.0776024280428556</v>
      </c>
      <c r="O274" s="159">
        <f t="shared" si="18"/>
        <v>1.0776024280428556</v>
      </c>
      <c r="P274" s="63" t="s">
        <v>247</v>
      </c>
    </row>
    <row r="275" spans="1:32">
      <c r="A275" s="151" t="s">
        <v>244</v>
      </c>
      <c r="B275" s="34" t="s">
        <v>245</v>
      </c>
      <c r="C275" s="40" t="s">
        <v>139</v>
      </c>
      <c r="D275" s="34" t="s">
        <v>91</v>
      </c>
      <c r="E275" s="257">
        <v>9.4320486815415827E-2</v>
      </c>
      <c r="F275" s="232">
        <v>1</v>
      </c>
      <c r="G275" s="40" t="s">
        <v>246</v>
      </c>
      <c r="H275" s="29">
        <v>2</v>
      </c>
      <c r="I275" s="9">
        <v>2</v>
      </c>
      <c r="J275" s="9">
        <v>2</v>
      </c>
      <c r="K275" s="9">
        <v>1</v>
      </c>
      <c r="L275" s="9">
        <v>1</v>
      </c>
      <c r="M275" s="9">
        <v>1</v>
      </c>
      <c r="N275" s="185">
        <f t="shared" si="19"/>
        <v>0.19908580854301616</v>
      </c>
      <c r="O275" s="159">
        <f t="shared" si="18"/>
        <v>0.19908580854301616</v>
      </c>
      <c r="P275" s="63"/>
    </row>
    <row r="276" spans="1:32" s="16" customFormat="1">
      <c r="A276" s="335" t="s">
        <v>144</v>
      </c>
      <c r="B276" s="69" t="s">
        <v>248</v>
      </c>
      <c r="C276" s="848" t="s">
        <v>139</v>
      </c>
      <c r="D276" s="34" t="s">
        <v>139</v>
      </c>
      <c r="E276" s="849" t="s">
        <v>150</v>
      </c>
      <c r="F276" s="850">
        <v>1</v>
      </c>
      <c r="G276" s="848"/>
      <c r="H276" s="29"/>
      <c r="I276" s="9"/>
      <c r="J276" s="9"/>
      <c r="K276" s="9"/>
      <c r="L276" s="9"/>
      <c r="M276" s="9"/>
      <c r="N276" s="185" t="s">
        <v>249</v>
      </c>
      <c r="O276" s="159" t="s">
        <v>249</v>
      </c>
      <c r="P276" s="63" t="s">
        <v>250</v>
      </c>
      <c r="X276" s="826"/>
      <c r="Y276" s="826"/>
      <c r="AA276" s="826"/>
      <c r="AB276" s="826"/>
      <c r="AC276" s="827"/>
      <c r="AD276" s="827"/>
      <c r="AE276" s="826"/>
      <c r="AF276" s="827"/>
    </row>
    <row r="277" spans="1:32" s="16" customFormat="1">
      <c r="A277" s="335" t="s">
        <v>144</v>
      </c>
      <c r="B277" s="34" t="s">
        <v>251</v>
      </c>
      <c r="C277" s="40" t="s">
        <v>139</v>
      </c>
      <c r="D277" s="34" t="s">
        <v>139</v>
      </c>
      <c r="E277" s="848">
        <f>(1-0.004)*0.0001/100</f>
        <v>9.9600000000000008E-7</v>
      </c>
      <c r="F277" s="69">
        <v>2</v>
      </c>
      <c r="G277" s="848" t="s">
        <v>252</v>
      </c>
      <c r="H277" s="29">
        <v>2</v>
      </c>
      <c r="I277" s="9">
        <v>1</v>
      </c>
      <c r="J277" s="9">
        <v>2</v>
      </c>
      <c r="K277" s="9">
        <v>3</v>
      </c>
      <c r="L277" s="9">
        <v>3</v>
      </c>
      <c r="M277" s="9">
        <v>1</v>
      </c>
      <c r="N277" s="185">
        <v>0.60108474454521421</v>
      </c>
      <c r="O277" s="159">
        <v>0.60108474454521421</v>
      </c>
      <c r="P277" s="63"/>
    </row>
    <row r="278" spans="1:32" s="16" customFormat="1">
      <c r="A278" s="335" t="s">
        <v>144</v>
      </c>
      <c r="B278" s="34" t="s">
        <v>251</v>
      </c>
      <c r="C278" s="40" t="s">
        <v>139</v>
      </c>
      <c r="D278" s="34" t="s">
        <v>139</v>
      </c>
      <c r="E278" s="848">
        <f>(1-0.004)*0.04/100</f>
        <v>3.9839999999999998E-4</v>
      </c>
      <c r="F278" s="69">
        <v>2</v>
      </c>
      <c r="G278" s="848" t="s">
        <v>252</v>
      </c>
      <c r="H278" s="29">
        <v>2</v>
      </c>
      <c r="I278" s="9">
        <v>1</v>
      </c>
      <c r="J278" s="9">
        <v>2</v>
      </c>
      <c r="K278" s="9">
        <v>3</v>
      </c>
      <c r="L278" s="9">
        <v>3</v>
      </c>
      <c r="M278" s="9">
        <v>1</v>
      </c>
      <c r="N278" s="185">
        <v>0.60108474454521421</v>
      </c>
      <c r="O278" s="159">
        <v>0.60108474454521421</v>
      </c>
      <c r="P278" s="63"/>
    </row>
    <row r="279" spans="1:32" s="16" customFormat="1">
      <c r="A279" s="335" t="s">
        <v>144</v>
      </c>
      <c r="B279" s="69" t="s">
        <v>184</v>
      </c>
      <c r="C279" s="40" t="s">
        <v>139</v>
      </c>
      <c r="D279" s="34" t="s">
        <v>139</v>
      </c>
      <c r="E279" s="849">
        <v>0</v>
      </c>
      <c r="F279" s="850">
        <v>1</v>
      </c>
      <c r="G279" s="848" t="s">
        <v>253</v>
      </c>
      <c r="H279" s="29"/>
      <c r="I279" s="9"/>
      <c r="J279" s="9"/>
      <c r="K279" s="9"/>
      <c r="L279" s="9"/>
      <c r="M279" s="9"/>
      <c r="N279" s="185" t="s">
        <v>249</v>
      </c>
      <c r="O279" s="159" t="s">
        <v>249</v>
      </c>
      <c r="P279" s="63"/>
    </row>
    <row r="280" spans="1:32" s="16" customFormat="1">
      <c r="A280" s="335" t="s">
        <v>144</v>
      </c>
      <c r="B280" s="34" t="s">
        <v>254</v>
      </c>
      <c r="C280" s="40" t="s">
        <v>139</v>
      </c>
      <c r="D280" s="34" t="s">
        <v>139</v>
      </c>
      <c r="E280" s="848">
        <f>0.004*0.0001/100</f>
        <v>4.0000000000000002E-9</v>
      </c>
      <c r="F280" s="69">
        <v>2</v>
      </c>
      <c r="G280" s="848" t="s">
        <v>252</v>
      </c>
      <c r="H280" s="29">
        <v>2</v>
      </c>
      <c r="I280" s="9">
        <v>1</v>
      </c>
      <c r="J280" s="9">
        <v>2</v>
      </c>
      <c r="K280" s="9">
        <v>3</v>
      </c>
      <c r="L280" s="9">
        <v>3</v>
      </c>
      <c r="M280" s="9">
        <v>1</v>
      </c>
      <c r="N280" s="185">
        <v>0.60108474454521421</v>
      </c>
      <c r="O280" s="159">
        <v>0.60108474454521421</v>
      </c>
      <c r="P280" s="63"/>
    </row>
    <row r="281" spans="1:32" s="16" customFormat="1">
      <c r="A281" s="335" t="s">
        <v>144</v>
      </c>
      <c r="B281" s="34" t="s">
        <v>254</v>
      </c>
      <c r="C281" s="40" t="s">
        <v>139</v>
      </c>
      <c r="D281" s="34" t="s">
        <v>139</v>
      </c>
      <c r="E281" s="848">
        <f>0.004*0.04/100</f>
        <v>1.6000000000000001E-6</v>
      </c>
      <c r="F281" s="69">
        <v>2</v>
      </c>
      <c r="G281" s="848" t="s">
        <v>252</v>
      </c>
      <c r="H281" s="29">
        <v>2</v>
      </c>
      <c r="I281" s="9">
        <v>1</v>
      </c>
      <c r="J281" s="9">
        <v>2</v>
      </c>
      <c r="K281" s="9">
        <v>3</v>
      </c>
      <c r="L281" s="9">
        <v>3</v>
      </c>
      <c r="M281" s="9">
        <v>1</v>
      </c>
      <c r="N281" s="185">
        <v>0.60108474454521421</v>
      </c>
      <c r="O281" s="159">
        <v>0.60108474454521421</v>
      </c>
      <c r="P281" s="63"/>
    </row>
    <row r="282" spans="1:32" s="16" customFormat="1">
      <c r="A282" s="335" t="s">
        <v>144</v>
      </c>
      <c r="B282" s="69" t="s">
        <v>179</v>
      </c>
      <c r="C282" s="40" t="s">
        <v>139</v>
      </c>
      <c r="D282" s="34" t="s">
        <v>139</v>
      </c>
      <c r="E282" s="849">
        <v>0.1</v>
      </c>
      <c r="F282" s="850">
        <v>1</v>
      </c>
      <c r="G282" s="848" t="s">
        <v>255</v>
      </c>
      <c r="H282" s="29">
        <v>2</v>
      </c>
      <c r="I282" s="9">
        <v>2</v>
      </c>
      <c r="J282" s="9">
        <v>2</v>
      </c>
      <c r="K282" s="9">
        <v>3</v>
      </c>
      <c r="L282" s="9">
        <v>1</v>
      </c>
      <c r="M282" s="9">
        <v>1</v>
      </c>
      <c r="N282" s="185">
        <v>0.38795788889711302</v>
      </c>
      <c r="O282" s="159">
        <v>0.38795788889711302</v>
      </c>
      <c r="P282" s="63"/>
    </row>
    <row r="283" spans="1:32">
      <c r="A283" s="151" t="s">
        <v>112</v>
      </c>
      <c r="B283" s="34" t="s">
        <v>189</v>
      </c>
      <c r="C283" s="40" t="s">
        <v>139</v>
      </c>
      <c r="D283" s="34" t="s">
        <v>88</v>
      </c>
      <c r="E283" s="257">
        <v>0</v>
      </c>
      <c r="F283" s="232">
        <v>1</v>
      </c>
      <c r="G283" s="40"/>
      <c r="H283" s="29"/>
      <c r="I283" s="9"/>
      <c r="J283" s="9"/>
      <c r="K283" s="9"/>
      <c r="L283" s="9"/>
      <c r="M283" s="9"/>
      <c r="N283" s="185" t="str">
        <f t="shared" ref="N283:N311" si="20">IF( OR( ISBLANK(H283),ISBLANK(J283), ISBLANK(K283), ISBLANK(L283), ISBLANK(M283) ), "", 1.5*SQRT(   EXP(2.21*(H283-1)) + EXP(2.21*(J283-1)) + EXP(2.21*(K283-1)) + EXP(2.21*(L283-1)) + EXP(2.21*M283)   )/100*2.45 )</f>
        <v/>
      </c>
      <c r="O283" s="159" t="str">
        <f t="shared" ref="O283:O311" si="21">IF( OR( ISBLANK(I283),ISBLANK(J283), ISBLANK(K283), ISBLANK(L283), ISBLANK(M283) ), "", 1.5*SQRT( EXP(2.21*(I283-1)) + EXP(2.21*(J283-1)) + EXP(2.21*(K283-1)) + EXP(2.21*(L283-1)) + EXP(2.21*M283)   )/100*2.45 )</f>
        <v/>
      </c>
      <c r="P283" s="63"/>
    </row>
    <row r="284" spans="1:32">
      <c r="A284" s="151" t="s">
        <v>112</v>
      </c>
      <c r="B284" s="34" t="s">
        <v>189</v>
      </c>
      <c r="C284" s="40" t="s">
        <v>139</v>
      </c>
      <c r="D284" s="34" t="s">
        <v>89</v>
      </c>
      <c r="E284" s="257">
        <v>0</v>
      </c>
      <c r="F284" s="232">
        <v>1</v>
      </c>
      <c r="G284" s="40"/>
      <c r="H284" s="29"/>
      <c r="I284" s="9"/>
      <c r="J284" s="9"/>
      <c r="K284" s="9"/>
      <c r="L284" s="9"/>
      <c r="M284" s="9"/>
      <c r="N284" s="185" t="str">
        <f t="shared" si="20"/>
        <v/>
      </c>
      <c r="O284" s="159" t="str">
        <f t="shared" si="21"/>
        <v/>
      </c>
      <c r="P284" s="63"/>
    </row>
    <row r="285" spans="1:32">
      <c r="A285" s="151" t="s">
        <v>109</v>
      </c>
      <c r="B285" s="34" t="s">
        <v>256</v>
      </c>
      <c r="C285" s="40" t="s">
        <v>139</v>
      </c>
      <c r="D285" s="34" t="s">
        <v>139</v>
      </c>
      <c r="E285" s="257" t="s">
        <v>150</v>
      </c>
      <c r="F285" s="34">
        <v>1</v>
      </c>
      <c r="G285" s="40"/>
      <c r="H285" s="29">
        <v>1</v>
      </c>
      <c r="I285" s="9"/>
      <c r="J285" s="9">
        <v>1</v>
      </c>
      <c r="K285" s="9">
        <v>1</v>
      </c>
      <c r="L285" s="9">
        <v>2</v>
      </c>
      <c r="M285" s="9">
        <v>2</v>
      </c>
      <c r="N285" s="185">
        <f t="shared" si="20"/>
        <v>0.35859414261160716</v>
      </c>
      <c r="O285" s="159" t="str">
        <f t="shared" si="21"/>
        <v/>
      </c>
      <c r="P285" s="63"/>
    </row>
    <row r="286" spans="1:32">
      <c r="A286" s="151" t="s">
        <v>114</v>
      </c>
      <c r="B286" s="34" t="s">
        <v>256</v>
      </c>
      <c r="C286" s="40" t="s">
        <v>139</v>
      </c>
      <c r="D286" s="34" t="s">
        <v>139</v>
      </c>
      <c r="E286" s="257">
        <v>1</v>
      </c>
      <c r="F286" s="34">
        <v>1</v>
      </c>
      <c r="G286" s="40"/>
      <c r="H286" s="29">
        <v>1</v>
      </c>
      <c r="I286" s="9"/>
      <c r="J286" s="9">
        <v>1</v>
      </c>
      <c r="K286" s="9">
        <v>1</v>
      </c>
      <c r="L286" s="9">
        <v>2</v>
      </c>
      <c r="M286" s="9">
        <v>2</v>
      </c>
      <c r="N286" s="185">
        <f t="shared" si="20"/>
        <v>0.35859414261160716</v>
      </c>
      <c r="O286" s="159" t="str">
        <f t="shared" si="21"/>
        <v/>
      </c>
      <c r="P286" s="63"/>
    </row>
    <row r="287" spans="1:32">
      <c r="A287" s="151" t="s">
        <v>254</v>
      </c>
      <c r="B287" s="34" t="s">
        <v>251</v>
      </c>
      <c r="C287" s="40" t="s">
        <v>139</v>
      </c>
      <c r="D287" s="34" t="s">
        <v>139</v>
      </c>
      <c r="E287" s="257">
        <v>0.3</v>
      </c>
      <c r="F287" s="232">
        <v>2</v>
      </c>
      <c r="G287" s="40" t="s">
        <v>257</v>
      </c>
      <c r="H287" s="29">
        <v>2</v>
      </c>
      <c r="I287" s="9">
        <v>2</v>
      </c>
      <c r="J287" s="9">
        <v>1</v>
      </c>
      <c r="K287" s="9">
        <v>1</v>
      </c>
      <c r="L287" s="9">
        <v>1</v>
      </c>
      <c r="M287" s="9">
        <v>3</v>
      </c>
      <c r="N287" s="185">
        <f t="shared" si="20"/>
        <v>1.0195048044558224</v>
      </c>
      <c r="O287" s="159">
        <f t="shared" si="21"/>
        <v>1.0195048044558224</v>
      </c>
      <c r="P287" s="63"/>
    </row>
    <row r="288" spans="1:32">
      <c r="A288" s="151" t="s">
        <v>254</v>
      </c>
      <c r="B288" s="34" t="s">
        <v>258</v>
      </c>
      <c r="C288" s="40" t="s">
        <v>139</v>
      </c>
      <c r="D288" s="34" t="s">
        <v>139</v>
      </c>
      <c r="E288" s="257">
        <v>0.1</v>
      </c>
      <c r="F288" s="232">
        <v>2</v>
      </c>
      <c r="G288" s="40" t="s">
        <v>257</v>
      </c>
      <c r="H288" s="29">
        <v>2</v>
      </c>
      <c r="I288" s="9">
        <v>2</v>
      </c>
      <c r="J288" s="9">
        <v>1</v>
      </c>
      <c r="K288" s="9">
        <v>1</v>
      </c>
      <c r="L288" s="9">
        <v>1</v>
      </c>
      <c r="M288" s="9">
        <v>3</v>
      </c>
      <c r="N288" s="185">
        <f t="shared" si="20"/>
        <v>1.0195048044558224</v>
      </c>
      <c r="O288" s="159">
        <f t="shared" si="21"/>
        <v>1.0195048044558224</v>
      </c>
      <c r="P288" s="63"/>
    </row>
    <row r="289" spans="1:16">
      <c r="A289" s="151" t="s">
        <v>254</v>
      </c>
      <c r="B289" s="34" t="s">
        <v>215</v>
      </c>
      <c r="C289" s="40" t="s">
        <v>139</v>
      </c>
      <c r="D289" s="34" t="s">
        <v>139</v>
      </c>
      <c r="E289" s="257">
        <v>0.6</v>
      </c>
      <c r="F289" s="232">
        <v>2</v>
      </c>
      <c r="G289" s="40" t="s">
        <v>257</v>
      </c>
      <c r="H289" s="29">
        <v>2</v>
      </c>
      <c r="I289" s="9">
        <v>2</v>
      </c>
      <c r="J289" s="9">
        <v>1</v>
      </c>
      <c r="K289" s="9">
        <v>1</v>
      </c>
      <c r="L289" s="9">
        <v>1</v>
      </c>
      <c r="M289" s="9">
        <v>3</v>
      </c>
      <c r="N289" s="185">
        <f t="shared" si="20"/>
        <v>1.0195048044558224</v>
      </c>
      <c r="O289" s="159">
        <f t="shared" si="21"/>
        <v>1.0195048044558224</v>
      </c>
      <c r="P289" s="63"/>
    </row>
    <row r="290" spans="1:16">
      <c r="A290" s="151" t="s">
        <v>259</v>
      </c>
      <c r="B290" s="34" t="s">
        <v>260</v>
      </c>
      <c r="C290" s="40" t="s">
        <v>139</v>
      </c>
      <c r="D290" s="34" t="s">
        <v>139</v>
      </c>
      <c r="E290" s="257" t="s">
        <v>150</v>
      </c>
      <c r="F290" s="34">
        <v>1</v>
      </c>
      <c r="G290" s="40"/>
      <c r="H290" s="29"/>
      <c r="I290" s="9"/>
      <c r="J290" s="9"/>
      <c r="K290" s="9"/>
      <c r="L290" s="9"/>
      <c r="M290" s="9"/>
      <c r="N290" s="185" t="str">
        <f t="shared" si="20"/>
        <v/>
      </c>
      <c r="O290" s="159" t="str">
        <f t="shared" si="21"/>
        <v/>
      </c>
      <c r="P290" s="63"/>
    </row>
    <row r="291" spans="1:16">
      <c r="A291" s="151" t="s">
        <v>264</v>
      </c>
      <c r="B291" s="34" t="s">
        <v>265</v>
      </c>
      <c r="C291" s="40" t="s">
        <v>139</v>
      </c>
      <c r="D291" s="34" t="s">
        <v>139</v>
      </c>
      <c r="E291" s="257">
        <v>1</v>
      </c>
      <c r="F291" s="232">
        <v>2</v>
      </c>
      <c r="G291" s="40"/>
      <c r="H291" s="29">
        <v>3</v>
      </c>
      <c r="I291" s="9"/>
      <c r="J291" s="9">
        <v>3</v>
      </c>
      <c r="K291" s="9">
        <v>3</v>
      </c>
      <c r="L291" s="9">
        <v>3</v>
      </c>
      <c r="M291" s="9">
        <v>3</v>
      </c>
      <c r="N291" s="185">
        <f t="shared" si="20"/>
        <v>1.2132328390150593</v>
      </c>
      <c r="O291" s="159" t="str">
        <f t="shared" si="21"/>
        <v/>
      </c>
      <c r="P291" s="63"/>
    </row>
    <row r="292" spans="1:16">
      <c r="A292" s="151" t="s">
        <v>264</v>
      </c>
      <c r="B292" s="34" t="s">
        <v>265</v>
      </c>
      <c r="C292" s="40" t="s">
        <v>139</v>
      </c>
      <c r="D292" s="34" t="s">
        <v>139</v>
      </c>
      <c r="E292" s="257">
        <v>0</v>
      </c>
      <c r="F292" s="232">
        <v>2</v>
      </c>
      <c r="G292" s="40"/>
      <c r="H292" s="29"/>
      <c r="I292" s="9"/>
      <c r="J292" s="9"/>
      <c r="K292" s="9"/>
      <c r="L292" s="9"/>
      <c r="M292" s="9"/>
      <c r="N292" s="185" t="str">
        <f t="shared" si="20"/>
        <v/>
      </c>
      <c r="O292" s="159" t="str">
        <f t="shared" si="21"/>
        <v/>
      </c>
      <c r="P292" s="63"/>
    </row>
    <row r="293" spans="1:16">
      <c r="A293" s="151" t="s">
        <v>264</v>
      </c>
      <c r="B293" s="34" t="s">
        <v>209</v>
      </c>
      <c r="C293" s="40" t="s">
        <v>139</v>
      </c>
      <c r="D293" s="34" t="s">
        <v>139</v>
      </c>
      <c r="E293" s="257" t="s">
        <v>150</v>
      </c>
      <c r="F293" s="232">
        <v>1</v>
      </c>
      <c r="G293" s="40"/>
      <c r="H293" s="29"/>
      <c r="I293" s="9"/>
      <c r="J293" s="9"/>
      <c r="K293" s="9"/>
      <c r="L293" s="9"/>
      <c r="M293" s="9"/>
      <c r="N293" s="185" t="str">
        <f t="shared" si="20"/>
        <v/>
      </c>
      <c r="O293" s="159" t="str">
        <f t="shared" si="21"/>
        <v/>
      </c>
      <c r="P293" s="63"/>
    </row>
    <row r="294" spans="1:16">
      <c r="A294" s="151" t="s">
        <v>266</v>
      </c>
      <c r="B294" s="34" t="s">
        <v>258</v>
      </c>
      <c r="C294" s="40" t="s">
        <v>139</v>
      </c>
      <c r="D294" s="34" t="s">
        <v>139</v>
      </c>
      <c r="E294" s="257">
        <v>1</v>
      </c>
      <c r="F294" s="232">
        <v>2</v>
      </c>
      <c r="G294" s="40"/>
      <c r="H294" s="29">
        <v>3</v>
      </c>
      <c r="I294" s="9"/>
      <c r="J294" s="9">
        <v>3</v>
      </c>
      <c r="K294" s="9">
        <v>3</v>
      </c>
      <c r="L294" s="9">
        <v>3</v>
      </c>
      <c r="M294" s="9">
        <v>3</v>
      </c>
      <c r="N294" s="185">
        <f t="shared" si="20"/>
        <v>1.2132328390150593</v>
      </c>
      <c r="O294" s="159" t="str">
        <f t="shared" si="21"/>
        <v/>
      </c>
      <c r="P294" s="63"/>
    </row>
    <row r="295" spans="1:16">
      <c r="A295" s="151" t="s">
        <v>266</v>
      </c>
      <c r="B295" s="34" t="s">
        <v>258</v>
      </c>
      <c r="C295" s="40" t="s">
        <v>139</v>
      </c>
      <c r="D295" s="34" t="s">
        <v>139</v>
      </c>
      <c r="E295" s="257">
        <v>0</v>
      </c>
      <c r="F295" s="232">
        <v>2</v>
      </c>
      <c r="G295" s="40"/>
      <c r="H295" s="29"/>
      <c r="I295" s="9"/>
      <c r="J295" s="9"/>
      <c r="K295" s="9"/>
      <c r="L295" s="9"/>
      <c r="M295" s="9"/>
      <c r="N295" s="185" t="str">
        <f t="shared" si="20"/>
        <v/>
      </c>
      <c r="O295" s="159" t="str">
        <f t="shared" si="21"/>
        <v/>
      </c>
      <c r="P295" s="63"/>
    </row>
    <row r="296" spans="1:16">
      <c r="A296" s="151" t="s">
        <v>266</v>
      </c>
      <c r="B296" s="34" t="s">
        <v>215</v>
      </c>
      <c r="C296" s="40" t="s">
        <v>139</v>
      </c>
      <c r="D296" s="34" t="s">
        <v>139</v>
      </c>
      <c r="E296" s="257" t="s">
        <v>150</v>
      </c>
      <c r="F296" s="232">
        <v>1</v>
      </c>
      <c r="G296" s="40"/>
      <c r="H296" s="29"/>
      <c r="I296" s="9"/>
      <c r="J296" s="9"/>
      <c r="K296" s="9"/>
      <c r="L296" s="9"/>
      <c r="M296" s="9"/>
      <c r="N296" s="185" t="str">
        <f t="shared" si="20"/>
        <v/>
      </c>
      <c r="O296" s="159" t="str">
        <f t="shared" si="21"/>
        <v/>
      </c>
      <c r="P296" s="63"/>
    </row>
    <row r="297" spans="1:16">
      <c r="A297" s="151" t="s">
        <v>256</v>
      </c>
      <c r="B297" s="34" t="s">
        <v>267</v>
      </c>
      <c r="C297" s="40" t="s">
        <v>180</v>
      </c>
      <c r="D297" s="69" t="s">
        <v>85</v>
      </c>
      <c r="E297" s="848">
        <v>0.89414414414414412</v>
      </c>
      <c r="F297" s="34">
        <v>1</v>
      </c>
      <c r="G297" s="339" t="s">
        <v>110</v>
      </c>
      <c r="H297" s="29">
        <v>1</v>
      </c>
      <c r="I297" s="9"/>
      <c r="J297" s="9">
        <v>1</v>
      </c>
      <c r="K297" s="9">
        <v>1</v>
      </c>
      <c r="L297" s="9">
        <v>2</v>
      </c>
      <c r="M297" s="9">
        <v>2</v>
      </c>
      <c r="N297" s="185">
        <f t="shared" si="20"/>
        <v>0.35859414261160716</v>
      </c>
      <c r="O297" s="159" t="str">
        <f t="shared" si="21"/>
        <v/>
      </c>
      <c r="P297" s="63"/>
    </row>
    <row r="298" spans="1:16">
      <c r="A298" s="151" t="s">
        <v>256</v>
      </c>
      <c r="B298" s="34" t="s">
        <v>267</v>
      </c>
      <c r="C298" s="40" t="s">
        <v>180</v>
      </c>
      <c r="D298" s="69" t="s">
        <v>86</v>
      </c>
      <c r="E298" s="848">
        <v>0.84514925373134331</v>
      </c>
      <c r="F298" s="34">
        <v>1</v>
      </c>
      <c r="G298" s="339" t="s">
        <v>110</v>
      </c>
      <c r="H298" s="29">
        <v>1</v>
      </c>
      <c r="I298" s="9"/>
      <c r="J298" s="9">
        <v>1</v>
      </c>
      <c r="K298" s="9">
        <v>1</v>
      </c>
      <c r="L298" s="9">
        <v>2</v>
      </c>
      <c r="M298" s="9">
        <v>2</v>
      </c>
      <c r="N298" s="185">
        <f t="shared" si="20"/>
        <v>0.35859414261160716</v>
      </c>
      <c r="O298" s="159" t="str">
        <f t="shared" si="21"/>
        <v/>
      </c>
      <c r="P298" s="63"/>
    </row>
    <row r="299" spans="1:16">
      <c r="A299" s="151" t="s">
        <v>256</v>
      </c>
      <c r="B299" s="34" t="s">
        <v>267</v>
      </c>
      <c r="C299" s="40" t="s">
        <v>180</v>
      </c>
      <c r="D299" s="69" t="s">
        <v>87</v>
      </c>
      <c r="E299" s="848">
        <v>0.2164781906300485</v>
      </c>
      <c r="F299" s="34">
        <v>1</v>
      </c>
      <c r="G299" s="339" t="s">
        <v>110</v>
      </c>
      <c r="H299" s="29">
        <v>1</v>
      </c>
      <c r="I299" s="9"/>
      <c r="J299" s="9">
        <v>1</v>
      </c>
      <c r="K299" s="9">
        <v>1</v>
      </c>
      <c r="L299" s="9">
        <v>2</v>
      </c>
      <c r="M299" s="9">
        <v>2</v>
      </c>
      <c r="N299" s="185">
        <f t="shared" si="20"/>
        <v>0.35859414261160716</v>
      </c>
      <c r="O299" s="159" t="str">
        <f t="shared" si="21"/>
        <v/>
      </c>
      <c r="P299" s="63"/>
    </row>
    <row r="300" spans="1:16">
      <c r="A300" s="151" t="s">
        <v>256</v>
      </c>
      <c r="B300" s="34" t="s">
        <v>267</v>
      </c>
      <c r="C300" s="40" t="s">
        <v>180</v>
      </c>
      <c r="D300" s="69" t="s">
        <v>88</v>
      </c>
      <c r="E300" s="848">
        <v>0.14782608695652169</v>
      </c>
      <c r="F300" s="34">
        <v>1</v>
      </c>
      <c r="G300" s="339" t="s">
        <v>110</v>
      </c>
      <c r="H300" s="29">
        <v>1</v>
      </c>
      <c r="I300" s="9"/>
      <c r="J300" s="9">
        <v>1</v>
      </c>
      <c r="K300" s="9">
        <v>1</v>
      </c>
      <c r="L300" s="9">
        <v>2</v>
      </c>
      <c r="M300" s="9">
        <v>2</v>
      </c>
      <c r="N300" s="185">
        <f t="shared" si="20"/>
        <v>0.35859414261160716</v>
      </c>
      <c r="O300" s="159" t="str">
        <f t="shared" si="21"/>
        <v/>
      </c>
      <c r="P300" s="63"/>
    </row>
    <row r="301" spans="1:16">
      <c r="A301" s="151" t="s">
        <v>256</v>
      </c>
      <c r="B301" s="34" t="s">
        <v>267</v>
      </c>
      <c r="C301" s="40" t="s">
        <v>180</v>
      </c>
      <c r="D301" s="69" t="s">
        <v>89</v>
      </c>
      <c r="E301" s="848">
        <v>0.66574585635359118</v>
      </c>
      <c r="F301" s="34">
        <v>1</v>
      </c>
      <c r="G301" s="339" t="s">
        <v>110</v>
      </c>
      <c r="H301" s="29">
        <v>1</v>
      </c>
      <c r="I301" s="9"/>
      <c r="J301" s="9">
        <v>1</v>
      </c>
      <c r="K301" s="9">
        <v>1</v>
      </c>
      <c r="L301" s="9">
        <v>2</v>
      </c>
      <c r="M301" s="9">
        <v>2</v>
      </c>
      <c r="N301" s="185">
        <f t="shared" si="20"/>
        <v>0.35859414261160716</v>
      </c>
      <c r="O301" s="159" t="str">
        <f t="shared" si="21"/>
        <v/>
      </c>
      <c r="P301" s="63"/>
    </row>
    <row r="302" spans="1:16">
      <c r="A302" s="151" t="s">
        <v>256</v>
      </c>
      <c r="B302" s="34" t="s">
        <v>267</v>
      </c>
      <c r="C302" s="40" t="s">
        <v>180</v>
      </c>
      <c r="D302" s="69" t="s">
        <v>90</v>
      </c>
      <c r="E302" s="848">
        <v>0.85006045949214026</v>
      </c>
      <c r="F302" s="34">
        <v>1</v>
      </c>
      <c r="G302" s="339" t="s">
        <v>110</v>
      </c>
      <c r="H302" s="29">
        <v>1</v>
      </c>
      <c r="I302" s="9"/>
      <c r="J302" s="9">
        <v>1</v>
      </c>
      <c r="K302" s="9">
        <v>1</v>
      </c>
      <c r="L302" s="9">
        <v>2</v>
      </c>
      <c r="M302" s="9">
        <v>2</v>
      </c>
      <c r="N302" s="185">
        <f t="shared" si="20"/>
        <v>0.35859414261160716</v>
      </c>
      <c r="O302" s="159" t="str">
        <f t="shared" si="21"/>
        <v/>
      </c>
      <c r="P302" s="63"/>
    </row>
    <row r="303" spans="1:16">
      <c r="A303" s="151" t="s">
        <v>256</v>
      </c>
      <c r="B303" s="34" t="s">
        <v>267</v>
      </c>
      <c r="C303" s="40" t="s">
        <v>180</v>
      </c>
      <c r="D303" s="69" t="s">
        <v>91</v>
      </c>
      <c r="E303" s="848">
        <v>1</v>
      </c>
      <c r="F303" s="34">
        <v>1</v>
      </c>
      <c r="G303" s="339" t="s">
        <v>110</v>
      </c>
      <c r="H303" s="29">
        <v>1</v>
      </c>
      <c r="I303" s="9"/>
      <c r="J303" s="9">
        <v>1</v>
      </c>
      <c r="K303" s="9">
        <v>1</v>
      </c>
      <c r="L303" s="9">
        <v>2</v>
      </c>
      <c r="M303" s="9">
        <v>2</v>
      </c>
      <c r="N303" s="185">
        <f t="shared" si="20"/>
        <v>0.35859414261160716</v>
      </c>
      <c r="O303" s="159" t="str">
        <f t="shared" si="21"/>
        <v/>
      </c>
      <c r="P303" s="63"/>
    </row>
    <row r="304" spans="1:16">
      <c r="A304" s="151" t="s">
        <v>37</v>
      </c>
      <c r="B304" s="34" t="s">
        <v>159</v>
      </c>
      <c r="C304" s="40" t="s">
        <v>139</v>
      </c>
      <c r="D304" s="34" t="s">
        <v>85</v>
      </c>
      <c r="E304" s="257">
        <f>Intentionally_produced_MPs!H127</f>
        <v>0</v>
      </c>
      <c r="F304" s="232">
        <v>1</v>
      </c>
      <c r="G304" s="40"/>
      <c r="H304" s="29"/>
      <c r="I304" s="9"/>
      <c r="J304" s="9"/>
      <c r="K304" s="9"/>
      <c r="L304" s="9"/>
      <c r="M304" s="9"/>
      <c r="N304" s="185" t="str">
        <f t="shared" si="20"/>
        <v/>
      </c>
      <c r="O304" s="159" t="str">
        <f t="shared" si="21"/>
        <v/>
      </c>
      <c r="P304" s="63"/>
    </row>
    <row r="305" spans="1:16">
      <c r="A305" s="151" t="s">
        <v>37</v>
      </c>
      <c r="B305" s="34" t="s">
        <v>159</v>
      </c>
      <c r="C305" s="40" t="s">
        <v>139</v>
      </c>
      <c r="D305" s="34" t="s">
        <v>86</v>
      </c>
      <c r="E305" s="257">
        <f>Intentionally_produced_MPs!H128</f>
        <v>0.56875626926941902</v>
      </c>
      <c r="F305" s="232">
        <v>1</v>
      </c>
      <c r="G305" s="40"/>
      <c r="H305" s="29">
        <v>3</v>
      </c>
      <c r="I305" s="9">
        <v>2</v>
      </c>
      <c r="J305" s="9">
        <v>3</v>
      </c>
      <c r="K305" s="9">
        <v>3</v>
      </c>
      <c r="L305" s="9">
        <v>3</v>
      </c>
      <c r="M305" s="9">
        <v>3</v>
      </c>
      <c r="N305" s="185">
        <f t="shared" si="20"/>
        <v>1.2132328390150593</v>
      </c>
      <c r="O305" s="159">
        <f t="shared" si="21"/>
        <v>1.1713319510247036</v>
      </c>
      <c r="P305" s="63"/>
    </row>
    <row r="306" spans="1:16">
      <c r="A306" s="151" t="s">
        <v>37</v>
      </c>
      <c r="B306" s="34" t="s">
        <v>159</v>
      </c>
      <c r="C306" s="40" t="s">
        <v>139</v>
      </c>
      <c r="D306" s="34" t="s">
        <v>87</v>
      </c>
      <c r="E306" s="257">
        <f>Intentionally_produced_MPs!H129</f>
        <v>0</v>
      </c>
      <c r="F306" s="232">
        <v>1</v>
      </c>
      <c r="G306" s="40"/>
      <c r="H306" s="29"/>
      <c r="I306" s="9"/>
      <c r="J306" s="9"/>
      <c r="K306" s="9"/>
      <c r="L306" s="9"/>
      <c r="M306" s="9"/>
      <c r="N306" s="185" t="str">
        <f t="shared" si="20"/>
        <v/>
      </c>
      <c r="O306" s="159" t="str">
        <f t="shared" si="21"/>
        <v/>
      </c>
      <c r="P306" s="63"/>
    </row>
    <row r="307" spans="1:16">
      <c r="A307" s="151" t="s">
        <v>37</v>
      </c>
      <c r="B307" s="34" t="s">
        <v>159</v>
      </c>
      <c r="C307" s="40" t="s">
        <v>139</v>
      </c>
      <c r="D307" s="34" t="s">
        <v>88</v>
      </c>
      <c r="E307" s="257">
        <f>Intentionally_produced_MPs!H130</f>
        <v>0</v>
      </c>
      <c r="F307" s="232">
        <v>1</v>
      </c>
      <c r="G307" s="40"/>
      <c r="H307" s="29"/>
      <c r="I307" s="9"/>
      <c r="J307" s="9"/>
      <c r="K307" s="9"/>
      <c r="L307" s="9"/>
      <c r="M307" s="9"/>
      <c r="N307" s="185" t="str">
        <f t="shared" si="20"/>
        <v/>
      </c>
      <c r="O307" s="159" t="str">
        <f t="shared" si="21"/>
        <v/>
      </c>
      <c r="P307" s="63"/>
    </row>
    <row r="308" spans="1:16">
      <c r="A308" s="151" t="s">
        <v>37</v>
      </c>
      <c r="B308" s="34" t="s">
        <v>159</v>
      </c>
      <c r="C308" s="40" t="s">
        <v>139</v>
      </c>
      <c r="D308" s="34" t="s">
        <v>89</v>
      </c>
      <c r="E308" s="257">
        <f>Intentionally_produced_MPs!H131</f>
        <v>0</v>
      </c>
      <c r="F308" s="232">
        <v>1</v>
      </c>
      <c r="G308" s="40"/>
      <c r="H308" s="29"/>
      <c r="I308" s="9"/>
      <c r="J308" s="9"/>
      <c r="K308" s="9"/>
      <c r="L308" s="9"/>
      <c r="M308" s="9"/>
      <c r="N308" s="185" t="str">
        <f t="shared" si="20"/>
        <v/>
      </c>
      <c r="O308" s="159" t="str">
        <f t="shared" si="21"/>
        <v/>
      </c>
      <c r="P308" s="63"/>
    </row>
    <row r="309" spans="1:16">
      <c r="A309" s="151" t="s">
        <v>37</v>
      </c>
      <c r="B309" s="34" t="s">
        <v>159</v>
      </c>
      <c r="C309" s="40" t="s">
        <v>139</v>
      </c>
      <c r="D309" s="34" t="s">
        <v>90</v>
      </c>
      <c r="E309" s="257">
        <f>Intentionally_produced_MPs!H132</f>
        <v>0</v>
      </c>
      <c r="F309" s="232">
        <v>1</v>
      </c>
      <c r="G309" s="40"/>
      <c r="H309" s="29"/>
      <c r="I309" s="9"/>
      <c r="J309" s="9"/>
      <c r="K309" s="9"/>
      <c r="L309" s="9"/>
      <c r="M309" s="9"/>
      <c r="N309" s="185" t="str">
        <f t="shared" si="20"/>
        <v/>
      </c>
      <c r="O309" s="159" t="str">
        <f t="shared" si="21"/>
        <v/>
      </c>
      <c r="P309" s="63"/>
    </row>
    <row r="310" spans="1:16">
      <c r="A310" s="151" t="s">
        <v>37</v>
      </c>
      <c r="B310" s="34" t="s">
        <v>159</v>
      </c>
      <c r="C310" s="40" t="s">
        <v>139</v>
      </c>
      <c r="D310" s="34" t="s">
        <v>91</v>
      </c>
      <c r="E310" s="257">
        <f>Intentionally_produced_MPs!H133</f>
        <v>0</v>
      </c>
      <c r="F310" s="232">
        <v>1</v>
      </c>
      <c r="G310" s="40"/>
      <c r="H310" s="29"/>
      <c r="I310" s="9"/>
      <c r="J310" s="9"/>
      <c r="K310" s="9"/>
      <c r="L310" s="9"/>
      <c r="M310" s="9"/>
      <c r="N310" s="185" t="str">
        <f t="shared" si="20"/>
        <v/>
      </c>
      <c r="O310" s="159" t="str">
        <f t="shared" si="21"/>
        <v/>
      </c>
      <c r="P310" s="63"/>
    </row>
    <row r="311" spans="1:16">
      <c r="A311" s="151" t="s">
        <v>37</v>
      </c>
      <c r="B311" s="34" t="s">
        <v>159</v>
      </c>
      <c r="C311" s="40" t="s">
        <v>139</v>
      </c>
      <c r="D311" s="34" t="s">
        <v>92</v>
      </c>
      <c r="E311" s="257">
        <f>Intentionally_produced_MPs!H134</f>
        <v>0</v>
      </c>
      <c r="F311" s="232">
        <v>1</v>
      </c>
      <c r="G311" s="40"/>
      <c r="H311" s="29"/>
      <c r="I311" s="9"/>
      <c r="J311" s="9"/>
      <c r="K311" s="9"/>
      <c r="L311" s="9"/>
      <c r="M311" s="9"/>
      <c r="N311" s="185" t="str">
        <f t="shared" si="20"/>
        <v/>
      </c>
      <c r="O311" s="159" t="str">
        <f t="shared" si="21"/>
        <v/>
      </c>
      <c r="P311" s="63"/>
    </row>
    <row r="312" spans="1:16">
      <c r="A312" s="151" t="s">
        <v>37</v>
      </c>
      <c r="B312" s="34" t="s">
        <v>159</v>
      </c>
      <c r="C312" s="40" t="s">
        <v>139</v>
      </c>
      <c r="D312" s="34" t="s">
        <v>93</v>
      </c>
      <c r="E312" s="257">
        <f>Intentionally_produced_MPs!H135</f>
        <v>0</v>
      </c>
      <c r="F312" s="232">
        <v>1</v>
      </c>
      <c r="G312" s="40"/>
      <c r="H312" s="29"/>
      <c r="I312" s="9"/>
      <c r="J312" s="9"/>
      <c r="K312" s="9"/>
      <c r="L312" s="9"/>
      <c r="M312" s="9"/>
      <c r="N312" s="185" t="str">
        <f t="shared" ref="N312:N343" si="22">IF( OR( ISBLANK(H312),ISBLANK(J312), ISBLANK(K312), ISBLANK(L312), ISBLANK(M312) ), "", 1.5*SQRT(   EXP(2.21*(H312-1)) + EXP(2.21*(J312-1)) + EXP(2.21*(K312-1)) + EXP(2.21*(L312-1)) + EXP(2.21*M312)   )/100*2.45 )</f>
        <v/>
      </c>
      <c r="O312" s="159" t="str">
        <f t="shared" ref="O312:O347" si="23">IF( OR( ISBLANK(I312),ISBLANK(J312), ISBLANK(K312), ISBLANK(L312), ISBLANK(M312) ), "", 1.5*SQRT( EXP(2.21*(I312-1)) + EXP(2.21*(J312-1)) + EXP(2.21*(K312-1)) + EXP(2.21*(L312-1)) + EXP(2.21*M312)   )/100*2.45 )</f>
        <v/>
      </c>
      <c r="P312" s="63"/>
    </row>
    <row r="313" spans="1:16">
      <c r="A313" s="151" t="s">
        <v>37</v>
      </c>
      <c r="B313" s="34" t="s">
        <v>159</v>
      </c>
      <c r="C313" s="40" t="s">
        <v>139</v>
      </c>
      <c r="D313" s="34" t="s">
        <v>94</v>
      </c>
      <c r="E313" s="257">
        <f>Intentionally_produced_MPs!H136</f>
        <v>0</v>
      </c>
      <c r="F313" s="232">
        <v>1</v>
      </c>
      <c r="G313" s="40"/>
      <c r="H313" s="29"/>
      <c r="I313" s="9"/>
      <c r="J313" s="9"/>
      <c r="K313" s="9"/>
      <c r="L313" s="9"/>
      <c r="M313" s="9"/>
      <c r="N313" s="185" t="str">
        <f t="shared" si="22"/>
        <v/>
      </c>
      <c r="O313" s="159" t="str">
        <f t="shared" si="23"/>
        <v/>
      </c>
      <c r="P313" s="63"/>
    </row>
    <row r="314" spans="1:16">
      <c r="A314" s="151" t="s">
        <v>37</v>
      </c>
      <c r="B314" s="34" t="s">
        <v>159</v>
      </c>
      <c r="C314" s="40" t="s">
        <v>139</v>
      </c>
      <c r="D314" s="34" t="s">
        <v>95</v>
      </c>
      <c r="E314" s="257">
        <f>Intentionally_produced_MPs!H137</f>
        <v>0</v>
      </c>
      <c r="F314" s="232">
        <v>1</v>
      </c>
      <c r="G314" s="40"/>
      <c r="H314" s="29"/>
      <c r="I314" s="9"/>
      <c r="J314" s="9"/>
      <c r="K314" s="9"/>
      <c r="L314" s="9"/>
      <c r="M314" s="9"/>
      <c r="N314" s="185" t="str">
        <f t="shared" si="22"/>
        <v/>
      </c>
      <c r="O314" s="159" t="str">
        <f t="shared" si="23"/>
        <v/>
      </c>
      <c r="P314" s="63"/>
    </row>
    <row r="315" spans="1:16">
      <c r="A315" s="151" t="s">
        <v>37</v>
      </c>
      <c r="B315" s="34" t="s">
        <v>159</v>
      </c>
      <c r="C315" s="40" t="s">
        <v>139</v>
      </c>
      <c r="D315" s="34" t="s">
        <v>96</v>
      </c>
      <c r="E315" s="257">
        <f>Intentionally_produced_MPs!H138</f>
        <v>0</v>
      </c>
      <c r="F315" s="232">
        <v>1</v>
      </c>
      <c r="G315" s="40"/>
      <c r="H315" s="29"/>
      <c r="I315" s="9"/>
      <c r="J315" s="9"/>
      <c r="K315" s="9"/>
      <c r="L315" s="9"/>
      <c r="M315" s="9"/>
      <c r="N315" s="185" t="str">
        <f t="shared" si="22"/>
        <v/>
      </c>
      <c r="O315" s="159" t="str">
        <f t="shared" si="23"/>
        <v/>
      </c>
      <c r="P315" s="63"/>
    </row>
    <row r="316" spans="1:16">
      <c r="A316" s="151" t="s">
        <v>37</v>
      </c>
      <c r="B316" s="34" t="s">
        <v>159</v>
      </c>
      <c r="C316" s="40" t="s">
        <v>139</v>
      </c>
      <c r="D316" s="34" t="s">
        <v>97</v>
      </c>
      <c r="E316" s="257">
        <f>Intentionally_produced_MPs!H139</f>
        <v>0</v>
      </c>
      <c r="F316" s="232">
        <v>1</v>
      </c>
      <c r="G316" s="40"/>
      <c r="H316" s="29"/>
      <c r="I316" s="9"/>
      <c r="J316" s="9"/>
      <c r="K316" s="9"/>
      <c r="L316" s="9"/>
      <c r="M316" s="9"/>
      <c r="N316" s="185" t="str">
        <f t="shared" si="22"/>
        <v/>
      </c>
      <c r="O316" s="159" t="str">
        <f t="shared" si="23"/>
        <v/>
      </c>
      <c r="P316" s="63"/>
    </row>
    <row r="317" spans="1:16">
      <c r="A317" s="151" t="s">
        <v>37</v>
      </c>
      <c r="B317" s="34" t="s">
        <v>159</v>
      </c>
      <c r="C317" s="40" t="s">
        <v>139</v>
      </c>
      <c r="D317" s="34" t="s">
        <v>98</v>
      </c>
      <c r="E317" s="257">
        <f>Intentionally_produced_MPs!H140</f>
        <v>0</v>
      </c>
      <c r="F317" s="232">
        <v>1</v>
      </c>
      <c r="G317" s="40"/>
      <c r="H317" s="29"/>
      <c r="I317" s="9"/>
      <c r="J317" s="9"/>
      <c r="K317" s="9"/>
      <c r="L317" s="9"/>
      <c r="M317" s="9"/>
      <c r="N317" s="185" t="str">
        <f t="shared" si="22"/>
        <v/>
      </c>
      <c r="O317" s="159" t="str">
        <f t="shared" si="23"/>
        <v/>
      </c>
      <c r="P317" s="63"/>
    </row>
    <row r="318" spans="1:16">
      <c r="A318" s="151" t="s">
        <v>37</v>
      </c>
      <c r="B318" s="34" t="s">
        <v>268</v>
      </c>
      <c r="C318" s="40" t="s">
        <v>139</v>
      </c>
      <c r="D318" s="34" t="s">
        <v>85</v>
      </c>
      <c r="E318" s="257">
        <f>Intentionally_produced_MPs!R127</f>
        <v>0</v>
      </c>
      <c r="F318" s="232">
        <v>1</v>
      </c>
      <c r="G318" s="40"/>
      <c r="H318" s="29"/>
      <c r="I318" s="9"/>
      <c r="J318" s="9"/>
      <c r="K318" s="9"/>
      <c r="L318" s="9"/>
      <c r="M318" s="9"/>
      <c r="N318" s="185" t="str">
        <f t="shared" si="22"/>
        <v/>
      </c>
      <c r="O318" s="159" t="str">
        <f t="shared" si="23"/>
        <v/>
      </c>
      <c r="P318" s="63"/>
    </row>
    <row r="319" spans="1:16">
      <c r="A319" s="151" t="s">
        <v>37</v>
      </c>
      <c r="B319" s="34" t="s">
        <v>268</v>
      </c>
      <c r="C319" s="40" t="s">
        <v>139</v>
      </c>
      <c r="D319" s="34" t="s">
        <v>86</v>
      </c>
      <c r="E319" s="257">
        <f>Intentionally_produced_MPs!R128</f>
        <v>0</v>
      </c>
      <c r="F319" s="232">
        <v>1</v>
      </c>
      <c r="G319" s="40"/>
      <c r="H319" s="29"/>
      <c r="I319" s="9"/>
      <c r="J319" s="9"/>
      <c r="K319" s="9"/>
      <c r="L319" s="9"/>
      <c r="M319" s="9"/>
      <c r="N319" s="185" t="str">
        <f t="shared" si="22"/>
        <v/>
      </c>
      <c r="O319" s="159" t="str">
        <f t="shared" si="23"/>
        <v/>
      </c>
      <c r="P319" s="63"/>
    </row>
    <row r="320" spans="1:16">
      <c r="A320" s="151" t="s">
        <v>37</v>
      </c>
      <c r="B320" s="34" t="s">
        <v>268</v>
      </c>
      <c r="C320" s="40" t="s">
        <v>139</v>
      </c>
      <c r="D320" s="34" t="s">
        <v>87</v>
      </c>
      <c r="E320" s="257">
        <f>Intentionally_produced_MPs!R129</f>
        <v>0</v>
      </c>
      <c r="F320" s="232">
        <v>1</v>
      </c>
      <c r="G320" s="40"/>
      <c r="H320" s="29"/>
      <c r="I320" s="9"/>
      <c r="J320" s="9"/>
      <c r="K320" s="9"/>
      <c r="L320" s="9"/>
      <c r="M320" s="9"/>
      <c r="N320" s="185" t="str">
        <f t="shared" si="22"/>
        <v/>
      </c>
      <c r="O320" s="159" t="str">
        <f t="shared" si="23"/>
        <v/>
      </c>
      <c r="P320" s="63"/>
    </row>
    <row r="321" spans="1:16">
      <c r="A321" s="151" t="s">
        <v>37</v>
      </c>
      <c r="B321" s="34" t="s">
        <v>268</v>
      </c>
      <c r="C321" s="40" t="s">
        <v>139</v>
      </c>
      <c r="D321" s="34" t="s">
        <v>88</v>
      </c>
      <c r="E321" s="257">
        <f>Intentionally_produced_MPs!R130</f>
        <v>0</v>
      </c>
      <c r="F321" s="232">
        <v>1</v>
      </c>
      <c r="G321" s="40"/>
      <c r="H321" s="29"/>
      <c r="I321" s="9"/>
      <c r="J321" s="9"/>
      <c r="K321" s="9"/>
      <c r="L321" s="9"/>
      <c r="M321" s="9"/>
      <c r="N321" s="185" t="str">
        <f t="shared" si="22"/>
        <v/>
      </c>
      <c r="O321" s="159" t="str">
        <f t="shared" si="23"/>
        <v/>
      </c>
      <c r="P321" s="63"/>
    </row>
    <row r="322" spans="1:16">
      <c r="A322" s="151" t="s">
        <v>37</v>
      </c>
      <c r="B322" s="34" t="s">
        <v>268</v>
      </c>
      <c r="C322" s="40" t="s">
        <v>139</v>
      </c>
      <c r="D322" s="34" t="s">
        <v>89</v>
      </c>
      <c r="E322" s="257">
        <f>Intentionally_produced_MPs!R131</f>
        <v>0</v>
      </c>
      <c r="F322" s="232">
        <v>1</v>
      </c>
      <c r="G322" s="40"/>
      <c r="H322" s="29"/>
      <c r="I322" s="9"/>
      <c r="J322" s="9"/>
      <c r="K322" s="9"/>
      <c r="L322" s="9"/>
      <c r="M322" s="9"/>
      <c r="N322" s="185" t="str">
        <f t="shared" si="22"/>
        <v/>
      </c>
      <c r="O322" s="159" t="str">
        <f t="shared" si="23"/>
        <v/>
      </c>
      <c r="P322" s="63"/>
    </row>
    <row r="323" spans="1:16">
      <c r="A323" s="151" t="s">
        <v>37</v>
      </c>
      <c r="B323" s="34" t="s">
        <v>268</v>
      </c>
      <c r="C323" s="40" t="s">
        <v>139</v>
      </c>
      <c r="D323" s="34" t="s">
        <v>90</v>
      </c>
      <c r="E323" s="257">
        <f>Intentionally_produced_MPs!R132</f>
        <v>0</v>
      </c>
      <c r="F323" s="232">
        <v>1</v>
      </c>
      <c r="G323" s="40"/>
      <c r="H323" s="29"/>
      <c r="I323" s="9"/>
      <c r="J323" s="9"/>
      <c r="K323" s="9"/>
      <c r="L323" s="9"/>
      <c r="M323" s="9"/>
      <c r="N323" s="185" t="str">
        <f t="shared" si="22"/>
        <v/>
      </c>
      <c r="O323" s="159" t="str">
        <f t="shared" si="23"/>
        <v/>
      </c>
      <c r="P323" s="63"/>
    </row>
    <row r="324" spans="1:16">
      <c r="A324" s="151" t="s">
        <v>37</v>
      </c>
      <c r="B324" s="34" t="s">
        <v>268</v>
      </c>
      <c r="C324" s="40" t="s">
        <v>139</v>
      </c>
      <c r="D324" s="34" t="s">
        <v>91</v>
      </c>
      <c r="E324" s="257">
        <f>Intentionally_produced_MPs!R133</f>
        <v>0</v>
      </c>
      <c r="F324" s="232">
        <v>1</v>
      </c>
      <c r="G324" s="40"/>
      <c r="H324" s="29"/>
      <c r="I324" s="9"/>
      <c r="J324" s="9"/>
      <c r="K324" s="9"/>
      <c r="L324" s="9"/>
      <c r="M324" s="9"/>
      <c r="N324" s="185" t="str">
        <f t="shared" si="22"/>
        <v/>
      </c>
      <c r="O324" s="159" t="str">
        <f t="shared" si="23"/>
        <v/>
      </c>
      <c r="P324" s="63"/>
    </row>
    <row r="325" spans="1:16">
      <c r="A325" s="151" t="s">
        <v>37</v>
      </c>
      <c r="B325" s="34" t="s">
        <v>268</v>
      </c>
      <c r="C325" s="40" t="s">
        <v>139</v>
      </c>
      <c r="D325" s="34" t="s">
        <v>92</v>
      </c>
      <c r="E325" s="257">
        <f>Intentionally_produced_MPs!R134</f>
        <v>0</v>
      </c>
      <c r="F325" s="232">
        <v>1</v>
      </c>
      <c r="G325" s="40"/>
      <c r="H325" s="29"/>
      <c r="I325" s="9"/>
      <c r="J325" s="9"/>
      <c r="K325" s="9"/>
      <c r="L325" s="9"/>
      <c r="M325" s="9"/>
      <c r="N325" s="185" t="str">
        <f t="shared" si="22"/>
        <v/>
      </c>
      <c r="O325" s="159" t="str">
        <f t="shared" si="23"/>
        <v/>
      </c>
      <c r="P325" s="63"/>
    </row>
    <row r="326" spans="1:16">
      <c r="A326" s="151" t="s">
        <v>37</v>
      </c>
      <c r="B326" s="34" t="s">
        <v>268</v>
      </c>
      <c r="C326" s="40" t="s">
        <v>139</v>
      </c>
      <c r="D326" s="34" t="s">
        <v>93</v>
      </c>
      <c r="E326" s="257">
        <f>Intentionally_produced_MPs!R135</f>
        <v>0</v>
      </c>
      <c r="F326" s="232">
        <v>1</v>
      </c>
      <c r="G326" s="40"/>
      <c r="H326" s="29"/>
      <c r="I326" s="9"/>
      <c r="J326" s="9"/>
      <c r="K326" s="9"/>
      <c r="L326" s="9"/>
      <c r="M326" s="9"/>
      <c r="N326" s="185" t="str">
        <f t="shared" si="22"/>
        <v/>
      </c>
      <c r="O326" s="159" t="str">
        <f t="shared" si="23"/>
        <v/>
      </c>
      <c r="P326" s="63"/>
    </row>
    <row r="327" spans="1:16">
      <c r="A327" s="151" t="s">
        <v>37</v>
      </c>
      <c r="B327" s="34" t="s">
        <v>268</v>
      </c>
      <c r="C327" s="40" t="s">
        <v>139</v>
      </c>
      <c r="D327" s="34" t="s">
        <v>94</v>
      </c>
      <c r="E327" s="257">
        <f>Intentionally_produced_MPs!R136</f>
        <v>0</v>
      </c>
      <c r="F327" s="232">
        <v>1</v>
      </c>
      <c r="G327" s="40"/>
      <c r="H327" s="29"/>
      <c r="I327" s="9"/>
      <c r="J327" s="9"/>
      <c r="K327" s="9"/>
      <c r="L327" s="9"/>
      <c r="M327" s="9"/>
      <c r="N327" s="185" t="str">
        <f t="shared" si="22"/>
        <v/>
      </c>
      <c r="O327" s="159" t="str">
        <f t="shared" si="23"/>
        <v/>
      </c>
      <c r="P327" s="63"/>
    </row>
    <row r="328" spans="1:16">
      <c r="A328" s="151" t="s">
        <v>37</v>
      </c>
      <c r="B328" s="34" t="s">
        <v>268</v>
      </c>
      <c r="C328" s="40" t="s">
        <v>139</v>
      </c>
      <c r="D328" s="34" t="s">
        <v>95</v>
      </c>
      <c r="E328" s="257">
        <f>Intentionally_produced_MPs!R137</f>
        <v>0</v>
      </c>
      <c r="F328" s="232">
        <v>1</v>
      </c>
      <c r="G328" s="40"/>
      <c r="H328" s="29"/>
      <c r="I328" s="9"/>
      <c r="J328" s="9"/>
      <c r="K328" s="9"/>
      <c r="L328" s="9"/>
      <c r="M328" s="9"/>
      <c r="N328" s="185" t="str">
        <f t="shared" si="22"/>
        <v/>
      </c>
      <c r="O328" s="159" t="str">
        <f t="shared" si="23"/>
        <v/>
      </c>
      <c r="P328" s="63"/>
    </row>
    <row r="329" spans="1:16">
      <c r="A329" s="151" t="s">
        <v>37</v>
      </c>
      <c r="B329" s="34" t="s">
        <v>268</v>
      </c>
      <c r="C329" s="40" t="s">
        <v>139</v>
      </c>
      <c r="D329" s="34" t="s">
        <v>96</v>
      </c>
      <c r="E329" s="257">
        <f>Intentionally_produced_MPs!R138</f>
        <v>0</v>
      </c>
      <c r="F329" s="232">
        <v>1</v>
      </c>
      <c r="G329" s="40"/>
      <c r="H329" s="29"/>
      <c r="I329" s="9"/>
      <c r="J329" s="9"/>
      <c r="K329" s="9"/>
      <c r="L329" s="9"/>
      <c r="M329" s="9"/>
      <c r="N329" s="185" t="str">
        <f t="shared" si="22"/>
        <v/>
      </c>
      <c r="O329" s="159" t="str">
        <f t="shared" si="23"/>
        <v/>
      </c>
      <c r="P329" s="63"/>
    </row>
    <row r="330" spans="1:16">
      <c r="A330" s="151" t="s">
        <v>37</v>
      </c>
      <c r="B330" s="34" t="s">
        <v>268</v>
      </c>
      <c r="C330" s="40" t="s">
        <v>139</v>
      </c>
      <c r="D330" s="34" t="s">
        <v>97</v>
      </c>
      <c r="E330" s="257">
        <f>Intentionally_produced_MPs!R139</f>
        <v>0</v>
      </c>
      <c r="F330" s="232">
        <v>1</v>
      </c>
      <c r="G330" s="40"/>
      <c r="H330" s="29"/>
      <c r="I330" s="9"/>
      <c r="J330" s="9"/>
      <c r="K330" s="9"/>
      <c r="L330" s="9"/>
      <c r="M330" s="9"/>
      <c r="N330" s="185" t="str">
        <f t="shared" si="22"/>
        <v/>
      </c>
      <c r="O330" s="159" t="str">
        <f t="shared" si="23"/>
        <v/>
      </c>
      <c r="P330" s="63"/>
    </row>
    <row r="331" spans="1:16">
      <c r="A331" s="151" t="s">
        <v>37</v>
      </c>
      <c r="B331" s="34" t="s">
        <v>268</v>
      </c>
      <c r="C331" s="40" t="s">
        <v>139</v>
      </c>
      <c r="D331" s="34" t="s">
        <v>98</v>
      </c>
      <c r="E331" s="257">
        <f>Intentionally_produced_MPs!R140</f>
        <v>0.14573018486415787</v>
      </c>
      <c r="F331" s="232">
        <v>1</v>
      </c>
      <c r="G331" s="40"/>
      <c r="H331" s="29">
        <v>3</v>
      </c>
      <c r="I331" s="9">
        <v>2</v>
      </c>
      <c r="J331" s="9">
        <v>3</v>
      </c>
      <c r="K331" s="9">
        <v>3</v>
      </c>
      <c r="L331" s="9">
        <v>3</v>
      </c>
      <c r="M331" s="9">
        <v>3</v>
      </c>
      <c r="N331" s="185">
        <f t="shared" si="22"/>
        <v>1.2132328390150593</v>
      </c>
      <c r="O331" s="159">
        <f t="shared" si="23"/>
        <v>1.1713319510247036</v>
      </c>
      <c r="P331" s="63"/>
    </row>
    <row r="332" spans="1:16">
      <c r="A332" s="151" t="s">
        <v>112</v>
      </c>
      <c r="B332" s="34" t="s">
        <v>189</v>
      </c>
      <c r="C332" s="40" t="s">
        <v>139</v>
      </c>
      <c r="D332" s="34" t="s">
        <v>90</v>
      </c>
      <c r="E332" s="257">
        <v>0</v>
      </c>
      <c r="F332" s="232">
        <v>1</v>
      </c>
      <c r="G332" s="40"/>
      <c r="H332" s="29"/>
      <c r="I332" s="9"/>
      <c r="J332" s="9"/>
      <c r="K332" s="9"/>
      <c r="L332" s="9"/>
      <c r="M332" s="9"/>
      <c r="N332" s="185" t="str">
        <f t="shared" si="22"/>
        <v/>
      </c>
      <c r="O332" s="159" t="str">
        <f t="shared" si="23"/>
        <v/>
      </c>
      <c r="P332" s="63"/>
    </row>
    <row r="333" spans="1:16">
      <c r="A333" s="151" t="s">
        <v>112</v>
      </c>
      <c r="B333" s="34" t="s">
        <v>189</v>
      </c>
      <c r="C333" s="40" t="s">
        <v>139</v>
      </c>
      <c r="D333" s="34" t="s">
        <v>91</v>
      </c>
      <c r="E333" s="257">
        <v>0.74088216310529564</v>
      </c>
      <c r="F333" s="232">
        <v>1</v>
      </c>
      <c r="G333" s="40" t="s">
        <v>195</v>
      </c>
      <c r="H333" s="29">
        <v>1</v>
      </c>
      <c r="I333" s="9">
        <v>2</v>
      </c>
      <c r="J333" s="9">
        <v>2</v>
      </c>
      <c r="K333" s="9">
        <v>2</v>
      </c>
      <c r="L333" s="9">
        <v>1</v>
      </c>
      <c r="M333" s="9">
        <v>2</v>
      </c>
      <c r="N333" s="185">
        <f t="shared" si="22"/>
        <v>0.37356464144298934</v>
      </c>
      <c r="O333" s="159">
        <f t="shared" si="23"/>
        <v>0.38795788889711302</v>
      </c>
      <c r="P333" s="63"/>
    </row>
    <row r="334" spans="1:16">
      <c r="A334" s="151" t="s">
        <v>112</v>
      </c>
      <c r="B334" s="34" t="s">
        <v>189</v>
      </c>
      <c r="C334" s="40" t="s">
        <v>139</v>
      </c>
      <c r="D334" s="34" t="s">
        <v>95</v>
      </c>
      <c r="E334" s="257">
        <v>0.81008528685277537</v>
      </c>
      <c r="F334" s="232">
        <v>1</v>
      </c>
      <c r="G334" s="40" t="s">
        <v>195</v>
      </c>
      <c r="H334" s="29">
        <v>1</v>
      </c>
      <c r="I334" s="9">
        <v>2</v>
      </c>
      <c r="J334" s="9">
        <v>2</v>
      </c>
      <c r="K334" s="9">
        <v>2</v>
      </c>
      <c r="L334" s="9">
        <v>1</v>
      </c>
      <c r="M334" s="9">
        <v>2</v>
      </c>
      <c r="N334" s="185">
        <f t="shared" si="22"/>
        <v>0.37356464144298934</v>
      </c>
      <c r="O334" s="159">
        <f t="shared" si="23"/>
        <v>0.38795788889711302</v>
      </c>
      <c r="P334" s="63"/>
    </row>
    <row r="335" spans="1:16">
      <c r="A335" s="151" t="s">
        <v>112</v>
      </c>
      <c r="B335" s="34" t="s">
        <v>189</v>
      </c>
      <c r="C335" s="40" t="s">
        <v>139</v>
      </c>
      <c r="D335" s="34" t="s">
        <v>99</v>
      </c>
      <c r="E335" s="257">
        <v>1</v>
      </c>
      <c r="F335" s="232">
        <v>1</v>
      </c>
      <c r="G335" s="40" t="s">
        <v>195</v>
      </c>
      <c r="H335" s="29">
        <v>1</v>
      </c>
      <c r="I335" s="9">
        <v>2</v>
      </c>
      <c r="J335" s="9">
        <v>2</v>
      </c>
      <c r="K335" s="9">
        <v>2</v>
      </c>
      <c r="L335" s="9">
        <v>1</v>
      </c>
      <c r="M335" s="9">
        <v>2</v>
      </c>
      <c r="N335" s="185">
        <f t="shared" si="22"/>
        <v>0.37356464144298934</v>
      </c>
      <c r="O335" s="159">
        <f t="shared" si="23"/>
        <v>0.38795788889711302</v>
      </c>
      <c r="P335" s="63"/>
    </row>
    <row r="336" spans="1:16">
      <c r="A336" s="151" t="s">
        <v>112</v>
      </c>
      <c r="B336" s="34" t="s">
        <v>239</v>
      </c>
      <c r="C336" s="40" t="s">
        <v>139</v>
      </c>
      <c r="D336" s="34" t="s">
        <v>85</v>
      </c>
      <c r="E336" s="257">
        <v>0</v>
      </c>
      <c r="F336" s="232">
        <v>1</v>
      </c>
      <c r="G336" s="40"/>
      <c r="H336" s="29"/>
      <c r="I336" s="9"/>
      <c r="J336" s="9"/>
      <c r="K336" s="9"/>
      <c r="L336" s="9"/>
      <c r="M336" s="9"/>
      <c r="N336" s="185" t="str">
        <f t="shared" si="22"/>
        <v/>
      </c>
      <c r="O336" s="159" t="str">
        <f t="shared" si="23"/>
        <v/>
      </c>
      <c r="P336" s="63"/>
    </row>
    <row r="337" spans="1:16">
      <c r="A337" s="151" t="s">
        <v>112</v>
      </c>
      <c r="B337" s="34" t="s">
        <v>239</v>
      </c>
      <c r="C337" s="40" t="s">
        <v>139</v>
      </c>
      <c r="D337" s="34" t="s">
        <v>86</v>
      </c>
      <c r="E337" s="257">
        <v>0</v>
      </c>
      <c r="F337" s="232">
        <v>1</v>
      </c>
      <c r="G337" s="40"/>
      <c r="H337" s="29"/>
      <c r="I337" s="9"/>
      <c r="J337" s="9"/>
      <c r="K337" s="9"/>
      <c r="L337" s="9"/>
      <c r="M337" s="9"/>
      <c r="N337" s="185" t="str">
        <f t="shared" si="22"/>
        <v/>
      </c>
      <c r="O337" s="159" t="str">
        <f t="shared" si="23"/>
        <v/>
      </c>
      <c r="P337" s="63"/>
    </row>
    <row r="338" spans="1:16">
      <c r="A338" s="151" t="s">
        <v>112</v>
      </c>
      <c r="B338" s="34" t="s">
        <v>239</v>
      </c>
      <c r="C338" s="40" t="s">
        <v>139</v>
      </c>
      <c r="D338" s="34" t="s">
        <v>87</v>
      </c>
      <c r="E338" s="257">
        <v>9.7010040144805229E-2</v>
      </c>
      <c r="F338" s="232">
        <v>1</v>
      </c>
      <c r="G338" s="40" t="s">
        <v>163</v>
      </c>
      <c r="H338" s="29">
        <v>2</v>
      </c>
      <c r="I338" s="9">
        <v>2</v>
      </c>
      <c r="J338" s="9">
        <v>2</v>
      </c>
      <c r="K338" s="9">
        <v>2</v>
      </c>
      <c r="L338" s="9">
        <v>1</v>
      </c>
      <c r="M338" s="9">
        <v>2</v>
      </c>
      <c r="N338" s="185">
        <f t="shared" si="22"/>
        <v>0.38795788889711302</v>
      </c>
      <c r="O338" s="159">
        <f t="shared" si="23"/>
        <v>0.38795788889711302</v>
      </c>
      <c r="P338" s="63"/>
    </row>
    <row r="339" spans="1:16">
      <c r="A339" s="151" t="s">
        <v>112</v>
      </c>
      <c r="B339" s="34" t="s">
        <v>239</v>
      </c>
      <c r="C339" s="40" t="s">
        <v>139</v>
      </c>
      <c r="D339" s="34" t="s">
        <v>88</v>
      </c>
      <c r="E339" s="257">
        <v>0</v>
      </c>
      <c r="F339" s="232">
        <v>1</v>
      </c>
      <c r="G339" s="40"/>
      <c r="H339" s="29"/>
      <c r="I339" s="9"/>
      <c r="J339" s="9"/>
      <c r="K339" s="9"/>
      <c r="L339" s="9"/>
      <c r="M339" s="9"/>
      <c r="N339" s="185" t="str">
        <f t="shared" si="22"/>
        <v/>
      </c>
      <c r="O339" s="159" t="str">
        <f t="shared" si="23"/>
        <v/>
      </c>
      <c r="P339" s="63"/>
    </row>
    <row r="340" spans="1:16">
      <c r="A340" s="151" t="s">
        <v>112</v>
      </c>
      <c r="B340" s="34" t="s">
        <v>239</v>
      </c>
      <c r="C340" s="40" t="s">
        <v>139</v>
      </c>
      <c r="D340" s="34" t="s">
        <v>89</v>
      </c>
      <c r="E340" s="257">
        <v>0</v>
      </c>
      <c r="F340" s="232">
        <v>1</v>
      </c>
      <c r="G340" s="40"/>
      <c r="H340" s="29"/>
      <c r="I340" s="9"/>
      <c r="J340" s="9"/>
      <c r="K340" s="9"/>
      <c r="L340" s="9"/>
      <c r="M340" s="9"/>
      <c r="N340" s="185" t="str">
        <f t="shared" si="22"/>
        <v/>
      </c>
      <c r="O340" s="159" t="str">
        <f t="shared" si="23"/>
        <v/>
      </c>
      <c r="P340" s="63"/>
    </row>
    <row r="341" spans="1:16">
      <c r="A341" s="151" t="s">
        <v>112</v>
      </c>
      <c r="B341" s="34" t="s">
        <v>239</v>
      </c>
      <c r="C341" s="40" t="s">
        <v>139</v>
      </c>
      <c r="D341" s="34" t="s">
        <v>90</v>
      </c>
      <c r="E341" s="257">
        <v>0</v>
      </c>
      <c r="F341" s="232">
        <v>1</v>
      </c>
      <c r="G341" s="40"/>
      <c r="H341" s="29"/>
      <c r="I341" s="9"/>
      <c r="J341" s="9"/>
      <c r="K341" s="9"/>
      <c r="L341" s="9"/>
      <c r="M341" s="9"/>
      <c r="N341" s="185" t="str">
        <f t="shared" si="22"/>
        <v/>
      </c>
      <c r="O341" s="159" t="str">
        <f t="shared" si="23"/>
        <v/>
      </c>
      <c r="P341" s="63"/>
    </row>
    <row r="342" spans="1:16">
      <c r="A342" s="151" t="s">
        <v>112</v>
      </c>
      <c r="B342" s="34" t="s">
        <v>239</v>
      </c>
      <c r="C342" s="40" t="s">
        <v>139</v>
      </c>
      <c r="D342" s="34" t="s">
        <v>91</v>
      </c>
      <c r="E342" s="257">
        <v>0</v>
      </c>
      <c r="F342" s="232">
        <v>1</v>
      </c>
      <c r="G342" s="40"/>
      <c r="H342" s="29"/>
      <c r="I342" s="9"/>
      <c r="J342" s="9"/>
      <c r="K342" s="9"/>
      <c r="L342" s="9"/>
      <c r="M342" s="9"/>
      <c r="N342" s="185" t="str">
        <f t="shared" si="22"/>
        <v/>
      </c>
      <c r="O342" s="159" t="str">
        <f t="shared" si="23"/>
        <v/>
      </c>
      <c r="P342" s="63"/>
    </row>
    <row r="343" spans="1:16">
      <c r="A343" s="151" t="s">
        <v>112</v>
      </c>
      <c r="B343" s="34" t="s">
        <v>239</v>
      </c>
      <c r="C343" s="40" t="s">
        <v>139</v>
      </c>
      <c r="D343" s="34" t="s">
        <v>95</v>
      </c>
      <c r="E343" s="257">
        <v>0</v>
      </c>
      <c r="F343" s="232">
        <v>1</v>
      </c>
      <c r="G343" s="40"/>
      <c r="H343" s="29"/>
      <c r="I343" s="9"/>
      <c r="J343" s="9"/>
      <c r="K343" s="9"/>
      <c r="L343" s="9"/>
      <c r="M343" s="9"/>
      <c r="N343" s="185" t="str">
        <f t="shared" si="22"/>
        <v/>
      </c>
      <c r="O343" s="159" t="str">
        <f t="shared" si="23"/>
        <v/>
      </c>
      <c r="P343" s="63"/>
    </row>
    <row r="344" spans="1:16">
      <c r="A344" s="151" t="s">
        <v>269</v>
      </c>
      <c r="B344" s="34" t="s">
        <v>270</v>
      </c>
      <c r="C344" s="40" t="s">
        <v>180</v>
      </c>
      <c r="D344" s="34" t="s">
        <v>139</v>
      </c>
      <c r="E344" s="851" t="s">
        <v>150</v>
      </c>
      <c r="F344" s="34">
        <v>1</v>
      </c>
      <c r="G344" s="40"/>
      <c r="H344" s="29"/>
      <c r="I344" s="9"/>
      <c r="J344" s="9"/>
      <c r="K344" s="9"/>
      <c r="L344" s="9"/>
      <c r="M344" s="9"/>
      <c r="N344" s="185" t="str">
        <f t="shared" ref="N344:N347" si="24">IF( OR( ISBLANK(H344),ISBLANK(J344), ISBLANK(K344), ISBLANK(L344), ISBLANK(M344) ), "", 1.5*SQRT(   EXP(2.21*(H344-1)) + EXP(2.21*(J344-1)) + EXP(2.21*(K344-1)) + EXP(2.21*(L344-1)) + EXP(2.21*M344)   )/100*2.45 )</f>
        <v/>
      </c>
      <c r="O344" s="159" t="str">
        <f t="shared" si="23"/>
        <v/>
      </c>
      <c r="P344" s="63"/>
    </row>
    <row r="345" spans="1:16">
      <c r="A345" s="151" t="s">
        <v>269</v>
      </c>
      <c r="B345" s="34" t="s">
        <v>270</v>
      </c>
      <c r="C345" s="40" t="s">
        <v>182</v>
      </c>
      <c r="D345" s="34" t="s">
        <v>139</v>
      </c>
      <c r="E345" s="851" t="s">
        <v>150</v>
      </c>
      <c r="F345" s="34">
        <v>1</v>
      </c>
      <c r="G345" s="40"/>
      <c r="H345" s="29"/>
      <c r="I345" s="9"/>
      <c r="J345" s="9"/>
      <c r="K345" s="9"/>
      <c r="L345" s="9"/>
      <c r="M345" s="9"/>
      <c r="N345" s="185" t="str">
        <f t="shared" si="24"/>
        <v/>
      </c>
      <c r="O345" s="159" t="str">
        <f t="shared" si="23"/>
        <v/>
      </c>
      <c r="P345" s="838"/>
    </row>
    <row r="346" spans="1:16">
      <c r="A346" s="151" t="s">
        <v>269</v>
      </c>
      <c r="B346" s="34" t="s">
        <v>271</v>
      </c>
      <c r="C346" s="40" t="s">
        <v>180</v>
      </c>
      <c r="D346" s="34" t="s">
        <v>139</v>
      </c>
      <c r="E346" s="851">
        <v>0.9</v>
      </c>
      <c r="F346" s="34">
        <v>2</v>
      </c>
      <c r="G346" s="40"/>
      <c r="H346" s="29">
        <v>1</v>
      </c>
      <c r="I346" s="9"/>
      <c r="J346" s="9">
        <v>1</v>
      </c>
      <c r="K346" s="9">
        <v>1</v>
      </c>
      <c r="L346" s="9">
        <v>1</v>
      </c>
      <c r="M346" s="9">
        <v>1</v>
      </c>
      <c r="N346" s="185">
        <f t="shared" si="24"/>
        <v>0.13309242924026707</v>
      </c>
      <c r="O346" s="159" t="str">
        <f t="shared" si="23"/>
        <v/>
      </c>
      <c r="P346" s="63" t="s">
        <v>272</v>
      </c>
    </row>
    <row r="347" spans="1:16">
      <c r="A347" s="151" t="s">
        <v>269</v>
      </c>
      <c r="B347" s="34" t="s">
        <v>271</v>
      </c>
      <c r="C347" s="40" t="s">
        <v>182</v>
      </c>
      <c r="D347" s="34" t="s">
        <v>139</v>
      </c>
      <c r="E347" s="851">
        <v>0.05</v>
      </c>
      <c r="F347" s="34">
        <v>2</v>
      </c>
      <c r="G347" s="40" t="s">
        <v>273</v>
      </c>
      <c r="H347" s="29"/>
      <c r="I347" s="9">
        <v>1</v>
      </c>
      <c r="J347" s="9">
        <v>1</v>
      </c>
      <c r="K347" s="9">
        <v>2</v>
      </c>
      <c r="L347" s="9">
        <v>1</v>
      </c>
      <c r="M347" s="9">
        <v>4</v>
      </c>
      <c r="N347" s="185" t="str">
        <f t="shared" si="24"/>
        <v/>
      </c>
      <c r="O347" s="159">
        <f t="shared" si="23"/>
        <v>3.0564664491960198</v>
      </c>
      <c r="P347" s="63" t="s">
        <v>274</v>
      </c>
    </row>
    <row r="348" spans="1:16">
      <c r="A348" s="151" t="s">
        <v>270</v>
      </c>
      <c r="B348" s="34" t="s">
        <v>275</v>
      </c>
      <c r="C348" s="40" t="s">
        <v>139</v>
      </c>
      <c r="D348" s="34" t="s">
        <v>139</v>
      </c>
      <c r="E348" s="851" t="s">
        <v>150</v>
      </c>
      <c r="F348" s="34">
        <v>1</v>
      </c>
      <c r="G348" s="40"/>
      <c r="H348" s="29"/>
      <c r="I348" s="9"/>
      <c r="J348" s="9"/>
      <c r="K348" s="9"/>
      <c r="L348" s="9"/>
      <c r="M348" s="9"/>
      <c r="N348" s="185"/>
      <c r="O348" s="159"/>
      <c r="P348" s="63"/>
    </row>
    <row r="349" spans="1:16">
      <c r="A349" s="151" t="s">
        <v>270</v>
      </c>
      <c r="B349" s="34" t="s">
        <v>231</v>
      </c>
      <c r="C349" s="40" t="s">
        <v>139</v>
      </c>
      <c r="D349" s="34" t="s">
        <v>139</v>
      </c>
      <c r="E349" s="851">
        <v>0.05</v>
      </c>
      <c r="F349" s="34">
        <v>2</v>
      </c>
      <c r="G349" s="40" t="s">
        <v>276</v>
      </c>
      <c r="H349" s="29">
        <v>1</v>
      </c>
      <c r="I349" s="9">
        <v>2</v>
      </c>
      <c r="J349" s="9">
        <v>1</v>
      </c>
      <c r="K349" s="9">
        <v>1</v>
      </c>
      <c r="L349" s="9">
        <v>2</v>
      </c>
      <c r="M349" s="9">
        <v>3</v>
      </c>
      <c r="N349" s="185">
        <f t="shared" ref="N349:N365" si="25">IF( OR( ISBLANK(H349),ISBLANK(J349), ISBLANK(K349), ISBLANK(L349), ISBLANK(M349) ), "", 1.5*SQRT(   EXP(2.21*(H349-1)) + EXP(2.21*(J349-1)) + EXP(2.21*(K349-1)) + EXP(2.21*(L349-1)) + EXP(2.21*M349)   )/100*2.45 )</f>
        <v>1.0195048044558224</v>
      </c>
      <c r="O349" s="159">
        <f t="shared" ref="O349:O365" si="26">IF( OR( ISBLANK(I349),ISBLANK(J349), ISBLANK(K349), ISBLANK(L349), ISBLANK(M349) ), "", 1.5*SQRT( EXP(2.21*(I349-1)) + EXP(2.21*(J349-1)) + EXP(2.21*(K349-1)) + EXP(2.21*(L349-1)) + EXP(2.21*M349)   )/100*2.45 )</f>
        <v>1.0248662490928169</v>
      </c>
      <c r="P349" s="838"/>
    </row>
    <row r="350" spans="1:16">
      <c r="A350" s="151" t="s">
        <v>270</v>
      </c>
      <c r="B350" s="34" t="s">
        <v>231</v>
      </c>
      <c r="C350" s="40" t="s">
        <v>139</v>
      </c>
      <c r="D350" s="34" t="s">
        <v>139</v>
      </c>
      <c r="E350" s="851">
        <v>0.1</v>
      </c>
      <c r="F350" s="34">
        <v>2</v>
      </c>
      <c r="G350" s="852" t="s">
        <v>277</v>
      </c>
      <c r="H350" s="29">
        <v>1</v>
      </c>
      <c r="I350" s="9">
        <v>2</v>
      </c>
      <c r="J350" s="9">
        <v>2</v>
      </c>
      <c r="K350" s="9">
        <v>1</v>
      </c>
      <c r="L350" s="9">
        <v>2</v>
      </c>
      <c r="M350" s="9">
        <v>3</v>
      </c>
      <c r="N350" s="185">
        <f t="shared" si="25"/>
        <v>1.0248662490928169</v>
      </c>
      <c r="O350" s="159">
        <f t="shared" si="26"/>
        <v>1.0301997916669636</v>
      </c>
      <c r="P350" s="838"/>
    </row>
    <row r="351" spans="1:16">
      <c r="A351" s="151" t="s">
        <v>112</v>
      </c>
      <c r="B351" s="34" t="s">
        <v>239</v>
      </c>
      <c r="C351" s="40" t="s">
        <v>139</v>
      </c>
      <c r="D351" s="34" t="s">
        <v>99</v>
      </c>
      <c r="E351" s="257">
        <v>0</v>
      </c>
      <c r="F351" s="232">
        <v>1</v>
      </c>
      <c r="G351" s="40"/>
      <c r="H351" s="29"/>
      <c r="I351" s="9"/>
      <c r="J351" s="9"/>
      <c r="K351" s="9"/>
      <c r="L351" s="9"/>
      <c r="M351" s="9"/>
      <c r="N351" s="185" t="str">
        <f t="shared" si="25"/>
        <v/>
      </c>
      <c r="O351" s="159" t="str">
        <f t="shared" si="26"/>
        <v/>
      </c>
      <c r="P351" s="63"/>
    </row>
    <row r="352" spans="1:16">
      <c r="A352" s="151" t="s">
        <v>112</v>
      </c>
      <c r="B352" s="34" t="s">
        <v>240</v>
      </c>
      <c r="C352" s="40" t="s">
        <v>139</v>
      </c>
      <c r="D352" s="34" t="s">
        <v>85</v>
      </c>
      <c r="E352" s="257">
        <v>0</v>
      </c>
      <c r="F352" s="232">
        <v>1</v>
      </c>
      <c r="G352" s="40"/>
      <c r="H352" s="29"/>
      <c r="I352" s="9"/>
      <c r="J352" s="9"/>
      <c r="K352" s="9"/>
      <c r="L352" s="9"/>
      <c r="M352" s="9"/>
      <c r="N352" s="185" t="str">
        <f t="shared" si="25"/>
        <v/>
      </c>
      <c r="O352" s="159" t="str">
        <f t="shared" si="26"/>
        <v/>
      </c>
      <c r="P352" s="63"/>
    </row>
    <row r="353" spans="1:16">
      <c r="A353" s="151" t="s">
        <v>112</v>
      </c>
      <c r="B353" s="34" t="s">
        <v>240</v>
      </c>
      <c r="C353" s="40" t="s">
        <v>139</v>
      </c>
      <c r="D353" s="34" t="s">
        <v>86</v>
      </c>
      <c r="E353" s="257">
        <v>0.48467412765528584</v>
      </c>
      <c r="F353" s="232">
        <v>1</v>
      </c>
      <c r="G353" s="40" t="s">
        <v>163</v>
      </c>
      <c r="H353" s="29">
        <v>2</v>
      </c>
      <c r="I353" s="9">
        <v>2</v>
      </c>
      <c r="J353" s="9">
        <v>2</v>
      </c>
      <c r="K353" s="9">
        <v>2</v>
      </c>
      <c r="L353" s="9">
        <v>1</v>
      </c>
      <c r="M353" s="9">
        <v>2</v>
      </c>
      <c r="N353" s="185">
        <f t="shared" si="25"/>
        <v>0.38795788889711302</v>
      </c>
      <c r="O353" s="159">
        <f t="shared" si="26"/>
        <v>0.38795788889711302</v>
      </c>
      <c r="P353" s="63"/>
    </row>
    <row r="354" spans="1:16">
      <c r="A354" s="151" t="s">
        <v>112</v>
      </c>
      <c r="B354" s="34" t="s">
        <v>240</v>
      </c>
      <c r="C354" s="40" t="s">
        <v>139</v>
      </c>
      <c r="D354" s="34" t="s">
        <v>87</v>
      </c>
      <c r="E354" s="257">
        <v>0.8344440851479995</v>
      </c>
      <c r="F354" s="232">
        <v>1</v>
      </c>
      <c r="G354" s="40" t="s">
        <v>163</v>
      </c>
      <c r="H354" s="29">
        <v>2</v>
      </c>
      <c r="I354" s="9">
        <v>2</v>
      </c>
      <c r="J354" s="9">
        <v>2</v>
      </c>
      <c r="K354" s="9">
        <v>2</v>
      </c>
      <c r="L354" s="9">
        <v>1</v>
      </c>
      <c r="M354" s="9">
        <v>2</v>
      </c>
      <c r="N354" s="185">
        <f t="shared" si="25"/>
        <v>0.38795788889711302</v>
      </c>
      <c r="O354" s="159">
        <f t="shared" si="26"/>
        <v>0.38795788889711302</v>
      </c>
      <c r="P354" s="63"/>
    </row>
    <row r="355" spans="1:16">
      <c r="A355" s="151" t="s">
        <v>112</v>
      </c>
      <c r="B355" s="34" t="s">
        <v>240</v>
      </c>
      <c r="C355" s="40" t="s">
        <v>139</v>
      </c>
      <c r="D355" s="34" t="s">
        <v>88</v>
      </c>
      <c r="E355" s="257">
        <v>0</v>
      </c>
      <c r="F355" s="232">
        <v>1</v>
      </c>
      <c r="G355" s="40"/>
      <c r="H355" s="29"/>
      <c r="I355" s="9"/>
      <c r="J355" s="9"/>
      <c r="K355" s="9"/>
      <c r="L355" s="9"/>
      <c r="M355" s="9"/>
      <c r="N355" s="185" t="str">
        <f t="shared" si="25"/>
        <v/>
      </c>
      <c r="O355" s="159" t="str">
        <f t="shared" si="26"/>
        <v/>
      </c>
      <c r="P355" s="63"/>
    </row>
    <row r="356" spans="1:16">
      <c r="A356" s="151" t="s">
        <v>112</v>
      </c>
      <c r="B356" s="34" t="s">
        <v>240</v>
      </c>
      <c r="C356" s="40" t="s">
        <v>139</v>
      </c>
      <c r="D356" s="34" t="s">
        <v>89</v>
      </c>
      <c r="E356" s="257">
        <v>0</v>
      </c>
      <c r="F356" s="232">
        <v>1</v>
      </c>
      <c r="G356" s="40"/>
      <c r="H356" s="29"/>
      <c r="I356" s="9"/>
      <c r="J356" s="9"/>
      <c r="K356" s="9"/>
      <c r="L356" s="9"/>
      <c r="M356" s="9"/>
      <c r="N356" s="185" t="str">
        <f t="shared" si="25"/>
        <v/>
      </c>
      <c r="O356" s="159" t="str">
        <f t="shared" si="26"/>
        <v/>
      </c>
      <c r="P356" s="63"/>
    </row>
    <row r="357" spans="1:16">
      <c r="A357" s="151" t="s">
        <v>112</v>
      </c>
      <c r="B357" s="34" t="s">
        <v>240</v>
      </c>
      <c r="C357" s="40" t="s">
        <v>139</v>
      </c>
      <c r="D357" s="34" t="s">
        <v>90</v>
      </c>
      <c r="E357" s="257">
        <v>0</v>
      </c>
      <c r="F357" s="232">
        <v>1</v>
      </c>
      <c r="G357" s="40"/>
      <c r="H357" s="29"/>
      <c r="I357" s="9"/>
      <c r="J357" s="9"/>
      <c r="K357" s="9"/>
      <c r="L357" s="9"/>
      <c r="M357" s="9"/>
      <c r="N357" s="185" t="str">
        <f t="shared" si="25"/>
        <v/>
      </c>
      <c r="O357" s="159" t="str">
        <f t="shared" si="26"/>
        <v/>
      </c>
      <c r="P357" s="63"/>
    </row>
    <row r="358" spans="1:16">
      <c r="A358" s="151" t="s">
        <v>112</v>
      </c>
      <c r="B358" s="34" t="s">
        <v>240</v>
      </c>
      <c r="C358" s="40" t="s">
        <v>139</v>
      </c>
      <c r="D358" s="34" t="s">
        <v>91</v>
      </c>
      <c r="E358" s="257">
        <v>0.11713166905985782</v>
      </c>
      <c r="F358" s="232">
        <v>1</v>
      </c>
      <c r="G358" s="40" t="s">
        <v>163</v>
      </c>
      <c r="H358" s="29">
        <v>2</v>
      </c>
      <c r="I358" s="9">
        <v>2</v>
      </c>
      <c r="J358" s="9">
        <v>2</v>
      </c>
      <c r="K358" s="9">
        <v>2</v>
      </c>
      <c r="L358" s="9">
        <v>1</v>
      </c>
      <c r="M358" s="9">
        <v>2</v>
      </c>
      <c r="N358" s="185">
        <f t="shared" si="25"/>
        <v>0.38795788889711302</v>
      </c>
      <c r="O358" s="159">
        <f t="shared" si="26"/>
        <v>0.38795788889711302</v>
      </c>
      <c r="P358" s="63"/>
    </row>
    <row r="359" spans="1:16">
      <c r="A359" s="151" t="s">
        <v>112</v>
      </c>
      <c r="B359" s="34" t="s">
        <v>240</v>
      </c>
      <c r="C359" s="40" t="s">
        <v>139</v>
      </c>
      <c r="D359" s="34" t="s">
        <v>95</v>
      </c>
      <c r="E359" s="257">
        <v>0</v>
      </c>
      <c r="F359" s="232">
        <v>1</v>
      </c>
      <c r="G359" s="40"/>
      <c r="H359" s="29"/>
      <c r="I359" s="9"/>
      <c r="J359" s="9"/>
      <c r="K359" s="9"/>
      <c r="L359" s="9"/>
      <c r="M359" s="9"/>
      <c r="N359" s="185" t="str">
        <f t="shared" si="25"/>
        <v/>
      </c>
      <c r="O359" s="159" t="str">
        <f t="shared" si="26"/>
        <v/>
      </c>
      <c r="P359" s="63"/>
    </row>
    <row r="360" spans="1:16">
      <c r="A360" s="151" t="s">
        <v>112</v>
      </c>
      <c r="B360" s="34" t="s">
        <v>240</v>
      </c>
      <c r="C360" s="40" t="s">
        <v>139</v>
      </c>
      <c r="D360" s="34" t="s">
        <v>99</v>
      </c>
      <c r="E360" s="257">
        <v>0</v>
      </c>
      <c r="F360" s="232">
        <v>1</v>
      </c>
      <c r="G360" s="40"/>
      <c r="H360" s="29"/>
      <c r="I360" s="9"/>
      <c r="J360" s="9"/>
      <c r="K360" s="9"/>
      <c r="L360" s="9"/>
      <c r="M360" s="9"/>
      <c r="N360" s="185" t="str">
        <f t="shared" si="25"/>
        <v/>
      </c>
      <c r="O360" s="159" t="str">
        <f t="shared" si="26"/>
        <v/>
      </c>
      <c r="P360" s="63"/>
    </row>
    <row r="361" spans="1:16">
      <c r="A361" s="151" t="s">
        <v>112</v>
      </c>
      <c r="B361" s="34" t="s">
        <v>241</v>
      </c>
      <c r="C361" s="40" t="s">
        <v>139</v>
      </c>
      <c r="D361" s="34" t="s">
        <v>85</v>
      </c>
      <c r="E361" s="257">
        <v>0</v>
      </c>
      <c r="F361" s="232">
        <v>1</v>
      </c>
      <c r="G361" s="40"/>
      <c r="H361" s="29"/>
      <c r="I361" s="9"/>
      <c r="J361" s="9"/>
      <c r="K361" s="9"/>
      <c r="L361" s="9"/>
      <c r="M361" s="9"/>
      <c r="N361" s="185" t="str">
        <f t="shared" si="25"/>
        <v/>
      </c>
      <c r="O361" s="159" t="str">
        <f t="shared" si="26"/>
        <v/>
      </c>
      <c r="P361" s="63"/>
    </row>
    <row r="362" spans="1:16">
      <c r="A362" s="151" t="s">
        <v>112</v>
      </c>
      <c r="B362" s="34" t="s">
        <v>241</v>
      </c>
      <c r="C362" s="40" t="s">
        <v>139</v>
      </c>
      <c r="D362" s="34" t="s">
        <v>86</v>
      </c>
      <c r="E362" s="257">
        <v>8.3833048545290459E-2</v>
      </c>
      <c r="F362" s="232">
        <v>1</v>
      </c>
      <c r="G362" s="40" t="s">
        <v>163</v>
      </c>
      <c r="H362" s="29">
        <v>2</v>
      </c>
      <c r="I362" s="9">
        <v>2</v>
      </c>
      <c r="J362" s="9">
        <v>2</v>
      </c>
      <c r="K362" s="9">
        <v>2</v>
      </c>
      <c r="L362" s="9">
        <v>1</v>
      </c>
      <c r="M362" s="9">
        <v>2</v>
      </c>
      <c r="N362" s="185">
        <f t="shared" si="25"/>
        <v>0.38795788889711302</v>
      </c>
      <c r="O362" s="159">
        <f t="shared" si="26"/>
        <v>0.38795788889711302</v>
      </c>
      <c r="P362" s="63"/>
    </row>
    <row r="363" spans="1:16">
      <c r="A363" s="151" t="s">
        <v>210</v>
      </c>
      <c r="B363" s="34" t="s">
        <v>179</v>
      </c>
      <c r="C363" s="40" t="s">
        <v>139</v>
      </c>
      <c r="D363" s="34" t="s">
        <v>139</v>
      </c>
      <c r="E363" s="257">
        <v>0</v>
      </c>
      <c r="F363" s="232">
        <v>2</v>
      </c>
      <c r="G363" s="40" t="s">
        <v>157</v>
      </c>
      <c r="H363" s="29"/>
      <c r="I363" s="9"/>
      <c r="J363" s="9"/>
      <c r="K363" s="9"/>
      <c r="L363" s="9"/>
      <c r="M363" s="9"/>
      <c r="N363" s="185" t="str">
        <f t="shared" si="25"/>
        <v/>
      </c>
      <c r="O363" s="159" t="str">
        <f t="shared" si="26"/>
        <v/>
      </c>
      <c r="P363" s="63"/>
    </row>
    <row r="364" spans="1:16">
      <c r="A364" s="151" t="s">
        <v>210</v>
      </c>
      <c r="B364" s="34" t="s">
        <v>179</v>
      </c>
      <c r="C364" s="40" t="s">
        <v>139</v>
      </c>
      <c r="D364" s="34" t="s">
        <v>139</v>
      </c>
      <c r="E364" s="257">
        <v>1</v>
      </c>
      <c r="F364" s="232">
        <v>2</v>
      </c>
      <c r="G364" s="40" t="s">
        <v>157</v>
      </c>
      <c r="H364" s="29">
        <v>3</v>
      </c>
      <c r="I364" s="9"/>
      <c r="J364" s="9">
        <v>3</v>
      </c>
      <c r="K364" s="9">
        <v>3</v>
      </c>
      <c r="L364" s="9">
        <v>3</v>
      </c>
      <c r="M364" s="9">
        <v>3</v>
      </c>
      <c r="N364" s="185">
        <f t="shared" si="25"/>
        <v>1.2132328390150593</v>
      </c>
      <c r="O364" s="159" t="str">
        <f t="shared" si="26"/>
        <v/>
      </c>
      <c r="P364" s="63"/>
    </row>
    <row r="365" spans="1:16">
      <c r="A365" s="151" t="s">
        <v>206</v>
      </c>
      <c r="B365" s="34" t="s">
        <v>179</v>
      </c>
      <c r="C365" s="40" t="s">
        <v>139</v>
      </c>
      <c r="D365" s="34" t="s">
        <v>139</v>
      </c>
      <c r="E365" s="257" t="s">
        <v>150</v>
      </c>
      <c r="F365" s="232">
        <v>1</v>
      </c>
      <c r="G365" s="40"/>
      <c r="H365" s="29"/>
      <c r="I365" s="9"/>
      <c r="J365" s="9"/>
      <c r="K365" s="9"/>
      <c r="L365" s="9"/>
      <c r="M365" s="9"/>
      <c r="N365" s="185" t="str">
        <f t="shared" si="25"/>
        <v/>
      </c>
      <c r="O365" s="159" t="str">
        <f t="shared" si="26"/>
        <v/>
      </c>
      <c r="P365" s="63"/>
    </row>
    <row r="366" spans="1:16">
      <c r="A366" s="151" t="s">
        <v>143</v>
      </c>
      <c r="B366" s="34" t="s">
        <v>144</v>
      </c>
      <c r="C366" s="40" t="s">
        <v>139</v>
      </c>
      <c r="D366" s="34" t="s">
        <v>139</v>
      </c>
      <c r="E366" s="262">
        <v>0.1333</v>
      </c>
      <c r="F366" s="232">
        <v>1</v>
      </c>
      <c r="G366" s="40" t="s">
        <v>278</v>
      </c>
      <c r="H366" s="29">
        <v>2</v>
      </c>
      <c r="I366" s="9">
        <v>2</v>
      </c>
      <c r="J366" s="9">
        <v>2</v>
      </c>
      <c r="K366" s="9">
        <v>3</v>
      </c>
      <c r="L366" s="9">
        <v>1</v>
      </c>
      <c r="M366" s="9">
        <v>2</v>
      </c>
      <c r="N366" s="185">
        <v>0.50042652380814845</v>
      </c>
      <c r="O366" s="159">
        <v>0.50042652380814845</v>
      </c>
      <c r="P366" s="63"/>
    </row>
    <row r="367" spans="1:16">
      <c r="A367" s="151" t="s">
        <v>143</v>
      </c>
      <c r="B367" s="34" t="s">
        <v>144</v>
      </c>
      <c r="C367" s="40" t="s">
        <v>139</v>
      </c>
      <c r="D367" s="34" t="s">
        <v>139</v>
      </c>
      <c r="E367" s="262">
        <v>0.26669999999999999</v>
      </c>
      <c r="F367" s="232">
        <v>1</v>
      </c>
      <c r="G367" s="40" t="s">
        <v>278</v>
      </c>
      <c r="H367" s="29">
        <v>2</v>
      </c>
      <c r="I367" s="9">
        <v>2</v>
      </c>
      <c r="J367" s="9">
        <v>2</v>
      </c>
      <c r="K367" s="9">
        <v>3</v>
      </c>
      <c r="L367" s="9">
        <v>1</v>
      </c>
      <c r="M367" s="9">
        <v>2</v>
      </c>
      <c r="N367" s="185">
        <v>0.50042652380814845</v>
      </c>
      <c r="O367" s="159">
        <v>0.50042652380814845</v>
      </c>
      <c r="P367" s="63"/>
    </row>
    <row r="368" spans="1:16">
      <c r="A368" s="151" t="s">
        <v>143</v>
      </c>
      <c r="B368" s="34" t="s">
        <v>144</v>
      </c>
      <c r="C368" s="40" t="s">
        <v>139</v>
      </c>
      <c r="D368" s="34" t="s">
        <v>139</v>
      </c>
      <c r="E368" s="262">
        <v>0.2</v>
      </c>
      <c r="F368" s="232">
        <v>1</v>
      </c>
      <c r="G368" s="40" t="s">
        <v>279</v>
      </c>
      <c r="H368" s="29">
        <v>2</v>
      </c>
      <c r="I368" s="9">
        <v>2</v>
      </c>
      <c r="J368" s="9">
        <v>2</v>
      </c>
      <c r="K368" s="9">
        <v>3</v>
      </c>
      <c r="L368" s="9">
        <v>1</v>
      </c>
      <c r="M368" s="9">
        <v>2</v>
      </c>
      <c r="N368" s="185">
        <v>0.50042652380814845</v>
      </c>
      <c r="O368" s="159">
        <v>0.50042652380814845</v>
      </c>
      <c r="P368" s="63" t="s">
        <v>280</v>
      </c>
    </row>
    <row r="369" spans="1:16">
      <c r="A369" s="151" t="s">
        <v>244</v>
      </c>
      <c r="B369" s="34" t="s">
        <v>179</v>
      </c>
      <c r="C369" s="40" t="s">
        <v>139</v>
      </c>
      <c r="D369" s="34" t="s">
        <v>85</v>
      </c>
      <c r="E369" s="257">
        <v>6.9999999999999951E-2</v>
      </c>
      <c r="F369" s="232">
        <v>1</v>
      </c>
      <c r="G369" s="40" t="s">
        <v>281</v>
      </c>
      <c r="H369" s="29">
        <v>2</v>
      </c>
      <c r="I369" s="9">
        <v>2</v>
      </c>
      <c r="J369" s="9">
        <v>1</v>
      </c>
      <c r="K369" s="9">
        <v>3</v>
      </c>
      <c r="L369" s="9">
        <v>1</v>
      </c>
      <c r="M369" s="9">
        <v>3</v>
      </c>
      <c r="N369" s="185">
        <f t="shared" ref="N369:N382" si="27">IF( OR( ISBLANK(H369),ISBLANK(J369), ISBLANK(K369), ISBLANK(L369), ISBLANK(M369) ), "", 1.5*SQRT(   EXP(2.21*(H369-1)) + EXP(2.21*(J369-1)) + EXP(2.21*(K369-1)) + EXP(2.21*(L369-1)) + EXP(2.21*M369)   )/100*2.45 )</f>
        <v>1.0725046436742278</v>
      </c>
      <c r="O369" s="159">
        <f t="shared" ref="O369:O382" si="28">IF( OR( ISBLANK(I369),ISBLANK(J369), ISBLANK(K369), ISBLANK(L369), ISBLANK(M369) ), "", 1.5*SQRT( EXP(2.21*(I369-1)) + EXP(2.21*(J369-1)) + EXP(2.21*(K369-1)) + EXP(2.21*(L369-1)) + EXP(2.21*M369)   )/100*2.45 )</f>
        <v>1.0725046436742278</v>
      </c>
      <c r="P369" s="63" t="s">
        <v>282</v>
      </c>
    </row>
    <row r="370" spans="1:16">
      <c r="A370" s="151" t="s">
        <v>244</v>
      </c>
      <c r="B370" s="34" t="s">
        <v>179</v>
      </c>
      <c r="C370" s="40" t="s">
        <v>139</v>
      </c>
      <c r="D370" s="34" t="s">
        <v>86</v>
      </c>
      <c r="E370" s="257">
        <v>6.9999999999999951E-2</v>
      </c>
      <c r="F370" s="232">
        <v>1</v>
      </c>
      <c r="G370" s="40" t="s">
        <v>281</v>
      </c>
      <c r="H370" s="29">
        <v>2</v>
      </c>
      <c r="I370" s="9">
        <v>2</v>
      </c>
      <c r="J370" s="9">
        <v>1</v>
      </c>
      <c r="K370" s="9">
        <v>3</v>
      </c>
      <c r="L370" s="9">
        <v>1</v>
      </c>
      <c r="M370" s="9">
        <v>3</v>
      </c>
      <c r="N370" s="185">
        <f t="shared" si="27"/>
        <v>1.0725046436742278</v>
      </c>
      <c r="O370" s="159">
        <f t="shared" si="28"/>
        <v>1.0725046436742278</v>
      </c>
      <c r="P370" s="63" t="s">
        <v>282</v>
      </c>
    </row>
    <row r="371" spans="1:16">
      <c r="A371" s="151" t="s">
        <v>244</v>
      </c>
      <c r="B371" s="34" t="s">
        <v>179</v>
      </c>
      <c r="C371" s="40" t="s">
        <v>139</v>
      </c>
      <c r="D371" s="34" t="s">
        <v>87</v>
      </c>
      <c r="E371" s="257">
        <v>6.9999999999999951E-2</v>
      </c>
      <c r="F371" s="232">
        <v>1</v>
      </c>
      <c r="G371" s="40" t="s">
        <v>281</v>
      </c>
      <c r="H371" s="29">
        <v>2</v>
      </c>
      <c r="I371" s="9">
        <v>2</v>
      </c>
      <c r="J371" s="9">
        <v>1</v>
      </c>
      <c r="K371" s="9">
        <v>3</v>
      </c>
      <c r="L371" s="9">
        <v>1</v>
      </c>
      <c r="M371" s="9">
        <v>3</v>
      </c>
      <c r="N371" s="185">
        <f t="shared" si="27"/>
        <v>1.0725046436742278</v>
      </c>
      <c r="O371" s="159">
        <f t="shared" si="28"/>
        <v>1.0725046436742278</v>
      </c>
      <c r="P371" s="63" t="s">
        <v>282</v>
      </c>
    </row>
    <row r="372" spans="1:16">
      <c r="A372" s="151" t="s">
        <v>244</v>
      </c>
      <c r="B372" s="34" t="s">
        <v>179</v>
      </c>
      <c r="C372" s="40" t="s">
        <v>139</v>
      </c>
      <c r="D372" s="34" t="s">
        <v>88</v>
      </c>
      <c r="E372" s="257">
        <v>6.9999999999999951E-2</v>
      </c>
      <c r="F372" s="232">
        <v>1</v>
      </c>
      <c r="G372" s="40" t="s">
        <v>281</v>
      </c>
      <c r="H372" s="29">
        <v>2</v>
      </c>
      <c r="I372" s="9">
        <v>2</v>
      </c>
      <c r="J372" s="9">
        <v>1</v>
      </c>
      <c r="K372" s="9">
        <v>3</v>
      </c>
      <c r="L372" s="9">
        <v>1</v>
      </c>
      <c r="M372" s="9">
        <v>3</v>
      </c>
      <c r="N372" s="185">
        <f t="shared" si="27"/>
        <v>1.0725046436742278</v>
      </c>
      <c r="O372" s="159">
        <f t="shared" si="28"/>
        <v>1.0725046436742278</v>
      </c>
      <c r="P372" s="63" t="s">
        <v>282</v>
      </c>
    </row>
    <row r="373" spans="1:16">
      <c r="A373" s="151" t="s">
        <v>244</v>
      </c>
      <c r="B373" s="34" t="s">
        <v>179</v>
      </c>
      <c r="C373" s="40" t="s">
        <v>139</v>
      </c>
      <c r="D373" s="34" t="s">
        <v>89</v>
      </c>
      <c r="E373" s="257">
        <v>6.9999999999999951E-2</v>
      </c>
      <c r="F373" s="232">
        <v>1</v>
      </c>
      <c r="G373" s="40" t="s">
        <v>281</v>
      </c>
      <c r="H373" s="29">
        <v>2</v>
      </c>
      <c r="I373" s="9">
        <v>2</v>
      </c>
      <c r="J373" s="9">
        <v>1</v>
      </c>
      <c r="K373" s="9">
        <v>3</v>
      </c>
      <c r="L373" s="9">
        <v>1</v>
      </c>
      <c r="M373" s="9">
        <v>3</v>
      </c>
      <c r="N373" s="185">
        <f t="shared" si="27"/>
        <v>1.0725046436742278</v>
      </c>
      <c r="O373" s="159">
        <f t="shared" si="28"/>
        <v>1.0725046436742278</v>
      </c>
      <c r="P373" s="63" t="s">
        <v>282</v>
      </c>
    </row>
    <row r="374" spans="1:16">
      <c r="A374" s="151" t="s">
        <v>244</v>
      </c>
      <c r="B374" s="34" t="s">
        <v>179</v>
      </c>
      <c r="C374" s="40" t="s">
        <v>139</v>
      </c>
      <c r="D374" s="34" t="s">
        <v>90</v>
      </c>
      <c r="E374" s="257">
        <v>6.9999999999999951E-2</v>
      </c>
      <c r="F374" s="232">
        <v>1</v>
      </c>
      <c r="G374" s="40" t="s">
        <v>281</v>
      </c>
      <c r="H374" s="29">
        <v>2</v>
      </c>
      <c r="I374" s="9">
        <v>2</v>
      </c>
      <c r="J374" s="9">
        <v>1</v>
      </c>
      <c r="K374" s="9">
        <v>3</v>
      </c>
      <c r="L374" s="9">
        <v>1</v>
      </c>
      <c r="M374" s="9">
        <v>3</v>
      </c>
      <c r="N374" s="185">
        <f t="shared" si="27"/>
        <v>1.0725046436742278</v>
      </c>
      <c r="O374" s="159">
        <f t="shared" si="28"/>
        <v>1.0725046436742278</v>
      </c>
      <c r="P374" s="63" t="s">
        <v>282</v>
      </c>
    </row>
    <row r="375" spans="1:16">
      <c r="A375" s="151" t="s">
        <v>244</v>
      </c>
      <c r="B375" s="34" t="s">
        <v>179</v>
      </c>
      <c r="C375" s="40" t="s">
        <v>139</v>
      </c>
      <c r="D375" s="34" t="s">
        <v>91</v>
      </c>
      <c r="E375" s="257">
        <v>6.9999999999999951E-2</v>
      </c>
      <c r="F375" s="232">
        <v>1</v>
      </c>
      <c r="G375" s="40" t="s">
        <v>281</v>
      </c>
      <c r="H375" s="29">
        <v>2</v>
      </c>
      <c r="I375" s="9">
        <v>2</v>
      </c>
      <c r="J375" s="9">
        <v>2</v>
      </c>
      <c r="K375" s="9">
        <v>1</v>
      </c>
      <c r="L375" s="9">
        <v>1</v>
      </c>
      <c r="M375" s="9">
        <v>2</v>
      </c>
      <c r="N375" s="185">
        <f t="shared" si="27"/>
        <v>0.37356464144298934</v>
      </c>
      <c r="O375" s="159">
        <f t="shared" si="28"/>
        <v>0.37356464144298934</v>
      </c>
      <c r="P375" s="63"/>
    </row>
    <row r="376" spans="1:16">
      <c r="A376" s="151" t="s">
        <v>283</v>
      </c>
      <c r="B376" s="34" t="s">
        <v>245</v>
      </c>
      <c r="C376" s="40" t="s">
        <v>139</v>
      </c>
      <c r="D376" s="34" t="s">
        <v>85</v>
      </c>
      <c r="E376" s="257">
        <v>0.16159999999999999</v>
      </c>
      <c r="F376" s="232">
        <v>1</v>
      </c>
      <c r="G376" s="40" t="s">
        <v>246</v>
      </c>
      <c r="H376" s="29">
        <v>1</v>
      </c>
      <c r="I376" s="9">
        <v>2</v>
      </c>
      <c r="J376" s="9">
        <v>2</v>
      </c>
      <c r="K376" s="9">
        <v>3</v>
      </c>
      <c r="L376" s="9">
        <v>1</v>
      </c>
      <c r="M376" s="9">
        <v>1</v>
      </c>
      <c r="N376" s="185">
        <f t="shared" si="27"/>
        <v>0.37356464144298934</v>
      </c>
      <c r="O376" s="159">
        <f t="shared" si="28"/>
        <v>0.38795788889711302</v>
      </c>
      <c r="P376" s="63" t="s">
        <v>247</v>
      </c>
    </row>
    <row r="377" spans="1:16">
      <c r="A377" s="151" t="s">
        <v>283</v>
      </c>
      <c r="B377" s="34" t="s">
        <v>245</v>
      </c>
      <c r="C377" s="40" t="s">
        <v>139</v>
      </c>
      <c r="D377" s="34" t="s">
        <v>86</v>
      </c>
      <c r="E377" s="257">
        <v>0.16159999999999999</v>
      </c>
      <c r="F377" s="232">
        <v>1</v>
      </c>
      <c r="G377" s="40" t="s">
        <v>246</v>
      </c>
      <c r="H377" s="29">
        <v>1</v>
      </c>
      <c r="I377" s="9">
        <v>2</v>
      </c>
      <c r="J377" s="9">
        <v>2</v>
      </c>
      <c r="K377" s="9">
        <v>3</v>
      </c>
      <c r="L377" s="9">
        <v>1</v>
      </c>
      <c r="M377" s="9">
        <v>1</v>
      </c>
      <c r="N377" s="185">
        <f t="shared" si="27"/>
        <v>0.37356464144298934</v>
      </c>
      <c r="O377" s="159">
        <f t="shared" si="28"/>
        <v>0.38795788889711302</v>
      </c>
      <c r="P377" s="63" t="s">
        <v>247</v>
      </c>
    </row>
    <row r="378" spans="1:16">
      <c r="A378" s="151" t="s">
        <v>283</v>
      </c>
      <c r="B378" s="34" t="s">
        <v>245</v>
      </c>
      <c r="C378" s="40" t="s">
        <v>139</v>
      </c>
      <c r="D378" s="34" t="s">
        <v>87</v>
      </c>
      <c r="E378" s="257">
        <v>0.16159999999999999</v>
      </c>
      <c r="F378" s="232">
        <v>1</v>
      </c>
      <c r="G378" s="40" t="s">
        <v>246</v>
      </c>
      <c r="H378" s="29">
        <v>1</v>
      </c>
      <c r="I378" s="9">
        <v>2</v>
      </c>
      <c r="J378" s="9">
        <v>2</v>
      </c>
      <c r="K378" s="9">
        <v>3</v>
      </c>
      <c r="L378" s="9">
        <v>1</v>
      </c>
      <c r="M378" s="9">
        <v>1</v>
      </c>
      <c r="N378" s="185">
        <f t="shared" si="27"/>
        <v>0.37356464144298934</v>
      </c>
      <c r="O378" s="159">
        <f t="shared" si="28"/>
        <v>0.38795788889711302</v>
      </c>
      <c r="P378" s="63" t="s">
        <v>247</v>
      </c>
    </row>
    <row r="379" spans="1:16">
      <c r="A379" s="151" t="s">
        <v>283</v>
      </c>
      <c r="B379" s="34" t="s">
        <v>245</v>
      </c>
      <c r="C379" s="40" t="s">
        <v>139</v>
      </c>
      <c r="D379" s="34" t="s">
        <v>88</v>
      </c>
      <c r="E379" s="257">
        <v>0.16159999999999999</v>
      </c>
      <c r="F379" s="232">
        <v>1</v>
      </c>
      <c r="G379" s="40" t="s">
        <v>246</v>
      </c>
      <c r="H379" s="29">
        <v>1</v>
      </c>
      <c r="I379" s="9">
        <v>2</v>
      </c>
      <c r="J379" s="9">
        <v>2</v>
      </c>
      <c r="K379" s="9">
        <v>3</v>
      </c>
      <c r="L379" s="9">
        <v>1</v>
      </c>
      <c r="M379" s="9">
        <v>1</v>
      </c>
      <c r="N379" s="185">
        <f t="shared" si="27"/>
        <v>0.37356464144298934</v>
      </c>
      <c r="O379" s="159">
        <f t="shared" si="28"/>
        <v>0.38795788889711302</v>
      </c>
      <c r="P379" s="63" t="s">
        <v>247</v>
      </c>
    </row>
    <row r="380" spans="1:16">
      <c r="A380" s="151" t="s">
        <v>283</v>
      </c>
      <c r="B380" s="34" t="s">
        <v>245</v>
      </c>
      <c r="C380" s="40" t="s">
        <v>139</v>
      </c>
      <c r="D380" s="34" t="s">
        <v>89</v>
      </c>
      <c r="E380" s="257">
        <v>0.16159999999999999</v>
      </c>
      <c r="F380" s="232">
        <v>1</v>
      </c>
      <c r="G380" s="40" t="s">
        <v>246</v>
      </c>
      <c r="H380" s="29">
        <v>1</v>
      </c>
      <c r="I380" s="9">
        <v>2</v>
      </c>
      <c r="J380" s="9">
        <v>2</v>
      </c>
      <c r="K380" s="9">
        <v>3</v>
      </c>
      <c r="L380" s="9">
        <v>1</v>
      </c>
      <c r="M380" s="9">
        <v>1</v>
      </c>
      <c r="N380" s="185">
        <f t="shared" si="27"/>
        <v>0.37356464144298934</v>
      </c>
      <c r="O380" s="159">
        <f t="shared" si="28"/>
        <v>0.38795788889711302</v>
      </c>
      <c r="P380" s="63" t="s">
        <v>247</v>
      </c>
    </row>
    <row r="381" spans="1:16">
      <c r="A381" s="151" t="s">
        <v>283</v>
      </c>
      <c r="B381" s="34" t="s">
        <v>245</v>
      </c>
      <c r="C381" s="40" t="s">
        <v>139</v>
      </c>
      <c r="D381" s="34" t="s">
        <v>90</v>
      </c>
      <c r="E381" s="257">
        <v>0.16159999999999999</v>
      </c>
      <c r="F381" s="232">
        <v>1</v>
      </c>
      <c r="G381" s="40" t="s">
        <v>246</v>
      </c>
      <c r="H381" s="29">
        <v>1</v>
      </c>
      <c r="I381" s="9">
        <v>2</v>
      </c>
      <c r="J381" s="9">
        <v>2</v>
      </c>
      <c r="K381" s="9">
        <v>3</v>
      </c>
      <c r="L381" s="9">
        <v>1</v>
      </c>
      <c r="M381" s="9">
        <v>1</v>
      </c>
      <c r="N381" s="185">
        <f t="shared" si="27"/>
        <v>0.37356464144298934</v>
      </c>
      <c r="O381" s="159">
        <f t="shared" si="28"/>
        <v>0.38795788889711302</v>
      </c>
      <c r="P381" s="63" t="s">
        <v>247</v>
      </c>
    </row>
    <row r="382" spans="1:16">
      <c r="A382" s="151" t="s">
        <v>283</v>
      </c>
      <c r="B382" s="34" t="s">
        <v>245</v>
      </c>
      <c r="C382" s="40" t="s">
        <v>139</v>
      </c>
      <c r="D382" s="34" t="s">
        <v>91</v>
      </c>
      <c r="E382" s="257">
        <v>0.16159999999999999</v>
      </c>
      <c r="F382" s="232">
        <v>1</v>
      </c>
      <c r="G382" s="40" t="s">
        <v>246</v>
      </c>
      <c r="H382" s="29">
        <v>1</v>
      </c>
      <c r="I382" s="9">
        <v>2</v>
      </c>
      <c r="J382" s="9">
        <v>2</v>
      </c>
      <c r="K382" s="9">
        <v>1</v>
      </c>
      <c r="L382" s="9">
        <v>1</v>
      </c>
      <c r="M382" s="9">
        <v>1</v>
      </c>
      <c r="N382" s="185">
        <f t="shared" si="27"/>
        <v>0.16933510251023262</v>
      </c>
      <c r="O382" s="159">
        <f t="shared" si="28"/>
        <v>0.19908580854301616</v>
      </c>
      <c r="P382" s="63"/>
    </row>
    <row r="383" spans="1:16">
      <c r="A383" s="151" t="s">
        <v>143</v>
      </c>
      <c r="B383" s="34" t="s">
        <v>179</v>
      </c>
      <c r="C383" s="40" t="s">
        <v>139</v>
      </c>
      <c r="D383" s="34" t="s">
        <v>139</v>
      </c>
      <c r="E383" s="262" t="s">
        <v>150</v>
      </c>
      <c r="F383" s="232">
        <v>1</v>
      </c>
      <c r="G383" s="40">
        <v>0</v>
      </c>
      <c r="H383" s="29"/>
      <c r="I383" s="9"/>
      <c r="J383" s="9"/>
      <c r="K383" s="9"/>
      <c r="L383" s="9"/>
      <c r="M383" s="9"/>
      <c r="N383" s="185" t="s">
        <v>249</v>
      </c>
      <c r="O383" s="159" t="s">
        <v>249</v>
      </c>
      <c r="P383" s="63"/>
    </row>
    <row r="384" spans="1:16">
      <c r="A384" s="151" t="s">
        <v>143</v>
      </c>
      <c r="B384" s="34" t="s">
        <v>184</v>
      </c>
      <c r="C384" s="40" t="s">
        <v>139</v>
      </c>
      <c r="D384" s="34" t="s">
        <v>139</v>
      </c>
      <c r="E384" s="262">
        <v>0</v>
      </c>
      <c r="F384" s="232">
        <v>1</v>
      </c>
      <c r="G384" s="40">
        <v>0</v>
      </c>
      <c r="H384" s="29"/>
      <c r="I384" s="9"/>
      <c r="J384" s="9"/>
      <c r="K384" s="9"/>
      <c r="L384" s="9"/>
      <c r="M384" s="9"/>
      <c r="N384" s="185" t="s">
        <v>249</v>
      </c>
      <c r="O384" s="159" t="s">
        <v>249</v>
      </c>
      <c r="P384" s="63"/>
    </row>
    <row r="385" spans="1:16">
      <c r="A385" s="151" t="s">
        <v>284</v>
      </c>
      <c r="B385" s="34" t="s">
        <v>179</v>
      </c>
      <c r="C385" s="40" t="s">
        <v>180</v>
      </c>
      <c r="D385" s="34" t="s">
        <v>139</v>
      </c>
      <c r="E385" s="257">
        <v>1</v>
      </c>
      <c r="F385" s="232">
        <v>2</v>
      </c>
      <c r="G385" s="40" t="s">
        <v>285</v>
      </c>
      <c r="H385" s="828"/>
      <c r="I385" s="829"/>
      <c r="J385" s="829"/>
      <c r="K385" s="829"/>
      <c r="L385" s="829"/>
      <c r="M385" s="829"/>
      <c r="N385" s="185" t="str">
        <f t="shared" ref="N385:N387" si="29">IF( OR( ISBLANK(H385),ISBLANK(J385), ISBLANK(K385), ISBLANK(L385), ISBLANK(M385) ), "", 1.5*SQRT(   EXP(2.21*(H385-1)) + EXP(2.21*(J385-1)) + EXP(2.21*(K385-1)) + EXP(2.21*(L385-1)) + EXP(2.21*M385)   )/100*2.45 )</f>
        <v/>
      </c>
      <c r="O385" s="159" t="str">
        <f t="shared" ref="O385:O387" si="30">IF( OR( ISBLANK(I385),ISBLANK(J385), ISBLANK(K385), ISBLANK(L385), ISBLANK(M385) ), "", 1.5*SQRT( EXP(2.21*(I385-1)) + EXP(2.21*(J385-1)) + EXP(2.21*(K385-1)) + EXP(2.21*(L385-1)) + EXP(2.21*M385)   )/100*2.45 )</f>
        <v/>
      </c>
      <c r="P385" s="839"/>
    </row>
    <row r="386" spans="1:16">
      <c r="A386" s="151" t="s">
        <v>286</v>
      </c>
      <c r="B386" s="34" t="s">
        <v>179</v>
      </c>
      <c r="C386" s="40" t="s">
        <v>180</v>
      </c>
      <c r="D386" s="34" t="s">
        <v>139</v>
      </c>
      <c r="E386" s="257">
        <v>1</v>
      </c>
      <c r="F386" s="232">
        <v>2</v>
      </c>
      <c r="G386" s="40" t="s">
        <v>285</v>
      </c>
      <c r="H386" s="29"/>
      <c r="I386" s="9"/>
      <c r="J386" s="9"/>
      <c r="K386" s="9"/>
      <c r="L386" s="9"/>
      <c r="M386" s="9"/>
      <c r="N386" s="185" t="str">
        <f t="shared" si="29"/>
        <v/>
      </c>
      <c r="O386" s="159" t="str">
        <f t="shared" si="30"/>
        <v/>
      </c>
      <c r="P386" s="63"/>
    </row>
    <row r="387" spans="1:16">
      <c r="A387" s="151" t="s">
        <v>287</v>
      </c>
      <c r="B387" s="34" t="s">
        <v>179</v>
      </c>
      <c r="C387" s="40" t="s">
        <v>139</v>
      </c>
      <c r="D387" s="34" t="s">
        <v>139</v>
      </c>
      <c r="E387" s="257">
        <v>1</v>
      </c>
      <c r="F387" s="232">
        <v>2</v>
      </c>
      <c r="G387" s="40" t="s">
        <v>157</v>
      </c>
      <c r="H387" s="29"/>
      <c r="I387" s="9"/>
      <c r="J387" s="9"/>
      <c r="K387" s="9"/>
      <c r="L387" s="9"/>
      <c r="M387" s="9"/>
      <c r="N387" s="185" t="str">
        <f t="shared" si="29"/>
        <v/>
      </c>
      <c r="O387" s="159" t="str">
        <f t="shared" si="30"/>
        <v/>
      </c>
      <c r="P387" s="63" t="s">
        <v>288</v>
      </c>
    </row>
    <row r="388" spans="1:16">
      <c r="A388" s="151" t="s">
        <v>209</v>
      </c>
      <c r="B388" s="34" t="s">
        <v>179</v>
      </c>
      <c r="C388" s="40" t="s">
        <v>139</v>
      </c>
      <c r="D388" s="34" t="s">
        <v>139</v>
      </c>
      <c r="E388" s="257">
        <v>0.8</v>
      </c>
      <c r="F388" s="232">
        <v>2</v>
      </c>
      <c r="G388" s="40" t="s">
        <v>157</v>
      </c>
      <c r="H388" s="29">
        <v>3</v>
      </c>
      <c r="I388" s="9"/>
      <c r="J388" s="9">
        <v>3</v>
      </c>
      <c r="K388" s="9">
        <v>3</v>
      </c>
      <c r="L388" s="9">
        <v>3</v>
      </c>
      <c r="M388" s="9">
        <v>3</v>
      </c>
      <c r="N388" s="185">
        <f t="shared" ref="N388:N389" si="31">IF( OR( ISBLANK(H388),ISBLANK(J388), ISBLANK(K388), ISBLANK(L388), ISBLANK(M388) ), "", 1.5*SQRT(   EXP(2.21*(H388-1)) + EXP(2.21*(J388-1)) + EXP(2.21*(K388-1)) + EXP(2.21*(L388-1)) + EXP(2.21*M388)   )/100*2.45 )</f>
        <v>1.2132328390150593</v>
      </c>
      <c r="O388" s="159" t="str">
        <f t="shared" ref="O388:O389" si="32">IF( OR( ISBLANK(I388),ISBLANK(J388), ISBLANK(K388), ISBLANK(L388), ISBLANK(M388) ), "", 1.5*SQRT( EXP(2.21*(I388-1)) + EXP(2.21*(J388-1)) + EXP(2.21*(K388-1)) + EXP(2.21*(L388-1)) + EXP(2.21*M388)   )/100*2.45 )</f>
        <v/>
      </c>
      <c r="P388" s="63" t="s">
        <v>299</v>
      </c>
    </row>
    <row r="389" spans="1:16">
      <c r="A389" s="151" t="s">
        <v>215</v>
      </c>
      <c r="B389" s="34" t="s">
        <v>179</v>
      </c>
      <c r="C389" s="40" t="s">
        <v>139</v>
      </c>
      <c r="D389" s="34" t="s">
        <v>139</v>
      </c>
      <c r="E389" s="257">
        <v>0</v>
      </c>
      <c r="F389" s="232">
        <v>2</v>
      </c>
      <c r="G389" s="40"/>
      <c r="H389" s="29"/>
      <c r="I389" s="9"/>
      <c r="J389" s="9"/>
      <c r="K389" s="9"/>
      <c r="L389" s="9"/>
      <c r="M389" s="9"/>
      <c r="N389" s="185" t="str">
        <f t="shared" si="31"/>
        <v/>
      </c>
      <c r="O389" s="159" t="str">
        <f t="shared" si="32"/>
        <v/>
      </c>
      <c r="P389" s="63" t="s">
        <v>300</v>
      </c>
    </row>
    <row r="390" spans="1:16">
      <c r="A390" s="151" t="s">
        <v>143</v>
      </c>
      <c r="B390" s="34" t="s">
        <v>251</v>
      </c>
      <c r="C390" s="40" t="s">
        <v>139</v>
      </c>
      <c r="D390" s="34" t="s">
        <v>139</v>
      </c>
      <c r="E390" s="262">
        <v>1E-4</v>
      </c>
      <c r="F390" s="232">
        <v>2</v>
      </c>
      <c r="G390" s="40" t="s">
        <v>157</v>
      </c>
      <c r="H390" s="29">
        <v>1</v>
      </c>
      <c r="I390" s="9">
        <v>2</v>
      </c>
      <c r="J390" s="9">
        <v>1</v>
      </c>
      <c r="K390" s="9">
        <v>1</v>
      </c>
      <c r="L390" s="9">
        <v>1</v>
      </c>
      <c r="M390" s="9">
        <v>3</v>
      </c>
      <c r="N390" s="185">
        <v>1.0141150152164344</v>
      </c>
      <c r="O390" s="159">
        <v>1.0195048044558224</v>
      </c>
      <c r="P390" s="63"/>
    </row>
    <row r="391" spans="1:16">
      <c r="A391" s="151" t="s">
        <v>270</v>
      </c>
      <c r="B391" s="34" t="s">
        <v>301</v>
      </c>
      <c r="C391" s="40" t="s">
        <v>139</v>
      </c>
      <c r="D391" s="34" t="s">
        <v>139</v>
      </c>
      <c r="E391" s="851">
        <v>0.01</v>
      </c>
      <c r="F391" s="34">
        <v>2</v>
      </c>
      <c r="G391" s="40" t="s">
        <v>302</v>
      </c>
      <c r="H391" s="29">
        <v>2</v>
      </c>
      <c r="I391" s="9">
        <v>2</v>
      </c>
      <c r="J391" s="9">
        <v>2</v>
      </c>
      <c r="K391" s="9">
        <v>2</v>
      </c>
      <c r="L391" s="9">
        <v>1</v>
      </c>
      <c r="M391" s="9">
        <v>1</v>
      </c>
      <c r="N391" s="185">
        <f t="shared" ref="N391:N422" si="33">IF( OR( ISBLANK(H391),ISBLANK(J391), ISBLANK(K391), ISBLANK(L391), ISBLANK(M391) ), "", 1.5*SQRT(   EXP(2.21*(H391-1)) + EXP(2.21*(J391-1)) + EXP(2.21*(K391-1)) + EXP(2.21*(L391-1)) + EXP(2.21*M391)   )/100*2.45 )</f>
        <v>0.2249354160293616</v>
      </c>
      <c r="O391" s="159">
        <f t="shared" ref="O391:O422" si="34">IF( OR( ISBLANK(I391),ISBLANK(J391), ISBLANK(K391), ISBLANK(L391), ISBLANK(M391) ), "", 1.5*SQRT( EXP(2.21*(I391-1)) + EXP(2.21*(J391-1)) + EXP(2.21*(K391-1)) + EXP(2.21*(L391-1)) + EXP(2.21*M391)   )/100*2.45 )</f>
        <v>0.2249354160293616</v>
      </c>
      <c r="P391" s="838"/>
    </row>
    <row r="392" spans="1:16">
      <c r="A392" s="151" t="s">
        <v>283</v>
      </c>
      <c r="B392" s="34" t="s">
        <v>179</v>
      </c>
      <c r="C392" s="40" t="s">
        <v>139</v>
      </c>
      <c r="D392" s="34" t="s">
        <v>85</v>
      </c>
      <c r="E392" s="257">
        <v>7.5999999999999998E-2</v>
      </c>
      <c r="F392" s="232">
        <v>1</v>
      </c>
      <c r="G392" s="40" t="s">
        <v>303</v>
      </c>
      <c r="H392" s="29">
        <v>2</v>
      </c>
      <c r="I392" s="9">
        <v>2</v>
      </c>
      <c r="J392" s="9">
        <v>3</v>
      </c>
      <c r="K392" s="9">
        <v>3</v>
      </c>
      <c r="L392" s="9">
        <v>1</v>
      </c>
      <c r="M392" s="9">
        <v>2</v>
      </c>
      <c r="N392" s="185">
        <f t="shared" si="33"/>
        <v>0.59189702474662764</v>
      </c>
      <c r="O392" s="159">
        <f t="shared" si="34"/>
        <v>0.59189702474662764</v>
      </c>
      <c r="P392" s="63"/>
    </row>
    <row r="393" spans="1:16">
      <c r="A393" s="151" t="s">
        <v>175</v>
      </c>
      <c r="B393" s="34" t="s">
        <v>179</v>
      </c>
      <c r="C393" s="40" t="s">
        <v>139</v>
      </c>
      <c r="D393" s="34" t="s">
        <v>139</v>
      </c>
      <c r="E393" s="257" t="s">
        <v>150</v>
      </c>
      <c r="F393" s="232">
        <v>1</v>
      </c>
      <c r="G393" s="40"/>
      <c r="H393" s="29"/>
      <c r="I393" s="9"/>
      <c r="J393" s="9"/>
      <c r="K393" s="9"/>
      <c r="L393" s="9"/>
      <c r="M393" s="9"/>
      <c r="N393" s="185" t="str">
        <f t="shared" si="33"/>
        <v/>
      </c>
      <c r="O393" s="159" t="str">
        <f t="shared" si="34"/>
        <v/>
      </c>
      <c r="P393" s="63"/>
    </row>
    <row r="394" spans="1:16">
      <c r="A394" s="151" t="s">
        <v>175</v>
      </c>
      <c r="B394" s="34" t="s">
        <v>179</v>
      </c>
      <c r="C394" s="40" t="s">
        <v>139</v>
      </c>
      <c r="D394" s="34" t="s">
        <v>139</v>
      </c>
      <c r="E394" s="40" t="s">
        <v>150</v>
      </c>
      <c r="F394" s="232">
        <v>1</v>
      </c>
      <c r="G394" s="40"/>
      <c r="H394" s="29"/>
      <c r="I394" s="9"/>
      <c r="J394" s="9"/>
      <c r="K394" s="9"/>
      <c r="L394" s="9"/>
      <c r="M394" s="9"/>
      <c r="N394" s="185" t="str">
        <f t="shared" si="33"/>
        <v/>
      </c>
      <c r="O394" s="159" t="str">
        <f t="shared" si="34"/>
        <v/>
      </c>
      <c r="P394" s="838"/>
    </row>
    <row r="395" spans="1:16">
      <c r="A395" s="151" t="s">
        <v>112</v>
      </c>
      <c r="B395" s="34" t="s">
        <v>241</v>
      </c>
      <c r="C395" s="40" t="s">
        <v>139</v>
      </c>
      <c r="D395" s="34" t="s">
        <v>87</v>
      </c>
      <c r="E395" s="257">
        <v>0</v>
      </c>
      <c r="F395" s="232">
        <v>1</v>
      </c>
      <c r="G395" s="40"/>
      <c r="H395" s="29"/>
      <c r="I395" s="9"/>
      <c r="J395" s="9"/>
      <c r="K395" s="9"/>
      <c r="L395" s="9"/>
      <c r="M395" s="9"/>
      <c r="N395" s="185" t="str">
        <f t="shared" si="33"/>
        <v/>
      </c>
      <c r="O395" s="159" t="str">
        <f t="shared" si="34"/>
        <v/>
      </c>
      <c r="P395" s="63"/>
    </row>
    <row r="396" spans="1:16">
      <c r="A396" s="151" t="s">
        <v>112</v>
      </c>
      <c r="B396" s="34" t="s">
        <v>241</v>
      </c>
      <c r="C396" s="40" t="s">
        <v>139</v>
      </c>
      <c r="D396" s="34" t="s">
        <v>88</v>
      </c>
      <c r="E396" s="257">
        <v>0</v>
      </c>
      <c r="F396" s="232">
        <v>1</v>
      </c>
      <c r="G396" s="40"/>
      <c r="H396" s="29"/>
      <c r="I396" s="9"/>
      <c r="J396" s="9"/>
      <c r="K396" s="9"/>
      <c r="L396" s="9"/>
      <c r="M396" s="9"/>
      <c r="N396" s="185" t="str">
        <f t="shared" si="33"/>
        <v/>
      </c>
      <c r="O396" s="159" t="str">
        <f t="shared" si="34"/>
        <v/>
      </c>
      <c r="P396" s="63"/>
    </row>
    <row r="397" spans="1:16">
      <c r="A397" s="151" t="s">
        <v>112</v>
      </c>
      <c r="B397" s="34" t="s">
        <v>241</v>
      </c>
      <c r="C397" s="40" t="s">
        <v>139</v>
      </c>
      <c r="D397" s="34" t="s">
        <v>89</v>
      </c>
      <c r="E397" s="257">
        <v>0</v>
      </c>
      <c r="F397" s="232">
        <v>1</v>
      </c>
      <c r="G397" s="40"/>
      <c r="H397" s="29"/>
      <c r="I397" s="9"/>
      <c r="J397" s="9"/>
      <c r="K397" s="9"/>
      <c r="L397" s="9"/>
      <c r="M397" s="9"/>
      <c r="N397" s="185" t="str">
        <f t="shared" si="33"/>
        <v/>
      </c>
      <c r="O397" s="159" t="str">
        <f t="shared" si="34"/>
        <v/>
      </c>
      <c r="P397" s="63"/>
    </row>
    <row r="398" spans="1:16">
      <c r="A398" s="151" t="s">
        <v>112</v>
      </c>
      <c r="B398" s="34" t="s">
        <v>241</v>
      </c>
      <c r="C398" s="40" t="s">
        <v>139</v>
      </c>
      <c r="D398" s="34" t="s">
        <v>90</v>
      </c>
      <c r="E398" s="257">
        <v>0</v>
      </c>
      <c r="F398" s="232">
        <v>1</v>
      </c>
      <c r="G398" s="40"/>
      <c r="H398" s="29"/>
      <c r="I398" s="9"/>
      <c r="J398" s="9"/>
      <c r="K398" s="9"/>
      <c r="L398" s="9"/>
      <c r="M398" s="9"/>
      <c r="N398" s="185" t="str">
        <f t="shared" si="33"/>
        <v/>
      </c>
      <c r="O398" s="159" t="str">
        <f t="shared" si="34"/>
        <v/>
      </c>
      <c r="P398" s="63"/>
    </row>
    <row r="399" spans="1:16">
      <c r="A399" s="151" t="s">
        <v>112</v>
      </c>
      <c r="B399" s="34" t="s">
        <v>241</v>
      </c>
      <c r="C399" s="40" t="s">
        <v>139</v>
      </c>
      <c r="D399" s="34" t="s">
        <v>91</v>
      </c>
      <c r="E399" s="257">
        <v>2.0260014591638925E-2</v>
      </c>
      <c r="F399" s="232">
        <v>1</v>
      </c>
      <c r="G399" s="40" t="s">
        <v>163</v>
      </c>
      <c r="H399" s="29">
        <v>2</v>
      </c>
      <c r="I399" s="9">
        <v>2</v>
      </c>
      <c r="J399" s="9">
        <v>2</v>
      </c>
      <c r="K399" s="9">
        <v>2</v>
      </c>
      <c r="L399" s="9">
        <v>1</v>
      </c>
      <c r="M399" s="9">
        <v>2</v>
      </c>
      <c r="N399" s="185">
        <f t="shared" si="33"/>
        <v>0.38795788889711302</v>
      </c>
      <c r="O399" s="159">
        <f t="shared" si="34"/>
        <v>0.38795788889711302</v>
      </c>
      <c r="P399" s="63"/>
    </row>
    <row r="400" spans="1:16">
      <c r="A400" s="151" t="s">
        <v>228</v>
      </c>
      <c r="B400" s="34" t="s">
        <v>304</v>
      </c>
      <c r="C400" s="40" t="s">
        <v>139</v>
      </c>
      <c r="D400" s="34" t="s">
        <v>139</v>
      </c>
      <c r="E400" s="257" t="s">
        <v>150</v>
      </c>
      <c r="F400" s="232">
        <v>1</v>
      </c>
      <c r="G400" s="40"/>
      <c r="H400" s="29"/>
      <c r="I400" s="9"/>
      <c r="J400" s="9"/>
      <c r="K400" s="9"/>
      <c r="L400" s="9"/>
      <c r="M400" s="9"/>
      <c r="N400" s="185" t="str">
        <f t="shared" si="33"/>
        <v/>
      </c>
      <c r="O400" s="159" t="str">
        <f t="shared" si="34"/>
        <v/>
      </c>
      <c r="P400" s="63"/>
    </row>
    <row r="401" spans="1:16">
      <c r="A401" s="151" t="s">
        <v>283</v>
      </c>
      <c r="B401" s="34" t="s">
        <v>179</v>
      </c>
      <c r="C401" s="40" t="s">
        <v>139</v>
      </c>
      <c r="D401" s="34" t="s">
        <v>86</v>
      </c>
      <c r="E401" s="257">
        <v>7.5999999999999998E-2</v>
      </c>
      <c r="F401" s="232">
        <v>1</v>
      </c>
      <c r="G401" s="40" t="s">
        <v>305</v>
      </c>
      <c r="H401" s="29">
        <v>2</v>
      </c>
      <c r="I401" s="9">
        <v>2</v>
      </c>
      <c r="J401" s="9">
        <v>3</v>
      </c>
      <c r="K401" s="9">
        <v>3</v>
      </c>
      <c r="L401" s="9">
        <v>1</v>
      </c>
      <c r="M401" s="9">
        <v>2</v>
      </c>
      <c r="N401" s="185">
        <f t="shared" si="33"/>
        <v>0.59189702474662764</v>
      </c>
      <c r="O401" s="159">
        <f t="shared" si="34"/>
        <v>0.59189702474662764</v>
      </c>
      <c r="P401" s="63"/>
    </row>
    <row r="402" spans="1:16">
      <c r="A402" s="151" t="s">
        <v>283</v>
      </c>
      <c r="B402" s="34" t="s">
        <v>179</v>
      </c>
      <c r="C402" s="40" t="s">
        <v>139</v>
      </c>
      <c r="D402" s="34" t="s">
        <v>87</v>
      </c>
      <c r="E402" s="257">
        <v>7.5999999999999998E-2</v>
      </c>
      <c r="F402" s="232">
        <v>1</v>
      </c>
      <c r="G402" s="40" t="s">
        <v>306</v>
      </c>
      <c r="H402" s="29">
        <v>2</v>
      </c>
      <c r="I402" s="9">
        <v>2</v>
      </c>
      <c r="J402" s="9">
        <v>3</v>
      </c>
      <c r="K402" s="9">
        <v>3</v>
      </c>
      <c r="L402" s="9">
        <v>1</v>
      </c>
      <c r="M402" s="9">
        <v>2</v>
      </c>
      <c r="N402" s="185">
        <f t="shared" si="33"/>
        <v>0.59189702474662764</v>
      </c>
      <c r="O402" s="159">
        <f t="shared" si="34"/>
        <v>0.59189702474662764</v>
      </c>
      <c r="P402" s="63"/>
    </row>
    <row r="403" spans="1:16">
      <c r="A403" s="151" t="s">
        <v>256</v>
      </c>
      <c r="B403" s="34" t="s">
        <v>267</v>
      </c>
      <c r="C403" s="40" t="s">
        <v>180</v>
      </c>
      <c r="D403" s="69" t="s">
        <v>94</v>
      </c>
      <c r="E403" s="848">
        <v>1</v>
      </c>
      <c r="F403" s="34">
        <v>1</v>
      </c>
      <c r="G403" s="339" t="s">
        <v>110</v>
      </c>
      <c r="H403" s="29">
        <v>1</v>
      </c>
      <c r="I403" s="9"/>
      <c r="J403" s="9">
        <v>1</v>
      </c>
      <c r="K403" s="9">
        <v>1</v>
      </c>
      <c r="L403" s="9">
        <v>2</v>
      </c>
      <c r="M403" s="9">
        <v>2</v>
      </c>
      <c r="N403" s="185">
        <f t="shared" si="33"/>
        <v>0.35859414261160716</v>
      </c>
      <c r="O403" s="159" t="str">
        <f t="shared" si="34"/>
        <v/>
      </c>
      <c r="P403" s="63"/>
    </row>
    <row r="404" spans="1:16">
      <c r="A404" s="151" t="s">
        <v>283</v>
      </c>
      <c r="B404" s="34" t="s">
        <v>179</v>
      </c>
      <c r="C404" s="40" t="s">
        <v>139</v>
      </c>
      <c r="D404" s="34" t="s">
        <v>88</v>
      </c>
      <c r="E404" s="257">
        <v>7.5999999999999998E-2</v>
      </c>
      <c r="F404" s="232">
        <v>1</v>
      </c>
      <c r="G404" s="40" t="s">
        <v>307</v>
      </c>
      <c r="H404" s="29">
        <v>2</v>
      </c>
      <c r="I404" s="9">
        <v>2</v>
      </c>
      <c r="J404" s="9">
        <v>3</v>
      </c>
      <c r="K404" s="9">
        <v>3</v>
      </c>
      <c r="L404" s="9">
        <v>1</v>
      </c>
      <c r="M404" s="9">
        <v>2</v>
      </c>
      <c r="N404" s="185">
        <f t="shared" si="33"/>
        <v>0.59189702474662764</v>
      </c>
      <c r="O404" s="159">
        <f t="shared" si="34"/>
        <v>0.59189702474662764</v>
      </c>
      <c r="P404" s="63"/>
    </row>
    <row r="405" spans="1:16">
      <c r="A405" s="151" t="s">
        <v>283</v>
      </c>
      <c r="B405" s="34" t="s">
        <v>179</v>
      </c>
      <c r="C405" s="40" t="s">
        <v>139</v>
      </c>
      <c r="D405" s="34" t="s">
        <v>89</v>
      </c>
      <c r="E405" s="257">
        <v>7.5999999999999998E-2</v>
      </c>
      <c r="F405" s="232">
        <v>1</v>
      </c>
      <c r="G405" s="40" t="s">
        <v>308</v>
      </c>
      <c r="H405" s="29">
        <v>2</v>
      </c>
      <c r="I405" s="9">
        <v>2</v>
      </c>
      <c r="J405" s="9">
        <v>3</v>
      </c>
      <c r="K405" s="9">
        <v>3</v>
      </c>
      <c r="L405" s="9">
        <v>1</v>
      </c>
      <c r="M405" s="9">
        <v>2</v>
      </c>
      <c r="N405" s="185">
        <f t="shared" si="33"/>
        <v>0.59189702474662764</v>
      </c>
      <c r="O405" s="159">
        <f t="shared" si="34"/>
        <v>0.59189702474662764</v>
      </c>
      <c r="P405" s="63"/>
    </row>
    <row r="406" spans="1:16">
      <c r="A406" s="151" t="s">
        <v>37</v>
      </c>
      <c r="B406" s="34" t="s">
        <v>309</v>
      </c>
      <c r="C406" s="40" t="s">
        <v>139</v>
      </c>
      <c r="D406" s="34" t="s">
        <v>85</v>
      </c>
      <c r="E406" s="257">
        <f>Intentionally_produced_MPs!V127</f>
        <v>0</v>
      </c>
      <c r="F406" s="232">
        <v>1</v>
      </c>
      <c r="G406" s="40"/>
      <c r="H406" s="29"/>
      <c r="I406" s="9"/>
      <c r="J406" s="9"/>
      <c r="K406" s="9"/>
      <c r="L406" s="9"/>
      <c r="M406" s="9"/>
      <c r="N406" s="185" t="str">
        <f t="shared" si="33"/>
        <v/>
      </c>
      <c r="O406" s="159" t="str">
        <f t="shared" si="34"/>
        <v/>
      </c>
      <c r="P406" s="63"/>
    </row>
    <row r="407" spans="1:16">
      <c r="A407" s="151" t="s">
        <v>37</v>
      </c>
      <c r="B407" s="34" t="s">
        <v>309</v>
      </c>
      <c r="C407" s="40" t="s">
        <v>139</v>
      </c>
      <c r="D407" s="34" t="s">
        <v>86</v>
      </c>
      <c r="E407" s="257">
        <f>Intentionally_produced_MPs!V128</f>
        <v>0</v>
      </c>
      <c r="F407" s="232">
        <v>1</v>
      </c>
      <c r="G407" s="40"/>
      <c r="H407" s="29"/>
      <c r="I407" s="9"/>
      <c r="J407" s="9"/>
      <c r="K407" s="9"/>
      <c r="L407" s="9"/>
      <c r="M407" s="9"/>
      <c r="N407" s="185" t="str">
        <f t="shared" si="33"/>
        <v/>
      </c>
      <c r="O407" s="159" t="str">
        <f t="shared" si="34"/>
        <v/>
      </c>
      <c r="P407" s="63"/>
    </row>
    <row r="408" spans="1:16">
      <c r="A408" s="151" t="s">
        <v>37</v>
      </c>
      <c r="B408" s="34" t="s">
        <v>309</v>
      </c>
      <c r="C408" s="40" t="s">
        <v>139</v>
      </c>
      <c r="D408" s="34" t="s">
        <v>87</v>
      </c>
      <c r="E408" s="257">
        <f>Intentionally_produced_MPs!V129</f>
        <v>0</v>
      </c>
      <c r="F408" s="232">
        <v>1</v>
      </c>
      <c r="G408" s="40"/>
      <c r="H408" s="29"/>
      <c r="I408" s="9"/>
      <c r="J408" s="9"/>
      <c r="K408" s="9"/>
      <c r="L408" s="9"/>
      <c r="M408" s="9"/>
      <c r="N408" s="185" t="str">
        <f t="shared" si="33"/>
        <v/>
      </c>
      <c r="O408" s="159" t="str">
        <f t="shared" si="34"/>
        <v/>
      </c>
      <c r="P408" s="63"/>
    </row>
    <row r="409" spans="1:16">
      <c r="A409" s="151" t="s">
        <v>37</v>
      </c>
      <c r="B409" s="34" t="s">
        <v>309</v>
      </c>
      <c r="C409" s="40" t="s">
        <v>139</v>
      </c>
      <c r="D409" s="34" t="s">
        <v>88</v>
      </c>
      <c r="E409" s="257">
        <f>Intentionally_produced_MPs!V130</f>
        <v>0</v>
      </c>
      <c r="F409" s="232">
        <v>1</v>
      </c>
      <c r="G409" s="40"/>
      <c r="H409" s="29"/>
      <c r="I409" s="9"/>
      <c r="J409" s="9"/>
      <c r="K409" s="9"/>
      <c r="L409" s="9"/>
      <c r="M409" s="9"/>
      <c r="N409" s="185" t="str">
        <f t="shared" si="33"/>
        <v/>
      </c>
      <c r="O409" s="159" t="str">
        <f t="shared" si="34"/>
        <v/>
      </c>
      <c r="P409" s="63"/>
    </row>
    <row r="410" spans="1:16">
      <c r="A410" s="151" t="s">
        <v>37</v>
      </c>
      <c r="B410" s="34" t="s">
        <v>309</v>
      </c>
      <c r="C410" s="40" t="s">
        <v>139</v>
      </c>
      <c r="D410" s="34" t="s">
        <v>89</v>
      </c>
      <c r="E410" s="257">
        <f>Intentionally_produced_MPs!V131</f>
        <v>0</v>
      </c>
      <c r="F410" s="232">
        <v>1</v>
      </c>
      <c r="G410" s="40"/>
      <c r="H410" s="29"/>
      <c r="I410" s="9"/>
      <c r="J410" s="9"/>
      <c r="K410" s="9"/>
      <c r="L410" s="9"/>
      <c r="M410" s="9"/>
      <c r="N410" s="185" t="str">
        <f t="shared" si="33"/>
        <v/>
      </c>
      <c r="O410" s="159" t="str">
        <f t="shared" si="34"/>
        <v/>
      </c>
      <c r="P410" s="63"/>
    </row>
    <row r="411" spans="1:16">
      <c r="A411" s="151" t="s">
        <v>37</v>
      </c>
      <c r="B411" s="34" t="s">
        <v>309</v>
      </c>
      <c r="C411" s="40" t="s">
        <v>139</v>
      </c>
      <c r="D411" s="34" t="s">
        <v>90</v>
      </c>
      <c r="E411" s="257">
        <f>Intentionally_produced_MPs!V132</f>
        <v>0</v>
      </c>
      <c r="F411" s="232">
        <v>1</v>
      </c>
      <c r="G411" s="40"/>
      <c r="H411" s="29"/>
      <c r="I411" s="9"/>
      <c r="J411" s="9"/>
      <c r="K411" s="9"/>
      <c r="L411" s="9"/>
      <c r="M411" s="9"/>
      <c r="N411" s="185" t="str">
        <f t="shared" si="33"/>
        <v/>
      </c>
      <c r="O411" s="159" t="str">
        <f t="shared" si="34"/>
        <v/>
      </c>
      <c r="P411" s="63"/>
    </row>
    <row r="412" spans="1:16">
      <c r="A412" s="151" t="s">
        <v>37</v>
      </c>
      <c r="B412" s="34" t="s">
        <v>309</v>
      </c>
      <c r="C412" s="40" t="s">
        <v>139</v>
      </c>
      <c r="D412" s="34" t="s">
        <v>91</v>
      </c>
      <c r="E412" s="257">
        <f>Intentionally_produced_MPs!V133</f>
        <v>0</v>
      </c>
      <c r="F412" s="232">
        <v>1</v>
      </c>
      <c r="G412" s="40"/>
      <c r="H412" s="29"/>
      <c r="I412" s="9"/>
      <c r="J412" s="9"/>
      <c r="K412" s="9"/>
      <c r="L412" s="9"/>
      <c r="M412" s="9"/>
      <c r="N412" s="185" t="str">
        <f t="shared" si="33"/>
        <v/>
      </c>
      <c r="O412" s="159" t="str">
        <f t="shared" si="34"/>
        <v/>
      </c>
      <c r="P412" s="63"/>
    </row>
    <row r="413" spans="1:16">
      <c r="A413" s="151" t="s">
        <v>37</v>
      </c>
      <c r="B413" s="34" t="s">
        <v>309</v>
      </c>
      <c r="C413" s="40" t="s">
        <v>139</v>
      </c>
      <c r="D413" s="34" t="s">
        <v>92</v>
      </c>
      <c r="E413" s="257">
        <f>Intentionally_produced_MPs!V134</f>
        <v>1</v>
      </c>
      <c r="F413" s="232">
        <v>1</v>
      </c>
      <c r="G413" s="40" t="s">
        <v>310</v>
      </c>
      <c r="H413" s="29"/>
      <c r="I413" s="9"/>
      <c r="J413" s="9"/>
      <c r="K413" s="9"/>
      <c r="L413" s="9"/>
      <c r="M413" s="9"/>
      <c r="N413" s="185" t="str">
        <f t="shared" si="33"/>
        <v/>
      </c>
      <c r="O413" s="159" t="str">
        <f t="shared" si="34"/>
        <v/>
      </c>
      <c r="P413" s="63"/>
    </row>
    <row r="414" spans="1:16">
      <c r="A414" s="151" t="s">
        <v>37</v>
      </c>
      <c r="B414" s="34" t="s">
        <v>309</v>
      </c>
      <c r="C414" s="40" t="s">
        <v>139</v>
      </c>
      <c r="D414" s="34" t="s">
        <v>93</v>
      </c>
      <c r="E414" s="257">
        <f>Intentionally_produced_MPs!V135</f>
        <v>0</v>
      </c>
      <c r="F414" s="232">
        <v>1</v>
      </c>
      <c r="G414" s="40"/>
      <c r="H414" s="29"/>
      <c r="I414" s="9"/>
      <c r="J414" s="9"/>
      <c r="K414" s="9"/>
      <c r="L414" s="9"/>
      <c r="M414" s="9"/>
      <c r="N414" s="185" t="str">
        <f t="shared" si="33"/>
        <v/>
      </c>
      <c r="O414" s="159" t="str">
        <f t="shared" si="34"/>
        <v/>
      </c>
      <c r="P414" s="63"/>
    </row>
    <row r="415" spans="1:16">
      <c r="A415" s="151" t="s">
        <v>37</v>
      </c>
      <c r="B415" s="34" t="s">
        <v>309</v>
      </c>
      <c r="C415" s="40" t="s">
        <v>139</v>
      </c>
      <c r="D415" s="34" t="s">
        <v>94</v>
      </c>
      <c r="E415" s="257">
        <f>Intentionally_produced_MPs!V136</f>
        <v>0</v>
      </c>
      <c r="F415" s="232">
        <v>1</v>
      </c>
      <c r="G415" s="40"/>
      <c r="H415" s="29"/>
      <c r="I415" s="9"/>
      <c r="J415" s="9"/>
      <c r="K415" s="9"/>
      <c r="L415" s="9"/>
      <c r="M415" s="9"/>
      <c r="N415" s="185" t="str">
        <f t="shared" si="33"/>
        <v/>
      </c>
      <c r="O415" s="159" t="str">
        <f t="shared" si="34"/>
        <v/>
      </c>
      <c r="P415" s="63"/>
    </row>
    <row r="416" spans="1:16">
      <c r="A416" s="151" t="s">
        <v>37</v>
      </c>
      <c r="B416" s="34" t="s">
        <v>309</v>
      </c>
      <c r="C416" s="40" t="s">
        <v>139</v>
      </c>
      <c r="D416" s="34" t="s">
        <v>95</v>
      </c>
      <c r="E416" s="257">
        <f>Intentionally_produced_MPs!V137</f>
        <v>0</v>
      </c>
      <c r="F416" s="232">
        <v>1</v>
      </c>
      <c r="G416" s="40"/>
      <c r="H416" s="29"/>
      <c r="I416" s="9"/>
      <c r="J416" s="9"/>
      <c r="K416" s="9"/>
      <c r="L416" s="9"/>
      <c r="M416" s="9"/>
      <c r="N416" s="185" t="str">
        <f t="shared" si="33"/>
        <v/>
      </c>
      <c r="O416" s="159" t="str">
        <f t="shared" si="34"/>
        <v/>
      </c>
      <c r="P416" s="63"/>
    </row>
    <row r="417" spans="1:16">
      <c r="A417" s="151" t="s">
        <v>37</v>
      </c>
      <c r="B417" s="34" t="s">
        <v>309</v>
      </c>
      <c r="C417" s="40" t="s">
        <v>139</v>
      </c>
      <c r="D417" s="34" t="s">
        <v>96</v>
      </c>
      <c r="E417" s="257">
        <f>Intentionally_produced_MPs!V138</f>
        <v>0</v>
      </c>
      <c r="F417" s="232">
        <v>1</v>
      </c>
      <c r="G417" s="40"/>
      <c r="H417" s="29"/>
      <c r="I417" s="9"/>
      <c r="J417" s="9"/>
      <c r="K417" s="9"/>
      <c r="L417" s="9"/>
      <c r="M417" s="9"/>
      <c r="N417" s="185" t="str">
        <f t="shared" si="33"/>
        <v/>
      </c>
      <c r="O417" s="159" t="str">
        <f t="shared" si="34"/>
        <v/>
      </c>
      <c r="P417" s="63"/>
    </row>
    <row r="418" spans="1:16">
      <c r="A418" s="151" t="s">
        <v>37</v>
      </c>
      <c r="B418" s="34" t="s">
        <v>309</v>
      </c>
      <c r="C418" s="40" t="s">
        <v>139</v>
      </c>
      <c r="D418" s="34" t="s">
        <v>97</v>
      </c>
      <c r="E418" s="257">
        <f>Intentionally_produced_MPs!V139</f>
        <v>0</v>
      </c>
      <c r="F418" s="232">
        <v>1</v>
      </c>
      <c r="G418" s="40"/>
      <c r="H418" s="29"/>
      <c r="I418" s="9"/>
      <c r="J418" s="9"/>
      <c r="K418" s="9"/>
      <c r="L418" s="9"/>
      <c r="M418" s="9"/>
      <c r="N418" s="185" t="str">
        <f t="shared" si="33"/>
        <v/>
      </c>
      <c r="O418" s="159" t="str">
        <f t="shared" si="34"/>
        <v/>
      </c>
      <c r="P418" s="63"/>
    </row>
    <row r="419" spans="1:16">
      <c r="A419" s="151" t="s">
        <v>37</v>
      </c>
      <c r="B419" s="34" t="s">
        <v>309</v>
      </c>
      <c r="C419" s="40" t="s">
        <v>139</v>
      </c>
      <c r="D419" s="34" t="s">
        <v>98</v>
      </c>
      <c r="E419" s="257">
        <f>Intentionally_produced_MPs!V140</f>
        <v>0</v>
      </c>
      <c r="F419" s="232">
        <v>1</v>
      </c>
      <c r="G419" s="40"/>
      <c r="H419" s="29"/>
      <c r="I419" s="9"/>
      <c r="J419" s="9"/>
      <c r="K419" s="9"/>
      <c r="L419" s="9"/>
      <c r="M419" s="9"/>
      <c r="N419" s="185" t="str">
        <f t="shared" si="33"/>
        <v/>
      </c>
      <c r="O419" s="159" t="str">
        <f t="shared" si="34"/>
        <v/>
      </c>
      <c r="P419" s="63"/>
    </row>
    <row r="420" spans="1:16">
      <c r="A420" s="151" t="s">
        <v>309</v>
      </c>
      <c r="B420" s="34" t="s">
        <v>311</v>
      </c>
      <c r="C420" s="515" t="s">
        <v>139</v>
      </c>
      <c r="D420" s="37" t="s">
        <v>139</v>
      </c>
      <c r="E420" s="515" t="s">
        <v>150</v>
      </c>
      <c r="F420" s="37">
        <v>1</v>
      </c>
      <c r="G420" s="40"/>
      <c r="H420" s="29"/>
      <c r="I420" s="9"/>
      <c r="J420" s="9"/>
      <c r="K420" s="9"/>
      <c r="L420" s="9"/>
      <c r="M420" s="9"/>
      <c r="N420" s="185" t="str">
        <f t="shared" si="33"/>
        <v/>
      </c>
      <c r="O420" s="159" t="str">
        <f t="shared" si="34"/>
        <v/>
      </c>
      <c r="P420" s="63"/>
    </row>
    <row r="421" spans="1:16">
      <c r="A421" s="151" t="s">
        <v>309</v>
      </c>
      <c r="B421" s="34" t="s">
        <v>312</v>
      </c>
      <c r="C421" s="515" t="s">
        <v>139</v>
      </c>
      <c r="D421" s="37" t="s">
        <v>139</v>
      </c>
      <c r="E421" s="308">
        <v>0.11</v>
      </c>
      <c r="F421" s="37">
        <v>2</v>
      </c>
      <c r="G421" s="40" t="s">
        <v>313</v>
      </c>
      <c r="H421" s="29">
        <v>2</v>
      </c>
      <c r="I421" s="9">
        <v>2</v>
      </c>
      <c r="J421" s="9">
        <v>1</v>
      </c>
      <c r="K421" s="9">
        <v>1</v>
      </c>
      <c r="L421" s="9">
        <v>1</v>
      </c>
      <c r="M421" s="9">
        <v>1</v>
      </c>
      <c r="N421" s="185">
        <f t="shared" si="33"/>
        <v>0.16933510251023262</v>
      </c>
      <c r="O421" s="159">
        <f t="shared" si="34"/>
        <v>0.16933510251023262</v>
      </c>
      <c r="P421" s="63"/>
    </row>
    <row r="422" spans="1:16">
      <c r="A422" s="151" t="s">
        <v>37</v>
      </c>
      <c r="B422" s="34" t="s">
        <v>314</v>
      </c>
      <c r="C422" s="40" t="s">
        <v>139</v>
      </c>
      <c r="D422" s="34" t="s">
        <v>85</v>
      </c>
      <c r="E422" s="257">
        <f>Intentionally_produced_MPs!N127</f>
        <v>0</v>
      </c>
      <c r="F422" s="232">
        <v>1</v>
      </c>
      <c r="G422" s="40"/>
      <c r="H422" s="29"/>
      <c r="I422" s="9"/>
      <c r="J422" s="9"/>
      <c r="K422" s="9"/>
      <c r="L422" s="9"/>
      <c r="M422" s="9"/>
      <c r="N422" s="185" t="str">
        <f t="shared" si="33"/>
        <v/>
      </c>
      <c r="O422" s="159" t="str">
        <f t="shared" si="34"/>
        <v/>
      </c>
      <c r="P422" s="63"/>
    </row>
    <row r="423" spans="1:16">
      <c r="A423" s="151" t="s">
        <v>37</v>
      </c>
      <c r="B423" s="34" t="s">
        <v>314</v>
      </c>
      <c r="C423" s="40" t="s">
        <v>139</v>
      </c>
      <c r="D423" s="34" t="s">
        <v>86</v>
      </c>
      <c r="E423" s="257">
        <f>Intentionally_produced_MPs!N128</f>
        <v>0</v>
      </c>
      <c r="F423" s="232">
        <v>1</v>
      </c>
      <c r="G423" s="40"/>
      <c r="H423" s="29"/>
      <c r="I423" s="9"/>
      <c r="J423" s="9"/>
      <c r="K423" s="9"/>
      <c r="L423" s="9"/>
      <c r="M423" s="9"/>
      <c r="N423" s="185" t="str">
        <f t="shared" ref="N423:N454" si="35">IF( OR( ISBLANK(H423),ISBLANK(J423), ISBLANK(K423), ISBLANK(L423), ISBLANK(M423) ), "", 1.5*SQRT(   EXP(2.21*(H423-1)) + EXP(2.21*(J423-1)) + EXP(2.21*(K423-1)) + EXP(2.21*(L423-1)) + EXP(2.21*M423)   )/100*2.45 )</f>
        <v/>
      </c>
      <c r="O423" s="159" t="str">
        <f t="shared" ref="O423:O454" si="36">IF( OR( ISBLANK(I423),ISBLANK(J423), ISBLANK(K423), ISBLANK(L423), ISBLANK(M423) ), "", 1.5*SQRT( EXP(2.21*(I423-1)) + EXP(2.21*(J423-1)) + EXP(2.21*(K423-1)) + EXP(2.21*(L423-1)) + EXP(2.21*M423)   )/100*2.45 )</f>
        <v/>
      </c>
      <c r="P423" s="63"/>
    </row>
    <row r="424" spans="1:16">
      <c r="A424" s="151" t="s">
        <v>37</v>
      </c>
      <c r="B424" s="34" t="s">
        <v>314</v>
      </c>
      <c r="C424" s="40" t="s">
        <v>139</v>
      </c>
      <c r="D424" s="34" t="s">
        <v>87</v>
      </c>
      <c r="E424" s="257">
        <f>Intentionally_produced_MPs!N129</f>
        <v>0</v>
      </c>
      <c r="F424" s="232">
        <v>1</v>
      </c>
      <c r="G424" s="40"/>
      <c r="H424" s="29"/>
      <c r="I424" s="9"/>
      <c r="J424" s="9"/>
      <c r="K424" s="9"/>
      <c r="L424" s="9"/>
      <c r="M424" s="9"/>
      <c r="N424" s="185" t="str">
        <f t="shared" si="35"/>
        <v/>
      </c>
      <c r="O424" s="159" t="str">
        <f t="shared" si="36"/>
        <v/>
      </c>
      <c r="P424" s="63"/>
    </row>
    <row r="425" spans="1:16">
      <c r="A425" s="151" t="s">
        <v>37</v>
      </c>
      <c r="B425" s="34" t="s">
        <v>314</v>
      </c>
      <c r="C425" s="40" t="s">
        <v>139</v>
      </c>
      <c r="D425" s="34" t="s">
        <v>88</v>
      </c>
      <c r="E425" s="257">
        <f>Intentionally_produced_MPs!N130</f>
        <v>0</v>
      </c>
      <c r="F425" s="232">
        <v>1</v>
      </c>
      <c r="G425" s="40"/>
      <c r="H425" s="29"/>
      <c r="I425" s="9"/>
      <c r="J425" s="9"/>
      <c r="K425" s="9"/>
      <c r="L425" s="9"/>
      <c r="M425" s="9"/>
      <c r="N425" s="185" t="str">
        <f t="shared" si="35"/>
        <v/>
      </c>
      <c r="O425" s="159" t="str">
        <f t="shared" si="36"/>
        <v/>
      </c>
      <c r="P425" s="63"/>
    </row>
    <row r="426" spans="1:16">
      <c r="A426" s="151" t="s">
        <v>37</v>
      </c>
      <c r="B426" s="34" t="s">
        <v>314</v>
      </c>
      <c r="C426" s="40" t="s">
        <v>139</v>
      </c>
      <c r="D426" s="34" t="s">
        <v>89</v>
      </c>
      <c r="E426" s="257">
        <f>Intentionally_produced_MPs!N131</f>
        <v>0</v>
      </c>
      <c r="F426" s="232">
        <v>1</v>
      </c>
      <c r="G426" s="40"/>
      <c r="H426" s="29"/>
      <c r="I426" s="9"/>
      <c r="J426" s="9"/>
      <c r="K426" s="9"/>
      <c r="L426" s="9"/>
      <c r="M426" s="9"/>
      <c r="N426" s="185" t="str">
        <f t="shared" si="35"/>
        <v/>
      </c>
      <c r="O426" s="159" t="str">
        <f t="shared" si="36"/>
        <v/>
      </c>
      <c r="P426" s="63"/>
    </row>
    <row r="427" spans="1:16">
      <c r="A427" s="151" t="s">
        <v>37</v>
      </c>
      <c r="B427" s="34" t="s">
        <v>314</v>
      </c>
      <c r="C427" s="40" t="s">
        <v>139</v>
      </c>
      <c r="D427" s="34" t="s">
        <v>90</v>
      </c>
      <c r="E427" s="257">
        <f>Intentionally_produced_MPs!N132</f>
        <v>0</v>
      </c>
      <c r="F427" s="232">
        <v>1</v>
      </c>
      <c r="G427" s="40"/>
      <c r="H427" s="29"/>
      <c r="I427" s="9"/>
      <c r="J427" s="9"/>
      <c r="K427" s="9"/>
      <c r="L427" s="9"/>
      <c r="M427" s="9"/>
      <c r="N427" s="185" t="str">
        <f t="shared" si="35"/>
        <v/>
      </c>
      <c r="O427" s="159" t="str">
        <f t="shared" si="36"/>
        <v/>
      </c>
      <c r="P427" s="63"/>
    </row>
    <row r="428" spans="1:16">
      <c r="A428" s="151" t="s">
        <v>37</v>
      </c>
      <c r="B428" s="34" t="s">
        <v>314</v>
      </c>
      <c r="C428" s="40" t="s">
        <v>139</v>
      </c>
      <c r="D428" s="34" t="s">
        <v>91</v>
      </c>
      <c r="E428" s="257">
        <f>Intentionally_produced_MPs!N133</f>
        <v>0</v>
      </c>
      <c r="F428" s="232">
        <v>1</v>
      </c>
      <c r="G428" s="40"/>
      <c r="H428" s="29"/>
      <c r="I428" s="9"/>
      <c r="J428" s="9"/>
      <c r="K428" s="9"/>
      <c r="L428" s="9"/>
      <c r="M428" s="9"/>
      <c r="N428" s="185" t="str">
        <f t="shared" si="35"/>
        <v/>
      </c>
      <c r="O428" s="159" t="str">
        <f t="shared" si="36"/>
        <v/>
      </c>
      <c r="P428" s="63"/>
    </row>
    <row r="429" spans="1:16">
      <c r="A429" s="151" t="s">
        <v>37</v>
      </c>
      <c r="B429" s="34" t="s">
        <v>314</v>
      </c>
      <c r="C429" s="40" t="s">
        <v>139</v>
      </c>
      <c r="D429" s="34" t="s">
        <v>92</v>
      </c>
      <c r="E429" s="257">
        <f>Intentionally_produced_MPs!N134</f>
        <v>0</v>
      </c>
      <c r="F429" s="232">
        <v>1</v>
      </c>
      <c r="G429" s="40"/>
      <c r="H429" s="29"/>
      <c r="I429" s="9"/>
      <c r="J429" s="9"/>
      <c r="K429" s="9"/>
      <c r="L429" s="9"/>
      <c r="M429" s="9"/>
      <c r="N429" s="185" t="str">
        <f t="shared" si="35"/>
        <v/>
      </c>
      <c r="O429" s="159" t="str">
        <f t="shared" si="36"/>
        <v/>
      </c>
      <c r="P429" s="63"/>
    </row>
    <row r="430" spans="1:16">
      <c r="A430" s="151" t="s">
        <v>37</v>
      </c>
      <c r="B430" s="34" t="s">
        <v>314</v>
      </c>
      <c r="C430" s="40" t="s">
        <v>139</v>
      </c>
      <c r="D430" s="34" t="s">
        <v>93</v>
      </c>
      <c r="E430" s="257">
        <f>Intentionally_produced_MPs!N135</f>
        <v>0</v>
      </c>
      <c r="F430" s="232">
        <v>1</v>
      </c>
      <c r="G430" s="40"/>
      <c r="H430" s="29"/>
      <c r="I430" s="9"/>
      <c r="J430" s="9"/>
      <c r="K430" s="9"/>
      <c r="L430" s="9"/>
      <c r="M430" s="9"/>
      <c r="N430" s="185" t="str">
        <f t="shared" si="35"/>
        <v/>
      </c>
      <c r="O430" s="159" t="str">
        <f t="shared" si="36"/>
        <v/>
      </c>
      <c r="P430" s="63"/>
    </row>
    <row r="431" spans="1:16">
      <c r="A431" s="151" t="s">
        <v>37</v>
      </c>
      <c r="B431" s="34" t="s">
        <v>314</v>
      </c>
      <c r="C431" s="40" t="s">
        <v>139</v>
      </c>
      <c r="D431" s="34" t="s">
        <v>94</v>
      </c>
      <c r="E431" s="257">
        <f>Intentionally_produced_MPs!N136</f>
        <v>0</v>
      </c>
      <c r="F431" s="232">
        <v>1</v>
      </c>
      <c r="G431" s="40"/>
      <c r="H431" s="29"/>
      <c r="I431" s="9"/>
      <c r="J431" s="9"/>
      <c r="K431" s="9"/>
      <c r="L431" s="9"/>
      <c r="M431" s="9"/>
      <c r="N431" s="185" t="str">
        <f t="shared" si="35"/>
        <v/>
      </c>
      <c r="O431" s="159" t="str">
        <f t="shared" si="36"/>
        <v/>
      </c>
      <c r="P431" s="63"/>
    </row>
    <row r="432" spans="1:16">
      <c r="A432" s="151" t="s">
        <v>37</v>
      </c>
      <c r="B432" s="34" t="s">
        <v>314</v>
      </c>
      <c r="C432" s="40" t="s">
        <v>139</v>
      </c>
      <c r="D432" s="34" t="s">
        <v>95</v>
      </c>
      <c r="E432" s="257">
        <f>Intentionally_produced_MPs!N137</f>
        <v>0</v>
      </c>
      <c r="F432" s="232">
        <v>1</v>
      </c>
      <c r="G432" s="40"/>
      <c r="H432" s="29"/>
      <c r="I432" s="9"/>
      <c r="J432" s="9"/>
      <c r="K432" s="9"/>
      <c r="L432" s="9"/>
      <c r="M432" s="9"/>
      <c r="N432" s="185" t="str">
        <f t="shared" si="35"/>
        <v/>
      </c>
      <c r="O432" s="159" t="str">
        <f t="shared" si="36"/>
        <v/>
      </c>
      <c r="P432" s="63"/>
    </row>
    <row r="433" spans="1:16">
      <c r="A433" s="151" t="s">
        <v>37</v>
      </c>
      <c r="B433" s="34" t="s">
        <v>314</v>
      </c>
      <c r="C433" s="40" t="s">
        <v>139</v>
      </c>
      <c r="D433" s="34" t="s">
        <v>96</v>
      </c>
      <c r="E433" s="257">
        <f>Intentionally_produced_MPs!N138</f>
        <v>0</v>
      </c>
      <c r="F433" s="232">
        <v>1</v>
      </c>
      <c r="G433" s="40"/>
      <c r="H433" s="29"/>
      <c r="I433" s="9"/>
      <c r="J433" s="9"/>
      <c r="K433" s="9"/>
      <c r="L433" s="9"/>
      <c r="M433" s="9"/>
      <c r="N433" s="185" t="str">
        <f t="shared" si="35"/>
        <v/>
      </c>
      <c r="O433" s="159" t="str">
        <f t="shared" si="36"/>
        <v/>
      </c>
      <c r="P433" s="63"/>
    </row>
    <row r="434" spans="1:16">
      <c r="A434" s="151" t="s">
        <v>37</v>
      </c>
      <c r="B434" s="34" t="s">
        <v>314</v>
      </c>
      <c r="C434" s="40" t="s">
        <v>139</v>
      </c>
      <c r="D434" s="34" t="s">
        <v>97</v>
      </c>
      <c r="E434" s="257">
        <f>Intentionally_produced_MPs!N139</f>
        <v>0</v>
      </c>
      <c r="F434" s="232">
        <v>1</v>
      </c>
      <c r="G434" s="40"/>
      <c r="H434" s="29"/>
      <c r="I434" s="9"/>
      <c r="J434" s="9"/>
      <c r="K434" s="9"/>
      <c r="L434" s="9"/>
      <c r="M434" s="9"/>
      <c r="N434" s="185" t="str">
        <f t="shared" si="35"/>
        <v/>
      </c>
      <c r="O434" s="159" t="str">
        <f t="shared" si="36"/>
        <v/>
      </c>
      <c r="P434" s="63"/>
    </row>
    <row r="435" spans="1:16">
      <c r="A435" s="151" t="s">
        <v>37</v>
      </c>
      <c r="B435" s="34" t="s">
        <v>314</v>
      </c>
      <c r="C435" s="40" t="s">
        <v>139</v>
      </c>
      <c r="D435" s="34" t="s">
        <v>98</v>
      </c>
      <c r="E435" s="257">
        <f>Intentionally_produced_MPs!N140</f>
        <v>6.6532165485482164E-3</v>
      </c>
      <c r="F435" s="232">
        <v>1</v>
      </c>
      <c r="G435" s="40"/>
      <c r="H435" s="29">
        <v>3</v>
      </c>
      <c r="I435" s="9">
        <v>2</v>
      </c>
      <c r="J435" s="9">
        <v>3</v>
      </c>
      <c r="K435" s="9">
        <v>3</v>
      </c>
      <c r="L435" s="9">
        <v>3</v>
      </c>
      <c r="M435" s="9">
        <v>3</v>
      </c>
      <c r="N435" s="185">
        <f t="shared" si="35"/>
        <v>1.2132328390150593</v>
      </c>
      <c r="O435" s="159">
        <f t="shared" si="36"/>
        <v>1.1713319510247036</v>
      </c>
      <c r="P435" s="63"/>
    </row>
    <row r="436" spans="1:16">
      <c r="A436" s="151" t="s">
        <v>175</v>
      </c>
      <c r="B436" s="34" t="s">
        <v>184</v>
      </c>
      <c r="C436" s="40" t="s">
        <v>139</v>
      </c>
      <c r="D436" s="34" t="s">
        <v>139</v>
      </c>
      <c r="E436" s="257">
        <v>0</v>
      </c>
      <c r="F436" s="232">
        <v>1</v>
      </c>
      <c r="G436" s="40" t="s">
        <v>157</v>
      </c>
      <c r="H436" s="29"/>
      <c r="I436" s="9"/>
      <c r="J436" s="9"/>
      <c r="K436" s="9"/>
      <c r="L436" s="9"/>
      <c r="M436" s="9"/>
      <c r="N436" s="185" t="str">
        <f t="shared" si="35"/>
        <v/>
      </c>
      <c r="O436" s="159" t="str">
        <f t="shared" si="36"/>
        <v/>
      </c>
      <c r="P436" s="63"/>
    </row>
    <row r="437" spans="1:16">
      <c r="A437" s="151" t="s">
        <v>175</v>
      </c>
      <c r="B437" s="34" t="s">
        <v>184</v>
      </c>
      <c r="C437" s="40" t="s">
        <v>139</v>
      </c>
      <c r="D437" s="34" t="s">
        <v>139</v>
      </c>
      <c r="E437" s="40">
        <v>0</v>
      </c>
      <c r="F437" s="232">
        <v>1</v>
      </c>
      <c r="G437" s="40" t="s">
        <v>157</v>
      </c>
      <c r="H437" s="29"/>
      <c r="I437" s="9"/>
      <c r="J437" s="9"/>
      <c r="K437" s="9"/>
      <c r="L437" s="9"/>
      <c r="M437" s="9"/>
      <c r="N437" s="185" t="str">
        <f t="shared" si="35"/>
        <v/>
      </c>
      <c r="O437" s="159" t="str">
        <f t="shared" si="36"/>
        <v/>
      </c>
      <c r="P437" s="838"/>
    </row>
    <row r="438" spans="1:16">
      <c r="A438" s="151" t="s">
        <v>175</v>
      </c>
      <c r="B438" s="34" t="s">
        <v>315</v>
      </c>
      <c r="C438" s="40" t="s">
        <v>139</v>
      </c>
      <c r="D438" s="34" t="s">
        <v>139</v>
      </c>
      <c r="E438" s="257">
        <v>1.2999999999999999E-3</v>
      </c>
      <c r="F438" s="232">
        <v>2</v>
      </c>
      <c r="G438" s="40" t="s">
        <v>177</v>
      </c>
      <c r="H438" s="29">
        <v>2</v>
      </c>
      <c r="I438" s="9">
        <v>2</v>
      </c>
      <c r="J438" s="9">
        <v>2</v>
      </c>
      <c r="K438" s="9">
        <v>3</v>
      </c>
      <c r="L438" s="9">
        <v>2</v>
      </c>
      <c r="M438" s="9">
        <v>2</v>
      </c>
      <c r="N438" s="185">
        <f t="shared" si="35"/>
        <v>0.51126068492676302</v>
      </c>
      <c r="O438" s="159">
        <f t="shared" si="36"/>
        <v>0.51126068492676302</v>
      </c>
      <c r="P438" s="63"/>
    </row>
    <row r="439" spans="1:16">
      <c r="A439" s="151" t="s">
        <v>283</v>
      </c>
      <c r="B439" s="34" t="s">
        <v>179</v>
      </c>
      <c r="C439" s="40" t="s">
        <v>139</v>
      </c>
      <c r="D439" s="34" t="s">
        <v>90</v>
      </c>
      <c r="E439" s="257">
        <v>7.5999999999999998E-2</v>
      </c>
      <c r="F439" s="232">
        <v>1</v>
      </c>
      <c r="G439" s="40" t="s">
        <v>316</v>
      </c>
      <c r="H439" s="29">
        <v>2</v>
      </c>
      <c r="I439" s="9">
        <v>2</v>
      </c>
      <c r="J439" s="9">
        <v>3</v>
      </c>
      <c r="K439" s="9">
        <v>3</v>
      </c>
      <c r="L439" s="9">
        <v>1</v>
      </c>
      <c r="M439" s="9">
        <v>2</v>
      </c>
      <c r="N439" s="185">
        <f t="shared" si="35"/>
        <v>0.59189702474662764</v>
      </c>
      <c r="O439" s="159">
        <f t="shared" si="36"/>
        <v>0.59189702474662764</v>
      </c>
      <c r="P439" s="63"/>
    </row>
    <row r="440" spans="1:16">
      <c r="A440" s="151" t="s">
        <v>175</v>
      </c>
      <c r="B440" s="34" t="s">
        <v>315</v>
      </c>
      <c r="C440" s="40" t="s">
        <v>139</v>
      </c>
      <c r="D440" s="34" t="s">
        <v>139</v>
      </c>
      <c r="E440" s="257">
        <v>1.47E-2</v>
      </c>
      <c r="F440" s="232">
        <v>2</v>
      </c>
      <c r="G440" s="40" t="s">
        <v>317</v>
      </c>
      <c r="H440" s="29">
        <v>2</v>
      </c>
      <c r="I440" s="9">
        <v>2</v>
      </c>
      <c r="J440" s="9">
        <v>2</v>
      </c>
      <c r="K440" s="9">
        <v>3</v>
      </c>
      <c r="L440" s="9">
        <v>2</v>
      </c>
      <c r="M440" s="9">
        <v>2</v>
      </c>
      <c r="N440" s="185">
        <f t="shared" si="35"/>
        <v>0.51126068492676302</v>
      </c>
      <c r="O440" s="159">
        <f t="shared" si="36"/>
        <v>0.51126068492676302</v>
      </c>
      <c r="P440" s="63"/>
    </row>
    <row r="441" spans="1:16">
      <c r="A441" s="151" t="s">
        <v>175</v>
      </c>
      <c r="B441" s="34" t="s">
        <v>315</v>
      </c>
      <c r="C441" s="40" t="s">
        <v>139</v>
      </c>
      <c r="D441" s="34" t="s">
        <v>139</v>
      </c>
      <c r="E441" s="40">
        <v>1.2999999999999999E-3</v>
      </c>
      <c r="F441" s="232">
        <v>2</v>
      </c>
      <c r="G441" s="40" t="s">
        <v>318</v>
      </c>
      <c r="H441" s="29">
        <v>2</v>
      </c>
      <c r="I441" s="9">
        <v>2</v>
      </c>
      <c r="J441" s="9">
        <v>2</v>
      </c>
      <c r="K441" s="9">
        <v>3</v>
      </c>
      <c r="L441" s="9">
        <v>2</v>
      </c>
      <c r="M441" s="9">
        <v>2</v>
      </c>
      <c r="N441" s="185">
        <f t="shared" si="35"/>
        <v>0.51126068492676302</v>
      </c>
      <c r="O441" s="159">
        <f t="shared" si="36"/>
        <v>0.51126068492676302</v>
      </c>
      <c r="P441" s="838"/>
    </row>
    <row r="442" spans="1:16">
      <c r="A442" s="151" t="s">
        <v>175</v>
      </c>
      <c r="B442" s="34" t="s">
        <v>315</v>
      </c>
      <c r="C442" s="40" t="s">
        <v>139</v>
      </c>
      <c r="D442" s="34" t="s">
        <v>139</v>
      </c>
      <c r="E442" s="40">
        <v>1.47E-2</v>
      </c>
      <c r="F442" s="232">
        <v>2</v>
      </c>
      <c r="G442" s="40" t="s">
        <v>319</v>
      </c>
      <c r="H442" s="29">
        <v>2</v>
      </c>
      <c r="I442" s="9">
        <v>2</v>
      </c>
      <c r="J442" s="9">
        <v>2</v>
      </c>
      <c r="K442" s="9">
        <v>3</v>
      </c>
      <c r="L442" s="9">
        <v>2</v>
      </c>
      <c r="M442" s="9">
        <v>2</v>
      </c>
      <c r="N442" s="185">
        <f t="shared" si="35"/>
        <v>0.51126068492676302</v>
      </c>
      <c r="O442" s="159">
        <f t="shared" si="36"/>
        <v>0.51126068492676302</v>
      </c>
      <c r="P442" s="838"/>
    </row>
    <row r="443" spans="1:16">
      <c r="A443" s="853" t="s">
        <v>223</v>
      </c>
      <c r="B443" s="854" t="s">
        <v>179</v>
      </c>
      <c r="C443" s="855" t="s">
        <v>182</v>
      </c>
      <c r="D443" s="854" t="s">
        <v>139</v>
      </c>
      <c r="E443" s="856" t="s">
        <v>150</v>
      </c>
      <c r="F443" s="857">
        <v>1</v>
      </c>
      <c r="G443" s="855"/>
      <c r="H443" s="821"/>
      <c r="I443" s="639"/>
      <c r="J443" s="639"/>
      <c r="K443" s="639" t="str">
        <f>IF( OR( ISBLANK(#REF!),ISBLANK(G443), ISBLANK(#REF!), ISBLANK(H443), ISBLANK(J443) ), "", 1.5*SQRT(   EXP(2.21*(#REF!-1)) + EXP(2.21*(G443-1)) + EXP(2.21*(#REF!-1)) + EXP(2.21*(H443-1)) + EXP(2.21*J443)   )/100 )</f>
        <v/>
      </c>
      <c r="L443" s="639" t="s">
        <v>249</v>
      </c>
      <c r="M443" s="639"/>
      <c r="N443" s="830" t="str">
        <f t="shared" si="35"/>
        <v/>
      </c>
      <c r="O443" s="831" t="str">
        <f t="shared" si="36"/>
        <v/>
      </c>
      <c r="P443" s="838"/>
    </row>
    <row r="444" spans="1:16">
      <c r="A444" s="853" t="s">
        <v>223</v>
      </c>
      <c r="B444" s="854" t="s">
        <v>179</v>
      </c>
      <c r="C444" s="855" t="s">
        <v>180</v>
      </c>
      <c r="D444" s="854" t="s">
        <v>139</v>
      </c>
      <c r="E444" s="856" t="s">
        <v>150</v>
      </c>
      <c r="F444" s="857">
        <v>1</v>
      </c>
      <c r="G444" s="855"/>
      <c r="H444" s="821"/>
      <c r="I444" s="639"/>
      <c r="J444" s="639"/>
      <c r="K444" s="639" t="str">
        <f>IF( OR( ISBLANK(#REF!),ISBLANK(G444), ISBLANK(#REF!), ISBLANK(H444), ISBLANK(J444) ), "", 1.5*SQRT(   EXP(2.21*(#REF!-1)) + EXP(2.21*(G444-1)) + EXP(2.21*(#REF!-1)) + EXP(2.21*(H444-1)) + EXP(2.21*J444)   )/100 )</f>
        <v/>
      </c>
      <c r="L444" s="639" t="s">
        <v>249</v>
      </c>
      <c r="M444" s="639"/>
      <c r="N444" s="830" t="str">
        <f t="shared" si="35"/>
        <v/>
      </c>
      <c r="O444" s="831" t="str">
        <f t="shared" si="36"/>
        <v/>
      </c>
      <c r="P444" s="838"/>
    </row>
    <row r="445" spans="1:16">
      <c r="A445" s="853" t="s">
        <v>223</v>
      </c>
      <c r="B445" s="854" t="s">
        <v>184</v>
      </c>
      <c r="C445" s="855" t="s">
        <v>182</v>
      </c>
      <c r="D445" s="854" t="s">
        <v>139</v>
      </c>
      <c r="E445" s="856">
        <v>0</v>
      </c>
      <c r="F445" s="857">
        <v>2</v>
      </c>
      <c r="G445" s="855" t="s">
        <v>320</v>
      </c>
      <c r="H445" s="821"/>
      <c r="I445" s="639"/>
      <c r="J445" s="639"/>
      <c r="K445" s="639"/>
      <c r="L445" s="639"/>
      <c r="M445" s="639"/>
      <c r="N445" s="830" t="str">
        <f t="shared" si="35"/>
        <v/>
      </c>
      <c r="O445" s="831" t="str">
        <f t="shared" si="36"/>
        <v/>
      </c>
      <c r="P445" s="838"/>
    </row>
    <row r="446" spans="1:16">
      <c r="A446" s="151" t="s">
        <v>283</v>
      </c>
      <c r="B446" s="34" t="s">
        <v>179</v>
      </c>
      <c r="C446" s="40" t="s">
        <v>139</v>
      </c>
      <c r="D446" s="34" t="s">
        <v>91</v>
      </c>
      <c r="E446" s="257">
        <v>0.03</v>
      </c>
      <c r="F446" s="232">
        <v>1</v>
      </c>
      <c r="G446" s="40" t="s">
        <v>255</v>
      </c>
      <c r="H446" s="29">
        <v>1</v>
      </c>
      <c r="I446" s="9">
        <v>2</v>
      </c>
      <c r="J446" s="9">
        <v>3</v>
      </c>
      <c r="K446" s="9">
        <v>1</v>
      </c>
      <c r="L446" s="9">
        <v>1</v>
      </c>
      <c r="M446" s="9">
        <v>2</v>
      </c>
      <c r="N446" s="185">
        <f t="shared" si="35"/>
        <v>0.47802211380704585</v>
      </c>
      <c r="O446" s="159">
        <f t="shared" si="36"/>
        <v>0.48935255543384243</v>
      </c>
      <c r="P446" s="63"/>
    </row>
    <row r="447" spans="1:16">
      <c r="A447" s="853" t="s">
        <v>223</v>
      </c>
      <c r="B447" s="854" t="s">
        <v>184</v>
      </c>
      <c r="C447" s="855" t="s">
        <v>182</v>
      </c>
      <c r="D447" s="854" t="s">
        <v>139</v>
      </c>
      <c r="E447" s="856">
        <f>1-E445</f>
        <v>1</v>
      </c>
      <c r="F447" s="857">
        <v>2</v>
      </c>
      <c r="G447" s="855" t="s">
        <v>321</v>
      </c>
      <c r="H447" s="821"/>
      <c r="I447" s="639"/>
      <c r="J447" s="639"/>
      <c r="K447" s="639"/>
      <c r="L447" s="639"/>
      <c r="M447" s="639"/>
      <c r="N447" s="830" t="str">
        <f t="shared" si="35"/>
        <v/>
      </c>
      <c r="O447" s="831" t="str">
        <f t="shared" si="36"/>
        <v/>
      </c>
      <c r="P447" s="838"/>
    </row>
    <row r="448" spans="1:16">
      <c r="A448" s="151" t="s">
        <v>112</v>
      </c>
      <c r="B448" s="34" t="s">
        <v>241</v>
      </c>
      <c r="C448" s="40" t="s">
        <v>139</v>
      </c>
      <c r="D448" s="34" t="s">
        <v>95</v>
      </c>
      <c r="E448" s="257">
        <v>0</v>
      </c>
      <c r="F448" s="232">
        <v>1</v>
      </c>
      <c r="G448" s="40"/>
      <c r="H448" s="29"/>
      <c r="I448" s="9"/>
      <c r="J448" s="9"/>
      <c r="K448" s="9"/>
      <c r="L448" s="9"/>
      <c r="M448" s="9"/>
      <c r="N448" s="185" t="str">
        <f t="shared" si="35"/>
        <v/>
      </c>
      <c r="O448" s="159" t="str">
        <f t="shared" si="36"/>
        <v/>
      </c>
      <c r="P448" s="63"/>
    </row>
    <row r="449" spans="1:868">
      <c r="A449" s="151" t="s">
        <v>112</v>
      </c>
      <c r="B449" s="34" t="s">
        <v>241</v>
      </c>
      <c r="C449" s="40" t="s">
        <v>139</v>
      </c>
      <c r="D449" s="34" t="s">
        <v>99</v>
      </c>
      <c r="E449" s="257">
        <v>0</v>
      </c>
      <c r="F449" s="232">
        <v>1</v>
      </c>
      <c r="G449" s="40"/>
      <c r="H449" s="29"/>
      <c r="I449" s="9"/>
      <c r="J449" s="9"/>
      <c r="K449" s="9"/>
      <c r="L449" s="9"/>
      <c r="M449" s="9"/>
      <c r="N449" s="185" t="str">
        <f t="shared" si="35"/>
        <v/>
      </c>
      <c r="O449" s="159" t="str">
        <f t="shared" si="36"/>
        <v/>
      </c>
      <c r="P449" s="63"/>
    </row>
    <row r="450" spans="1:868">
      <c r="A450" s="151" t="s">
        <v>204</v>
      </c>
      <c r="B450" s="34" t="s">
        <v>322</v>
      </c>
      <c r="C450" s="40" t="s">
        <v>139</v>
      </c>
      <c r="D450" s="34" t="s">
        <v>139</v>
      </c>
      <c r="E450" s="257">
        <v>0.33</v>
      </c>
      <c r="F450" s="232">
        <v>2</v>
      </c>
      <c r="G450" s="40" t="s">
        <v>323</v>
      </c>
      <c r="H450" s="29">
        <v>2</v>
      </c>
      <c r="I450" s="9"/>
      <c r="J450" s="9">
        <v>1</v>
      </c>
      <c r="K450" s="9">
        <v>3</v>
      </c>
      <c r="L450" s="9">
        <v>1</v>
      </c>
      <c r="M450" s="9">
        <v>2</v>
      </c>
      <c r="N450" s="185">
        <f t="shared" si="35"/>
        <v>0.48935255543384243</v>
      </c>
      <c r="O450" s="159" t="str">
        <f t="shared" si="36"/>
        <v/>
      </c>
      <c r="P450" s="63"/>
    </row>
    <row r="451" spans="1:868">
      <c r="A451" s="151" t="s">
        <v>324</v>
      </c>
      <c r="B451" s="34" t="s">
        <v>322</v>
      </c>
      <c r="C451" s="40" t="s">
        <v>139</v>
      </c>
      <c r="D451" s="34" t="s">
        <v>139</v>
      </c>
      <c r="E451" s="257">
        <v>0.15</v>
      </c>
      <c r="F451" s="232">
        <v>2</v>
      </c>
      <c r="G451" s="40" t="s">
        <v>325</v>
      </c>
      <c r="H451" s="29">
        <v>2</v>
      </c>
      <c r="I451" s="9"/>
      <c r="J451" s="9">
        <v>3</v>
      </c>
      <c r="K451" s="9">
        <v>3</v>
      </c>
      <c r="L451" s="9">
        <v>1</v>
      </c>
      <c r="M451" s="9">
        <v>2</v>
      </c>
      <c r="N451" s="185">
        <f t="shared" si="35"/>
        <v>0.59189702474662764</v>
      </c>
      <c r="O451" s="159" t="str">
        <f t="shared" si="36"/>
        <v/>
      </c>
      <c r="P451" s="63"/>
    </row>
    <row r="452" spans="1:868">
      <c r="A452" s="151" t="s">
        <v>204</v>
      </c>
      <c r="B452" s="34" t="s">
        <v>326</v>
      </c>
      <c r="C452" s="40" t="s">
        <v>139</v>
      </c>
      <c r="D452" s="34" t="s">
        <v>139</v>
      </c>
      <c r="E452" s="257">
        <v>0.16</v>
      </c>
      <c r="F452" s="232">
        <v>2</v>
      </c>
      <c r="G452" s="40" t="s">
        <v>323</v>
      </c>
      <c r="H452" s="29">
        <v>2</v>
      </c>
      <c r="I452" s="9"/>
      <c r="J452" s="9">
        <v>1</v>
      </c>
      <c r="K452" s="9">
        <v>3</v>
      </c>
      <c r="L452" s="9">
        <v>1</v>
      </c>
      <c r="M452" s="9">
        <v>2</v>
      </c>
      <c r="N452" s="185">
        <f t="shared" si="35"/>
        <v>0.48935255543384243</v>
      </c>
      <c r="O452" s="159" t="str">
        <f t="shared" si="36"/>
        <v/>
      </c>
      <c r="P452" s="63"/>
    </row>
    <row r="453" spans="1:868">
      <c r="A453" s="151" t="s">
        <v>235</v>
      </c>
      <c r="B453" s="34" t="s">
        <v>326</v>
      </c>
      <c r="C453" s="40" t="s">
        <v>139</v>
      </c>
      <c r="D453" s="34" t="s">
        <v>139</v>
      </c>
      <c r="E453" s="257">
        <v>1.2999999999999999E-3</v>
      </c>
      <c r="F453" s="232">
        <v>2</v>
      </c>
      <c r="G453" s="40" t="s">
        <v>177</v>
      </c>
      <c r="H453" s="29">
        <v>1</v>
      </c>
      <c r="I453" s="9"/>
      <c r="J453" s="9">
        <v>1</v>
      </c>
      <c r="K453" s="9">
        <v>1</v>
      </c>
      <c r="L453" s="9">
        <v>1</v>
      </c>
      <c r="M453" s="9">
        <v>3</v>
      </c>
      <c r="N453" s="185">
        <f t="shared" si="35"/>
        <v>1.0141150152164344</v>
      </c>
      <c r="O453" s="159" t="str">
        <f t="shared" si="36"/>
        <v/>
      </c>
      <c r="P453" s="63"/>
    </row>
    <row r="454" spans="1:868">
      <c r="A454" s="151" t="s">
        <v>235</v>
      </c>
      <c r="B454" s="34" t="s">
        <v>326</v>
      </c>
      <c r="C454" s="40" t="s">
        <v>139</v>
      </c>
      <c r="D454" s="34" t="s">
        <v>139</v>
      </c>
      <c r="E454" s="257">
        <v>1.47E-2</v>
      </c>
      <c r="F454" s="232">
        <v>2</v>
      </c>
      <c r="G454" s="40" t="s">
        <v>317</v>
      </c>
      <c r="H454" s="29">
        <v>1</v>
      </c>
      <c r="I454" s="9"/>
      <c r="J454" s="9">
        <v>1</v>
      </c>
      <c r="K454" s="9">
        <v>1</v>
      </c>
      <c r="L454" s="9">
        <v>1</v>
      </c>
      <c r="M454" s="9">
        <v>3</v>
      </c>
      <c r="N454" s="185">
        <f t="shared" si="35"/>
        <v>1.0141150152164344</v>
      </c>
      <c r="O454" s="159" t="str">
        <f t="shared" si="36"/>
        <v/>
      </c>
      <c r="P454" s="63"/>
    </row>
    <row r="455" spans="1:868">
      <c r="A455" s="151" t="s">
        <v>327</v>
      </c>
      <c r="B455" s="34" t="s">
        <v>326</v>
      </c>
      <c r="C455" s="40" t="s">
        <v>139</v>
      </c>
      <c r="D455" s="34" t="s">
        <v>139</v>
      </c>
      <c r="E455" s="257">
        <v>0.5</v>
      </c>
      <c r="F455" s="232">
        <v>2</v>
      </c>
      <c r="G455" s="40" t="s">
        <v>328</v>
      </c>
      <c r="H455" s="29">
        <v>2</v>
      </c>
      <c r="I455" s="9"/>
      <c r="J455" s="9">
        <v>1</v>
      </c>
      <c r="K455" s="9">
        <v>3</v>
      </c>
      <c r="L455" s="9">
        <v>2</v>
      </c>
      <c r="M455" s="9">
        <v>2</v>
      </c>
      <c r="N455" s="185">
        <f t="shared" ref="N455:N486" si="37">IF( OR( ISBLANK(H455),ISBLANK(J455), ISBLANK(K455), ISBLANK(L455), ISBLANK(M455) ), "", 1.5*SQRT(   EXP(2.21*(H455-1)) + EXP(2.21*(J455-1)) + EXP(2.21*(K455-1)) + EXP(2.21*(L455-1)) + EXP(2.21*M455)   )/100*2.45 )</f>
        <v>0.50042652380814845</v>
      </c>
      <c r="O455" s="159" t="str">
        <f t="shared" ref="O455:O486" si="38">IF( OR( ISBLANK(I455),ISBLANK(J455), ISBLANK(K455), ISBLANK(L455), ISBLANK(M455) ), "", 1.5*SQRT( EXP(2.21*(I455-1)) + EXP(2.21*(J455-1)) + EXP(2.21*(K455-1)) + EXP(2.21*(L455-1)) + EXP(2.21*M455)   )/100*2.45 )</f>
        <v/>
      </c>
      <c r="P455" s="63" t="s">
        <v>329</v>
      </c>
    </row>
    <row r="456" spans="1:868" s="832" customFormat="1">
      <c r="A456" s="151" t="s">
        <v>327</v>
      </c>
      <c r="B456" s="34" t="s">
        <v>326</v>
      </c>
      <c r="C456" s="40" t="s">
        <v>139</v>
      </c>
      <c r="D456" s="34" t="s">
        <v>139</v>
      </c>
      <c r="E456" s="257">
        <v>0.85</v>
      </c>
      <c r="F456" s="232">
        <v>2</v>
      </c>
      <c r="G456" s="40" t="s">
        <v>330</v>
      </c>
      <c r="H456" s="29">
        <v>2</v>
      </c>
      <c r="I456" s="9"/>
      <c r="J456" s="9">
        <v>2</v>
      </c>
      <c r="K456" s="9">
        <v>3</v>
      </c>
      <c r="L456" s="9">
        <v>2</v>
      </c>
      <c r="M456" s="9">
        <v>2</v>
      </c>
      <c r="N456" s="185">
        <f t="shared" si="37"/>
        <v>0.51126068492676302</v>
      </c>
      <c r="O456" s="159" t="str">
        <f t="shared" si="38"/>
        <v/>
      </c>
      <c r="P456" s="63" t="s">
        <v>331</v>
      </c>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c r="EP456" s="16"/>
      <c r="EQ456" s="16"/>
      <c r="ER456" s="16"/>
      <c r="ES456" s="16"/>
      <c r="ET456" s="16"/>
      <c r="EU456" s="16"/>
      <c r="EV456" s="16"/>
      <c r="EW456" s="16"/>
      <c r="EX456" s="16"/>
      <c r="EY456" s="16"/>
      <c r="EZ456" s="16"/>
      <c r="FA456" s="16"/>
      <c r="FB456" s="16"/>
      <c r="FC456" s="16"/>
      <c r="FD456" s="16"/>
      <c r="FE456" s="16"/>
      <c r="FF456" s="16"/>
      <c r="FG456" s="16"/>
      <c r="FH456" s="16"/>
      <c r="FI456" s="16"/>
      <c r="FJ456" s="16"/>
      <c r="FK456" s="16"/>
      <c r="FL456" s="16"/>
      <c r="FM456" s="16"/>
      <c r="FN456" s="16"/>
      <c r="FO456" s="16"/>
      <c r="FP456" s="16"/>
      <c r="FQ456" s="16"/>
      <c r="FR456" s="16"/>
      <c r="FS456" s="16"/>
      <c r="FT456" s="16"/>
      <c r="FU456" s="16"/>
      <c r="FV456" s="16"/>
      <c r="FW456" s="16"/>
      <c r="FX456" s="16"/>
      <c r="FY456" s="16"/>
      <c r="FZ456" s="16"/>
      <c r="GA456" s="16"/>
      <c r="GB456" s="16"/>
      <c r="GC456" s="16"/>
      <c r="GD456" s="16"/>
      <c r="GE456" s="16"/>
      <c r="GF456" s="16"/>
      <c r="GG456" s="16"/>
      <c r="GH456" s="16"/>
      <c r="GI456" s="16"/>
      <c r="GJ456" s="16"/>
      <c r="GK456" s="16"/>
      <c r="GL456" s="16"/>
      <c r="GM456" s="16"/>
      <c r="GN456" s="16"/>
      <c r="GO456" s="16"/>
      <c r="GP456" s="16"/>
      <c r="GQ456" s="16"/>
      <c r="GR456" s="16"/>
      <c r="GS456" s="16"/>
      <c r="GT456" s="16"/>
      <c r="GU456" s="16"/>
      <c r="GV456" s="16"/>
      <c r="GW456" s="16"/>
      <c r="GX456" s="16"/>
      <c r="GY456" s="16"/>
      <c r="GZ456" s="16"/>
      <c r="HA456" s="16"/>
      <c r="HB456" s="16"/>
      <c r="HC456" s="16"/>
      <c r="HD456" s="16"/>
      <c r="HE456" s="16"/>
      <c r="HF456" s="16"/>
      <c r="HG456" s="16"/>
      <c r="HH456" s="16"/>
      <c r="HI456" s="16"/>
      <c r="HJ456" s="16"/>
      <c r="HK456" s="16"/>
      <c r="HL456" s="16"/>
      <c r="HM456" s="16"/>
      <c r="HN456" s="16"/>
      <c r="HO456" s="16"/>
      <c r="HP456" s="16"/>
      <c r="HQ456" s="16"/>
      <c r="HR456" s="16"/>
      <c r="HS456" s="16"/>
      <c r="HT456" s="16"/>
      <c r="HU456" s="16"/>
      <c r="HV456" s="16"/>
      <c r="HW456" s="16"/>
      <c r="HX456" s="16"/>
      <c r="HY456" s="16"/>
      <c r="HZ456" s="16"/>
      <c r="IA456" s="16"/>
      <c r="IB456" s="16"/>
      <c r="IC456" s="16"/>
      <c r="ID456" s="16"/>
      <c r="IE456" s="16"/>
      <c r="IF456" s="16"/>
      <c r="IG456" s="16"/>
      <c r="IH456" s="16"/>
      <c r="II456" s="16"/>
      <c r="IJ456" s="16"/>
      <c r="IK456" s="16"/>
      <c r="IL456" s="16"/>
      <c r="IM456" s="16"/>
      <c r="IN456" s="16"/>
      <c r="IO456" s="16"/>
      <c r="IP456" s="16"/>
      <c r="IQ456" s="16"/>
      <c r="IR456" s="16"/>
      <c r="IS456" s="16"/>
      <c r="IT456" s="16"/>
      <c r="IU456" s="16"/>
      <c r="IV456" s="16"/>
      <c r="IW456" s="16"/>
      <c r="IX456" s="16"/>
      <c r="IY456" s="16"/>
      <c r="IZ456" s="16"/>
      <c r="JA456" s="16"/>
      <c r="JB456" s="16"/>
      <c r="JC456" s="16"/>
      <c r="JD456" s="16"/>
      <c r="JE456" s="16"/>
      <c r="JF456" s="16"/>
      <c r="JG456" s="16"/>
      <c r="JH456" s="16"/>
      <c r="JI456" s="16"/>
      <c r="JJ456" s="16"/>
      <c r="JK456" s="16"/>
      <c r="JL456" s="16"/>
      <c r="JM456" s="16"/>
      <c r="JN456" s="16"/>
      <c r="JO456" s="16"/>
      <c r="JP456" s="16"/>
      <c r="JQ456" s="16"/>
      <c r="JR456" s="16"/>
      <c r="JS456" s="16"/>
      <c r="JT456" s="16"/>
      <c r="JU456" s="16"/>
      <c r="JV456" s="16"/>
      <c r="JW456" s="16"/>
      <c r="JX456" s="16"/>
      <c r="JY456" s="16"/>
      <c r="JZ456" s="16"/>
      <c r="KA456" s="16"/>
      <c r="KB456" s="16"/>
      <c r="KC456" s="16"/>
      <c r="KD456" s="16"/>
      <c r="KE456" s="16"/>
      <c r="KF456" s="16"/>
      <c r="KG456" s="16"/>
      <c r="KH456" s="16"/>
      <c r="KI456" s="16"/>
      <c r="KJ456" s="16"/>
      <c r="KK456" s="16"/>
      <c r="KL456" s="16"/>
      <c r="KM456" s="16"/>
      <c r="KN456" s="16"/>
      <c r="KO456" s="16"/>
      <c r="KP456" s="16"/>
      <c r="KQ456" s="16"/>
      <c r="KR456" s="16"/>
      <c r="KS456" s="16"/>
      <c r="KT456" s="16"/>
      <c r="KU456" s="16"/>
      <c r="KV456" s="16"/>
      <c r="KW456" s="16"/>
      <c r="KX456" s="16"/>
      <c r="KY456" s="16"/>
      <c r="KZ456" s="16"/>
      <c r="LA456" s="16"/>
      <c r="LB456" s="16"/>
      <c r="LC456" s="16"/>
      <c r="LD456" s="16"/>
      <c r="LE456" s="16"/>
      <c r="LF456" s="16"/>
      <c r="LG456" s="16"/>
      <c r="LH456" s="16"/>
      <c r="LI456" s="16"/>
      <c r="LJ456" s="16"/>
      <c r="LK456" s="16"/>
      <c r="LL456" s="16"/>
      <c r="LM456" s="16"/>
      <c r="LN456" s="16"/>
      <c r="LO456" s="16"/>
      <c r="LP456" s="16"/>
      <c r="LQ456" s="16"/>
      <c r="LR456" s="16"/>
      <c r="LS456" s="16"/>
      <c r="LT456" s="16"/>
      <c r="LU456" s="16"/>
      <c r="LV456" s="16"/>
      <c r="LW456" s="16"/>
      <c r="LX456" s="16"/>
      <c r="LY456" s="16"/>
      <c r="LZ456" s="16"/>
      <c r="MA456" s="16"/>
      <c r="MB456" s="16"/>
      <c r="MC456" s="16"/>
      <c r="MD456" s="16"/>
      <c r="ME456" s="16"/>
      <c r="MF456" s="16"/>
      <c r="MG456" s="16"/>
      <c r="MH456" s="16"/>
      <c r="MI456" s="16"/>
      <c r="MJ456" s="16"/>
      <c r="MK456" s="16"/>
      <c r="ML456" s="16"/>
      <c r="MM456" s="16"/>
      <c r="MN456" s="16"/>
      <c r="MO456" s="16"/>
      <c r="MP456" s="16"/>
      <c r="MQ456" s="16"/>
      <c r="MR456" s="16"/>
      <c r="MS456" s="16"/>
      <c r="MT456" s="16"/>
      <c r="MU456" s="16"/>
      <c r="MV456" s="16"/>
      <c r="MW456" s="16"/>
      <c r="MX456" s="16"/>
      <c r="MY456" s="16"/>
      <c r="MZ456" s="16"/>
      <c r="NA456" s="16"/>
      <c r="NB456" s="16"/>
      <c r="NC456" s="16"/>
      <c r="ND456" s="16"/>
      <c r="NE456" s="16"/>
      <c r="NF456" s="16"/>
      <c r="NG456" s="16"/>
      <c r="NH456" s="16"/>
      <c r="NI456" s="16"/>
      <c r="NJ456" s="16"/>
      <c r="NK456" s="16"/>
      <c r="NL456" s="16"/>
      <c r="NM456" s="16"/>
      <c r="NN456" s="16"/>
      <c r="NO456" s="16"/>
      <c r="NP456" s="16"/>
      <c r="NQ456" s="16"/>
      <c r="NR456" s="16"/>
      <c r="NS456" s="16"/>
      <c r="NT456" s="16"/>
      <c r="NU456" s="16"/>
      <c r="NV456" s="16"/>
      <c r="NW456" s="16"/>
      <c r="NX456" s="16"/>
      <c r="NY456" s="16"/>
      <c r="NZ456" s="16"/>
      <c r="OA456" s="16"/>
      <c r="OB456" s="16"/>
      <c r="OC456" s="16"/>
      <c r="OD456" s="16"/>
      <c r="OE456" s="16"/>
      <c r="OF456" s="16"/>
      <c r="OG456" s="16"/>
      <c r="OH456" s="16"/>
      <c r="OI456" s="16"/>
      <c r="OJ456" s="16"/>
      <c r="OK456" s="16"/>
      <c r="OL456" s="16"/>
      <c r="OM456" s="16"/>
      <c r="ON456" s="16"/>
      <c r="OO456" s="16"/>
      <c r="OP456" s="16"/>
      <c r="OQ456" s="16"/>
      <c r="OR456" s="16"/>
      <c r="OS456" s="16"/>
      <c r="OT456" s="16"/>
      <c r="OU456" s="16"/>
      <c r="OV456" s="16"/>
      <c r="OW456" s="16"/>
      <c r="OX456" s="16"/>
      <c r="OY456" s="16"/>
      <c r="OZ456" s="16"/>
      <c r="PA456" s="16"/>
      <c r="PB456" s="16"/>
      <c r="PC456" s="16"/>
      <c r="PD456" s="16"/>
      <c r="PE456" s="16"/>
      <c r="PF456" s="16"/>
      <c r="PG456" s="16"/>
      <c r="PH456" s="16"/>
      <c r="PI456" s="16"/>
      <c r="PJ456" s="16"/>
      <c r="PK456" s="16"/>
      <c r="PL456" s="16"/>
      <c r="PM456" s="16"/>
      <c r="PN456" s="16"/>
      <c r="PO456" s="16"/>
      <c r="PP456" s="16"/>
      <c r="PQ456" s="16"/>
      <c r="PR456" s="16"/>
      <c r="PS456" s="16"/>
      <c r="PT456" s="16"/>
      <c r="PU456" s="16"/>
      <c r="PV456" s="16"/>
      <c r="PW456" s="16"/>
      <c r="PX456" s="16"/>
      <c r="PY456" s="16"/>
      <c r="PZ456" s="16"/>
      <c r="QA456" s="16"/>
      <c r="QB456" s="16"/>
      <c r="QC456" s="16"/>
      <c r="QD456" s="16"/>
      <c r="QE456" s="16"/>
      <c r="QF456" s="16"/>
      <c r="QG456" s="16"/>
      <c r="QH456" s="16"/>
      <c r="QI456" s="16"/>
      <c r="QJ456" s="16"/>
      <c r="QK456" s="16"/>
      <c r="QL456" s="16"/>
      <c r="QM456" s="16"/>
      <c r="QN456" s="16"/>
      <c r="QO456" s="16"/>
      <c r="QP456" s="16"/>
      <c r="QQ456" s="16"/>
      <c r="QR456" s="16"/>
      <c r="QS456" s="16"/>
      <c r="QT456" s="16"/>
      <c r="QU456" s="16"/>
      <c r="QV456" s="16"/>
      <c r="QW456" s="16"/>
      <c r="QX456" s="16"/>
      <c r="QY456" s="16"/>
      <c r="QZ456" s="16"/>
      <c r="RA456" s="16"/>
      <c r="RB456" s="16"/>
      <c r="RC456" s="16"/>
      <c r="RD456" s="16"/>
      <c r="RE456" s="16"/>
      <c r="RF456" s="16"/>
      <c r="RG456" s="16"/>
      <c r="RH456" s="16"/>
      <c r="RI456" s="16"/>
      <c r="RJ456" s="16"/>
      <c r="RK456" s="16"/>
      <c r="RL456" s="16"/>
      <c r="RM456" s="16"/>
      <c r="RN456" s="16"/>
      <c r="RO456" s="16"/>
      <c r="RP456" s="16"/>
      <c r="RQ456" s="16"/>
      <c r="RR456" s="16"/>
      <c r="RS456" s="16"/>
      <c r="RT456" s="16"/>
      <c r="RU456" s="16"/>
      <c r="RV456" s="16"/>
      <c r="RW456" s="16"/>
      <c r="RX456" s="16"/>
      <c r="RY456" s="16"/>
      <c r="RZ456" s="16"/>
      <c r="SA456" s="16"/>
      <c r="SB456" s="16"/>
      <c r="SC456" s="16"/>
      <c r="SD456" s="16"/>
      <c r="SE456" s="16"/>
      <c r="SF456" s="16"/>
      <c r="SG456" s="16"/>
      <c r="SH456" s="16"/>
      <c r="SI456" s="16"/>
      <c r="SJ456" s="16"/>
      <c r="SK456" s="16"/>
      <c r="SL456" s="16"/>
      <c r="SM456" s="16"/>
      <c r="SN456" s="16"/>
      <c r="SO456" s="16"/>
      <c r="SP456" s="16"/>
      <c r="SQ456" s="16"/>
      <c r="SR456" s="16"/>
      <c r="SS456" s="16"/>
      <c r="ST456" s="16"/>
      <c r="SU456" s="16"/>
      <c r="SV456" s="16"/>
      <c r="SW456" s="16"/>
      <c r="SX456" s="16"/>
      <c r="SY456" s="16"/>
      <c r="SZ456" s="16"/>
      <c r="TA456" s="16"/>
      <c r="TB456" s="16"/>
      <c r="TC456" s="16"/>
      <c r="TD456" s="16"/>
      <c r="TE456" s="16"/>
      <c r="TF456" s="16"/>
      <c r="TG456" s="16"/>
      <c r="TH456" s="16"/>
      <c r="TI456" s="16"/>
      <c r="TJ456" s="16"/>
      <c r="TK456" s="16"/>
      <c r="TL456" s="16"/>
      <c r="TM456" s="16"/>
      <c r="TN456" s="16"/>
      <c r="TO456" s="16"/>
      <c r="TP456" s="16"/>
      <c r="TQ456" s="16"/>
      <c r="TR456" s="16"/>
      <c r="TS456" s="16"/>
      <c r="TT456" s="16"/>
      <c r="TU456" s="16"/>
      <c r="TV456" s="16"/>
      <c r="TW456" s="16"/>
      <c r="TX456" s="16"/>
      <c r="TY456" s="16"/>
      <c r="TZ456" s="16"/>
      <c r="UA456" s="16"/>
      <c r="UB456" s="16"/>
      <c r="UC456" s="16"/>
      <c r="UD456" s="16"/>
      <c r="UE456" s="16"/>
      <c r="UF456" s="16"/>
      <c r="UG456" s="16"/>
      <c r="UH456" s="16"/>
      <c r="UI456" s="16"/>
      <c r="UJ456" s="16"/>
      <c r="UK456" s="16"/>
      <c r="UL456" s="16"/>
      <c r="UM456" s="16"/>
      <c r="UN456" s="16"/>
      <c r="UO456" s="16"/>
      <c r="UP456" s="16"/>
      <c r="UQ456" s="16"/>
      <c r="UR456" s="16"/>
      <c r="US456" s="16"/>
      <c r="UT456" s="16"/>
      <c r="UU456" s="16"/>
      <c r="UV456" s="16"/>
      <c r="UW456" s="16"/>
      <c r="UX456" s="16"/>
      <c r="UY456" s="16"/>
      <c r="UZ456" s="16"/>
      <c r="VA456" s="16"/>
      <c r="VB456" s="16"/>
      <c r="VC456" s="16"/>
      <c r="VD456" s="16"/>
      <c r="VE456" s="16"/>
      <c r="VF456" s="16"/>
      <c r="VG456" s="16"/>
      <c r="VH456" s="16"/>
      <c r="VI456" s="16"/>
      <c r="VJ456" s="16"/>
      <c r="VK456" s="16"/>
      <c r="VL456" s="16"/>
      <c r="VM456" s="16"/>
      <c r="VN456" s="16"/>
      <c r="VO456" s="16"/>
      <c r="VP456" s="16"/>
      <c r="VQ456" s="16"/>
      <c r="VR456" s="16"/>
      <c r="VS456" s="16"/>
      <c r="VT456" s="16"/>
      <c r="VU456" s="16"/>
      <c r="VV456" s="16"/>
      <c r="VW456" s="16"/>
      <c r="VX456" s="16"/>
      <c r="VY456" s="16"/>
      <c r="VZ456" s="16"/>
      <c r="WA456" s="16"/>
      <c r="WB456" s="16"/>
      <c r="WC456" s="16"/>
      <c r="WD456" s="16"/>
      <c r="WE456" s="16"/>
      <c r="WF456" s="16"/>
      <c r="WG456" s="16"/>
      <c r="WH456" s="16"/>
      <c r="WI456" s="16"/>
      <c r="WJ456" s="16"/>
      <c r="WK456" s="16"/>
      <c r="WL456" s="16"/>
      <c r="WM456" s="16"/>
      <c r="WN456" s="16"/>
      <c r="WO456" s="16"/>
      <c r="WP456" s="16"/>
      <c r="WQ456" s="16"/>
      <c r="WR456" s="16"/>
      <c r="WS456" s="16"/>
      <c r="WT456" s="16"/>
      <c r="WU456" s="16"/>
      <c r="WV456" s="16"/>
      <c r="WW456" s="16"/>
      <c r="WX456" s="16"/>
      <c r="WY456" s="16"/>
      <c r="WZ456" s="16"/>
      <c r="XA456" s="16"/>
      <c r="XB456" s="16"/>
      <c r="XC456" s="16"/>
      <c r="XD456" s="16"/>
      <c r="XE456" s="16"/>
      <c r="XF456" s="16"/>
      <c r="XG456" s="16"/>
      <c r="XH456" s="16"/>
      <c r="XI456" s="16"/>
      <c r="XJ456" s="16"/>
      <c r="XK456" s="16"/>
      <c r="XL456" s="16"/>
      <c r="XM456" s="16"/>
      <c r="XN456" s="16"/>
      <c r="XO456" s="16"/>
      <c r="XP456" s="16"/>
      <c r="XQ456" s="16"/>
      <c r="XR456" s="16"/>
      <c r="XS456" s="16"/>
      <c r="XT456" s="16"/>
      <c r="XU456" s="16"/>
      <c r="XV456" s="16"/>
      <c r="XW456" s="16"/>
      <c r="XX456" s="16"/>
      <c r="XY456" s="16"/>
      <c r="XZ456" s="16"/>
      <c r="YA456" s="16"/>
      <c r="YB456" s="16"/>
      <c r="YC456" s="16"/>
      <c r="YD456" s="16"/>
      <c r="YE456" s="16"/>
      <c r="YF456" s="16"/>
      <c r="YG456" s="16"/>
      <c r="YH456" s="16"/>
      <c r="YI456" s="16"/>
      <c r="YJ456" s="16"/>
      <c r="YK456" s="16"/>
      <c r="YL456" s="16"/>
      <c r="YM456" s="16"/>
      <c r="YN456" s="16"/>
      <c r="YO456" s="16"/>
      <c r="YP456" s="16"/>
      <c r="YQ456" s="16"/>
      <c r="YR456" s="16"/>
      <c r="YS456" s="16"/>
      <c r="YT456" s="16"/>
      <c r="YU456" s="16"/>
      <c r="YV456" s="16"/>
      <c r="YW456" s="16"/>
      <c r="YX456" s="16"/>
      <c r="YY456" s="16"/>
      <c r="YZ456" s="16"/>
      <c r="ZA456" s="16"/>
      <c r="ZB456" s="16"/>
      <c r="ZC456" s="16"/>
      <c r="ZD456" s="16"/>
      <c r="ZE456" s="16"/>
      <c r="ZF456" s="16"/>
      <c r="ZG456" s="16"/>
      <c r="ZH456" s="16"/>
      <c r="ZI456" s="16"/>
      <c r="ZJ456" s="16"/>
      <c r="ZK456" s="16"/>
      <c r="ZL456" s="16"/>
      <c r="ZM456" s="16"/>
      <c r="ZN456" s="16"/>
      <c r="ZO456" s="16"/>
      <c r="ZP456" s="16"/>
      <c r="ZQ456" s="16"/>
      <c r="ZR456" s="16"/>
      <c r="ZS456" s="16"/>
      <c r="ZT456" s="16"/>
      <c r="ZU456" s="16"/>
      <c r="ZV456" s="16"/>
      <c r="ZW456" s="16"/>
      <c r="ZX456" s="16"/>
      <c r="ZY456" s="16"/>
      <c r="ZZ456" s="16"/>
      <c r="AAA456" s="16"/>
      <c r="AAB456" s="16"/>
      <c r="AAC456" s="16"/>
      <c r="AAD456" s="16"/>
      <c r="AAE456" s="16"/>
      <c r="AAF456" s="16"/>
      <c r="AAG456" s="16"/>
      <c r="AAH456" s="16"/>
      <c r="AAI456" s="16"/>
      <c r="AAJ456" s="16"/>
      <c r="AAK456" s="16"/>
      <c r="AAL456" s="16"/>
      <c r="AAM456" s="16"/>
      <c r="AAN456" s="16"/>
      <c r="AAO456" s="16"/>
      <c r="AAP456" s="16"/>
      <c r="AAQ456" s="16"/>
      <c r="AAR456" s="16"/>
      <c r="AAS456" s="16"/>
      <c r="AAT456" s="16"/>
      <c r="AAU456" s="16"/>
      <c r="AAV456" s="16"/>
      <c r="AAW456" s="16"/>
      <c r="AAX456" s="16"/>
      <c r="AAY456" s="16"/>
      <c r="AAZ456" s="16"/>
      <c r="ABA456" s="16"/>
      <c r="ABB456" s="16"/>
      <c r="ABC456" s="16"/>
      <c r="ABD456" s="16"/>
      <c r="ABE456" s="16"/>
      <c r="ABF456" s="16"/>
      <c r="ABG456" s="16"/>
      <c r="ABH456" s="16"/>
      <c r="ABI456" s="16"/>
      <c r="ABJ456" s="16"/>
      <c r="ABK456" s="16"/>
      <c r="ABL456" s="16"/>
      <c r="ABM456" s="16"/>
      <c r="ABN456" s="16"/>
      <c r="ABO456" s="16"/>
      <c r="ABP456" s="16"/>
      <c r="ABQ456" s="16"/>
      <c r="ABR456" s="16"/>
      <c r="ABS456" s="16"/>
      <c r="ABT456" s="16"/>
      <c r="ABU456" s="16"/>
      <c r="ABV456" s="16"/>
      <c r="ABW456" s="16"/>
      <c r="ABX456" s="16"/>
      <c r="ABY456" s="16"/>
      <c r="ABZ456" s="16"/>
      <c r="ACA456" s="16"/>
      <c r="ACB456" s="16"/>
      <c r="ACC456" s="16"/>
      <c r="ACD456" s="16"/>
      <c r="ACE456" s="16"/>
      <c r="ACF456" s="16"/>
      <c r="ACG456" s="16"/>
      <c r="ACH456" s="16"/>
      <c r="ACI456" s="16"/>
      <c r="ACJ456" s="16"/>
      <c r="ACK456" s="16"/>
      <c r="ACL456" s="16"/>
      <c r="ACM456" s="16"/>
      <c r="ACN456" s="16"/>
      <c r="ACO456" s="16"/>
      <c r="ACP456" s="16"/>
      <c r="ACQ456" s="16"/>
      <c r="ACR456" s="16"/>
      <c r="ACS456" s="16"/>
      <c r="ACT456" s="16"/>
      <c r="ACU456" s="16"/>
      <c r="ACV456" s="16"/>
      <c r="ACW456" s="16"/>
      <c r="ACX456" s="16"/>
      <c r="ACY456" s="16"/>
      <c r="ACZ456" s="16"/>
      <c r="ADA456" s="16"/>
      <c r="ADB456" s="16"/>
      <c r="ADC456" s="16"/>
      <c r="ADD456" s="16"/>
      <c r="ADE456" s="16"/>
      <c r="ADF456" s="16"/>
      <c r="ADG456" s="16"/>
      <c r="ADH456" s="16"/>
      <c r="ADI456" s="16"/>
      <c r="ADJ456" s="16"/>
      <c r="ADK456" s="16"/>
      <c r="ADL456" s="16"/>
      <c r="ADM456" s="16"/>
      <c r="ADN456" s="16"/>
      <c r="ADO456" s="16"/>
      <c r="ADP456" s="16"/>
      <c r="ADQ456" s="16"/>
      <c r="ADR456" s="16"/>
      <c r="ADS456" s="16"/>
      <c r="ADT456" s="16"/>
      <c r="ADU456" s="16"/>
      <c r="ADV456" s="16"/>
      <c r="ADW456" s="16"/>
      <c r="ADX456" s="16"/>
      <c r="ADY456" s="16"/>
      <c r="ADZ456" s="16"/>
      <c r="AEA456" s="16"/>
      <c r="AEB456" s="16"/>
      <c r="AEC456" s="16"/>
      <c r="AED456" s="16"/>
      <c r="AEE456" s="16"/>
      <c r="AEF456" s="16"/>
      <c r="AEG456" s="16"/>
      <c r="AEH456" s="16"/>
      <c r="AEI456" s="16"/>
      <c r="AEJ456" s="16"/>
      <c r="AEK456" s="16"/>
      <c r="AEL456" s="16"/>
      <c r="AEM456" s="16"/>
      <c r="AEN456" s="16"/>
      <c r="AEO456" s="16"/>
      <c r="AEP456" s="16"/>
      <c r="AEQ456" s="16"/>
      <c r="AER456" s="16"/>
      <c r="AES456" s="16"/>
      <c r="AET456" s="16"/>
      <c r="AEU456" s="16"/>
      <c r="AEV456" s="16"/>
      <c r="AEW456" s="16"/>
      <c r="AEX456" s="16"/>
      <c r="AEY456" s="16"/>
      <c r="AEZ456" s="16"/>
      <c r="AFA456" s="16"/>
      <c r="AFB456" s="16"/>
      <c r="AFC456" s="16"/>
      <c r="AFD456" s="16"/>
      <c r="AFE456" s="16"/>
      <c r="AFF456" s="16"/>
      <c r="AFG456" s="16"/>
      <c r="AFH456" s="16"/>
      <c r="AFI456" s="16"/>
      <c r="AFJ456" s="16"/>
      <c r="AFK456" s="16"/>
      <c r="AFL456" s="16"/>
      <c r="AFM456" s="16"/>
      <c r="AFN456" s="16"/>
      <c r="AFO456" s="16"/>
      <c r="AFP456" s="16"/>
      <c r="AFQ456" s="16"/>
      <c r="AFR456" s="16"/>
      <c r="AFS456" s="16"/>
      <c r="AFT456" s="16"/>
      <c r="AFU456" s="16"/>
      <c r="AFV456" s="16"/>
      <c r="AFW456" s="16"/>
      <c r="AFX456" s="16"/>
      <c r="AFY456" s="16"/>
      <c r="AFZ456" s="16"/>
      <c r="AGA456" s="16"/>
      <c r="AGB456" s="16"/>
      <c r="AGC456" s="16"/>
      <c r="AGD456" s="16"/>
      <c r="AGE456" s="16"/>
      <c r="AGF456" s="16"/>
      <c r="AGG456" s="16"/>
      <c r="AGH456" s="16"/>
      <c r="AGI456" s="16"/>
      <c r="AGJ456" s="16"/>
    </row>
    <row r="457" spans="1:868">
      <c r="A457" s="151" t="s">
        <v>236</v>
      </c>
      <c r="B457" s="34" t="s">
        <v>326</v>
      </c>
      <c r="C457" s="40" t="s">
        <v>139</v>
      </c>
      <c r="D457" s="34" t="s">
        <v>139</v>
      </c>
      <c r="E457" s="257">
        <v>1.2999999999999999E-3</v>
      </c>
      <c r="F457" s="232">
        <v>2</v>
      </c>
      <c r="G457" s="40" t="s">
        <v>177</v>
      </c>
      <c r="H457" s="29">
        <v>1</v>
      </c>
      <c r="I457" s="9"/>
      <c r="J457" s="9">
        <v>1</v>
      </c>
      <c r="K457" s="9">
        <v>1</v>
      </c>
      <c r="L457" s="9">
        <v>1</v>
      </c>
      <c r="M457" s="9">
        <v>3</v>
      </c>
      <c r="N457" s="185">
        <f t="shared" si="37"/>
        <v>1.0141150152164344</v>
      </c>
      <c r="O457" s="159" t="str">
        <f t="shared" si="38"/>
        <v/>
      </c>
      <c r="P457" s="63"/>
    </row>
    <row r="458" spans="1:868">
      <c r="A458" s="151" t="s">
        <v>236</v>
      </c>
      <c r="B458" s="34" t="s">
        <v>326</v>
      </c>
      <c r="C458" s="40" t="s">
        <v>139</v>
      </c>
      <c r="D458" s="34" t="s">
        <v>139</v>
      </c>
      <c r="E458" s="257">
        <v>1.47E-2</v>
      </c>
      <c r="F458" s="232">
        <v>2</v>
      </c>
      <c r="G458" s="40" t="s">
        <v>317</v>
      </c>
      <c r="H458" s="29">
        <v>1</v>
      </c>
      <c r="I458" s="9"/>
      <c r="J458" s="9">
        <v>1</v>
      </c>
      <c r="K458" s="9">
        <v>1</v>
      </c>
      <c r="L458" s="9">
        <v>1</v>
      </c>
      <c r="M458" s="9">
        <v>3</v>
      </c>
      <c r="N458" s="185">
        <f t="shared" si="37"/>
        <v>1.0141150152164344</v>
      </c>
      <c r="O458" s="159" t="str">
        <f t="shared" si="38"/>
        <v/>
      </c>
      <c r="P458" s="63"/>
    </row>
    <row r="459" spans="1:868">
      <c r="A459" s="151" t="s">
        <v>237</v>
      </c>
      <c r="B459" s="34" t="s">
        <v>326</v>
      </c>
      <c r="C459" s="40" t="s">
        <v>139</v>
      </c>
      <c r="D459" s="34" t="s">
        <v>139</v>
      </c>
      <c r="E459" s="257">
        <v>1.2999999999999999E-3</v>
      </c>
      <c r="F459" s="232">
        <v>2</v>
      </c>
      <c r="G459" s="40" t="s">
        <v>177</v>
      </c>
      <c r="H459" s="29">
        <v>1</v>
      </c>
      <c r="I459" s="9"/>
      <c r="J459" s="9">
        <v>1</v>
      </c>
      <c r="K459" s="9">
        <v>1</v>
      </c>
      <c r="L459" s="9">
        <v>1</v>
      </c>
      <c r="M459" s="9">
        <v>3</v>
      </c>
      <c r="N459" s="185">
        <f t="shared" si="37"/>
        <v>1.0141150152164344</v>
      </c>
      <c r="O459" s="159" t="str">
        <f t="shared" si="38"/>
        <v/>
      </c>
      <c r="P459" s="63"/>
    </row>
    <row r="460" spans="1:868">
      <c r="A460" s="151" t="s">
        <v>237</v>
      </c>
      <c r="B460" s="34" t="s">
        <v>326</v>
      </c>
      <c r="C460" s="40" t="s">
        <v>139</v>
      </c>
      <c r="D460" s="34" t="s">
        <v>139</v>
      </c>
      <c r="E460" s="257">
        <v>1.47E-2</v>
      </c>
      <c r="F460" s="232">
        <v>2</v>
      </c>
      <c r="G460" s="40" t="s">
        <v>317</v>
      </c>
      <c r="H460" s="29">
        <v>1</v>
      </c>
      <c r="I460" s="9"/>
      <c r="J460" s="9">
        <v>1</v>
      </c>
      <c r="K460" s="9">
        <v>1</v>
      </c>
      <c r="L460" s="9">
        <v>1</v>
      </c>
      <c r="M460" s="9">
        <v>3</v>
      </c>
      <c r="N460" s="185">
        <f t="shared" si="37"/>
        <v>1.0141150152164344</v>
      </c>
      <c r="O460" s="159" t="str">
        <f t="shared" si="38"/>
        <v/>
      </c>
      <c r="P460" s="63"/>
    </row>
    <row r="461" spans="1:868">
      <c r="A461" s="151" t="s">
        <v>183</v>
      </c>
      <c r="B461" s="34" t="s">
        <v>326</v>
      </c>
      <c r="C461" s="40" t="s">
        <v>139</v>
      </c>
      <c r="D461" s="34" t="s">
        <v>139</v>
      </c>
      <c r="E461" s="40">
        <v>1.2999999999999999E-3</v>
      </c>
      <c r="F461" s="232">
        <v>2</v>
      </c>
      <c r="G461" s="40" t="s">
        <v>318</v>
      </c>
      <c r="H461" s="29">
        <v>2</v>
      </c>
      <c r="I461" s="9"/>
      <c r="J461" s="9">
        <v>2</v>
      </c>
      <c r="K461" s="9">
        <v>3</v>
      </c>
      <c r="L461" s="9">
        <v>2</v>
      </c>
      <c r="M461" s="9">
        <v>2</v>
      </c>
      <c r="N461" s="185">
        <f t="shared" si="37"/>
        <v>0.51126068492676302</v>
      </c>
      <c r="O461" s="159" t="str">
        <f t="shared" si="38"/>
        <v/>
      </c>
      <c r="P461" s="838"/>
    </row>
    <row r="462" spans="1:868">
      <c r="A462" s="151" t="s">
        <v>183</v>
      </c>
      <c r="B462" s="34" t="s">
        <v>326</v>
      </c>
      <c r="C462" s="40" t="s">
        <v>139</v>
      </c>
      <c r="D462" s="34" t="s">
        <v>139</v>
      </c>
      <c r="E462" s="40">
        <v>1.47E-2</v>
      </c>
      <c r="F462" s="232">
        <v>2</v>
      </c>
      <c r="G462" s="40" t="s">
        <v>319</v>
      </c>
      <c r="H462" s="29">
        <v>2</v>
      </c>
      <c r="I462" s="9"/>
      <c r="J462" s="9">
        <v>2</v>
      </c>
      <c r="K462" s="9">
        <v>3</v>
      </c>
      <c r="L462" s="9">
        <v>2</v>
      </c>
      <c r="M462" s="9">
        <v>2</v>
      </c>
      <c r="N462" s="185">
        <f t="shared" si="37"/>
        <v>0.51126068492676302</v>
      </c>
      <c r="O462" s="159" t="str">
        <f t="shared" si="38"/>
        <v/>
      </c>
      <c r="P462" s="838"/>
    </row>
    <row r="463" spans="1:868">
      <c r="A463" s="151" t="s">
        <v>204</v>
      </c>
      <c r="B463" s="34" t="s">
        <v>315</v>
      </c>
      <c r="C463" s="40" t="s">
        <v>139</v>
      </c>
      <c r="D463" s="34" t="s">
        <v>139</v>
      </c>
      <c r="E463" s="257">
        <v>0.51</v>
      </c>
      <c r="F463" s="232">
        <v>2</v>
      </c>
      <c r="G463" s="40" t="s">
        <v>323</v>
      </c>
      <c r="H463" s="29">
        <v>2</v>
      </c>
      <c r="I463" s="9"/>
      <c r="J463" s="9">
        <v>1</v>
      </c>
      <c r="K463" s="9">
        <v>3</v>
      </c>
      <c r="L463" s="9">
        <v>1</v>
      </c>
      <c r="M463" s="9">
        <v>2</v>
      </c>
      <c r="N463" s="185">
        <f t="shared" si="37"/>
        <v>0.48935255543384243</v>
      </c>
      <c r="O463" s="159" t="str">
        <f t="shared" si="38"/>
        <v/>
      </c>
      <c r="P463" s="63"/>
    </row>
    <row r="464" spans="1:868">
      <c r="A464" s="853" t="s">
        <v>223</v>
      </c>
      <c r="B464" s="854" t="s">
        <v>184</v>
      </c>
      <c r="C464" s="855" t="s">
        <v>180</v>
      </c>
      <c r="D464" s="854" t="s">
        <v>139</v>
      </c>
      <c r="E464" s="856">
        <v>0</v>
      </c>
      <c r="F464" s="857">
        <v>2</v>
      </c>
      <c r="G464" s="855" t="s">
        <v>332</v>
      </c>
      <c r="H464" s="821"/>
      <c r="I464" s="639"/>
      <c r="J464" s="639"/>
      <c r="K464" s="639"/>
      <c r="L464" s="639"/>
      <c r="M464" s="639"/>
      <c r="N464" s="830" t="str">
        <f t="shared" si="37"/>
        <v/>
      </c>
      <c r="O464" s="831" t="str">
        <f t="shared" si="38"/>
        <v/>
      </c>
      <c r="P464" s="838"/>
    </row>
    <row r="465" spans="1:16">
      <c r="A465" s="151" t="s">
        <v>223</v>
      </c>
      <c r="B465" s="34" t="s">
        <v>176</v>
      </c>
      <c r="C465" s="40" t="s">
        <v>139</v>
      </c>
      <c r="D465" s="34" t="s">
        <v>139</v>
      </c>
      <c r="E465" s="257">
        <v>1E-4</v>
      </c>
      <c r="F465" s="232">
        <v>3</v>
      </c>
      <c r="G465" s="40" t="s">
        <v>333</v>
      </c>
      <c r="H465" s="29">
        <v>2</v>
      </c>
      <c r="I465" s="9">
        <v>2</v>
      </c>
      <c r="J465" s="9">
        <v>1</v>
      </c>
      <c r="K465" s="9">
        <v>1</v>
      </c>
      <c r="L465" s="9">
        <v>1</v>
      </c>
      <c r="M465" s="9">
        <v>3</v>
      </c>
      <c r="N465" s="185">
        <f t="shared" si="37"/>
        <v>1.0195048044558224</v>
      </c>
      <c r="O465" s="159">
        <f t="shared" si="38"/>
        <v>1.0195048044558224</v>
      </c>
      <c r="P465" s="63"/>
    </row>
    <row r="466" spans="1:16">
      <c r="A466" s="853" t="s">
        <v>334</v>
      </c>
      <c r="B466" s="854" t="s">
        <v>179</v>
      </c>
      <c r="C466" s="855" t="s">
        <v>182</v>
      </c>
      <c r="D466" s="854" t="s">
        <v>139</v>
      </c>
      <c r="E466" s="856" t="s">
        <v>150</v>
      </c>
      <c r="F466" s="857">
        <v>1</v>
      </c>
      <c r="G466" s="855"/>
      <c r="H466" s="821"/>
      <c r="I466" s="639"/>
      <c r="J466" s="639"/>
      <c r="K466" s="639" t="str">
        <f>IF( OR( ISBLANK(#REF!),ISBLANK(G466), ISBLANK(#REF!), ISBLANK(H466), ISBLANK(J466) ), "", 1.5*SQRT(   EXP(2.21*(#REF!-1)) + EXP(2.21*(G466-1)) + EXP(2.21*(#REF!-1)) + EXP(2.21*(H466-1)) + EXP(2.21*J466)   )/100 )</f>
        <v/>
      </c>
      <c r="L466" s="639" t="s">
        <v>249</v>
      </c>
      <c r="M466" s="639"/>
      <c r="N466" s="830" t="str">
        <f t="shared" si="37"/>
        <v/>
      </c>
      <c r="O466" s="831" t="str">
        <f t="shared" si="38"/>
        <v/>
      </c>
      <c r="P466" s="838"/>
    </row>
    <row r="467" spans="1:16">
      <c r="A467" s="853" t="s">
        <v>334</v>
      </c>
      <c r="B467" s="854" t="s">
        <v>179</v>
      </c>
      <c r="C467" s="855" t="s">
        <v>180</v>
      </c>
      <c r="D467" s="854" t="s">
        <v>139</v>
      </c>
      <c r="E467" s="856" t="s">
        <v>150</v>
      </c>
      <c r="F467" s="857">
        <v>1</v>
      </c>
      <c r="G467" s="855"/>
      <c r="H467" s="821"/>
      <c r="I467" s="639"/>
      <c r="J467" s="639"/>
      <c r="K467" s="639" t="str">
        <f>IF( OR( ISBLANK(#REF!),ISBLANK(G467), ISBLANK(#REF!), ISBLANK(H467), ISBLANK(J467) ), "", 1.5*SQRT(   EXP(2.21*(#REF!-1)) + EXP(2.21*(G467-1)) + EXP(2.21*(#REF!-1)) + EXP(2.21*(H467-1)) + EXP(2.21*J467)   )/100 )</f>
        <v/>
      </c>
      <c r="L467" s="639" t="s">
        <v>249</v>
      </c>
      <c r="M467" s="639"/>
      <c r="N467" s="830" t="str">
        <f t="shared" si="37"/>
        <v/>
      </c>
      <c r="O467" s="831" t="str">
        <f t="shared" si="38"/>
        <v/>
      </c>
      <c r="P467" s="838"/>
    </row>
    <row r="468" spans="1:16">
      <c r="A468" s="151" t="s">
        <v>335</v>
      </c>
      <c r="B468" s="34" t="s">
        <v>315</v>
      </c>
      <c r="C468" s="40" t="s">
        <v>139</v>
      </c>
      <c r="D468" s="34" t="s">
        <v>139</v>
      </c>
      <c r="E468" s="257">
        <v>0.41463414634146339</v>
      </c>
      <c r="F468" s="232">
        <v>2</v>
      </c>
      <c r="G468" s="40" t="s">
        <v>336</v>
      </c>
      <c r="H468" s="29">
        <v>2</v>
      </c>
      <c r="I468" s="9"/>
      <c r="J468" s="9">
        <v>3</v>
      </c>
      <c r="K468" s="9">
        <v>3</v>
      </c>
      <c r="L468" s="9">
        <v>1</v>
      </c>
      <c r="M468" s="9">
        <v>2</v>
      </c>
      <c r="N468" s="185">
        <f t="shared" si="37"/>
        <v>0.59189702474662764</v>
      </c>
      <c r="O468" s="159" t="str">
        <f t="shared" si="38"/>
        <v/>
      </c>
      <c r="P468" s="63"/>
    </row>
    <row r="469" spans="1:16">
      <c r="A469" s="151" t="s">
        <v>335</v>
      </c>
      <c r="B469" s="34" t="s">
        <v>315</v>
      </c>
      <c r="C469" s="40" t="s">
        <v>139</v>
      </c>
      <c r="D469" s="34" t="s">
        <v>139</v>
      </c>
      <c r="E469" s="257">
        <v>0.70487804878048776</v>
      </c>
      <c r="F469" s="232">
        <v>2</v>
      </c>
      <c r="G469" s="40" t="s">
        <v>336</v>
      </c>
      <c r="H469" s="29">
        <v>2</v>
      </c>
      <c r="I469" s="9"/>
      <c r="J469" s="9">
        <v>3</v>
      </c>
      <c r="K469" s="9">
        <v>3</v>
      </c>
      <c r="L469" s="9">
        <v>1</v>
      </c>
      <c r="M469" s="9">
        <v>2</v>
      </c>
      <c r="N469" s="185">
        <f t="shared" si="37"/>
        <v>0.59189702474662764</v>
      </c>
      <c r="O469" s="159" t="str">
        <f t="shared" si="38"/>
        <v/>
      </c>
      <c r="P469" s="63"/>
    </row>
    <row r="470" spans="1:16">
      <c r="A470" s="151" t="s">
        <v>112</v>
      </c>
      <c r="B470" s="34" t="s">
        <v>337</v>
      </c>
      <c r="C470" s="40" t="s">
        <v>139</v>
      </c>
      <c r="D470" s="34" t="s">
        <v>85</v>
      </c>
      <c r="E470" s="257">
        <v>0</v>
      </c>
      <c r="F470" s="232">
        <v>1</v>
      </c>
      <c r="G470" s="40"/>
      <c r="H470" s="29"/>
      <c r="I470" s="9"/>
      <c r="J470" s="9"/>
      <c r="K470" s="9"/>
      <c r="L470" s="9"/>
      <c r="M470" s="9"/>
      <c r="N470" s="185" t="str">
        <f t="shared" si="37"/>
        <v/>
      </c>
      <c r="O470" s="159" t="str">
        <f t="shared" si="38"/>
        <v/>
      </c>
      <c r="P470" s="63"/>
    </row>
    <row r="471" spans="1:16">
      <c r="A471" s="151" t="s">
        <v>112</v>
      </c>
      <c r="B471" s="34" t="s">
        <v>337</v>
      </c>
      <c r="C471" s="40" t="s">
        <v>139</v>
      </c>
      <c r="D471" s="34" t="s">
        <v>86</v>
      </c>
      <c r="E471" s="257">
        <v>0.39167899730176692</v>
      </c>
      <c r="F471" s="232">
        <v>1</v>
      </c>
      <c r="G471" s="40" t="s">
        <v>163</v>
      </c>
      <c r="H471" s="29">
        <v>2</v>
      </c>
      <c r="I471" s="9">
        <v>2</v>
      </c>
      <c r="J471" s="9">
        <v>2</v>
      </c>
      <c r="K471" s="9">
        <v>2</v>
      </c>
      <c r="L471" s="9">
        <v>1</v>
      </c>
      <c r="M471" s="9">
        <v>2</v>
      </c>
      <c r="N471" s="185">
        <f t="shared" si="37"/>
        <v>0.38795788889711302</v>
      </c>
      <c r="O471" s="159">
        <f t="shared" si="38"/>
        <v>0.38795788889711302</v>
      </c>
      <c r="P471" s="63"/>
    </row>
    <row r="472" spans="1:16">
      <c r="A472" s="151" t="s">
        <v>112</v>
      </c>
      <c r="B472" s="34" t="s">
        <v>337</v>
      </c>
      <c r="C472" s="40" t="s">
        <v>139</v>
      </c>
      <c r="D472" s="34" t="s">
        <v>87</v>
      </c>
      <c r="E472" s="257">
        <v>0</v>
      </c>
      <c r="F472" s="232">
        <v>1</v>
      </c>
      <c r="G472" s="40"/>
      <c r="H472" s="29"/>
      <c r="I472" s="9"/>
      <c r="J472" s="9"/>
      <c r="K472" s="9"/>
      <c r="L472" s="9"/>
      <c r="M472" s="9"/>
      <c r="N472" s="185" t="str">
        <f t="shared" si="37"/>
        <v/>
      </c>
      <c r="O472" s="159" t="str">
        <f t="shared" si="38"/>
        <v/>
      </c>
      <c r="P472" s="63"/>
    </row>
    <row r="473" spans="1:16">
      <c r="A473" s="151" t="s">
        <v>112</v>
      </c>
      <c r="B473" s="34" t="s">
        <v>337</v>
      </c>
      <c r="C473" s="40" t="s">
        <v>139</v>
      </c>
      <c r="D473" s="34" t="s">
        <v>88</v>
      </c>
      <c r="E473" s="257">
        <v>0</v>
      </c>
      <c r="F473" s="232">
        <v>1</v>
      </c>
      <c r="G473" s="40"/>
      <c r="H473" s="29"/>
      <c r="I473" s="9"/>
      <c r="J473" s="9"/>
      <c r="K473" s="9"/>
      <c r="L473" s="9"/>
      <c r="M473" s="9"/>
      <c r="N473" s="185" t="str">
        <f t="shared" si="37"/>
        <v/>
      </c>
      <c r="O473" s="159" t="str">
        <f t="shared" si="38"/>
        <v/>
      </c>
      <c r="P473" s="63"/>
    </row>
    <row r="474" spans="1:16">
      <c r="A474" s="151" t="s">
        <v>112</v>
      </c>
      <c r="B474" s="34" t="s">
        <v>337</v>
      </c>
      <c r="C474" s="40" t="s">
        <v>139</v>
      </c>
      <c r="D474" s="34" t="s">
        <v>89</v>
      </c>
      <c r="E474" s="257">
        <v>0</v>
      </c>
      <c r="F474" s="232">
        <v>1</v>
      </c>
      <c r="G474" s="40"/>
      <c r="H474" s="29"/>
      <c r="I474" s="9"/>
      <c r="J474" s="9"/>
      <c r="K474" s="9"/>
      <c r="L474" s="9"/>
      <c r="M474" s="9"/>
      <c r="N474" s="185" t="str">
        <f t="shared" si="37"/>
        <v/>
      </c>
      <c r="O474" s="159" t="str">
        <f t="shared" si="38"/>
        <v/>
      </c>
      <c r="P474" s="63"/>
    </row>
    <row r="475" spans="1:16">
      <c r="A475" s="151" t="s">
        <v>112</v>
      </c>
      <c r="B475" s="34" t="s">
        <v>337</v>
      </c>
      <c r="C475" s="40" t="s">
        <v>139</v>
      </c>
      <c r="D475" s="34" t="s">
        <v>90</v>
      </c>
      <c r="E475" s="257">
        <v>0</v>
      </c>
      <c r="F475" s="232">
        <v>1</v>
      </c>
      <c r="G475" s="40"/>
      <c r="H475" s="29"/>
      <c r="I475" s="9"/>
      <c r="J475" s="9"/>
      <c r="K475" s="9"/>
      <c r="L475" s="9"/>
      <c r="M475" s="9"/>
      <c r="N475" s="185" t="str">
        <f t="shared" si="37"/>
        <v/>
      </c>
      <c r="O475" s="159" t="str">
        <f t="shared" si="38"/>
        <v/>
      </c>
      <c r="P475" s="63"/>
    </row>
    <row r="476" spans="1:16">
      <c r="A476" s="151" t="s">
        <v>112</v>
      </c>
      <c r="B476" s="34" t="s">
        <v>337</v>
      </c>
      <c r="C476" s="40" t="s">
        <v>139</v>
      </c>
      <c r="D476" s="34" t="s">
        <v>91</v>
      </c>
      <c r="E476" s="257">
        <v>9.4657445223231051E-2</v>
      </c>
      <c r="F476" s="232">
        <v>1</v>
      </c>
      <c r="G476" s="40" t="s">
        <v>163</v>
      </c>
      <c r="H476" s="29">
        <v>2</v>
      </c>
      <c r="I476" s="9">
        <v>2</v>
      </c>
      <c r="J476" s="9">
        <v>2</v>
      </c>
      <c r="K476" s="9">
        <v>2</v>
      </c>
      <c r="L476" s="9">
        <v>1</v>
      </c>
      <c r="M476" s="9">
        <v>2</v>
      </c>
      <c r="N476" s="185">
        <f t="shared" si="37"/>
        <v>0.38795788889711302</v>
      </c>
      <c r="O476" s="159">
        <f t="shared" si="38"/>
        <v>0.38795788889711302</v>
      </c>
      <c r="P476" s="63"/>
    </row>
    <row r="477" spans="1:16">
      <c r="A477" s="151" t="s">
        <v>112</v>
      </c>
      <c r="B477" s="34" t="s">
        <v>337</v>
      </c>
      <c r="C477" s="40" t="s">
        <v>139</v>
      </c>
      <c r="D477" s="34" t="s">
        <v>95</v>
      </c>
      <c r="E477" s="257">
        <v>0</v>
      </c>
      <c r="F477" s="232">
        <v>1</v>
      </c>
      <c r="G477" s="40"/>
      <c r="H477" s="29"/>
      <c r="I477" s="9"/>
      <c r="J477" s="9"/>
      <c r="K477" s="9"/>
      <c r="L477" s="9"/>
      <c r="M477" s="9"/>
      <c r="N477" s="185" t="str">
        <f t="shared" si="37"/>
        <v/>
      </c>
      <c r="O477" s="159" t="str">
        <f t="shared" si="38"/>
        <v/>
      </c>
      <c r="P477" s="63"/>
    </row>
    <row r="478" spans="1:16">
      <c r="A478" s="151" t="s">
        <v>112</v>
      </c>
      <c r="B478" s="34" t="s">
        <v>337</v>
      </c>
      <c r="C478" s="40" t="s">
        <v>139</v>
      </c>
      <c r="D478" s="34" t="s">
        <v>99</v>
      </c>
      <c r="E478" s="257">
        <v>0</v>
      </c>
      <c r="F478" s="232">
        <v>1</v>
      </c>
      <c r="G478" s="40"/>
      <c r="H478" s="29"/>
      <c r="I478" s="9"/>
      <c r="J478" s="9"/>
      <c r="K478" s="9"/>
      <c r="L478" s="9"/>
      <c r="M478" s="9"/>
      <c r="N478" s="185" t="str">
        <f t="shared" si="37"/>
        <v/>
      </c>
      <c r="O478" s="159" t="str">
        <f t="shared" si="38"/>
        <v/>
      </c>
      <c r="P478" s="63"/>
    </row>
    <row r="479" spans="1:16">
      <c r="A479" s="151" t="s">
        <v>37</v>
      </c>
      <c r="B479" s="34" t="s">
        <v>338</v>
      </c>
      <c r="C479" s="40" t="s">
        <v>139</v>
      </c>
      <c r="D479" s="34" t="s">
        <v>85</v>
      </c>
      <c r="E479" s="257">
        <f>Intentionally_produced_MPs!P127</f>
        <v>0</v>
      </c>
      <c r="F479" s="232">
        <v>1</v>
      </c>
      <c r="G479" s="40"/>
      <c r="H479" s="29"/>
      <c r="I479" s="9"/>
      <c r="J479" s="9"/>
      <c r="K479" s="9"/>
      <c r="L479" s="9"/>
      <c r="M479" s="9"/>
      <c r="N479" s="185" t="str">
        <f t="shared" si="37"/>
        <v/>
      </c>
      <c r="O479" s="159" t="str">
        <f t="shared" si="38"/>
        <v/>
      </c>
      <c r="P479" s="63"/>
    </row>
    <row r="480" spans="1:16">
      <c r="A480" s="151" t="s">
        <v>37</v>
      </c>
      <c r="B480" s="34" t="s">
        <v>338</v>
      </c>
      <c r="C480" s="40" t="s">
        <v>139</v>
      </c>
      <c r="D480" s="34" t="s">
        <v>86</v>
      </c>
      <c r="E480" s="257">
        <f>Intentionally_produced_MPs!P128</f>
        <v>0</v>
      </c>
      <c r="F480" s="232">
        <v>1</v>
      </c>
      <c r="G480" s="40"/>
      <c r="H480" s="29"/>
      <c r="I480" s="9"/>
      <c r="J480" s="9"/>
      <c r="K480" s="9"/>
      <c r="L480" s="9"/>
      <c r="M480" s="9"/>
      <c r="N480" s="185" t="str">
        <f t="shared" si="37"/>
        <v/>
      </c>
      <c r="O480" s="159" t="str">
        <f t="shared" si="38"/>
        <v/>
      </c>
      <c r="P480" s="63"/>
    </row>
    <row r="481" spans="1:16">
      <c r="A481" s="151" t="s">
        <v>37</v>
      </c>
      <c r="B481" s="34" t="s">
        <v>338</v>
      </c>
      <c r="C481" s="40" t="s">
        <v>139</v>
      </c>
      <c r="D481" s="34" t="s">
        <v>87</v>
      </c>
      <c r="E481" s="257">
        <f>Intentionally_produced_MPs!P129</f>
        <v>0</v>
      </c>
      <c r="F481" s="232">
        <v>1</v>
      </c>
      <c r="G481" s="40"/>
      <c r="H481" s="29"/>
      <c r="I481" s="9"/>
      <c r="J481" s="9"/>
      <c r="K481" s="9"/>
      <c r="L481" s="9"/>
      <c r="M481" s="9"/>
      <c r="N481" s="185" t="str">
        <f t="shared" si="37"/>
        <v/>
      </c>
      <c r="O481" s="159" t="str">
        <f t="shared" si="38"/>
        <v/>
      </c>
      <c r="P481" s="63"/>
    </row>
    <row r="482" spans="1:16">
      <c r="A482" s="151" t="s">
        <v>37</v>
      </c>
      <c r="B482" s="34" t="s">
        <v>338</v>
      </c>
      <c r="C482" s="40" t="s">
        <v>139</v>
      </c>
      <c r="D482" s="34" t="s">
        <v>88</v>
      </c>
      <c r="E482" s="257">
        <f>Intentionally_produced_MPs!P130</f>
        <v>0</v>
      </c>
      <c r="F482" s="232">
        <v>1</v>
      </c>
      <c r="G482" s="40"/>
      <c r="H482" s="29"/>
      <c r="I482" s="9"/>
      <c r="J482" s="9"/>
      <c r="K482" s="9"/>
      <c r="L482" s="9"/>
      <c r="M482" s="9"/>
      <c r="N482" s="185" t="str">
        <f t="shared" si="37"/>
        <v/>
      </c>
      <c r="O482" s="159" t="str">
        <f t="shared" si="38"/>
        <v/>
      </c>
      <c r="P482" s="63"/>
    </row>
    <row r="483" spans="1:16">
      <c r="A483" s="151" t="s">
        <v>37</v>
      </c>
      <c r="B483" s="34" t="s">
        <v>338</v>
      </c>
      <c r="C483" s="40" t="s">
        <v>139</v>
      </c>
      <c r="D483" s="34" t="s">
        <v>89</v>
      </c>
      <c r="E483" s="257">
        <f>Intentionally_produced_MPs!P131</f>
        <v>0</v>
      </c>
      <c r="F483" s="232">
        <v>1</v>
      </c>
      <c r="G483" s="40"/>
      <c r="H483" s="29"/>
      <c r="I483" s="9"/>
      <c r="J483" s="9"/>
      <c r="K483" s="9"/>
      <c r="L483" s="9"/>
      <c r="M483" s="9"/>
      <c r="N483" s="185" t="str">
        <f t="shared" si="37"/>
        <v/>
      </c>
      <c r="O483" s="159" t="str">
        <f t="shared" si="38"/>
        <v/>
      </c>
      <c r="P483" s="63"/>
    </row>
    <row r="484" spans="1:16">
      <c r="A484" s="151" t="s">
        <v>37</v>
      </c>
      <c r="B484" s="34" t="s">
        <v>338</v>
      </c>
      <c r="C484" s="40" t="s">
        <v>139</v>
      </c>
      <c r="D484" s="34" t="s">
        <v>90</v>
      </c>
      <c r="E484" s="257">
        <f>Intentionally_produced_MPs!P132</f>
        <v>0</v>
      </c>
      <c r="F484" s="232">
        <v>1</v>
      </c>
      <c r="G484" s="40"/>
      <c r="H484" s="29"/>
      <c r="I484" s="9"/>
      <c r="J484" s="9"/>
      <c r="K484" s="9"/>
      <c r="L484" s="9"/>
      <c r="M484" s="9"/>
      <c r="N484" s="185" t="str">
        <f t="shared" si="37"/>
        <v/>
      </c>
      <c r="O484" s="159" t="str">
        <f t="shared" si="38"/>
        <v/>
      </c>
      <c r="P484" s="63"/>
    </row>
    <row r="485" spans="1:16">
      <c r="A485" s="151" t="s">
        <v>37</v>
      </c>
      <c r="B485" s="34" t="s">
        <v>338</v>
      </c>
      <c r="C485" s="40" t="s">
        <v>139</v>
      </c>
      <c r="D485" s="34" t="s">
        <v>91</v>
      </c>
      <c r="E485" s="257">
        <f>Intentionally_produced_MPs!P133</f>
        <v>0</v>
      </c>
      <c r="F485" s="232">
        <v>1</v>
      </c>
      <c r="G485" s="40"/>
      <c r="H485" s="29"/>
      <c r="I485" s="9"/>
      <c r="J485" s="9"/>
      <c r="K485" s="9"/>
      <c r="L485" s="9"/>
      <c r="M485" s="9"/>
      <c r="N485" s="185" t="str">
        <f t="shared" si="37"/>
        <v/>
      </c>
      <c r="O485" s="159" t="str">
        <f t="shared" si="38"/>
        <v/>
      </c>
      <c r="P485" s="63"/>
    </row>
    <row r="486" spans="1:16">
      <c r="A486" s="151" t="s">
        <v>37</v>
      </c>
      <c r="B486" s="34" t="s">
        <v>338</v>
      </c>
      <c r="C486" s="40" t="s">
        <v>139</v>
      </c>
      <c r="D486" s="34" t="s">
        <v>92</v>
      </c>
      <c r="E486" s="257">
        <f>Intentionally_produced_MPs!P134</f>
        <v>0</v>
      </c>
      <c r="F486" s="232">
        <v>1</v>
      </c>
      <c r="G486" s="40"/>
      <c r="H486" s="29"/>
      <c r="I486" s="9"/>
      <c r="J486" s="9"/>
      <c r="K486" s="9"/>
      <c r="L486" s="9"/>
      <c r="M486" s="9"/>
      <c r="N486" s="185" t="str">
        <f t="shared" si="37"/>
        <v/>
      </c>
      <c r="O486" s="159" t="str">
        <f t="shared" si="38"/>
        <v/>
      </c>
      <c r="P486" s="63"/>
    </row>
    <row r="487" spans="1:16">
      <c r="A487" s="151" t="s">
        <v>37</v>
      </c>
      <c r="B487" s="34" t="s">
        <v>338</v>
      </c>
      <c r="C487" s="40" t="s">
        <v>139</v>
      </c>
      <c r="D487" s="34" t="s">
        <v>93</v>
      </c>
      <c r="E487" s="257">
        <f>Intentionally_produced_MPs!P135</f>
        <v>0</v>
      </c>
      <c r="F487" s="232">
        <v>1</v>
      </c>
      <c r="G487" s="40"/>
      <c r="H487" s="29"/>
      <c r="I487" s="9"/>
      <c r="J487" s="9"/>
      <c r="K487" s="9"/>
      <c r="L487" s="9"/>
      <c r="M487" s="9"/>
      <c r="N487" s="185" t="str">
        <f t="shared" ref="N487:N518" si="39">IF( OR( ISBLANK(H487),ISBLANK(J487), ISBLANK(K487), ISBLANK(L487), ISBLANK(M487) ), "", 1.5*SQRT(   EXP(2.21*(H487-1)) + EXP(2.21*(J487-1)) + EXP(2.21*(K487-1)) + EXP(2.21*(L487-1)) + EXP(2.21*M487)   )/100*2.45 )</f>
        <v/>
      </c>
      <c r="O487" s="159" t="str">
        <f t="shared" ref="O487:O518" si="40">IF( OR( ISBLANK(I487),ISBLANK(J487), ISBLANK(K487), ISBLANK(L487), ISBLANK(M487) ), "", 1.5*SQRT( EXP(2.21*(I487-1)) + EXP(2.21*(J487-1)) + EXP(2.21*(K487-1)) + EXP(2.21*(L487-1)) + EXP(2.21*M487)   )/100*2.45 )</f>
        <v/>
      </c>
      <c r="P487" s="63"/>
    </row>
    <row r="488" spans="1:16">
      <c r="A488" s="151" t="s">
        <v>37</v>
      </c>
      <c r="B488" s="34" t="s">
        <v>338</v>
      </c>
      <c r="C488" s="40" t="s">
        <v>139</v>
      </c>
      <c r="D488" s="34" t="s">
        <v>94</v>
      </c>
      <c r="E488" s="257">
        <f>Intentionally_produced_MPs!P136</f>
        <v>0</v>
      </c>
      <c r="F488" s="232">
        <v>1</v>
      </c>
      <c r="G488" s="40"/>
      <c r="H488" s="29"/>
      <c r="I488" s="9"/>
      <c r="J488" s="9"/>
      <c r="K488" s="9"/>
      <c r="L488" s="9"/>
      <c r="M488" s="9"/>
      <c r="N488" s="185" t="str">
        <f t="shared" si="39"/>
        <v/>
      </c>
      <c r="O488" s="159" t="str">
        <f t="shared" si="40"/>
        <v/>
      </c>
      <c r="P488" s="63"/>
    </row>
    <row r="489" spans="1:16">
      <c r="A489" s="151" t="s">
        <v>37</v>
      </c>
      <c r="B489" s="34" t="s">
        <v>338</v>
      </c>
      <c r="C489" s="40" t="s">
        <v>139</v>
      </c>
      <c r="D489" s="34" t="s">
        <v>95</v>
      </c>
      <c r="E489" s="257">
        <f>Intentionally_produced_MPs!P137</f>
        <v>0</v>
      </c>
      <c r="F489" s="232">
        <v>1</v>
      </c>
      <c r="G489" s="40"/>
      <c r="H489" s="29"/>
      <c r="I489" s="9"/>
      <c r="J489" s="9"/>
      <c r="K489" s="9"/>
      <c r="L489" s="9"/>
      <c r="M489" s="9"/>
      <c r="N489" s="185" t="str">
        <f t="shared" si="39"/>
        <v/>
      </c>
      <c r="O489" s="159" t="str">
        <f t="shared" si="40"/>
        <v/>
      </c>
      <c r="P489" s="63"/>
    </row>
    <row r="490" spans="1:16">
      <c r="A490" s="151" t="s">
        <v>37</v>
      </c>
      <c r="B490" s="34" t="s">
        <v>338</v>
      </c>
      <c r="C490" s="40" t="s">
        <v>139</v>
      </c>
      <c r="D490" s="34" t="s">
        <v>96</v>
      </c>
      <c r="E490" s="257">
        <f>Intentionally_produced_MPs!P138</f>
        <v>0</v>
      </c>
      <c r="F490" s="232">
        <v>1</v>
      </c>
      <c r="G490" s="40"/>
      <c r="H490" s="29"/>
      <c r="I490" s="9"/>
      <c r="J490" s="9"/>
      <c r="K490" s="9"/>
      <c r="L490" s="9"/>
      <c r="M490" s="9"/>
      <c r="N490" s="185" t="str">
        <f t="shared" si="39"/>
        <v/>
      </c>
      <c r="O490" s="159" t="str">
        <f t="shared" si="40"/>
        <v/>
      </c>
      <c r="P490" s="63"/>
    </row>
    <row r="491" spans="1:16">
      <c r="A491" s="151" t="s">
        <v>37</v>
      </c>
      <c r="B491" s="34" t="s">
        <v>338</v>
      </c>
      <c r="C491" s="40" t="s">
        <v>139</v>
      </c>
      <c r="D491" s="34" t="s">
        <v>97</v>
      </c>
      <c r="E491" s="257">
        <f>Intentionally_produced_MPs!P139</f>
        <v>0</v>
      </c>
      <c r="F491" s="232">
        <v>1</v>
      </c>
      <c r="G491" s="40"/>
      <c r="H491" s="29"/>
      <c r="I491" s="9"/>
      <c r="J491" s="9"/>
      <c r="K491" s="9"/>
      <c r="L491" s="9"/>
      <c r="M491" s="9"/>
      <c r="N491" s="185" t="str">
        <f t="shared" si="39"/>
        <v/>
      </c>
      <c r="O491" s="159" t="str">
        <f t="shared" si="40"/>
        <v/>
      </c>
      <c r="P491" s="63"/>
    </row>
    <row r="492" spans="1:16">
      <c r="A492" s="151" t="s">
        <v>37</v>
      </c>
      <c r="B492" s="34" t="s">
        <v>338</v>
      </c>
      <c r="C492" s="40" t="s">
        <v>139</v>
      </c>
      <c r="D492" s="34" t="s">
        <v>98</v>
      </c>
      <c r="E492" s="257">
        <f>Intentionally_produced_MPs!P140</f>
        <v>0.14573018486415787</v>
      </c>
      <c r="F492" s="232">
        <v>1</v>
      </c>
      <c r="G492" s="40"/>
      <c r="H492" s="29">
        <v>3</v>
      </c>
      <c r="I492" s="9">
        <v>2</v>
      </c>
      <c r="J492" s="9">
        <v>3</v>
      </c>
      <c r="K492" s="9">
        <v>3</v>
      </c>
      <c r="L492" s="9">
        <v>3</v>
      </c>
      <c r="M492" s="9">
        <v>3</v>
      </c>
      <c r="N492" s="185">
        <f t="shared" si="39"/>
        <v>1.2132328390150593</v>
      </c>
      <c r="O492" s="159">
        <f t="shared" si="40"/>
        <v>1.1713319510247036</v>
      </c>
      <c r="P492" s="63"/>
    </row>
    <row r="493" spans="1:16">
      <c r="A493" s="151" t="s">
        <v>322</v>
      </c>
      <c r="B493" s="34" t="s">
        <v>223</v>
      </c>
      <c r="C493" s="40" t="s">
        <v>139</v>
      </c>
      <c r="D493" s="34" t="s">
        <v>139</v>
      </c>
      <c r="E493" s="257">
        <v>0.1</v>
      </c>
      <c r="F493" s="232">
        <v>1</v>
      </c>
      <c r="G493" s="40" t="s">
        <v>339</v>
      </c>
      <c r="H493" s="29"/>
      <c r="I493" s="9"/>
      <c r="J493" s="9"/>
      <c r="K493" s="9"/>
      <c r="L493" s="9"/>
      <c r="M493" s="9"/>
      <c r="N493" s="185" t="str">
        <f t="shared" si="39"/>
        <v/>
      </c>
      <c r="O493" s="159" t="str">
        <f t="shared" si="40"/>
        <v/>
      </c>
      <c r="P493" s="63" t="s">
        <v>340</v>
      </c>
    </row>
    <row r="494" spans="1:16">
      <c r="A494" s="151" t="s">
        <v>322</v>
      </c>
      <c r="B494" s="34" t="s">
        <v>223</v>
      </c>
      <c r="C494" s="40" t="s">
        <v>139</v>
      </c>
      <c r="D494" s="34" t="s">
        <v>139</v>
      </c>
      <c r="E494" s="257">
        <v>0.9</v>
      </c>
      <c r="F494" s="232">
        <v>1</v>
      </c>
      <c r="G494" s="40" t="s">
        <v>341</v>
      </c>
      <c r="H494" s="29"/>
      <c r="I494" s="9"/>
      <c r="J494" s="9"/>
      <c r="K494" s="9"/>
      <c r="L494" s="9"/>
      <c r="M494" s="9"/>
      <c r="N494" s="185" t="str">
        <f t="shared" si="39"/>
        <v/>
      </c>
      <c r="O494" s="159" t="str">
        <f t="shared" si="40"/>
        <v/>
      </c>
      <c r="P494" s="63" t="s">
        <v>340</v>
      </c>
    </row>
    <row r="495" spans="1:16">
      <c r="A495" s="151" t="s">
        <v>200</v>
      </c>
      <c r="B495" s="34" t="s">
        <v>223</v>
      </c>
      <c r="C495" s="40" t="s">
        <v>139</v>
      </c>
      <c r="D495" s="34" t="s">
        <v>139</v>
      </c>
      <c r="E495" s="257" t="s">
        <v>150</v>
      </c>
      <c r="F495" s="232">
        <v>1</v>
      </c>
      <c r="G495" s="40"/>
      <c r="H495" s="29"/>
      <c r="I495" s="9"/>
      <c r="J495" s="9"/>
      <c r="K495" s="9" t="str">
        <f>IF( OR( ISBLANK(#REF!),ISBLANK(G495), ISBLANK(#REF!), ISBLANK(H495), ISBLANK(J495) ), "", 1.5*SQRT(   EXP(2.21*(#REF!-1)) + EXP(2.21*(G495-1)) + EXP(2.21*(#REF!-1)) + EXP(2.21*(H495-1)) + EXP(2.21*J495)   )/100 )</f>
        <v/>
      </c>
      <c r="L495" s="9" t="str">
        <f>IF( OR( ISBLANK(E495),ISBLANK(G495), ISBLANK(#REF!), ISBLANK(H495), ISBLANK(J495) ), "", 1.5*SQRT(   EXP(2.21*(E495-1)) + EXP(2.21*(G495-1)) + EXP(2.21*(#REF!-1)) + EXP(2.21*(H495-1)) + EXP(2.21*J495)   )/100 )</f>
        <v/>
      </c>
      <c r="M495" s="9"/>
      <c r="N495" s="185" t="str">
        <f t="shared" si="39"/>
        <v/>
      </c>
      <c r="O495" s="159" t="str">
        <f t="shared" si="40"/>
        <v/>
      </c>
      <c r="P495" s="63"/>
    </row>
    <row r="496" spans="1:16">
      <c r="A496" s="151" t="s">
        <v>201</v>
      </c>
      <c r="B496" s="34" t="s">
        <v>223</v>
      </c>
      <c r="C496" s="40" t="s">
        <v>139</v>
      </c>
      <c r="D496" s="34" t="s">
        <v>139</v>
      </c>
      <c r="E496" s="257" t="s">
        <v>150</v>
      </c>
      <c r="F496" s="232">
        <v>1</v>
      </c>
      <c r="G496" s="40"/>
      <c r="H496" s="29"/>
      <c r="I496" s="9"/>
      <c r="J496" s="9"/>
      <c r="K496" s="9" t="str">
        <f>IF( OR( ISBLANK(#REF!),ISBLANK(G496), ISBLANK(#REF!), ISBLANK(H496), ISBLANK(J496) ), "", 1.5*SQRT(   EXP(2.21*(#REF!-1)) + EXP(2.21*(G496-1)) + EXP(2.21*(#REF!-1)) + EXP(2.21*(H496-1)) + EXP(2.21*J496)   )/100 )</f>
        <v/>
      </c>
      <c r="L496" s="9" t="str">
        <f>IF( OR( ISBLANK(E496),ISBLANK(G496), ISBLANK(#REF!), ISBLANK(H496), ISBLANK(J496) ), "", 1.5*SQRT(   EXP(2.21*(E496-1)) + EXP(2.21*(G496-1)) + EXP(2.21*(#REF!-1)) + EXP(2.21*(H496-1)) + EXP(2.21*J496)   )/100 )</f>
        <v/>
      </c>
      <c r="M496" s="9"/>
      <c r="N496" s="185" t="str">
        <f t="shared" si="39"/>
        <v/>
      </c>
      <c r="O496" s="159" t="str">
        <f t="shared" si="40"/>
        <v/>
      </c>
      <c r="P496" s="63"/>
    </row>
    <row r="497" spans="1:16">
      <c r="A497" s="151" t="s">
        <v>202</v>
      </c>
      <c r="B497" s="34" t="s">
        <v>223</v>
      </c>
      <c r="C497" s="40" t="s">
        <v>139</v>
      </c>
      <c r="D497" s="34" t="s">
        <v>139</v>
      </c>
      <c r="E497" s="257" t="s">
        <v>150</v>
      </c>
      <c r="F497" s="232">
        <v>1</v>
      </c>
      <c r="G497" s="40"/>
      <c r="H497" s="29"/>
      <c r="I497" s="9"/>
      <c r="J497" s="9"/>
      <c r="K497" s="9" t="str">
        <f>IF( OR( ISBLANK(#REF!),ISBLANK(G497), ISBLANK(#REF!), ISBLANK(H497), ISBLANK(J497) ), "", 1.5*SQRT(   EXP(2.21*(#REF!-1)) + EXP(2.21*(G497-1)) + EXP(2.21*(#REF!-1)) + EXP(2.21*(H497-1)) + EXP(2.21*J497)   )/100 )</f>
        <v/>
      </c>
      <c r="L497" s="9" t="str">
        <f>IF( OR( ISBLANK(E497),ISBLANK(G497), ISBLANK(#REF!), ISBLANK(H497), ISBLANK(J497) ), "", 1.5*SQRT(   EXP(2.21*(E497-1)) + EXP(2.21*(G497-1)) + EXP(2.21*(#REF!-1)) + EXP(2.21*(H497-1)) + EXP(2.21*J497)   )/100 )</f>
        <v/>
      </c>
      <c r="M497" s="9"/>
      <c r="N497" s="185" t="str">
        <f t="shared" si="39"/>
        <v/>
      </c>
      <c r="O497" s="159" t="str">
        <f t="shared" si="40"/>
        <v/>
      </c>
      <c r="P497" s="63"/>
    </row>
    <row r="498" spans="1:16">
      <c r="A498" s="151" t="s">
        <v>304</v>
      </c>
      <c r="B498" s="34" t="s">
        <v>223</v>
      </c>
      <c r="C498" s="40" t="s">
        <v>139</v>
      </c>
      <c r="D498" s="34" t="s">
        <v>139</v>
      </c>
      <c r="E498" s="257" t="s">
        <v>150</v>
      </c>
      <c r="F498" s="232">
        <v>1</v>
      </c>
      <c r="G498" s="40"/>
      <c r="H498" s="29"/>
      <c r="I498" s="9"/>
      <c r="J498" s="9"/>
      <c r="K498" s="9"/>
      <c r="L498" s="9"/>
      <c r="M498" s="9"/>
      <c r="N498" s="185" t="str">
        <f t="shared" si="39"/>
        <v/>
      </c>
      <c r="O498" s="159" t="str">
        <f t="shared" si="40"/>
        <v/>
      </c>
      <c r="P498" s="63"/>
    </row>
    <row r="499" spans="1:16">
      <c r="A499" s="151" t="s">
        <v>322</v>
      </c>
      <c r="B499" s="34" t="s">
        <v>342</v>
      </c>
      <c r="C499" s="40" t="s">
        <v>139</v>
      </c>
      <c r="D499" s="34" t="s">
        <v>139</v>
      </c>
      <c r="E499" s="257" t="s">
        <v>150</v>
      </c>
      <c r="F499" s="232">
        <v>1</v>
      </c>
      <c r="G499" s="40" t="s">
        <v>343</v>
      </c>
      <c r="H499" s="29"/>
      <c r="I499" s="9"/>
      <c r="J499" s="9"/>
      <c r="K499" s="9"/>
      <c r="L499" s="9"/>
      <c r="M499" s="9"/>
      <c r="N499" s="185" t="str">
        <f t="shared" si="39"/>
        <v/>
      </c>
      <c r="O499" s="159" t="str">
        <f t="shared" si="40"/>
        <v/>
      </c>
      <c r="P499" s="63" t="s">
        <v>340</v>
      </c>
    </row>
    <row r="500" spans="1:16">
      <c r="A500" s="151" t="s">
        <v>322</v>
      </c>
      <c r="B500" s="34" t="s">
        <v>265</v>
      </c>
      <c r="C500" s="40" t="s">
        <v>139</v>
      </c>
      <c r="D500" s="34" t="s">
        <v>139</v>
      </c>
      <c r="E500" s="257">
        <v>1.0200000000000001E-3</v>
      </c>
      <c r="F500" s="232">
        <v>2</v>
      </c>
      <c r="G500" s="40" t="s">
        <v>344</v>
      </c>
      <c r="H500" s="29">
        <v>2</v>
      </c>
      <c r="I500" s="9"/>
      <c r="J500" s="9">
        <v>3</v>
      </c>
      <c r="K500" s="9">
        <v>3</v>
      </c>
      <c r="L500" s="9">
        <v>3</v>
      </c>
      <c r="M500" s="9">
        <v>2</v>
      </c>
      <c r="N500" s="185">
        <f t="shared" si="39"/>
        <v>0.67913051197703389</v>
      </c>
      <c r="O500" s="159" t="str">
        <f t="shared" si="40"/>
        <v/>
      </c>
      <c r="P500" s="63" t="s">
        <v>345</v>
      </c>
    </row>
    <row r="501" spans="1:16">
      <c r="A501" s="151" t="s">
        <v>326</v>
      </c>
      <c r="B501" s="34" t="s">
        <v>223</v>
      </c>
      <c r="C501" s="40" t="s">
        <v>139</v>
      </c>
      <c r="D501" s="34" t="s">
        <v>139</v>
      </c>
      <c r="E501" s="257" t="s">
        <v>150</v>
      </c>
      <c r="F501" s="232">
        <v>1</v>
      </c>
      <c r="G501" s="40"/>
      <c r="H501" s="29"/>
      <c r="I501" s="9"/>
      <c r="J501" s="9"/>
      <c r="K501" s="9"/>
      <c r="L501" s="9"/>
      <c r="M501" s="9"/>
      <c r="N501" s="185" t="str">
        <f t="shared" si="39"/>
        <v/>
      </c>
      <c r="O501" s="159" t="str">
        <f t="shared" si="40"/>
        <v/>
      </c>
      <c r="P501" s="63"/>
    </row>
    <row r="502" spans="1:16">
      <c r="A502" s="151" t="s">
        <v>235</v>
      </c>
      <c r="B502" s="34" t="s">
        <v>223</v>
      </c>
      <c r="C502" s="40" t="s">
        <v>139</v>
      </c>
      <c r="D502" s="34" t="s">
        <v>139</v>
      </c>
      <c r="E502" s="257" t="s">
        <v>150</v>
      </c>
      <c r="F502" s="232">
        <v>1</v>
      </c>
      <c r="G502" s="40"/>
      <c r="H502" s="29"/>
      <c r="I502" s="9"/>
      <c r="J502" s="9"/>
      <c r="K502" s="9"/>
      <c r="L502" s="9"/>
      <c r="M502" s="9"/>
      <c r="N502" s="185" t="str">
        <f t="shared" si="39"/>
        <v/>
      </c>
      <c r="O502" s="159" t="str">
        <f t="shared" si="40"/>
        <v/>
      </c>
      <c r="P502" s="63"/>
    </row>
    <row r="503" spans="1:16">
      <c r="A503" s="151" t="s">
        <v>324</v>
      </c>
      <c r="B503" s="34" t="s">
        <v>223</v>
      </c>
      <c r="C503" s="40" t="s">
        <v>139</v>
      </c>
      <c r="D503" s="34" t="s">
        <v>139</v>
      </c>
      <c r="E503" s="257" t="s">
        <v>150</v>
      </c>
      <c r="F503" s="232">
        <v>1</v>
      </c>
      <c r="G503" s="40"/>
      <c r="H503" s="29"/>
      <c r="I503" s="9"/>
      <c r="J503" s="9"/>
      <c r="K503" s="9"/>
      <c r="L503" s="9"/>
      <c r="M503" s="9"/>
      <c r="N503" s="185" t="str">
        <f t="shared" si="39"/>
        <v/>
      </c>
      <c r="O503" s="159" t="str">
        <f t="shared" si="40"/>
        <v/>
      </c>
      <c r="P503" s="63"/>
    </row>
    <row r="504" spans="1:16">
      <c r="A504" s="151" t="s">
        <v>327</v>
      </c>
      <c r="B504" s="34" t="s">
        <v>223</v>
      </c>
      <c r="C504" s="40" t="s">
        <v>139</v>
      </c>
      <c r="D504" s="34" t="s">
        <v>139</v>
      </c>
      <c r="E504" s="257" t="s">
        <v>150</v>
      </c>
      <c r="F504" s="232">
        <v>1</v>
      </c>
      <c r="G504" s="40"/>
      <c r="H504" s="29"/>
      <c r="I504" s="9"/>
      <c r="J504" s="9"/>
      <c r="K504" s="9"/>
      <c r="L504" s="9"/>
      <c r="M504" s="9"/>
      <c r="N504" s="185" t="str">
        <f t="shared" si="39"/>
        <v/>
      </c>
      <c r="O504" s="159" t="str">
        <f t="shared" si="40"/>
        <v/>
      </c>
      <c r="P504" s="63"/>
    </row>
    <row r="505" spans="1:16">
      <c r="A505" s="151" t="s">
        <v>335</v>
      </c>
      <c r="B505" s="34" t="s">
        <v>223</v>
      </c>
      <c r="C505" s="40" t="s">
        <v>139</v>
      </c>
      <c r="D505" s="34" t="s">
        <v>139</v>
      </c>
      <c r="E505" s="257" t="s">
        <v>150</v>
      </c>
      <c r="F505" s="232">
        <v>1</v>
      </c>
      <c r="G505" s="40"/>
      <c r="H505" s="29"/>
      <c r="I505" s="9"/>
      <c r="J505" s="9"/>
      <c r="K505" s="9"/>
      <c r="L505" s="9"/>
      <c r="M505" s="9"/>
      <c r="N505" s="185" t="str">
        <f t="shared" si="39"/>
        <v/>
      </c>
      <c r="O505" s="159" t="str">
        <f t="shared" si="40"/>
        <v/>
      </c>
      <c r="P505" s="63"/>
    </row>
    <row r="506" spans="1:16">
      <c r="A506" s="151" t="s">
        <v>203</v>
      </c>
      <c r="B506" s="34" t="s">
        <v>223</v>
      </c>
      <c r="C506" s="40" t="s">
        <v>139</v>
      </c>
      <c r="D506" s="34" t="s">
        <v>139</v>
      </c>
      <c r="E506" s="257" t="s">
        <v>150</v>
      </c>
      <c r="F506" s="232">
        <v>1</v>
      </c>
      <c r="G506" s="40"/>
      <c r="H506" s="29"/>
      <c r="I506" s="9"/>
      <c r="J506" s="9"/>
      <c r="K506" s="9" t="str">
        <f>IF( OR( ISBLANK(#REF!),ISBLANK(G506), ISBLANK(#REF!), ISBLANK(H506), ISBLANK(J506) ), "", 1.5*SQRT(   EXP(2.21*(#REF!-1)) + EXP(2.21*(G506-1)) + EXP(2.21*(#REF!-1)) + EXP(2.21*(H506-1)) + EXP(2.21*J506)   )/100 )</f>
        <v/>
      </c>
      <c r="L506" s="9" t="str">
        <f>IF( OR( ISBLANK(E506),ISBLANK(G506), ISBLANK(#REF!), ISBLANK(H506), ISBLANK(J506) ), "", 1.5*SQRT(   EXP(2.21*(E506-1)) + EXP(2.21*(G506-1)) + EXP(2.21*(#REF!-1)) + EXP(2.21*(H506-1)) + EXP(2.21*J506)   )/100 )</f>
        <v/>
      </c>
      <c r="M506" s="9"/>
      <c r="N506" s="185" t="str">
        <f t="shared" si="39"/>
        <v/>
      </c>
      <c r="O506" s="159" t="str">
        <f t="shared" si="40"/>
        <v/>
      </c>
      <c r="P506" s="63"/>
    </row>
    <row r="507" spans="1:16">
      <c r="A507" s="151" t="s">
        <v>236</v>
      </c>
      <c r="B507" s="34" t="s">
        <v>223</v>
      </c>
      <c r="C507" s="40" t="s">
        <v>139</v>
      </c>
      <c r="D507" s="34" t="s">
        <v>139</v>
      </c>
      <c r="E507" s="257" t="s">
        <v>150</v>
      </c>
      <c r="F507" s="232">
        <v>1</v>
      </c>
      <c r="G507" s="40"/>
      <c r="H507" s="29"/>
      <c r="I507" s="9"/>
      <c r="J507" s="9"/>
      <c r="K507" s="9"/>
      <c r="L507" s="9"/>
      <c r="M507" s="9"/>
      <c r="N507" s="185" t="str">
        <f t="shared" si="39"/>
        <v/>
      </c>
      <c r="O507" s="159" t="str">
        <f t="shared" si="40"/>
        <v/>
      </c>
      <c r="P507" s="63"/>
    </row>
    <row r="508" spans="1:16">
      <c r="A508" s="151" t="s">
        <v>237</v>
      </c>
      <c r="B508" s="34" t="s">
        <v>223</v>
      </c>
      <c r="C508" s="40" t="s">
        <v>139</v>
      </c>
      <c r="D508" s="34" t="s">
        <v>139</v>
      </c>
      <c r="E508" s="257" t="s">
        <v>150</v>
      </c>
      <c r="F508" s="232">
        <v>1</v>
      </c>
      <c r="G508" s="40"/>
      <c r="H508" s="29"/>
      <c r="I508" s="9"/>
      <c r="J508" s="9"/>
      <c r="K508" s="9"/>
      <c r="L508" s="9"/>
      <c r="M508" s="9"/>
      <c r="N508" s="185" t="str">
        <f t="shared" si="39"/>
        <v/>
      </c>
      <c r="O508" s="159" t="str">
        <f t="shared" si="40"/>
        <v/>
      </c>
      <c r="P508" s="63"/>
    </row>
    <row r="509" spans="1:16">
      <c r="A509" s="289" t="s">
        <v>346</v>
      </c>
      <c r="B509" s="55" t="s">
        <v>223</v>
      </c>
      <c r="C509" s="262" t="s">
        <v>139</v>
      </c>
      <c r="D509" s="55" t="s">
        <v>139</v>
      </c>
      <c r="E509" s="257">
        <v>1</v>
      </c>
      <c r="F509" s="232">
        <v>1</v>
      </c>
      <c r="G509" s="262" t="s">
        <v>163</v>
      </c>
      <c r="H509" s="29"/>
      <c r="I509" s="9"/>
      <c r="J509" s="9"/>
      <c r="K509" s="9"/>
      <c r="L509" s="9"/>
      <c r="M509" s="9"/>
      <c r="N509" s="185" t="str">
        <f t="shared" si="39"/>
        <v/>
      </c>
      <c r="O509" s="159" t="str">
        <f t="shared" si="40"/>
        <v/>
      </c>
      <c r="P509" s="63"/>
    </row>
    <row r="510" spans="1:16">
      <c r="A510" s="151" t="s">
        <v>234</v>
      </c>
      <c r="B510" s="55" t="s">
        <v>223</v>
      </c>
      <c r="C510" s="262" t="s">
        <v>139</v>
      </c>
      <c r="D510" s="55" t="s">
        <v>139</v>
      </c>
      <c r="E510" s="257" t="s">
        <v>150</v>
      </c>
      <c r="F510" s="232">
        <v>1</v>
      </c>
      <c r="G510" s="262" t="s">
        <v>347</v>
      </c>
      <c r="H510" s="29"/>
      <c r="I510" s="9"/>
      <c r="J510" s="9"/>
      <c r="K510" s="9"/>
      <c r="L510" s="9"/>
      <c r="M510" s="9"/>
      <c r="N510" s="185" t="str">
        <f t="shared" si="39"/>
        <v/>
      </c>
      <c r="O510" s="159" t="str">
        <f t="shared" si="40"/>
        <v/>
      </c>
      <c r="P510" s="63"/>
    </row>
    <row r="511" spans="1:16">
      <c r="A511" s="289" t="s">
        <v>348</v>
      </c>
      <c r="B511" s="55" t="s">
        <v>178</v>
      </c>
      <c r="C511" s="262" t="s">
        <v>139</v>
      </c>
      <c r="D511" s="55" t="s">
        <v>139</v>
      </c>
      <c r="E511" s="257" t="s">
        <v>150</v>
      </c>
      <c r="F511" s="232">
        <v>1</v>
      </c>
      <c r="G511" s="262" t="s">
        <v>163</v>
      </c>
      <c r="H511" s="29"/>
      <c r="I511" s="9"/>
      <c r="J511" s="9"/>
      <c r="K511" s="9"/>
      <c r="L511" s="9"/>
      <c r="M511" s="9"/>
      <c r="N511" s="185" t="str">
        <f t="shared" si="39"/>
        <v/>
      </c>
      <c r="O511" s="159" t="str">
        <f t="shared" si="40"/>
        <v/>
      </c>
      <c r="P511" s="63"/>
    </row>
    <row r="512" spans="1:16">
      <c r="A512" s="289" t="s">
        <v>348</v>
      </c>
      <c r="B512" s="55" t="s">
        <v>245</v>
      </c>
      <c r="C512" s="262" t="s">
        <v>139</v>
      </c>
      <c r="D512" s="55" t="s">
        <v>139</v>
      </c>
      <c r="E512" s="257">
        <v>0.53527000000000002</v>
      </c>
      <c r="F512" s="232">
        <v>1</v>
      </c>
      <c r="G512" s="262" t="s">
        <v>163</v>
      </c>
      <c r="H512" s="29">
        <v>2</v>
      </c>
      <c r="I512" s="9">
        <v>2</v>
      </c>
      <c r="J512" s="9">
        <v>1</v>
      </c>
      <c r="K512" s="9">
        <v>1</v>
      </c>
      <c r="L512" s="9">
        <v>1</v>
      </c>
      <c r="M512" s="9">
        <v>2</v>
      </c>
      <c r="N512" s="185">
        <f t="shared" si="39"/>
        <v>0.35859414261160716</v>
      </c>
      <c r="O512" s="159">
        <f t="shared" si="40"/>
        <v>0.35859414261160716</v>
      </c>
      <c r="P512" s="840" t="s">
        <v>349</v>
      </c>
    </row>
    <row r="513" spans="1:16">
      <c r="A513" s="289" t="s">
        <v>239</v>
      </c>
      <c r="B513" s="55" t="s">
        <v>223</v>
      </c>
      <c r="C513" s="262" t="s">
        <v>139</v>
      </c>
      <c r="D513" s="55" t="s">
        <v>139</v>
      </c>
      <c r="E513" s="257" t="s">
        <v>150</v>
      </c>
      <c r="F513" s="232">
        <v>1</v>
      </c>
      <c r="G513" s="262" t="s">
        <v>347</v>
      </c>
      <c r="H513" s="29"/>
      <c r="I513" s="9"/>
      <c r="J513" s="9"/>
      <c r="K513" s="9"/>
      <c r="L513" s="9"/>
      <c r="M513" s="9"/>
      <c r="N513" s="185" t="str">
        <f t="shared" si="39"/>
        <v/>
      </c>
      <c r="O513" s="159" t="str">
        <f t="shared" si="40"/>
        <v/>
      </c>
      <c r="P513" s="63"/>
    </row>
    <row r="514" spans="1:16">
      <c r="A514" s="289" t="s">
        <v>240</v>
      </c>
      <c r="B514" s="55" t="s">
        <v>223</v>
      </c>
      <c r="C514" s="262" t="s">
        <v>139</v>
      </c>
      <c r="D514" s="55" t="s">
        <v>139</v>
      </c>
      <c r="E514" s="257" t="s">
        <v>150</v>
      </c>
      <c r="F514" s="232">
        <v>1</v>
      </c>
      <c r="G514" s="262" t="s">
        <v>347</v>
      </c>
      <c r="H514" s="29"/>
      <c r="I514" s="9"/>
      <c r="J514" s="9"/>
      <c r="K514" s="9"/>
      <c r="L514" s="9"/>
      <c r="M514" s="9"/>
      <c r="N514" s="185" t="str">
        <f t="shared" si="39"/>
        <v/>
      </c>
      <c r="O514" s="159" t="str">
        <f t="shared" si="40"/>
        <v/>
      </c>
      <c r="P514" s="63"/>
    </row>
    <row r="515" spans="1:16">
      <c r="A515" s="289" t="s">
        <v>241</v>
      </c>
      <c r="B515" s="55" t="s">
        <v>223</v>
      </c>
      <c r="C515" s="262" t="s">
        <v>139</v>
      </c>
      <c r="D515" s="55" t="s">
        <v>139</v>
      </c>
      <c r="E515" s="257" t="s">
        <v>150</v>
      </c>
      <c r="F515" s="232">
        <v>1</v>
      </c>
      <c r="G515" s="262" t="s">
        <v>347</v>
      </c>
      <c r="H515" s="29"/>
      <c r="I515" s="9"/>
      <c r="J515" s="9"/>
      <c r="K515" s="9"/>
      <c r="L515" s="9"/>
      <c r="M515" s="9"/>
      <c r="N515" s="185" t="str">
        <f t="shared" si="39"/>
        <v/>
      </c>
      <c r="O515" s="159" t="str">
        <f t="shared" si="40"/>
        <v/>
      </c>
      <c r="P515" s="63"/>
    </row>
    <row r="516" spans="1:16">
      <c r="A516" s="289" t="s">
        <v>350</v>
      </c>
      <c r="B516" s="55" t="s">
        <v>204</v>
      </c>
      <c r="C516" s="262" t="s">
        <v>139</v>
      </c>
      <c r="D516" s="55" t="s">
        <v>139</v>
      </c>
      <c r="E516" s="257">
        <v>2.7E-4</v>
      </c>
      <c r="F516" s="232">
        <v>2</v>
      </c>
      <c r="G516" s="262" t="s">
        <v>163</v>
      </c>
      <c r="H516" s="29">
        <v>2</v>
      </c>
      <c r="I516" s="9">
        <v>2</v>
      </c>
      <c r="J516" s="9">
        <v>2</v>
      </c>
      <c r="K516" s="9">
        <v>3</v>
      </c>
      <c r="L516" s="9">
        <v>3</v>
      </c>
      <c r="M516" s="9">
        <v>3</v>
      </c>
      <c r="N516" s="185">
        <f t="shared" si="39"/>
        <v>1.1278755061256258</v>
      </c>
      <c r="O516" s="159">
        <f t="shared" si="40"/>
        <v>1.1278755061256258</v>
      </c>
      <c r="P516" s="63"/>
    </row>
    <row r="517" spans="1:16">
      <c r="A517" s="289" t="s">
        <v>350</v>
      </c>
      <c r="B517" s="55" t="s">
        <v>223</v>
      </c>
      <c r="C517" s="262" t="s">
        <v>139</v>
      </c>
      <c r="D517" s="55" t="s">
        <v>139</v>
      </c>
      <c r="E517" s="257" t="s">
        <v>150</v>
      </c>
      <c r="F517" s="232">
        <v>1</v>
      </c>
      <c r="G517" s="262" t="s">
        <v>163</v>
      </c>
      <c r="H517" s="29"/>
      <c r="I517" s="9"/>
      <c r="J517" s="9"/>
      <c r="K517" s="9"/>
      <c r="L517" s="9"/>
      <c r="M517" s="9"/>
      <c r="N517" s="185" t="str">
        <f t="shared" si="39"/>
        <v/>
      </c>
      <c r="O517" s="159" t="str">
        <f t="shared" si="40"/>
        <v/>
      </c>
      <c r="P517" s="63"/>
    </row>
    <row r="518" spans="1:16">
      <c r="A518" s="289" t="s">
        <v>337</v>
      </c>
      <c r="B518" s="55" t="s">
        <v>223</v>
      </c>
      <c r="C518" s="262" t="s">
        <v>139</v>
      </c>
      <c r="D518" s="55" t="s">
        <v>139</v>
      </c>
      <c r="E518" s="257" t="s">
        <v>150</v>
      </c>
      <c r="F518" s="232">
        <v>1</v>
      </c>
      <c r="G518" s="262" t="s">
        <v>347</v>
      </c>
      <c r="H518" s="29"/>
      <c r="I518" s="9"/>
      <c r="J518" s="9"/>
      <c r="K518" s="9"/>
      <c r="L518" s="9"/>
      <c r="M518" s="9"/>
      <c r="N518" s="185" t="str">
        <f t="shared" si="39"/>
        <v/>
      </c>
      <c r="O518" s="159" t="str">
        <f t="shared" si="40"/>
        <v/>
      </c>
      <c r="P518" s="63"/>
    </row>
    <row r="519" spans="1:16">
      <c r="A519" s="151" t="s">
        <v>227</v>
      </c>
      <c r="B519" s="34" t="s">
        <v>334</v>
      </c>
      <c r="C519" s="40" t="s">
        <v>139</v>
      </c>
      <c r="D519" s="34" t="s">
        <v>139</v>
      </c>
      <c r="E519" s="257">
        <v>0.05</v>
      </c>
      <c r="F519" s="232">
        <v>2</v>
      </c>
      <c r="G519" s="40" t="s">
        <v>351</v>
      </c>
      <c r="H519" s="29">
        <v>1</v>
      </c>
      <c r="I519" s="9">
        <v>1</v>
      </c>
      <c r="J519" s="9">
        <v>2</v>
      </c>
      <c r="K519" s="9">
        <v>3</v>
      </c>
      <c r="L519" s="9">
        <v>1</v>
      </c>
      <c r="M519" s="9">
        <v>3</v>
      </c>
      <c r="N519" s="185">
        <f t="shared" ref="N519:N526" si="41">IF( OR( ISBLANK(H519),ISBLANK(J519), ISBLANK(K519), ISBLANK(L519), ISBLANK(M519) ), "", 1.5*SQRT(   EXP(2.21*(H519-1)) + EXP(2.21*(J519-1)) + EXP(2.21*(K519-1)) + EXP(2.21*(L519-1)) + EXP(2.21*M519)   )/100*2.45 )</f>
        <v>1.0725046436742278</v>
      </c>
      <c r="O519" s="159">
        <f t="shared" ref="O519:O526" si="42">IF( OR( ISBLANK(I519),ISBLANK(J519), ISBLANK(K519), ISBLANK(L519), ISBLANK(M519) ), "", 1.5*SQRT( EXP(2.21*(I519-1)) + EXP(2.21*(J519-1)) + EXP(2.21*(K519-1)) + EXP(2.21*(L519-1)) + EXP(2.21*M519)   )/100*2.45 )</f>
        <v>1.0725046436742278</v>
      </c>
      <c r="P519" s="63" t="s">
        <v>352</v>
      </c>
    </row>
    <row r="520" spans="1:16">
      <c r="A520" s="151" t="s">
        <v>312</v>
      </c>
      <c r="B520" s="34" t="s">
        <v>334</v>
      </c>
      <c r="C520" s="515" t="s">
        <v>139</v>
      </c>
      <c r="D520" s="37" t="s">
        <v>139</v>
      </c>
      <c r="E520" s="308">
        <v>0.4</v>
      </c>
      <c r="F520" s="37">
        <v>1</v>
      </c>
      <c r="G520" s="40" t="s">
        <v>353</v>
      </c>
      <c r="H520" s="29">
        <v>2</v>
      </c>
      <c r="I520" s="9">
        <v>2</v>
      </c>
      <c r="J520" s="9">
        <v>1</v>
      </c>
      <c r="K520" s="9">
        <v>1</v>
      </c>
      <c r="L520" s="9">
        <v>1</v>
      </c>
      <c r="M520" s="9">
        <v>1</v>
      </c>
      <c r="N520" s="185">
        <f t="shared" si="41"/>
        <v>0.16933510251023262</v>
      </c>
      <c r="O520" s="159">
        <f t="shared" si="42"/>
        <v>0.16933510251023262</v>
      </c>
      <c r="P520" s="63"/>
    </row>
    <row r="521" spans="1:16">
      <c r="A521" s="151" t="s">
        <v>311</v>
      </c>
      <c r="B521" s="34" t="s">
        <v>334</v>
      </c>
      <c r="C521" s="515" t="s">
        <v>139</v>
      </c>
      <c r="D521" s="37" t="s">
        <v>139</v>
      </c>
      <c r="E521" s="515">
        <v>1</v>
      </c>
      <c r="F521" s="37">
        <v>1</v>
      </c>
      <c r="G521" s="515"/>
      <c r="H521" s="29"/>
      <c r="I521" s="9"/>
      <c r="J521" s="9"/>
      <c r="K521" s="9"/>
      <c r="L521" s="9"/>
      <c r="M521" s="9"/>
      <c r="N521" s="185" t="str">
        <f t="shared" si="41"/>
        <v/>
      </c>
      <c r="O521" s="159" t="str">
        <f t="shared" si="42"/>
        <v/>
      </c>
      <c r="P521" s="63"/>
    </row>
    <row r="522" spans="1:16">
      <c r="A522" s="151" t="s">
        <v>268</v>
      </c>
      <c r="B522" s="34" t="s">
        <v>334</v>
      </c>
      <c r="C522" s="40" t="s">
        <v>139</v>
      </c>
      <c r="D522" s="34" t="s">
        <v>139</v>
      </c>
      <c r="E522" s="257">
        <v>0.05</v>
      </c>
      <c r="F522" s="232">
        <v>2</v>
      </c>
      <c r="G522" s="40" t="s">
        <v>351</v>
      </c>
      <c r="H522" s="29">
        <v>1</v>
      </c>
      <c r="I522" s="9">
        <v>1</v>
      </c>
      <c r="J522" s="9">
        <v>2</v>
      </c>
      <c r="K522" s="9">
        <v>3</v>
      </c>
      <c r="L522" s="9">
        <v>1</v>
      </c>
      <c r="M522" s="9">
        <v>3</v>
      </c>
      <c r="N522" s="185">
        <f t="shared" si="41"/>
        <v>1.0725046436742278</v>
      </c>
      <c r="O522" s="159">
        <f t="shared" si="42"/>
        <v>1.0725046436742278</v>
      </c>
      <c r="P522" s="63" t="s">
        <v>352</v>
      </c>
    </row>
    <row r="523" spans="1:16">
      <c r="A523" s="151" t="s">
        <v>314</v>
      </c>
      <c r="B523" s="34" t="s">
        <v>334</v>
      </c>
      <c r="C523" s="40" t="s">
        <v>139</v>
      </c>
      <c r="D523" s="34" t="s">
        <v>139</v>
      </c>
      <c r="E523" s="257">
        <v>0.05</v>
      </c>
      <c r="F523" s="232">
        <v>2</v>
      </c>
      <c r="G523" s="40" t="s">
        <v>351</v>
      </c>
      <c r="H523" s="29">
        <v>1</v>
      </c>
      <c r="I523" s="9">
        <v>1</v>
      </c>
      <c r="J523" s="9">
        <v>2</v>
      </c>
      <c r="K523" s="9">
        <v>3</v>
      </c>
      <c r="L523" s="9">
        <v>3</v>
      </c>
      <c r="M523" s="9">
        <v>3</v>
      </c>
      <c r="N523" s="185">
        <f t="shared" si="41"/>
        <v>1.123005955058592</v>
      </c>
      <c r="O523" s="159">
        <f t="shared" si="42"/>
        <v>1.123005955058592</v>
      </c>
      <c r="P523" s="63" t="s">
        <v>352</v>
      </c>
    </row>
    <row r="524" spans="1:16">
      <c r="A524" s="151" t="s">
        <v>338</v>
      </c>
      <c r="B524" s="34" t="s">
        <v>334</v>
      </c>
      <c r="C524" s="40" t="s">
        <v>139</v>
      </c>
      <c r="D524" s="34" t="s">
        <v>139</v>
      </c>
      <c r="E524" s="257">
        <v>0.05</v>
      </c>
      <c r="F524" s="232">
        <v>2</v>
      </c>
      <c r="G524" s="40" t="s">
        <v>351</v>
      </c>
      <c r="H524" s="29">
        <v>1</v>
      </c>
      <c r="I524" s="9">
        <v>1</v>
      </c>
      <c r="J524" s="9">
        <v>2</v>
      </c>
      <c r="K524" s="9">
        <v>3</v>
      </c>
      <c r="L524" s="9">
        <v>3</v>
      </c>
      <c r="M524" s="9">
        <v>3</v>
      </c>
      <c r="N524" s="185">
        <f t="shared" si="41"/>
        <v>1.123005955058592</v>
      </c>
      <c r="O524" s="159">
        <f t="shared" si="42"/>
        <v>1.123005955058592</v>
      </c>
      <c r="P524" s="63" t="s">
        <v>352</v>
      </c>
    </row>
    <row r="525" spans="1:16">
      <c r="A525" s="151" t="s">
        <v>354</v>
      </c>
      <c r="B525" s="34" t="s">
        <v>334</v>
      </c>
      <c r="C525" s="40" t="s">
        <v>139</v>
      </c>
      <c r="D525" s="34" t="s">
        <v>139</v>
      </c>
      <c r="E525" s="257">
        <v>0.05</v>
      </c>
      <c r="F525" s="232">
        <v>1</v>
      </c>
      <c r="G525" s="40" t="s">
        <v>351</v>
      </c>
      <c r="H525" s="29">
        <v>2</v>
      </c>
      <c r="I525" s="9">
        <v>1</v>
      </c>
      <c r="J525" s="9">
        <v>2</v>
      </c>
      <c r="K525" s="9">
        <v>3</v>
      </c>
      <c r="L525" s="9">
        <v>1</v>
      </c>
      <c r="M525" s="9">
        <v>3</v>
      </c>
      <c r="N525" s="185">
        <f t="shared" si="41"/>
        <v>1.0776024280428556</v>
      </c>
      <c r="O525" s="159">
        <f t="shared" si="42"/>
        <v>1.0725046436742278</v>
      </c>
      <c r="P525" s="63" t="s">
        <v>352</v>
      </c>
    </row>
    <row r="526" spans="1:16">
      <c r="A526" s="289" t="s">
        <v>238</v>
      </c>
      <c r="B526" s="55" t="s">
        <v>223</v>
      </c>
      <c r="C526" s="262" t="s">
        <v>139</v>
      </c>
      <c r="D526" s="55" t="s">
        <v>139</v>
      </c>
      <c r="E526" s="257" t="s">
        <v>150</v>
      </c>
      <c r="F526" s="232">
        <v>1</v>
      </c>
      <c r="G526" s="262" t="s">
        <v>163</v>
      </c>
      <c r="H526" s="29"/>
      <c r="I526" s="9"/>
      <c r="J526" s="9"/>
      <c r="K526" s="9"/>
      <c r="L526" s="9"/>
      <c r="M526" s="9"/>
      <c r="N526" s="185" t="str">
        <f t="shared" si="41"/>
        <v/>
      </c>
      <c r="O526" s="159" t="str">
        <f t="shared" si="42"/>
        <v/>
      </c>
      <c r="P526" s="63"/>
    </row>
    <row r="527" spans="1:16">
      <c r="A527" s="289" t="s">
        <v>355</v>
      </c>
      <c r="B527" s="55" t="s">
        <v>242</v>
      </c>
      <c r="C527" s="262" t="s">
        <v>139</v>
      </c>
      <c r="D527" s="55" t="s">
        <v>139</v>
      </c>
      <c r="E527" s="257" t="s">
        <v>150</v>
      </c>
      <c r="F527" s="232">
        <v>1</v>
      </c>
      <c r="G527" s="262"/>
      <c r="H527" s="29"/>
      <c r="I527" s="9"/>
      <c r="J527" s="9"/>
      <c r="K527" s="9"/>
      <c r="L527" s="9"/>
      <c r="M527" s="9"/>
      <c r="N527" s="185"/>
      <c r="O527" s="159"/>
      <c r="P527" s="63"/>
    </row>
    <row r="528" spans="1:16">
      <c r="A528" s="289" t="s">
        <v>355</v>
      </c>
      <c r="B528" s="55" t="s">
        <v>356</v>
      </c>
      <c r="C528" s="262" t="s">
        <v>139</v>
      </c>
      <c r="D528" s="55" t="s">
        <v>139</v>
      </c>
      <c r="E528" s="257">
        <v>8.6E-3</v>
      </c>
      <c r="F528" s="232">
        <v>2</v>
      </c>
      <c r="G528" s="262" t="s">
        <v>163</v>
      </c>
      <c r="H528" s="29">
        <v>2</v>
      </c>
      <c r="I528" s="9">
        <v>2</v>
      </c>
      <c r="J528" s="9">
        <v>3</v>
      </c>
      <c r="K528" s="9">
        <v>1</v>
      </c>
      <c r="L528" s="9">
        <v>1</v>
      </c>
      <c r="M528" s="9">
        <v>1</v>
      </c>
      <c r="N528" s="185">
        <f t="shared" ref="N528:N591" si="43">IF( OR( ISBLANK(H528),ISBLANK(J528), ISBLANK(K528), ISBLANK(L528), ISBLANK(M528) ), "", 1.5*SQRT(   EXP(2.21*(H528-1)) + EXP(2.21*(J528-1)) + EXP(2.21*(K528-1)) + EXP(2.21*(L528-1)) + EXP(2.21*M528)   )/100*2.45 )</f>
        <v>0.37356464144298934</v>
      </c>
      <c r="O528" s="159">
        <f t="shared" ref="O528:O591" si="44">IF( OR( ISBLANK(I528),ISBLANK(J528), ISBLANK(K528), ISBLANK(L528), ISBLANK(M528) ), "", 1.5*SQRT( EXP(2.21*(I528-1)) + EXP(2.21*(J528-1)) + EXP(2.21*(K528-1)) + EXP(2.21*(L528-1)) + EXP(2.21*M528)   )/100*2.45 )</f>
        <v>0.37356464144298934</v>
      </c>
      <c r="P528" s="63" t="s">
        <v>357</v>
      </c>
    </row>
    <row r="529" spans="1:16">
      <c r="A529" s="289" t="s">
        <v>355</v>
      </c>
      <c r="B529" s="55" t="s">
        <v>356</v>
      </c>
      <c r="C529" s="262" t="s">
        <v>139</v>
      </c>
      <c r="D529" s="55" t="s">
        <v>139</v>
      </c>
      <c r="E529" s="257">
        <v>1.2999999999999999E-2</v>
      </c>
      <c r="F529" s="232">
        <v>2</v>
      </c>
      <c r="G529" s="262" t="s">
        <v>163</v>
      </c>
      <c r="H529" s="29">
        <v>2</v>
      </c>
      <c r="I529" s="9">
        <v>2</v>
      </c>
      <c r="J529" s="9">
        <v>3</v>
      </c>
      <c r="K529" s="9">
        <v>1</v>
      </c>
      <c r="L529" s="9">
        <v>1</v>
      </c>
      <c r="M529" s="9">
        <v>1</v>
      </c>
      <c r="N529" s="185">
        <f t="shared" si="43"/>
        <v>0.37356464144298934</v>
      </c>
      <c r="O529" s="159">
        <f t="shared" si="44"/>
        <v>0.37356464144298934</v>
      </c>
      <c r="P529" s="63" t="s">
        <v>358</v>
      </c>
    </row>
    <row r="530" spans="1:16">
      <c r="A530" s="289" t="s">
        <v>337</v>
      </c>
      <c r="B530" s="55" t="s">
        <v>204</v>
      </c>
      <c r="C530" s="262" t="s">
        <v>139</v>
      </c>
      <c r="D530" s="55" t="s">
        <v>139</v>
      </c>
      <c r="E530" s="257">
        <v>2.7E-4</v>
      </c>
      <c r="F530" s="232">
        <v>2</v>
      </c>
      <c r="G530" s="262" t="s">
        <v>163</v>
      </c>
      <c r="H530" s="29">
        <v>2</v>
      </c>
      <c r="I530" s="9">
        <v>2</v>
      </c>
      <c r="J530" s="9">
        <v>2</v>
      </c>
      <c r="K530" s="9">
        <v>3</v>
      </c>
      <c r="L530" s="9">
        <v>3</v>
      </c>
      <c r="M530" s="9">
        <v>3</v>
      </c>
      <c r="N530" s="185">
        <f t="shared" si="43"/>
        <v>1.1278755061256258</v>
      </c>
      <c r="O530" s="159">
        <f t="shared" si="44"/>
        <v>1.1278755061256258</v>
      </c>
      <c r="P530" s="63"/>
    </row>
    <row r="531" spans="1:16">
      <c r="A531" s="289" t="s">
        <v>242</v>
      </c>
      <c r="B531" s="55" t="s">
        <v>223</v>
      </c>
      <c r="C531" s="262" t="s">
        <v>139</v>
      </c>
      <c r="D531" s="55" t="s">
        <v>139</v>
      </c>
      <c r="E531" s="257" t="s">
        <v>150</v>
      </c>
      <c r="F531" s="232">
        <v>1</v>
      </c>
      <c r="G531" s="262"/>
      <c r="H531" s="29">
        <v>1</v>
      </c>
      <c r="I531" s="9">
        <v>2</v>
      </c>
      <c r="J531" s="9">
        <v>2</v>
      </c>
      <c r="K531" s="9">
        <v>2</v>
      </c>
      <c r="L531" s="9">
        <v>1</v>
      </c>
      <c r="M531" s="9">
        <v>2</v>
      </c>
      <c r="N531" s="185">
        <f t="shared" si="43"/>
        <v>0.37356464144298934</v>
      </c>
      <c r="O531" s="159">
        <f t="shared" si="44"/>
        <v>0.38795788889711302</v>
      </c>
      <c r="P531" s="63"/>
    </row>
    <row r="532" spans="1:16">
      <c r="A532" s="289" t="s">
        <v>356</v>
      </c>
      <c r="B532" s="55" t="s">
        <v>228</v>
      </c>
      <c r="C532" s="262" t="s">
        <v>139</v>
      </c>
      <c r="D532" s="55" t="s">
        <v>139</v>
      </c>
      <c r="E532" s="257">
        <v>1</v>
      </c>
      <c r="F532" s="232">
        <v>2</v>
      </c>
      <c r="G532" s="262"/>
      <c r="H532" s="29"/>
      <c r="I532" s="9"/>
      <c r="J532" s="9"/>
      <c r="K532" s="9"/>
      <c r="L532" s="9"/>
      <c r="M532" s="9"/>
      <c r="N532" s="185" t="str">
        <f t="shared" si="43"/>
        <v/>
      </c>
      <c r="O532" s="159" t="str">
        <f t="shared" si="44"/>
        <v/>
      </c>
      <c r="P532" s="63"/>
    </row>
    <row r="533" spans="1:16">
      <c r="A533" s="151" t="s">
        <v>121</v>
      </c>
      <c r="B533" s="34" t="s">
        <v>152</v>
      </c>
      <c r="C533" s="40" t="s">
        <v>139</v>
      </c>
      <c r="D533" s="34" t="s">
        <v>85</v>
      </c>
      <c r="E533" s="257">
        <v>0</v>
      </c>
      <c r="F533" s="232">
        <v>1</v>
      </c>
      <c r="G533" s="40"/>
      <c r="H533" s="29"/>
      <c r="I533" s="9"/>
      <c r="J533" s="9"/>
      <c r="K533" s="9"/>
      <c r="L533" s="9"/>
      <c r="M533" s="9"/>
      <c r="N533" s="185" t="str">
        <f t="shared" si="43"/>
        <v/>
      </c>
      <c r="O533" s="159" t="str">
        <f t="shared" si="44"/>
        <v/>
      </c>
      <c r="P533" s="63"/>
    </row>
    <row r="534" spans="1:16">
      <c r="A534" s="151" t="s">
        <v>326</v>
      </c>
      <c r="B534" s="34" t="s">
        <v>176</v>
      </c>
      <c r="C534" s="40" t="s">
        <v>139</v>
      </c>
      <c r="D534" s="34" t="s">
        <v>139</v>
      </c>
      <c r="E534" s="257">
        <v>1.17E-2</v>
      </c>
      <c r="F534" s="232">
        <v>2</v>
      </c>
      <c r="G534" s="40" t="s">
        <v>344</v>
      </c>
      <c r="H534" s="29">
        <v>2</v>
      </c>
      <c r="I534" s="9"/>
      <c r="J534" s="9">
        <v>3</v>
      </c>
      <c r="K534" s="9">
        <v>3</v>
      </c>
      <c r="L534" s="9">
        <v>3</v>
      </c>
      <c r="M534" s="9">
        <v>2</v>
      </c>
      <c r="N534" s="185">
        <f t="shared" si="43"/>
        <v>0.67913051197703389</v>
      </c>
      <c r="O534" s="159" t="str">
        <f t="shared" si="44"/>
        <v/>
      </c>
      <c r="P534" s="63" t="s">
        <v>359</v>
      </c>
    </row>
    <row r="535" spans="1:16">
      <c r="A535" s="289" t="s">
        <v>360</v>
      </c>
      <c r="B535" s="55" t="s">
        <v>361</v>
      </c>
      <c r="C535" s="262" t="s">
        <v>139</v>
      </c>
      <c r="D535" s="55" t="s">
        <v>139</v>
      </c>
      <c r="E535" s="257">
        <v>0.24038461538461536</v>
      </c>
      <c r="F535" s="232">
        <v>2</v>
      </c>
      <c r="G535" s="262" t="s">
        <v>163</v>
      </c>
      <c r="H535" s="29">
        <v>2</v>
      </c>
      <c r="I535" s="9">
        <v>2</v>
      </c>
      <c r="J535" s="9">
        <v>1</v>
      </c>
      <c r="K535" s="9">
        <v>1</v>
      </c>
      <c r="L535" s="9">
        <v>1</v>
      </c>
      <c r="M535" s="9">
        <v>3</v>
      </c>
      <c r="N535" s="185">
        <f t="shared" si="43"/>
        <v>1.0195048044558224</v>
      </c>
      <c r="O535" s="159">
        <f t="shared" si="44"/>
        <v>1.0195048044558224</v>
      </c>
      <c r="P535" s="63" t="s">
        <v>357</v>
      </c>
    </row>
    <row r="536" spans="1:16">
      <c r="A536" s="289" t="s">
        <v>360</v>
      </c>
      <c r="B536" s="55" t="s">
        <v>361</v>
      </c>
      <c r="C536" s="262" t="s">
        <v>139</v>
      </c>
      <c r="D536" s="55" t="s">
        <v>139</v>
      </c>
      <c r="E536" s="257">
        <v>0.13440860215053765</v>
      </c>
      <c r="F536" s="232">
        <v>2</v>
      </c>
      <c r="G536" s="262" t="s">
        <v>163</v>
      </c>
      <c r="H536" s="29">
        <v>2</v>
      </c>
      <c r="I536" s="9">
        <v>2</v>
      </c>
      <c r="J536" s="9">
        <v>1</v>
      </c>
      <c r="K536" s="9">
        <v>1</v>
      </c>
      <c r="L536" s="9">
        <v>1</v>
      </c>
      <c r="M536" s="9">
        <v>3</v>
      </c>
      <c r="N536" s="185">
        <f t="shared" si="43"/>
        <v>1.0195048044558224</v>
      </c>
      <c r="O536" s="159">
        <f t="shared" si="44"/>
        <v>1.0195048044558224</v>
      </c>
      <c r="P536" s="63" t="s">
        <v>358</v>
      </c>
    </row>
    <row r="537" spans="1:16">
      <c r="A537" s="151" t="s">
        <v>39</v>
      </c>
      <c r="B537" s="34" t="s">
        <v>235</v>
      </c>
      <c r="C537" s="40" t="s">
        <v>139</v>
      </c>
      <c r="D537" s="34" t="s">
        <v>85</v>
      </c>
      <c r="E537" s="257">
        <v>5.33E-2</v>
      </c>
      <c r="F537" s="232">
        <v>1</v>
      </c>
      <c r="G537" s="40" t="s">
        <v>140</v>
      </c>
      <c r="H537" s="29">
        <v>2</v>
      </c>
      <c r="I537" s="9">
        <v>2</v>
      </c>
      <c r="J537" s="9">
        <v>2</v>
      </c>
      <c r="K537" s="9">
        <v>1</v>
      </c>
      <c r="L537" s="9">
        <v>1</v>
      </c>
      <c r="M537" s="9">
        <v>2</v>
      </c>
      <c r="N537" s="185">
        <f t="shared" si="43"/>
        <v>0.37356464144298934</v>
      </c>
      <c r="O537" s="159">
        <f t="shared" si="44"/>
        <v>0.37356464144298934</v>
      </c>
      <c r="P537" s="63"/>
    </row>
    <row r="538" spans="1:16">
      <c r="A538" s="151" t="s">
        <v>39</v>
      </c>
      <c r="B538" s="34" t="s">
        <v>235</v>
      </c>
      <c r="C538" s="40" t="s">
        <v>139</v>
      </c>
      <c r="D538" s="34" t="s">
        <v>86</v>
      </c>
      <c r="E538" s="257">
        <v>0</v>
      </c>
      <c r="F538" s="232">
        <v>1</v>
      </c>
      <c r="G538" s="40" t="s">
        <v>140</v>
      </c>
      <c r="H538" s="29"/>
      <c r="I538" s="9"/>
      <c r="J538" s="9"/>
      <c r="K538" s="9"/>
      <c r="L538" s="9"/>
      <c r="M538" s="9"/>
      <c r="N538" s="185" t="str">
        <f t="shared" si="43"/>
        <v/>
      </c>
      <c r="O538" s="159" t="str">
        <f t="shared" si="44"/>
        <v/>
      </c>
      <c r="P538" s="63"/>
    </row>
    <row r="539" spans="1:16">
      <c r="A539" s="151" t="s">
        <v>39</v>
      </c>
      <c r="B539" s="34" t="s">
        <v>235</v>
      </c>
      <c r="C539" s="40" t="s">
        <v>139</v>
      </c>
      <c r="D539" s="34" t="s">
        <v>87</v>
      </c>
      <c r="E539" s="257">
        <v>2.58E-2</v>
      </c>
      <c r="F539" s="232">
        <v>1</v>
      </c>
      <c r="G539" s="40" t="s">
        <v>140</v>
      </c>
      <c r="H539" s="29">
        <v>2</v>
      </c>
      <c r="I539" s="9">
        <v>2</v>
      </c>
      <c r="J539" s="9">
        <v>2</v>
      </c>
      <c r="K539" s="9">
        <v>1</v>
      </c>
      <c r="L539" s="9">
        <v>1</v>
      </c>
      <c r="M539" s="9">
        <v>2</v>
      </c>
      <c r="N539" s="185">
        <f t="shared" si="43"/>
        <v>0.37356464144298934</v>
      </c>
      <c r="O539" s="159">
        <f t="shared" si="44"/>
        <v>0.37356464144298934</v>
      </c>
      <c r="P539" s="63"/>
    </row>
    <row r="540" spans="1:16">
      <c r="A540" s="151" t="s">
        <v>39</v>
      </c>
      <c r="B540" s="34" t="s">
        <v>235</v>
      </c>
      <c r="C540" s="40" t="s">
        <v>139</v>
      </c>
      <c r="D540" s="34" t="s">
        <v>88</v>
      </c>
      <c r="E540" s="257">
        <v>0</v>
      </c>
      <c r="F540" s="232">
        <v>1</v>
      </c>
      <c r="G540" s="40" t="s">
        <v>140</v>
      </c>
      <c r="H540" s="29"/>
      <c r="I540" s="9"/>
      <c r="J540" s="9"/>
      <c r="K540" s="9"/>
      <c r="L540" s="9"/>
      <c r="M540" s="9"/>
      <c r="N540" s="185" t="str">
        <f t="shared" si="43"/>
        <v/>
      </c>
      <c r="O540" s="159" t="str">
        <f t="shared" si="44"/>
        <v/>
      </c>
      <c r="P540" s="63"/>
    </row>
    <row r="541" spans="1:16">
      <c r="A541" s="151" t="s">
        <v>39</v>
      </c>
      <c r="B541" s="34" t="s">
        <v>235</v>
      </c>
      <c r="C541" s="40" t="s">
        <v>139</v>
      </c>
      <c r="D541" s="34" t="s">
        <v>89</v>
      </c>
      <c r="E541" s="257">
        <v>0</v>
      </c>
      <c r="F541" s="232">
        <v>1</v>
      </c>
      <c r="G541" s="40" t="s">
        <v>140</v>
      </c>
      <c r="H541" s="29"/>
      <c r="I541" s="9"/>
      <c r="J541" s="9"/>
      <c r="K541" s="9"/>
      <c r="L541" s="9"/>
      <c r="M541" s="9"/>
      <c r="N541" s="185" t="str">
        <f t="shared" si="43"/>
        <v/>
      </c>
      <c r="O541" s="159" t="str">
        <f t="shared" si="44"/>
        <v/>
      </c>
      <c r="P541" s="63"/>
    </row>
    <row r="542" spans="1:16">
      <c r="A542" s="151" t="s">
        <v>39</v>
      </c>
      <c r="B542" s="34" t="s">
        <v>235</v>
      </c>
      <c r="C542" s="40" t="s">
        <v>139</v>
      </c>
      <c r="D542" s="34" t="s">
        <v>90</v>
      </c>
      <c r="E542" s="257">
        <v>0</v>
      </c>
      <c r="F542" s="232">
        <v>1</v>
      </c>
      <c r="G542" s="40" t="s">
        <v>140</v>
      </c>
      <c r="H542" s="29"/>
      <c r="I542" s="9"/>
      <c r="J542" s="9"/>
      <c r="K542" s="9"/>
      <c r="L542" s="9"/>
      <c r="M542" s="9"/>
      <c r="N542" s="185" t="str">
        <f t="shared" si="43"/>
        <v/>
      </c>
      <c r="O542" s="159" t="str">
        <f t="shared" si="44"/>
        <v/>
      </c>
      <c r="P542" s="63"/>
    </row>
    <row r="543" spans="1:16">
      <c r="A543" s="151" t="s">
        <v>39</v>
      </c>
      <c r="B543" s="34" t="s">
        <v>235</v>
      </c>
      <c r="C543" s="40" t="s">
        <v>139</v>
      </c>
      <c r="D543" s="34" t="s">
        <v>91</v>
      </c>
      <c r="E543" s="257">
        <v>0</v>
      </c>
      <c r="F543" s="232">
        <v>1</v>
      </c>
      <c r="G543" s="40" t="s">
        <v>140</v>
      </c>
      <c r="H543" s="29"/>
      <c r="I543" s="9"/>
      <c r="J543" s="9"/>
      <c r="K543" s="9"/>
      <c r="L543" s="9"/>
      <c r="M543" s="9"/>
      <c r="N543" s="185" t="str">
        <f t="shared" si="43"/>
        <v/>
      </c>
      <c r="O543" s="159" t="str">
        <f t="shared" si="44"/>
        <v/>
      </c>
      <c r="P543" s="63"/>
    </row>
    <row r="544" spans="1:16">
      <c r="A544" s="151" t="s">
        <v>39</v>
      </c>
      <c r="B544" s="34" t="s">
        <v>235</v>
      </c>
      <c r="C544" s="40" t="s">
        <v>139</v>
      </c>
      <c r="D544" s="34" t="s">
        <v>98</v>
      </c>
      <c r="E544" s="257">
        <v>0</v>
      </c>
      <c r="F544" s="232">
        <v>1</v>
      </c>
      <c r="G544" s="40" t="s">
        <v>141</v>
      </c>
      <c r="H544" s="29"/>
      <c r="I544" s="9"/>
      <c r="J544" s="9"/>
      <c r="K544" s="9"/>
      <c r="L544" s="9"/>
      <c r="M544" s="9"/>
      <c r="N544" s="185" t="str">
        <f t="shared" si="43"/>
        <v/>
      </c>
      <c r="O544" s="159" t="str">
        <f t="shared" si="44"/>
        <v/>
      </c>
      <c r="P544" s="63"/>
    </row>
    <row r="545" spans="1:16">
      <c r="A545" s="151" t="s">
        <v>37</v>
      </c>
      <c r="B545" s="34" t="s">
        <v>362</v>
      </c>
      <c r="C545" s="40" t="s">
        <v>139</v>
      </c>
      <c r="D545" s="34" t="s">
        <v>85</v>
      </c>
      <c r="E545" s="257">
        <f>Intentionally_produced_MPs!T127</f>
        <v>0</v>
      </c>
      <c r="F545" s="232">
        <v>1</v>
      </c>
      <c r="G545" s="40"/>
      <c r="H545" s="29"/>
      <c r="I545" s="9"/>
      <c r="J545" s="9"/>
      <c r="K545" s="9"/>
      <c r="L545" s="9"/>
      <c r="M545" s="9"/>
      <c r="N545" s="185" t="str">
        <f t="shared" si="43"/>
        <v/>
      </c>
      <c r="O545" s="159" t="str">
        <f t="shared" si="44"/>
        <v/>
      </c>
      <c r="P545" s="63"/>
    </row>
    <row r="546" spans="1:16">
      <c r="A546" s="151" t="s">
        <v>37</v>
      </c>
      <c r="B546" s="34" t="s">
        <v>362</v>
      </c>
      <c r="C546" s="40" t="s">
        <v>139</v>
      </c>
      <c r="D546" s="34" t="s">
        <v>86</v>
      </c>
      <c r="E546" s="257">
        <f>Intentionally_produced_MPs!T128</f>
        <v>0</v>
      </c>
      <c r="F546" s="232">
        <v>1</v>
      </c>
      <c r="G546" s="40"/>
      <c r="H546" s="29"/>
      <c r="I546" s="9"/>
      <c r="J546" s="9"/>
      <c r="K546" s="9"/>
      <c r="L546" s="9"/>
      <c r="M546" s="9"/>
      <c r="N546" s="185" t="str">
        <f t="shared" si="43"/>
        <v/>
      </c>
      <c r="O546" s="159" t="str">
        <f t="shared" si="44"/>
        <v/>
      </c>
      <c r="P546" s="63"/>
    </row>
    <row r="547" spans="1:16">
      <c r="A547" s="151" t="s">
        <v>37</v>
      </c>
      <c r="B547" s="34" t="s">
        <v>362</v>
      </c>
      <c r="C547" s="40" t="s">
        <v>139</v>
      </c>
      <c r="D547" s="34" t="s">
        <v>87</v>
      </c>
      <c r="E547" s="257">
        <f>Intentionally_produced_MPs!T129</f>
        <v>0</v>
      </c>
      <c r="F547" s="232">
        <v>1</v>
      </c>
      <c r="G547" s="40"/>
      <c r="H547" s="29"/>
      <c r="I547" s="9"/>
      <c r="J547" s="9"/>
      <c r="K547" s="9"/>
      <c r="L547" s="9"/>
      <c r="M547" s="9"/>
      <c r="N547" s="185" t="str">
        <f t="shared" si="43"/>
        <v/>
      </c>
      <c r="O547" s="159" t="str">
        <f t="shared" si="44"/>
        <v/>
      </c>
      <c r="P547" s="63"/>
    </row>
    <row r="548" spans="1:16">
      <c r="A548" s="151" t="s">
        <v>37</v>
      </c>
      <c r="B548" s="34" t="s">
        <v>362</v>
      </c>
      <c r="C548" s="40" t="s">
        <v>139</v>
      </c>
      <c r="D548" s="34" t="s">
        <v>88</v>
      </c>
      <c r="E548" s="257">
        <f>Intentionally_produced_MPs!T130</f>
        <v>0</v>
      </c>
      <c r="F548" s="232">
        <v>1</v>
      </c>
      <c r="G548" s="40"/>
      <c r="H548" s="29"/>
      <c r="I548" s="9"/>
      <c r="J548" s="9"/>
      <c r="K548" s="9"/>
      <c r="L548" s="9"/>
      <c r="M548" s="9"/>
      <c r="N548" s="185" t="str">
        <f t="shared" si="43"/>
        <v/>
      </c>
      <c r="O548" s="159" t="str">
        <f t="shared" si="44"/>
        <v/>
      </c>
      <c r="P548" s="63"/>
    </row>
    <row r="549" spans="1:16">
      <c r="A549" s="151" t="s">
        <v>37</v>
      </c>
      <c r="B549" s="34" t="s">
        <v>362</v>
      </c>
      <c r="C549" s="40" t="s">
        <v>139</v>
      </c>
      <c r="D549" s="34" t="s">
        <v>89</v>
      </c>
      <c r="E549" s="257">
        <f>Intentionally_produced_MPs!T131</f>
        <v>0</v>
      </c>
      <c r="F549" s="232">
        <v>1</v>
      </c>
      <c r="G549" s="40"/>
      <c r="H549" s="29"/>
      <c r="I549" s="9"/>
      <c r="J549" s="9"/>
      <c r="K549" s="9"/>
      <c r="L549" s="9"/>
      <c r="M549" s="9"/>
      <c r="N549" s="185" t="str">
        <f t="shared" si="43"/>
        <v/>
      </c>
      <c r="O549" s="159" t="str">
        <f t="shared" si="44"/>
        <v/>
      </c>
      <c r="P549" s="63"/>
    </row>
    <row r="550" spans="1:16">
      <c r="A550" s="151" t="s">
        <v>37</v>
      </c>
      <c r="B550" s="34" t="s">
        <v>362</v>
      </c>
      <c r="C550" s="40" t="s">
        <v>139</v>
      </c>
      <c r="D550" s="34" t="s">
        <v>90</v>
      </c>
      <c r="E550" s="257">
        <f>Intentionally_produced_MPs!T132</f>
        <v>0</v>
      </c>
      <c r="F550" s="232">
        <v>1</v>
      </c>
      <c r="G550" s="40"/>
      <c r="H550" s="29"/>
      <c r="I550" s="9"/>
      <c r="J550" s="9"/>
      <c r="K550" s="9"/>
      <c r="L550" s="9"/>
      <c r="M550" s="9"/>
      <c r="N550" s="185" t="str">
        <f t="shared" si="43"/>
        <v/>
      </c>
      <c r="O550" s="159" t="str">
        <f t="shared" si="44"/>
        <v/>
      </c>
      <c r="P550" s="63"/>
    </row>
    <row r="551" spans="1:16">
      <c r="A551" s="151" t="s">
        <v>37</v>
      </c>
      <c r="B551" s="34" t="s">
        <v>362</v>
      </c>
      <c r="C551" s="40" t="s">
        <v>139</v>
      </c>
      <c r="D551" s="34" t="s">
        <v>91</v>
      </c>
      <c r="E551" s="257">
        <f>Intentionally_produced_MPs!T133</f>
        <v>0</v>
      </c>
      <c r="F551" s="232">
        <v>1</v>
      </c>
      <c r="G551" s="40"/>
      <c r="H551" s="29"/>
      <c r="I551" s="9"/>
      <c r="J551" s="9"/>
      <c r="K551" s="9"/>
      <c r="L551" s="9"/>
      <c r="M551" s="9"/>
      <c r="N551" s="185" t="str">
        <f t="shared" si="43"/>
        <v/>
      </c>
      <c r="O551" s="159" t="str">
        <f t="shared" si="44"/>
        <v/>
      </c>
      <c r="P551" s="63"/>
    </row>
    <row r="552" spans="1:16">
      <c r="A552" s="151" t="s">
        <v>37</v>
      </c>
      <c r="B552" s="34" t="s">
        <v>362</v>
      </c>
      <c r="C552" s="40" t="s">
        <v>139</v>
      </c>
      <c r="D552" s="34" t="s">
        <v>92</v>
      </c>
      <c r="E552" s="257">
        <f>Intentionally_produced_MPs!T134</f>
        <v>0</v>
      </c>
      <c r="F552" s="232">
        <v>1</v>
      </c>
      <c r="G552" s="40"/>
      <c r="H552" s="29"/>
      <c r="I552" s="9"/>
      <c r="J552" s="9"/>
      <c r="K552" s="9"/>
      <c r="L552" s="9"/>
      <c r="M552" s="9"/>
      <c r="N552" s="185" t="str">
        <f t="shared" si="43"/>
        <v/>
      </c>
      <c r="O552" s="159" t="str">
        <f t="shared" si="44"/>
        <v/>
      </c>
      <c r="P552" s="63"/>
    </row>
    <row r="553" spans="1:16">
      <c r="A553" s="151" t="s">
        <v>37</v>
      </c>
      <c r="B553" s="34" t="s">
        <v>362</v>
      </c>
      <c r="C553" s="40" t="s">
        <v>139</v>
      </c>
      <c r="D553" s="34" t="s">
        <v>93</v>
      </c>
      <c r="E553" s="257">
        <f>Intentionally_produced_MPs!T135</f>
        <v>0</v>
      </c>
      <c r="F553" s="232">
        <v>1</v>
      </c>
      <c r="G553" s="40"/>
      <c r="H553" s="29"/>
      <c r="I553" s="9"/>
      <c r="J553" s="9"/>
      <c r="K553" s="9"/>
      <c r="L553" s="9"/>
      <c r="M553" s="9"/>
      <c r="N553" s="185" t="str">
        <f t="shared" si="43"/>
        <v/>
      </c>
      <c r="O553" s="159" t="str">
        <f t="shared" si="44"/>
        <v/>
      </c>
      <c r="P553" s="63"/>
    </row>
    <row r="554" spans="1:16">
      <c r="A554" s="151" t="s">
        <v>37</v>
      </c>
      <c r="B554" s="34" t="s">
        <v>362</v>
      </c>
      <c r="C554" s="40" t="s">
        <v>139</v>
      </c>
      <c r="D554" s="34" t="s">
        <v>94</v>
      </c>
      <c r="E554" s="257">
        <f>Intentionally_produced_MPs!T136</f>
        <v>0</v>
      </c>
      <c r="F554" s="232">
        <v>1</v>
      </c>
      <c r="G554" s="40"/>
      <c r="H554" s="29"/>
      <c r="I554" s="9"/>
      <c r="J554" s="9"/>
      <c r="K554" s="9"/>
      <c r="L554" s="9"/>
      <c r="M554" s="9"/>
      <c r="N554" s="185" t="str">
        <f t="shared" si="43"/>
        <v/>
      </c>
      <c r="O554" s="159" t="str">
        <f t="shared" si="44"/>
        <v/>
      </c>
      <c r="P554" s="63"/>
    </row>
    <row r="555" spans="1:16">
      <c r="A555" s="151" t="s">
        <v>37</v>
      </c>
      <c r="B555" s="34" t="s">
        <v>362</v>
      </c>
      <c r="C555" s="40" t="s">
        <v>139</v>
      </c>
      <c r="D555" s="34" t="s">
        <v>95</v>
      </c>
      <c r="E555" s="257">
        <f>Intentionally_produced_MPs!T137</f>
        <v>0</v>
      </c>
      <c r="F555" s="232">
        <v>1</v>
      </c>
      <c r="G555" s="40"/>
      <c r="H555" s="29"/>
      <c r="I555" s="9"/>
      <c r="J555" s="9"/>
      <c r="K555" s="9"/>
      <c r="L555" s="9"/>
      <c r="M555" s="9"/>
      <c r="N555" s="185" t="str">
        <f t="shared" si="43"/>
        <v/>
      </c>
      <c r="O555" s="159" t="str">
        <f t="shared" si="44"/>
        <v/>
      </c>
      <c r="P555" s="63"/>
    </row>
    <row r="556" spans="1:16">
      <c r="A556" s="151" t="s">
        <v>37</v>
      </c>
      <c r="B556" s="34" t="s">
        <v>362</v>
      </c>
      <c r="C556" s="40" t="s">
        <v>139</v>
      </c>
      <c r="D556" s="34" t="s">
        <v>96</v>
      </c>
      <c r="E556" s="257">
        <f>Intentionally_produced_MPs!T138</f>
        <v>0</v>
      </c>
      <c r="F556" s="232">
        <v>1</v>
      </c>
      <c r="G556" s="40"/>
      <c r="H556" s="29"/>
      <c r="I556" s="9"/>
      <c r="J556" s="9"/>
      <c r="K556" s="9"/>
      <c r="L556" s="9"/>
      <c r="M556" s="9"/>
      <c r="N556" s="185" t="str">
        <f t="shared" si="43"/>
        <v/>
      </c>
      <c r="O556" s="159" t="str">
        <f t="shared" si="44"/>
        <v/>
      </c>
      <c r="P556" s="63"/>
    </row>
    <row r="557" spans="1:16">
      <c r="A557" s="151" t="s">
        <v>37</v>
      </c>
      <c r="B557" s="34" t="s">
        <v>362</v>
      </c>
      <c r="C557" s="40" t="s">
        <v>139</v>
      </c>
      <c r="D557" s="34" t="s">
        <v>97</v>
      </c>
      <c r="E557" s="257">
        <f>Intentionally_produced_MPs!T139</f>
        <v>0</v>
      </c>
      <c r="F557" s="232">
        <v>1</v>
      </c>
      <c r="G557" s="40"/>
      <c r="H557" s="29"/>
      <c r="I557" s="9"/>
      <c r="J557" s="9"/>
      <c r="K557" s="9"/>
      <c r="L557" s="9"/>
      <c r="M557" s="9"/>
      <c r="N557" s="185" t="str">
        <f t="shared" si="43"/>
        <v/>
      </c>
      <c r="O557" s="159" t="str">
        <f t="shared" si="44"/>
        <v/>
      </c>
      <c r="P557" s="63"/>
    </row>
    <row r="558" spans="1:16">
      <c r="A558" s="151" t="s">
        <v>37</v>
      </c>
      <c r="B558" s="34" t="s">
        <v>362</v>
      </c>
      <c r="C558" s="40" t="s">
        <v>139</v>
      </c>
      <c r="D558" s="34" t="s">
        <v>98</v>
      </c>
      <c r="E558" s="257">
        <f>Intentionally_produced_MPs!T140</f>
        <v>0.3578389480384554</v>
      </c>
      <c r="F558" s="232">
        <v>1</v>
      </c>
      <c r="G558" s="40"/>
      <c r="H558" s="29">
        <v>3</v>
      </c>
      <c r="I558" s="9">
        <v>2</v>
      </c>
      <c r="J558" s="9">
        <v>3</v>
      </c>
      <c r="K558" s="9">
        <v>3</v>
      </c>
      <c r="L558" s="9">
        <v>3</v>
      </c>
      <c r="M558" s="9">
        <v>3</v>
      </c>
      <c r="N558" s="185">
        <f t="shared" si="43"/>
        <v>1.2132328390150593</v>
      </c>
      <c r="O558" s="159">
        <f t="shared" si="44"/>
        <v>1.1713319510247036</v>
      </c>
      <c r="P558" s="63"/>
    </row>
    <row r="559" spans="1:16">
      <c r="A559" s="151" t="s">
        <v>363</v>
      </c>
      <c r="B559" s="34" t="s">
        <v>364</v>
      </c>
      <c r="C559" s="40" t="s">
        <v>139</v>
      </c>
      <c r="D559" s="34" t="s">
        <v>139</v>
      </c>
      <c r="E559" s="257">
        <v>0.03</v>
      </c>
      <c r="F559" s="232">
        <v>2</v>
      </c>
      <c r="G559" s="40" t="s">
        <v>365</v>
      </c>
      <c r="H559" s="29">
        <v>2</v>
      </c>
      <c r="I559" s="9">
        <v>2</v>
      </c>
      <c r="J559" s="9">
        <v>2</v>
      </c>
      <c r="K559" s="9">
        <v>1</v>
      </c>
      <c r="L559" s="9">
        <v>1</v>
      </c>
      <c r="M559" s="9">
        <v>2</v>
      </c>
      <c r="N559" s="185">
        <f t="shared" si="43"/>
        <v>0.37356464144298934</v>
      </c>
      <c r="O559" s="159">
        <f t="shared" si="44"/>
        <v>0.37356464144298934</v>
      </c>
      <c r="P559" s="63" t="s">
        <v>366</v>
      </c>
    </row>
    <row r="560" spans="1:16">
      <c r="A560" s="151" t="s">
        <v>232</v>
      </c>
      <c r="B560" s="34" t="s">
        <v>367</v>
      </c>
      <c r="C560" s="40" t="s">
        <v>139</v>
      </c>
      <c r="D560" s="34" t="s">
        <v>139</v>
      </c>
      <c r="E560" s="257">
        <v>0.03</v>
      </c>
      <c r="F560" s="232">
        <v>2</v>
      </c>
      <c r="G560" s="40" t="s">
        <v>365</v>
      </c>
      <c r="H560" s="29">
        <v>2</v>
      </c>
      <c r="I560" s="9">
        <v>2</v>
      </c>
      <c r="J560" s="9">
        <v>2</v>
      </c>
      <c r="K560" s="9">
        <v>1</v>
      </c>
      <c r="L560" s="9">
        <v>1</v>
      </c>
      <c r="M560" s="9">
        <v>2</v>
      </c>
      <c r="N560" s="185">
        <f t="shared" si="43"/>
        <v>0.37356464144298934</v>
      </c>
      <c r="O560" s="159">
        <f t="shared" si="44"/>
        <v>0.37356464144298934</v>
      </c>
      <c r="P560" s="63" t="s">
        <v>366</v>
      </c>
    </row>
    <row r="561" spans="1:16">
      <c r="A561" s="151" t="s">
        <v>200</v>
      </c>
      <c r="B561" s="34" t="s">
        <v>368</v>
      </c>
      <c r="C561" s="40" t="s">
        <v>139</v>
      </c>
      <c r="D561" s="34" t="s">
        <v>85</v>
      </c>
      <c r="E561" s="257">
        <v>0.13950000000000001</v>
      </c>
      <c r="F561" s="232">
        <v>2</v>
      </c>
      <c r="G561" s="40" t="s">
        <v>369</v>
      </c>
      <c r="H561" s="29">
        <v>2</v>
      </c>
      <c r="I561" s="9">
        <v>2</v>
      </c>
      <c r="J561" s="9">
        <v>2</v>
      </c>
      <c r="K561" s="9">
        <v>1</v>
      </c>
      <c r="L561" s="9">
        <v>1</v>
      </c>
      <c r="M561" s="9">
        <v>2</v>
      </c>
      <c r="N561" s="185">
        <f t="shared" si="43"/>
        <v>0.37356464144298934</v>
      </c>
      <c r="O561" s="159">
        <f t="shared" si="44"/>
        <v>0.37356464144298934</v>
      </c>
      <c r="P561" s="63"/>
    </row>
    <row r="562" spans="1:16">
      <c r="A562" s="151" t="s">
        <v>200</v>
      </c>
      <c r="B562" s="34" t="s">
        <v>368</v>
      </c>
      <c r="C562" s="40" t="s">
        <v>139</v>
      </c>
      <c r="D562" s="34" t="s">
        <v>86</v>
      </c>
      <c r="E562" s="257">
        <v>0.24110000000000001</v>
      </c>
      <c r="F562" s="232">
        <v>2</v>
      </c>
      <c r="G562" s="40" t="s">
        <v>369</v>
      </c>
      <c r="H562" s="29">
        <v>2</v>
      </c>
      <c r="I562" s="9">
        <v>2</v>
      </c>
      <c r="J562" s="9">
        <v>2</v>
      </c>
      <c r="K562" s="9">
        <v>1</v>
      </c>
      <c r="L562" s="9">
        <v>1</v>
      </c>
      <c r="M562" s="9">
        <v>2</v>
      </c>
      <c r="N562" s="185">
        <f t="shared" si="43"/>
        <v>0.37356464144298934</v>
      </c>
      <c r="O562" s="159">
        <f t="shared" si="44"/>
        <v>0.37356464144298934</v>
      </c>
      <c r="P562" s="63"/>
    </row>
    <row r="563" spans="1:16">
      <c r="A563" s="151" t="s">
        <v>200</v>
      </c>
      <c r="B563" s="34" t="s">
        <v>368</v>
      </c>
      <c r="C563" s="40" t="s">
        <v>139</v>
      </c>
      <c r="D563" s="34" t="s">
        <v>87</v>
      </c>
      <c r="E563" s="257">
        <v>0.17499999999999999</v>
      </c>
      <c r="F563" s="232">
        <v>2</v>
      </c>
      <c r="G563" s="40" t="s">
        <v>369</v>
      </c>
      <c r="H563" s="29">
        <v>2</v>
      </c>
      <c r="I563" s="9">
        <v>2</v>
      </c>
      <c r="J563" s="9">
        <v>2</v>
      </c>
      <c r="K563" s="9">
        <v>1</v>
      </c>
      <c r="L563" s="9">
        <v>1</v>
      </c>
      <c r="M563" s="9">
        <v>2</v>
      </c>
      <c r="N563" s="185">
        <f t="shared" si="43"/>
        <v>0.37356464144298934</v>
      </c>
      <c r="O563" s="159">
        <f t="shared" si="44"/>
        <v>0.37356464144298934</v>
      </c>
      <c r="P563" s="63"/>
    </row>
    <row r="564" spans="1:16">
      <c r="A564" s="151" t="s">
        <v>200</v>
      </c>
      <c r="B564" s="34" t="s">
        <v>368</v>
      </c>
      <c r="C564" s="40" t="s">
        <v>139</v>
      </c>
      <c r="D564" s="34" t="s">
        <v>88</v>
      </c>
      <c r="E564" s="257">
        <v>0.22220000000000001</v>
      </c>
      <c r="F564" s="232">
        <v>2</v>
      </c>
      <c r="G564" s="40" t="s">
        <v>369</v>
      </c>
      <c r="H564" s="29">
        <v>2</v>
      </c>
      <c r="I564" s="9">
        <v>2</v>
      </c>
      <c r="J564" s="9">
        <v>2</v>
      </c>
      <c r="K564" s="9">
        <v>1</v>
      </c>
      <c r="L564" s="9">
        <v>1</v>
      </c>
      <c r="M564" s="9">
        <v>2</v>
      </c>
      <c r="N564" s="185">
        <f t="shared" si="43"/>
        <v>0.37356464144298934</v>
      </c>
      <c r="O564" s="159">
        <f t="shared" si="44"/>
        <v>0.37356464144298934</v>
      </c>
      <c r="P564" s="63"/>
    </row>
    <row r="565" spans="1:16">
      <c r="A565" s="151" t="s">
        <v>200</v>
      </c>
      <c r="B565" s="34" t="s">
        <v>368</v>
      </c>
      <c r="C565" s="40" t="s">
        <v>139</v>
      </c>
      <c r="D565" s="34" t="s">
        <v>89</v>
      </c>
      <c r="E565" s="257">
        <v>0.22220000000000001</v>
      </c>
      <c r="F565" s="232">
        <v>2</v>
      </c>
      <c r="G565" s="40" t="s">
        <v>369</v>
      </c>
      <c r="H565" s="29">
        <v>2</v>
      </c>
      <c r="I565" s="9">
        <v>2</v>
      </c>
      <c r="J565" s="9">
        <v>2</v>
      </c>
      <c r="K565" s="9">
        <v>1</v>
      </c>
      <c r="L565" s="9">
        <v>1</v>
      </c>
      <c r="M565" s="9">
        <v>2</v>
      </c>
      <c r="N565" s="185">
        <f t="shared" si="43"/>
        <v>0.37356464144298934</v>
      </c>
      <c r="O565" s="159">
        <f t="shared" si="44"/>
        <v>0.37356464144298934</v>
      </c>
      <c r="P565" s="63"/>
    </row>
    <row r="566" spans="1:16">
      <c r="A566" s="151" t="s">
        <v>200</v>
      </c>
      <c r="B566" s="34" t="s">
        <v>368</v>
      </c>
      <c r="C566" s="40" t="s">
        <v>139</v>
      </c>
      <c r="D566" s="34" t="s">
        <v>90</v>
      </c>
      <c r="E566" s="257">
        <v>0</v>
      </c>
      <c r="F566" s="232">
        <v>2</v>
      </c>
      <c r="G566" s="40" t="s">
        <v>369</v>
      </c>
      <c r="H566" s="29"/>
      <c r="I566" s="9"/>
      <c r="J566" s="9"/>
      <c r="K566" s="9"/>
      <c r="L566" s="9"/>
      <c r="M566" s="9"/>
      <c r="N566" s="185" t="str">
        <f t="shared" si="43"/>
        <v/>
      </c>
      <c r="O566" s="159" t="str">
        <f t="shared" si="44"/>
        <v/>
      </c>
      <c r="P566" s="63"/>
    </row>
    <row r="567" spans="1:16">
      <c r="A567" s="151" t="s">
        <v>200</v>
      </c>
      <c r="B567" s="34" t="s">
        <v>368</v>
      </c>
      <c r="C567" s="40" t="s">
        <v>139</v>
      </c>
      <c r="D567" s="34" t="s">
        <v>91</v>
      </c>
      <c r="E567" s="257">
        <v>0.22220000000000001</v>
      </c>
      <c r="F567" s="232">
        <v>2</v>
      </c>
      <c r="G567" s="40" t="s">
        <v>369</v>
      </c>
      <c r="H567" s="29">
        <v>2</v>
      </c>
      <c r="I567" s="9">
        <v>2</v>
      </c>
      <c r="J567" s="9">
        <v>2</v>
      </c>
      <c r="K567" s="9">
        <v>1</v>
      </c>
      <c r="L567" s="9">
        <v>1</v>
      </c>
      <c r="M567" s="9">
        <v>2</v>
      </c>
      <c r="N567" s="185">
        <f t="shared" si="43"/>
        <v>0.37356464144298934</v>
      </c>
      <c r="O567" s="159">
        <f t="shared" si="44"/>
        <v>0.37356464144298934</v>
      </c>
      <c r="P567" s="63"/>
    </row>
    <row r="568" spans="1:16">
      <c r="A568" s="151" t="s">
        <v>201</v>
      </c>
      <c r="B568" s="34" t="s">
        <v>368</v>
      </c>
      <c r="C568" s="40" t="s">
        <v>139</v>
      </c>
      <c r="D568" s="34" t="s">
        <v>85</v>
      </c>
      <c r="E568" s="257">
        <v>0</v>
      </c>
      <c r="F568" s="232">
        <v>2</v>
      </c>
      <c r="G568" s="40" t="s">
        <v>369</v>
      </c>
      <c r="H568" s="29"/>
      <c r="I568" s="9"/>
      <c r="J568" s="9"/>
      <c r="K568" s="9"/>
      <c r="L568" s="9"/>
      <c r="M568" s="9"/>
      <c r="N568" s="185" t="str">
        <f t="shared" si="43"/>
        <v/>
      </c>
      <c r="O568" s="159" t="str">
        <f t="shared" si="44"/>
        <v/>
      </c>
      <c r="P568" s="63"/>
    </row>
    <row r="569" spans="1:16">
      <c r="A569" s="151" t="s">
        <v>201</v>
      </c>
      <c r="B569" s="34" t="s">
        <v>368</v>
      </c>
      <c r="C569" s="40" t="s">
        <v>139</v>
      </c>
      <c r="D569" s="34" t="s">
        <v>86</v>
      </c>
      <c r="E569" s="257">
        <v>0</v>
      </c>
      <c r="F569" s="232">
        <v>2</v>
      </c>
      <c r="G569" s="40" t="s">
        <v>369</v>
      </c>
      <c r="H569" s="29"/>
      <c r="I569" s="9"/>
      <c r="J569" s="9"/>
      <c r="K569" s="9"/>
      <c r="L569" s="9"/>
      <c r="M569" s="9"/>
      <c r="N569" s="185" t="str">
        <f t="shared" si="43"/>
        <v/>
      </c>
      <c r="O569" s="159" t="str">
        <f t="shared" si="44"/>
        <v/>
      </c>
      <c r="P569" s="63"/>
    </row>
    <row r="570" spans="1:16">
      <c r="A570" s="151" t="s">
        <v>201</v>
      </c>
      <c r="B570" s="34" t="s">
        <v>368</v>
      </c>
      <c r="C570" s="40" t="s">
        <v>139</v>
      </c>
      <c r="D570" s="34" t="s">
        <v>87</v>
      </c>
      <c r="E570" s="257">
        <v>0</v>
      </c>
      <c r="F570" s="232">
        <v>2</v>
      </c>
      <c r="G570" s="40" t="s">
        <v>369</v>
      </c>
      <c r="H570" s="29"/>
      <c r="I570" s="9"/>
      <c r="J570" s="9"/>
      <c r="K570" s="9"/>
      <c r="L570" s="9"/>
      <c r="M570" s="9"/>
      <c r="N570" s="185" t="str">
        <f t="shared" si="43"/>
        <v/>
      </c>
      <c r="O570" s="159" t="str">
        <f t="shared" si="44"/>
        <v/>
      </c>
      <c r="P570" s="63"/>
    </row>
    <row r="571" spans="1:16">
      <c r="A571" s="151" t="s">
        <v>201</v>
      </c>
      <c r="B571" s="34" t="s">
        <v>368</v>
      </c>
      <c r="C571" s="40" t="s">
        <v>139</v>
      </c>
      <c r="D571" s="34" t="s">
        <v>88</v>
      </c>
      <c r="E571" s="257">
        <v>0.35439999999999999</v>
      </c>
      <c r="F571" s="232">
        <v>2</v>
      </c>
      <c r="G571" s="40" t="s">
        <v>369</v>
      </c>
      <c r="H571" s="29">
        <v>2</v>
      </c>
      <c r="I571" s="9">
        <v>2</v>
      </c>
      <c r="J571" s="9">
        <v>2</v>
      </c>
      <c r="K571" s="9">
        <v>1</v>
      </c>
      <c r="L571" s="9">
        <v>1</v>
      </c>
      <c r="M571" s="9">
        <v>2</v>
      </c>
      <c r="N571" s="185">
        <f t="shared" si="43"/>
        <v>0.37356464144298934</v>
      </c>
      <c r="O571" s="159">
        <f t="shared" si="44"/>
        <v>0.37356464144298934</v>
      </c>
      <c r="P571" s="63"/>
    </row>
    <row r="572" spans="1:16">
      <c r="A572" s="151" t="s">
        <v>201</v>
      </c>
      <c r="B572" s="34" t="s">
        <v>368</v>
      </c>
      <c r="C572" s="40" t="s">
        <v>139</v>
      </c>
      <c r="D572" s="34" t="s">
        <v>89</v>
      </c>
      <c r="E572" s="257">
        <v>0</v>
      </c>
      <c r="F572" s="232">
        <v>2</v>
      </c>
      <c r="G572" s="40" t="s">
        <v>369</v>
      </c>
      <c r="H572" s="29"/>
      <c r="I572" s="9"/>
      <c r="J572" s="9"/>
      <c r="K572" s="9"/>
      <c r="L572" s="9"/>
      <c r="M572" s="9"/>
      <c r="N572" s="185" t="str">
        <f t="shared" si="43"/>
        <v/>
      </c>
      <c r="O572" s="159" t="str">
        <f t="shared" si="44"/>
        <v/>
      </c>
      <c r="P572" s="63"/>
    </row>
    <row r="573" spans="1:16">
      <c r="A573" s="151" t="s">
        <v>201</v>
      </c>
      <c r="B573" s="34" t="s">
        <v>368</v>
      </c>
      <c r="C573" s="40" t="s">
        <v>139</v>
      </c>
      <c r="D573" s="34" t="s">
        <v>90</v>
      </c>
      <c r="E573" s="257">
        <v>0</v>
      </c>
      <c r="F573" s="232">
        <v>2</v>
      </c>
      <c r="G573" s="40" t="s">
        <v>369</v>
      </c>
      <c r="H573" s="29"/>
      <c r="I573" s="9"/>
      <c r="J573" s="9"/>
      <c r="K573" s="9"/>
      <c r="L573" s="9"/>
      <c r="M573" s="9"/>
      <c r="N573" s="185" t="str">
        <f t="shared" si="43"/>
        <v/>
      </c>
      <c r="O573" s="159" t="str">
        <f t="shared" si="44"/>
        <v/>
      </c>
      <c r="P573" s="63"/>
    </row>
    <row r="574" spans="1:16">
      <c r="A574" s="151" t="s">
        <v>201</v>
      </c>
      <c r="B574" s="34" t="s">
        <v>368</v>
      </c>
      <c r="C574" s="40" t="s">
        <v>139</v>
      </c>
      <c r="D574" s="34" t="s">
        <v>91</v>
      </c>
      <c r="E574" s="257">
        <v>0.35439999999999999</v>
      </c>
      <c r="F574" s="232">
        <v>2</v>
      </c>
      <c r="G574" s="40" t="s">
        <v>369</v>
      </c>
      <c r="H574" s="29">
        <v>2</v>
      </c>
      <c r="I574" s="9">
        <v>2</v>
      </c>
      <c r="J574" s="9">
        <v>2</v>
      </c>
      <c r="K574" s="9">
        <v>1</v>
      </c>
      <c r="L574" s="9">
        <v>1</v>
      </c>
      <c r="M574" s="9">
        <v>2</v>
      </c>
      <c r="N574" s="185">
        <f t="shared" si="43"/>
        <v>0.37356464144298934</v>
      </c>
      <c r="O574" s="159">
        <f t="shared" si="44"/>
        <v>0.37356464144298934</v>
      </c>
      <c r="P574" s="63"/>
    </row>
    <row r="575" spans="1:16">
      <c r="A575" s="151" t="s">
        <v>202</v>
      </c>
      <c r="B575" s="34" t="s">
        <v>368</v>
      </c>
      <c r="C575" s="40" t="s">
        <v>139</v>
      </c>
      <c r="D575" s="34" t="s">
        <v>85</v>
      </c>
      <c r="E575" s="257">
        <v>0.1017</v>
      </c>
      <c r="F575" s="232">
        <v>2</v>
      </c>
      <c r="G575" s="40" t="s">
        <v>369</v>
      </c>
      <c r="H575" s="29">
        <v>2</v>
      </c>
      <c r="I575" s="9">
        <v>2</v>
      </c>
      <c r="J575" s="9">
        <v>2</v>
      </c>
      <c r="K575" s="9">
        <v>1</v>
      </c>
      <c r="L575" s="9">
        <v>1</v>
      </c>
      <c r="M575" s="9">
        <v>2</v>
      </c>
      <c r="N575" s="185">
        <f t="shared" si="43"/>
        <v>0.37356464144298934</v>
      </c>
      <c r="O575" s="159">
        <f t="shared" si="44"/>
        <v>0.37356464144298934</v>
      </c>
      <c r="P575" s="63"/>
    </row>
    <row r="576" spans="1:16">
      <c r="A576" s="151" t="s">
        <v>202</v>
      </c>
      <c r="B576" s="34" t="s">
        <v>368</v>
      </c>
      <c r="C576" s="40" t="s">
        <v>139</v>
      </c>
      <c r="D576" s="34" t="s">
        <v>86</v>
      </c>
      <c r="E576" s="257">
        <v>0.28570000000000001</v>
      </c>
      <c r="F576" s="232">
        <v>2</v>
      </c>
      <c r="G576" s="40" t="s">
        <v>369</v>
      </c>
      <c r="H576" s="29">
        <v>2</v>
      </c>
      <c r="I576" s="9">
        <v>2</v>
      </c>
      <c r="J576" s="9">
        <v>2</v>
      </c>
      <c r="K576" s="9">
        <v>1</v>
      </c>
      <c r="L576" s="9">
        <v>1</v>
      </c>
      <c r="M576" s="9">
        <v>2</v>
      </c>
      <c r="N576" s="185">
        <f t="shared" si="43"/>
        <v>0.37356464144298934</v>
      </c>
      <c r="O576" s="159">
        <f t="shared" si="44"/>
        <v>0.37356464144298934</v>
      </c>
      <c r="P576" s="63"/>
    </row>
    <row r="577" spans="1:16">
      <c r="A577" s="151" t="s">
        <v>202</v>
      </c>
      <c r="B577" s="34" t="s">
        <v>368</v>
      </c>
      <c r="C577" s="40" t="s">
        <v>139</v>
      </c>
      <c r="D577" s="34" t="s">
        <v>87</v>
      </c>
      <c r="E577" s="257">
        <v>0.18840000000000001</v>
      </c>
      <c r="F577" s="232">
        <v>2</v>
      </c>
      <c r="G577" s="40" t="s">
        <v>369</v>
      </c>
      <c r="H577" s="29">
        <v>2</v>
      </c>
      <c r="I577" s="9">
        <v>2</v>
      </c>
      <c r="J577" s="9">
        <v>2</v>
      </c>
      <c r="K577" s="9">
        <v>1</v>
      </c>
      <c r="L577" s="9">
        <v>1</v>
      </c>
      <c r="M577" s="9">
        <v>2</v>
      </c>
      <c r="N577" s="185">
        <f t="shared" si="43"/>
        <v>0.37356464144298934</v>
      </c>
      <c r="O577" s="159">
        <f t="shared" si="44"/>
        <v>0.37356464144298934</v>
      </c>
      <c r="P577" s="63"/>
    </row>
    <row r="578" spans="1:16">
      <c r="A578" s="151" t="s">
        <v>202</v>
      </c>
      <c r="B578" s="34" t="s">
        <v>368</v>
      </c>
      <c r="C578" s="40" t="s">
        <v>139</v>
      </c>
      <c r="D578" s="34" t="s">
        <v>88</v>
      </c>
      <c r="E578" s="257">
        <v>0.2</v>
      </c>
      <c r="F578" s="232">
        <v>2</v>
      </c>
      <c r="G578" s="40" t="s">
        <v>369</v>
      </c>
      <c r="H578" s="29">
        <v>2</v>
      </c>
      <c r="I578" s="9">
        <v>2</v>
      </c>
      <c r="J578" s="9">
        <v>2</v>
      </c>
      <c r="K578" s="9">
        <v>1</v>
      </c>
      <c r="L578" s="9">
        <v>1</v>
      </c>
      <c r="M578" s="9">
        <v>2</v>
      </c>
      <c r="N578" s="185">
        <f t="shared" si="43"/>
        <v>0.37356464144298934</v>
      </c>
      <c r="O578" s="159">
        <f t="shared" si="44"/>
        <v>0.37356464144298934</v>
      </c>
      <c r="P578" s="63"/>
    </row>
    <row r="579" spans="1:16">
      <c r="A579" s="151" t="s">
        <v>202</v>
      </c>
      <c r="B579" s="34" t="s">
        <v>368</v>
      </c>
      <c r="C579" s="40" t="s">
        <v>139</v>
      </c>
      <c r="D579" s="34" t="s">
        <v>89</v>
      </c>
      <c r="E579" s="257">
        <v>0.2</v>
      </c>
      <c r="F579" s="232">
        <v>2</v>
      </c>
      <c r="G579" s="40" t="s">
        <v>369</v>
      </c>
      <c r="H579" s="29">
        <v>2</v>
      </c>
      <c r="I579" s="9">
        <v>2</v>
      </c>
      <c r="J579" s="9">
        <v>2</v>
      </c>
      <c r="K579" s="9">
        <v>1</v>
      </c>
      <c r="L579" s="9">
        <v>1</v>
      </c>
      <c r="M579" s="9">
        <v>2</v>
      </c>
      <c r="N579" s="185">
        <f t="shared" si="43"/>
        <v>0.37356464144298934</v>
      </c>
      <c r="O579" s="159">
        <f t="shared" si="44"/>
        <v>0.37356464144298934</v>
      </c>
      <c r="P579" s="63"/>
    </row>
    <row r="580" spans="1:16">
      <c r="A580" s="151" t="s">
        <v>202</v>
      </c>
      <c r="B580" s="34" t="s">
        <v>368</v>
      </c>
      <c r="C580" s="40" t="s">
        <v>139</v>
      </c>
      <c r="D580" s="34" t="s">
        <v>90</v>
      </c>
      <c r="E580" s="257">
        <v>0.2</v>
      </c>
      <c r="F580" s="232">
        <v>2</v>
      </c>
      <c r="G580" s="40" t="s">
        <v>369</v>
      </c>
      <c r="H580" s="29">
        <v>2</v>
      </c>
      <c r="I580" s="9">
        <v>2</v>
      </c>
      <c r="J580" s="9">
        <v>2</v>
      </c>
      <c r="K580" s="9">
        <v>1</v>
      </c>
      <c r="L580" s="9">
        <v>1</v>
      </c>
      <c r="M580" s="9">
        <v>2</v>
      </c>
      <c r="N580" s="185">
        <f t="shared" si="43"/>
        <v>0.37356464144298934</v>
      </c>
      <c r="O580" s="159">
        <f t="shared" si="44"/>
        <v>0.37356464144298934</v>
      </c>
      <c r="P580" s="63"/>
    </row>
    <row r="581" spans="1:16">
      <c r="A581" s="151" t="s">
        <v>202</v>
      </c>
      <c r="B581" s="34" t="s">
        <v>368</v>
      </c>
      <c r="C581" s="40" t="s">
        <v>139</v>
      </c>
      <c r="D581" s="34" t="s">
        <v>91</v>
      </c>
      <c r="E581" s="257">
        <v>0.2</v>
      </c>
      <c r="F581" s="232">
        <v>2</v>
      </c>
      <c r="G581" s="40" t="s">
        <v>369</v>
      </c>
      <c r="H581" s="29">
        <v>2</v>
      </c>
      <c r="I581" s="9">
        <v>2</v>
      </c>
      <c r="J581" s="9">
        <v>2</v>
      </c>
      <c r="K581" s="9">
        <v>1</v>
      </c>
      <c r="L581" s="9">
        <v>1</v>
      </c>
      <c r="M581" s="9">
        <v>2</v>
      </c>
      <c r="N581" s="185">
        <f t="shared" si="43"/>
        <v>0.37356464144298934</v>
      </c>
      <c r="O581" s="159">
        <f t="shared" si="44"/>
        <v>0.37356464144298934</v>
      </c>
      <c r="P581" s="63"/>
    </row>
    <row r="582" spans="1:16">
      <c r="A582" s="151" t="s">
        <v>203</v>
      </c>
      <c r="B582" s="34" t="s">
        <v>368</v>
      </c>
      <c r="C582" s="40" t="s">
        <v>139</v>
      </c>
      <c r="D582" s="34" t="s">
        <v>85</v>
      </c>
      <c r="E582" s="257">
        <v>0</v>
      </c>
      <c r="F582" s="232">
        <v>2</v>
      </c>
      <c r="G582" s="40" t="s">
        <v>369</v>
      </c>
      <c r="H582" s="29"/>
      <c r="I582" s="9"/>
      <c r="J582" s="9"/>
      <c r="K582" s="9"/>
      <c r="L582" s="9"/>
      <c r="M582" s="9"/>
      <c r="N582" s="185" t="str">
        <f t="shared" si="43"/>
        <v/>
      </c>
      <c r="O582" s="159" t="str">
        <f t="shared" si="44"/>
        <v/>
      </c>
      <c r="P582" s="63"/>
    </row>
    <row r="583" spans="1:16">
      <c r="A583" s="151" t="s">
        <v>203</v>
      </c>
      <c r="B583" s="34" t="s">
        <v>368</v>
      </c>
      <c r="C583" s="40" t="s">
        <v>139</v>
      </c>
      <c r="D583" s="34" t="s">
        <v>86</v>
      </c>
      <c r="E583" s="257">
        <v>0.1176</v>
      </c>
      <c r="F583" s="232">
        <v>2</v>
      </c>
      <c r="G583" s="40" t="s">
        <v>369</v>
      </c>
      <c r="H583" s="29">
        <v>2</v>
      </c>
      <c r="I583" s="9"/>
      <c r="J583" s="9">
        <v>2</v>
      </c>
      <c r="K583" s="9">
        <v>1</v>
      </c>
      <c r="L583" s="9">
        <v>1</v>
      </c>
      <c r="M583" s="9">
        <v>2</v>
      </c>
      <c r="N583" s="185">
        <f t="shared" si="43"/>
        <v>0.37356464144298934</v>
      </c>
      <c r="O583" s="159" t="str">
        <f t="shared" si="44"/>
        <v/>
      </c>
      <c r="P583" s="63"/>
    </row>
    <row r="584" spans="1:16">
      <c r="A584" s="151" t="s">
        <v>203</v>
      </c>
      <c r="B584" s="34" t="s">
        <v>368</v>
      </c>
      <c r="C584" s="40" t="s">
        <v>139</v>
      </c>
      <c r="D584" s="34" t="s">
        <v>87</v>
      </c>
      <c r="E584" s="257">
        <v>0.05</v>
      </c>
      <c r="F584" s="232">
        <v>2</v>
      </c>
      <c r="G584" s="40" t="s">
        <v>369</v>
      </c>
      <c r="H584" s="29">
        <v>2</v>
      </c>
      <c r="I584" s="9"/>
      <c r="J584" s="9">
        <v>2</v>
      </c>
      <c r="K584" s="9">
        <v>1</v>
      </c>
      <c r="L584" s="9">
        <v>1</v>
      </c>
      <c r="M584" s="9">
        <v>2</v>
      </c>
      <c r="N584" s="185">
        <f t="shared" si="43"/>
        <v>0.37356464144298934</v>
      </c>
      <c r="O584" s="159" t="str">
        <f t="shared" si="44"/>
        <v/>
      </c>
      <c r="P584" s="63"/>
    </row>
    <row r="585" spans="1:16">
      <c r="A585" s="151" t="s">
        <v>203</v>
      </c>
      <c r="B585" s="34" t="s">
        <v>368</v>
      </c>
      <c r="C585" s="40" t="s">
        <v>139</v>
      </c>
      <c r="D585" s="34" t="s">
        <v>88</v>
      </c>
      <c r="E585" s="257">
        <v>5.5E-2</v>
      </c>
      <c r="F585" s="232">
        <v>2</v>
      </c>
      <c r="G585" s="40" t="s">
        <v>369</v>
      </c>
      <c r="H585" s="29">
        <v>2</v>
      </c>
      <c r="I585" s="9"/>
      <c r="J585" s="9">
        <v>2</v>
      </c>
      <c r="K585" s="9">
        <v>1</v>
      </c>
      <c r="L585" s="9">
        <v>1</v>
      </c>
      <c r="M585" s="9">
        <v>2</v>
      </c>
      <c r="N585" s="185">
        <f t="shared" si="43"/>
        <v>0.37356464144298934</v>
      </c>
      <c r="O585" s="159" t="str">
        <f t="shared" si="44"/>
        <v/>
      </c>
      <c r="P585" s="63"/>
    </row>
    <row r="586" spans="1:16">
      <c r="A586" s="151" t="s">
        <v>203</v>
      </c>
      <c r="B586" s="34" t="s">
        <v>368</v>
      </c>
      <c r="C586" s="40" t="s">
        <v>139</v>
      </c>
      <c r="D586" s="34" t="s">
        <v>89</v>
      </c>
      <c r="E586" s="257">
        <v>5.5E-2</v>
      </c>
      <c r="F586" s="232">
        <v>2</v>
      </c>
      <c r="G586" s="40" t="s">
        <v>369</v>
      </c>
      <c r="H586" s="29">
        <v>2</v>
      </c>
      <c r="I586" s="9"/>
      <c r="J586" s="9">
        <v>2</v>
      </c>
      <c r="K586" s="9">
        <v>1</v>
      </c>
      <c r="L586" s="9">
        <v>1</v>
      </c>
      <c r="M586" s="9">
        <v>2</v>
      </c>
      <c r="N586" s="185">
        <f t="shared" si="43"/>
        <v>0.37356464144298934</v>
      </c>
      <c r="O586" s="159" t="str">
        <f t="shared" si="44"/>
        <v/>
      </c>
      <c r="P586" s="63"/>
    </row>
    <row r="587" spans="1:16">
      <c r="A587" s="151" t="s">
        <v>203</v>
      </c>
      <c r="B587" s="34" t="s">
        <v>368</v>
      </c>
      <c r="C587" s="40" t="s">
        <v>139</v>
      </c>
      <c r="D587" s="34" t="s">
        <v>90</v>
      </c>
      <c r="E587" s="257">
        <v>7.4999999999999997E-2</v>
      </c>
      <c r="F587" s="232">
        <v>2</v>
      </c>
      <c r="G587" s="40" t="s">
        <v>369</v>
      </c>
      <c r="H587" s="29">
        <v>2</v>
      </c>
      <c r="I587" s="9"/>
      <c r="J587" s="9">
        <v>2</v>
      </c>
      <c r="K587" s="9">
        <v>1</v>
      </c>
      <c r="L587" s="9">
        <v>1</v>
      </c>
      <c r="M587" s="9">
        <v>2</v>
      </c>
      <c r="N587" s="185">
        <f t="shared" si="43"/>
        <v>0.37356464144298934</v>
      </c>
      <c r="O587" s="159" t="str">
        <f t="shared" si="44"/>
        <v/>
      </c>
      <c r="P587" s="63"/>
    </row>
    <row r="588" spans="1:16">
      <c r="A588" s="151" t="s">
        <v>203</v>
      </c>
      <c r="B588" s="34" t="s">
        <v>368</v>
      </c>
      <c r="C588" s="40" t="s">
        <v>139</v>
      </c>
      <c r="D588" s="34" t="s">
        <v>91</v>
      </c>
      <c r="E588" s="257">
        <v>8.2299999999999998E-2</v>
      </c>
      <c r="F588" s="232">
        <v>2</v>
      </c>
      <c r="G588" s="40" t="s">
        <v>369</v>
      </c>
      <c r="H588" s="29">
        <v>2</v>
      </c>
      <c r="I588" s="9"/>
      <c r="J588" s="9">
        <v>2</v>
      </c>
      <c r="K588" s="9">
        <v>1</v>
      </c>
      <c r="L588" s="9">
        <v>1</v>
      </c>
      <c r="M588" s="9">
        <v>2</v>
      </c>
      <c r="N588" s="185">
        <f t="shared" si="43"/>
        <v>0.37356464144298934</v>
      </c>
      <c r="O588" s="159" t="str">
        <f t="shared" si="44"/>
        <v/>
      </c>
      <c r="P588" s="63"/>
    </row>
    <row r="589" spans="1:16">
      <c r="A589" s="151" t="s">
        <v>368</v>
      </c>
      <c r="B589" s="34" t="s">
        <v>324</v>
      </c>
      <c r="C589" s="40" t="s">
        <v>139</v>
      </c>
      <c r="D589" s="34" t="s">
        <v>139</v>
      </c>
      <c r="E589" s="257">
        <v>0.1045625</v>
      </c>
      <c r="F589" s="232">
        <v>2</v>
      </c>
      <c r="G589" s="40" t="s">
        <v>370</v>
      </c>
      <c r="H589" s="29">
        <v>1</v>
      </c>
      <c r="I589" s="9"/>
      <c r="J589" s="9">
        <v>1</v>
      </c>
      <c r="K589" s="9">
        <v>3</v>
      </c>
      <c r="L589" s="9">
        <v>1</v>
      </c>
      <c r="M589" s="9">
        <v>2</v>
      </c>
      <c r="N589" s="185">
        <f t="shared" si="43"/>
        <v>0.47802211380704585</v>
      </c>
      <c r="O589" s="159" t="str">
        <f t="shared" si="44"/>
        <v/>
      </c>
      <c r="P589" s="63"/>
    </row>
    <row r="590" spans="1:16">
      <c r="A590" s="151" t="s">
        <v>368</v>
      </c>
      <c r="B590" s="34" t="s">
        <v>327</v>
      </c>
      <c r="C590" s="40" t="s">
        <v>139</v>
      </c>
      <c r="D590" s="34" t="s">
        <v>139</v>
      </c>
      <c r="E590" s="257" t="s">
        <v>150</v>
      </c>
      <c r="F590" s="232">
        <v>1</v>
      </c>
      <c r="G590" s="40"/>
      <c r="H590" s="29"/>
      <c r="I590" s="9"/>
      <c r="J590" s="9"/>
      <c r="K590" s="9"/>
      <c r="L590" s="9"/>
      <c r="M590" s="9"/>
      <c r="N590" s="185" t="str">
        <f t="shared" si="43"/>
        <v/>
      </c>
      <c r="O590" s="159" t="str">
        <f t="shared" si="44"/>
        <v/>
      </c>
      <c r="P590" s="63"/>
    </row>
    <row r="591" spans="1:16">
      <c r="A591" s="151" t="s">
        <v>368</v>
      </c>
      <c r="B591" s="34" t="s">
        <v>335</v>
      </c>
      <c r="C591" s="40" t="s">
        <v>139</v>
      </c>
      <c r="D591" s="34" t="s">
        <v>139</v>
      </c>
      <c r="E591" s="257">
        <v>0.25313000000000002</v>
      </c>
      <c r="F591" s="232">
        <v>2</v>
      </c>
      <c r="G591" s="40" t="s">
        <v>371</v>
      </c>
      <c r="H591" s="29">
        <v>1</v>
      </c>
      <c r="I591" s="9"/>
      <c r="J591" s="9">
        <v>1</v>
      </c>
      <c r="K591" s="9">
        <v>3</v>
      </c>
      <c r="L591" s="9">
        <v>3</v>
      </c>
      <c r="M591" s="9">
        <v>2</v>
      </c>
      <c r="N591" s="185">
        <f t="shared" si="43"/>
        <v>0.58256442191643876</v>
      </c>
      <c r="O591" s="159" t="str">
        <f t="shared" si="44"/>
        <v/>
      </c>
      <c r="P591" s="63" t="s">
        <v>372</v>
      </c>
    </row>
    <row r="592" spans="1:16">
      <c r="A592" s="151" t="s">
        <v>39</v>
      </c>
      <c r="B592" s="34" t="s">
        <v>203</v>
      </c>
      <c r="C592" s="40" t="s">
        <v>139</v>
      </c>
      <c r="D592" s="34" t="s">
        <v>85</v>
      </c>
      <c r="E592" s="257">
        <v>1.41E-2</v>
      </c>
      <c r="F592" s="232">
        <v>1</v>
      </c>
      <c r="G592" s="40" t="s">
        <v>140</v>
      </c>
      <c r="H592" s="29">
        <v>2</v>
      </c>
      <c r="I592" s="9">
        <v>2</v>
      </c>
      <c r="J592" s="9">
        <v>2</v>
      </c>
      <c r="K592" s="9">
        <v>1</v>
      </c>
      <c r="L592" s="9">
        <v>1</v>
      </c>
      <c r="M592" s="9">
        <v>2</v>
      </c>
      <c r="N592" s="185">
        <f t="shared" ref="N592:N655" si="45">IF( OR( ISBLANK(H592),ISBLANK(J592), ISBLANK(K592), ISBLANK(L592), ISBLANK(M592) ), "", 1.5*SQRT(   EXP(2.21*(H592-1)) + EXP(2.21*(J592-1)) + EXP(2.21*(K592-1)) + EXP(2.21*(L592-1)) + EXP(2.21*M592)   )/100*2.45 )</f>
        <v>0.37356464144298934</v>
      </c>
      <c r="O592" s="159">
        <f t="shared" ref="O592:O655" si="46">IF( OR( ISBLANK(I592),ISBLANK(J592), ISBLANK(K592), ISBLANK(L592), ISBLANK(M592) ), "", 1.5*SQRT( EXP(2.21*(I592-1)) + EXP(2.21*(J592-1)) + EXP(2.21*(K592-1)) + EXP(2.21*(L592-1)) + EXP(2.21*M592)   )/100*2.45 )</f>
        <v>0.37356464144298934</v>
      </c>
      <c r="P592" s="63"/>
    </row>
    <row r="593" spans="1:16">
      <c r="A593" s="151" t="s">
        <v>39</v>
      </c>
      <c r="B593" s="34" t="s">
        <v>203</v>
      </c>
      <c r="C593" s="40" t="s">
        <v>139</v>
      </c>
      <c r="D593" s="34" t="s">
        <v>86</v>
      </c>
      <c r="E593" s="257">
        <v>8.3099999999999993E-2</v>
      </c>
      <c r="F593" s="232">
        <v>1</v>
      </c>
      <c r="G593" s="40" t="s">
        <v>140</v>
      </c>
      <c r="H593" s="29">
        <v>2</v>
      </c>
      <c r="I593" s="9">
        <v>2</v>
      </c>
      <c r="J593" s="9">
        <v>2</v>
      </c>
      <c r="K593" s="9">
        <v>1</v>
      </c>
      <c r="L593" s="9">
        <v>1</v>
      </c>
      <c r="M593" s="9">
        <v>2</v>
      </c>
      <c r="N593" s="185">
        <f t="shared" si="45"/>
        <v>0.37356464144298934</v>
      </c>
      <c r="O593" s="159">
        <f t="shared" si="46"/>
        <v>0.37356464144298934</v>
      </c>
      <c r="P593" s="63"/>
    </row>
    <row r="594" spans="1:16">
      <c r="A594" s="151" t="s">
        <v>39</v>
      </c>
      <c r="B594" s="34" t="s">
        <v>203</v>
      </c>
      <c r="C594" s="40" t="s">
        <v>139</v>
      </c>
      <c r="D594" s="34" t="s">
        <v>87</v>
      </c>
      <c r="E594" s="257">
        <v>0.38140000000000002</v>
      </c>
      <c r="F594" s="232">
        <v>1</v>
      </c>
      <c r="G594" s="40" t="s">
        <v>140</v>
      </c>
      <c r="H594" s="29">
        <v>2</v>
      </c>
      <c r="I594" s="9">
        <v>2</v>
      </c>
      <c r="J594" s="9">
        <v>2</v>
      </c>
      <c r="K594" s="9">
        <v>1</v>
      </c>
      <c r="L594" s="9">
        <v>1</v>
      </c>
      <c r="M594" s="9">
        <v>2</v>
      </c>
      <c r="N594" s="185">
        <f t="shared" si="45"/>
        <v>0.37356464144298934</v>
      </c>
      <c r="O594" s="159">
        <f t="shared" si="46"/>
        <v>0.37356464144298934</v>
      </c>
      <c r="P594" s="63"/>
    </row>
    <row r="595" spans="1:16">
      <c r="A595" s="151" t="s">
        <v>39</v>
      </c>
      <c r="B595" s="34" t="s">
        <v>203</v>
      </c>
      <c r="C595" s="40" t="s">
        <v>139</v>
      </c>
      <c r="D595" s="34" t="s">
        <v>88</v>
      </c>
      <c r="E595" s="257">
        <v>0.79759999999999998</v>
      </c>
      <c r="F595" s="232">
        <v>1</v>
      </c>
      <c r="G595" s="40" t="s">
        <v>140</v>
      </c>
      <c r="H595" s="29">
        <v>2</v>
      </c>
      <c r="I595" s="9">
        <v>2</v>
      </c>
      <c r="J595" s="9">
        <v>2</v>
      </c>
      <c r="K595" s="9">
        <v>1</v>
      </c>
      <c r="L595" s="9">
        <v>1</v>
      </c>
      <c r="M595" s="9">
        <v>2</v>
      </c>
      <c r="N595" s="185">
        <f t="shared" si="45"/>
        <v>0.37356464144298934</v>
      </c>
      <c r="O595" s="159">
        <f t="shared" si="46"/>
        <v>0.37356464144298934</v>
      </c>
      <c r="P595" s="63"/>
    </row>
    <row r="596" spans="1:16">
      <c r="A596" s="151" t="s">
        <v>39</v>
      </c>
      <c r="B596" s="34" t="s">
        <v>203</v>
      </c>
      <c r="C596" s="40" t="s">
        <v>139</v>
      </c>
      <c r="D596" s="34" t="s">
        <v>89</v>
      </c>
      <c r="E596" s="257">
        <v>0</v>
      </c>
      <c r="F596" s="232">
        <v>1</v>
      </c>
      <c r="G596" s="40" t="s">
        <v>140</v>
      </c>
      <c r="H596" s="29"/>
      <c r="I596" s="9"/>
      <c r="J596" s="9"/>
      <c r="K596" s="9"/>
      <c r="L596" s="9"/>
      <c r="M596" s="9"/>
      <c r="N596" s="185" t="str">
        <f t="shared" si="45"/>
        <v/>
      </c>
      <c r="O596" s="159" t="str">
        <f t="shared" si="46"/>
        <v/>
      </c>
      <c r="P596" s="63"/>
    </row>
    <row r="597" spans="1:16">
      <c r="A597" s="151" t="s">
        <v>39</v>
      </c>
      <c r="B597" s="34" t="s">
        <v>203</v>
      </c>
      <c r="C597" s="40" t="s">
        <v>139</v>
      </c>
      <c r="D597" s="34" t="s">
        <v>90</v>
      </c>
      <c r="E597" s="257">
        <v>0.45450000000000002</v>
      </c>
      <c r="F597" s="232">
        <v>1</v>
      </c>
      <c r="G597" s="40" t="s">
        <v>140</v>
      </c>
      <c r="H597" s="29">
        <v>2</v>
      </c>
      <c r="I597" s="9">
        <v>2</v>
      </c>
      <c r="J597" s="9">
        <v>2</v>
      </c>
      <c r="K597" s="9">
        <v>1</v>
      </c>
      <c r="L597" s="9">
        <v>1</v>
      </c>
      <c r="M597" s="9">
        <v>2</v>
      </c>
      <c r="N597" s="185">
        <f t="shared" si="45"/>
        <v>0.37356464144298934</v>
      </c>
      <c r="O597" s="159">
        <f t="shared" si="46"/>
        <v>0.37356464144298934</v>
      </c>
      <c r="P597" s="63"/>
    </row>
    <row r="598" spans="1:16">
      <c r="A598" s="151" t="s">
        <v>39</v>
      </c>
      <c r="B598" s="34" t="s">
        <v>203</v>
      </c>
      <c r="C598" s="40" t="s">
        <v>139</v>
      </c>
      <c r="D598" s="34" t="s">
        <v>91</v>
      </c>
      <c r="E598" s="257">
        <v>0.44280000000000003</v>
      </c>
      <c r="F598" s="232">
        <v>2</v>
      </c>
      <c r="G598" s="40" t="s">
        <v>140</v>
      </c>
      <c r="H598" s="29">
        <v>2</v>
      </c>
      <c r="I598" s="9">
        <v>2</v>
      </c>
      <c r="J598" s="9">
        <v>2</v>
      </c>
      <c r="K598" s="9">
        <v>1</v>
      </c>
      <c r="L598" s="9">
        <v>1</v>
      </c>
      <c r="M598" s="9">
        <v>2</v>
      </c>
      <c r="N598" s="185">
        <f t="shared" si="45"/>
        <v>0.37356464144298934</v>
      </c>
      <c r="O598" s="159">
        <f t="shared" si="46"/>
        <v>0.37356464144298934</v>
      </c>
      <c r="P598" s="63" t="s">
        <v>226</v>
      </c>
    </row>
    <row r="599" spans="1:16">
      <c r="A599" s="151" t="s">
        <v>39</v>
      </c>
      <c r="B599" s="34" t="s">
        <v>203</v>
      </c>
      <c r="C599" s="40" t="s">
        <v>139</v>
      </c>
      <c r="D599" s="34" t="s">
        <v>98</v>
      </c>
      <c r="E599" s="257">
        <v>0.20723549488054607</v>
      </c>
      <c r="F599" s="232">
        <v>1</v>
      </c>
      <c r="G599" s="40" t="s">
        <v>141</v>
      </c>
      <c r="H599" s="29">
        <v>2</v>
      </c>
      <c r="I599" s="9">
        <v>1</v>
      </c>
      <c r="J599" s="9">
        <v>2</v>
      </c>
      <c r="K599" s="9">
        <v>2</v>
      </c>
      <c r="L599" s="9">
        <v>1</v>
      </c>
      <c r="M599" s="9">
        <v>2</v>
      </c>
      <c r="N599" s="185">
        <f t="shared" si="45"/>
        <v>0.38795788889711302</v>
      </c>
      <c r="O599" s="159">
        <f t="shared" si="46"/>
        <v>0.37356464144298934</v>
      </c>
      <c r="P599" s="63"/>
    </row>
    <row r="600" spans="1:16">
      <c r="A600" s="151" t="s">
        <v>39</v>
      </c>
      <c r="B600" s="34" t="s">
        <v>236</v>
      </c>
      <c r="C600" s="40" t="s">
        <v>139</v>
      </c>
      <c r="D600" s="34" t="s">
        <v>85</v>
      </c>
      <c r="E600" s="257">
        <v>0.65669999999999995</v>
      </c>
      <c r="F600" s="232">
        <v>1</v>
      </c>
      <c r="G600" s="40" t="s">
        <v>140</v>
      </c>
      <c r="H600" s="29">
        <v>2</v>
      </c>
      <c r="I600" s="9">
        <v>2</v>
      </c>
      <c r="J600" s="9">
        <v>2</v>
      </c>
      <c r="K600" s="9">
        <v>1</v>
      </c>
      <c r="L600" s="9">
        <v>1</v>
      </c>
      <c r="M600" s="9">
        <v>2</v>
      </c>
      <c r="N600" s="185">
        <f t="shared" si="45"/>
        <v>0.37356464144298934</v>
      </c>
      <c r="O600" s="159">
        <f t="shared" si="46"/>
        <v>0.37356464144298934</v>
      </c>
      <c r="P600" s="63"/>
    </row>
    <row r="601" spans="1:16">
      <c r="A601" s="151" t="s">
        <v>39</v>
      </c>
      <c r="B601" s="34" t="s">
        <v>236</v>
      </c>
      <c r="C601" s="40" t="s">
        <v>139</v>
      </c>
      <c r="D601" s="34" t="s">
        <v>86</v>
      </c>
      <c r="E601" s="257">
        <v>1.2200000000000001E-2</v>
      </c>
      <c r="F601" s="232">
        <v>1</v>
      </c>
      <c r="G601" s="40" t="s">
        <v>140</v>
      </c>
      <c r="H601" s="29">
        <v>2</v>
      </c>
      <c r="I601" s="9">
        <v>2</v>
      </c>
      <c r="J601" s="9">
        <v>2</v>
      </c>
      <c r="K601" s="9">
        <v>1</v>
      </c>
      <c r="L601" s="9">
        <v>1</v>
      </c>
      <c r="M601" s="9">
        <v>2</v>
      </c>
      <c r="N601" s="185">
        <f t="shared" si="45"/>
        <v>0.37356464144298934</v>
      </c>
      <c r="O601" s="159">
        <f t="shared" si="46"/>
        <v>0.37356464144298934</v>
      </c>
      <c r="P601" s="63"/>
    </row>
    <row r="602" spans="1:16">
      <c r="A602" s="151" t="s">
        <v>39</v>
      </c>
      <c r="B602" s="34" t="s">
        <v>236</v>
      </c>
      <c r="C602" s="40" t="s">
        <v>139</v>
      </c>
      <c r="D602" s="34" t="s">
        <v>87</v>
      </c>
      <c r="E602" s="257">
        <v>6.9599999999999995E-2</v>
      </c>
      <c r="F602" s="232">
        <v>1</v>
      </c>
      <c r="G602" s="40" t="s">
        <v>140</v>
      </c>
      <c r="H602" s="29">
        <v>2</v>
      </c>
      <c r="I602" s="9">
        <v>2</v>
      </c>
      <c r="J602" s="9">
        <v>2</v>
      </c>
      <c r="K602" s="9">
        <v>1</v>
      </c>
      <c r="L602" s="9">
        <v>1</v>
      </c>
      <c r="M602" s="9">
        <v>2</v>
      </c>
      <c r="N602" s="185">
        <f t="shared" si="45"/>
        <v>0.37356464144298934</v>
      </c>
      <c r="O602" s="159">
        <f t="shared" si="46"/>
        <v>0.37356464144298934</v>
      </c>
      <c r="P602" s="63"/>
    </row>
    <row r="603" spans="1:16">
      <c r="A603" s="151" t="s">
        <v>39</v>
      </c>
      <c r="B603" s="34" t="s">
        <v>236</v>
      </c>
      <c r="C603" s="40" t="s">
        <v>139</v>
      </c>
      <c r="D603" s="34" t="s">
        <v>88</v>
      </c>
      <c r="E603" s="257">
        <v>3.5700000000000003E-2</v>
      </c>
      <c r="F603" s="232">
        <v>1</v>
      </c>
      <c r="G603" s="40" t="s">
        <v>140</v>
      </c>
      <c r="H603" s="29">
        <v>2</v>
      </c>
      <c r="I603" s="9">
        <v>2</v>
      </c>
      <c r="J603" s="9">
        <v>2</v>
      </c>
      <c r="K603" s="9">
        <v>1</v>
      </c>
      <c r="L603" s="9">
        <v>1</v>
      </c>
      <c r="M603" s="9">
        <v>2</v>
      </c>
      <c r="N603" s="185">
        <f t="shared" si="45"/>
        <v>0.37356464144298934</v>
      </c>
      <c r="O603" s="159">
        <f t="shared" si="46"/>
        <v>0.37356464144298934</v>
      </c>
      <c r="P603" s="63"/>
    </row>
    <row r="604" spans="1:16">
      <c r="A604" s="151" t="s">
        <v>39</v>
      </c>
      <c r="B604" s="34" t="s">
        <v>236</v>
      </c>
      <c r="C604" s="40" t="s">
        <v>139</v>
      </c>
      <c r="D604" s="34" t="s">
        <v>89</v>
      </c>
      <c r="E604" s="257">
        <v>0</v>
      </c>
      <c r="F604" s="232">
        <v>1</v>
      </c>
      <c r="G604" s="40" t="s">
        <v>140</v>
      </c>
      <c r="H604" s="29"/>
      <c r="I604" s="9"/>
      <c r="J604" s="9"/>
      <c r="K604" s="9"/>
      <c r="L604" s="9"/>
      <c r="M604" s="9"/>
      <c r="N604" s="185" t="str">
        <f t="shared" si="45"/>
        <v/>
      </c>
      <c r="O604" s="159" t="str">
        <f t="shared" si="46"/>
        <v/>
      </c>
      <c r="P604" s="63"/>
    </row>
    <row r="605" spans="1:16">
      <c r="A605" s="151" t="s">
        <v>39</v>
      </c>
      <c r="B605" s="34" t="s">
        <v>236</v>
      </c>
      <c r="C605" s="40" t="s">
        <v>139</v>
      </c>
      <c r="D605" s="34" t="s">
        <v>90</v>
      </c>
      <c r="E605" s="257">
        <v>7.9500000000000001E-2</v>
      </c>
      <c r="F605" s="232">
        <v>1</v>
      </c>
      <c r="G605" s="40" t="s">
        <v>140</v>
      </c>
      <c r="H605" s="29">
        <v>2</v>
      </c>
      <c r="I605" s="9">
        <v>2</v>
      </c>
      <c r="J605" s="9">
        <v>2</v>
      </c>
      <c r="K605" s="9">
        <v>1</v>
      </c>
      <c r="L605" s="9">
        <v>1</v>
      </c>
      <c r="M605" s="9">
        <v>2</v>
      </c>
      <c r="N605" s="185">
        <f t="shared" si="45"/>
        <v>0.37356464144298934</v>
      </c>
      <c r="O605" s="159">
        <f t="shared" si="46"/>
        <v>0.37356464144298934</v>
      </c>
      <c r="P605" s="63"/>
    </row>
    <row r="606" spans="1:16">
      <c r="A606" s="151" t="s">
        <v>39</v>
      </c>
      <c r="B606" s="34" t="s">
        <v>236</v>
      </c>
      <c r="C606" s="40" t="s">
        <v>139</v>
      </c>
      <c r="D606" s="34" t="s">
        <v>91</v>
      </c>
      <c r="E606" s="257">
        <v>0.01</v>
      </c>
      <c r="F606" s="232">
        <v>1</v>
      </c>
      <c r="G606" s="40" t="s">
        <v>140</v>
      </c>
      <c r="H606" s="29">
        <v>2</v>
      </c>
      <c r="I606" s="9">
        <v>2</v>
      </c>
      <c r="J606" s="9">
        <v>2</v>
      </c>
      <c r="K606" s="9">
        <v>1</v>
      </c>
      <c r="L606" s="9">
        <v>1</v>
      </c>
      <c r="M606" s="9">
        <v>2</v>
      </c>
      <c r="N606" s="185">
        <f t="shared" si="45"/>
        <v>0.37356464144298934</v>
      </c>
      <c r="O606" s="159">
        <f t="shared" si="46"/>
        <v>0.37356464144298934</v>
      </c>
      <c r="P606" s="63"/>
    </row>
    <row r="607" spans="1:16">
      <c r="A607" s="151" t="s">
        <v>39</v>
      </c>
      <c r="B607" s="34" t="s">
        <v>236</v>
      </c>
      <c r="C607" s="40" t="s">
        <v>139</v>
      </c>
      <c r="D607" s="34" t="s">
        <v>98</v>
      </c>
      <c r="E607" s="257">
        <v>0</v>
      </c>
      <c r="F607" s="232">
        <v>1</v>
      </c>
      <c r="G607" s="40" t="s">
        <v>141</v>
      </c>
      <c r="H607" s="29"/>
      <c r="I607" s="9"/>
      <c r="J607" s="9"/>
      <c r="K607" s="9"/>
      <c r="L607" s="9"/>
      <c r="M607" s="9"/>
      <c r="N607" s="185" t="str">
        <f t="shared" si="45"/>
        <v/>
      </c>
      <c r="O607" s="159" t="str">
        <f t="shared" si="46"/>
        <v/>
      </c>
      <c r="P607" s="63"/>
    </row>
    <row r="608" spans="1:16">
      <c r="A608" s="151" t="s">
        <v>39</v>
      </c>
      <c r="B608" s="34" t="s">
        <v>237</v>
      </c>
      <c r="C608" s="40" t="s">
        <v>139</v>
      </c>
      <c r="D608" s="34" t="s">
        <v>85</v>
      </c>
      <c r="E608" s="257">
        <v>0</v>
      </c>
      <c r="F608" s="232">
        <v>1</v>
      </c>
      <c r="G608" s="40" t="s">
        <v>140</v>
      </c>
      <c r="H608" s="29"/>
      <c r="I608" s="9"/>
      <c r="J608" s="9"/>
      <c r="K608" s="9"/>
      <c r="L608" s="9"/>
      <c r="M608" s="9"/>
      <c r="N608" s="185" t="str">
        <f t="shared" si="45"/>
        <v/>
      </c>
      <c r="O608" s="159" t="str">
        <f t="shared" si="46"/>
        <v/>
      </c>
      <c r="P608" s="63"/>
    </row>
    <row r="609" spans="1:16">
      <c r="A609" s="151" t="s">
        <v>39</v>
      </c>
      <c r="B609" s="34" t="s">
        <v>237</v>
      </c>
      <c r="C609" s="40" t="s">
        <v>139</v>
      </c>
      <c r="D609" s="34" t="s">
        <v>86</v>
      </c>
      <c r="E609" s="257">
        <v>0.1638</v>
      </c>
      <c r="F609" s="232">
        <v>1</v>
      </c>
      <c r="G609" s="40" t="s">
        <v>140</v>
      </c>
      <c r="H609" s="29">
        <v>2</v>
      </c>
      <c r="I609" s="9">
        <v>2</v>
      </c>
      <c r="J609" s="9">
        <v>2</v>
      </c>
      <c r="K609" s="9">
        <v>1</v>
      </c>
      <c r="L609" s="9">
        <v>1</v>
      </c>
      <c r="M609" s="9">
        <v>2</v>
      </c>
      <c r="N609" s="185">
        <f t="shared" si="45"/>
        <v>0.37356464144298934</v>
      </c>
      <c r="O609" s="159">
        <f t="shared" si="46"/>
        <v>0.37356464144298934</v>
      </c>
      <c r="P609" s="63"/>
    </row>
    <row r="610" spans="1:16">
      <c r="A610" s="151" t="s">
        <v>39</v>
      </c>
      <c r="B610" s="34" t="s">
        <v>237</v>
      </c>
      <c r="C610" s="40" t="s">
        <v>139</v>
      </c>
      <c r="D610" s="34" t="s">
        <v>87</v>
      </c>
      <c r="E610" s="257">
        <v>0.20619999999999999</v>
      </c>
      <c r="F610" s="232">
        <v>1</v>
      </c>
      <c r="G610" s="40" t="s">
        <v>140</v>
      </c>
      <c r="H610" s="29">
        <v>2</v>
      </c>
      <c r="I610" s="9">
        <v>2</v>
      </c>
      <c r="J610" s="9">
        <v>2</v>
      </c>
      <c r="K610" s="9">
        <v>1</v>
      </c>
      <c r="L610" s="9">
        <v>1</v>
      </c>
      <c r="M610" s="9">
        <v>2</v>
      </c>
      <c r="N610" s="185">
        <f t="shared" si="45"/>
        <v>0.37356464144298934</v>
      </c>
      <c r="O610" s="159">
        <f t="shared" si="46"/>
        <v>0.37356464144298934</v>
      </c>
      <c r="P610" s="63"/>
    </row>
    <row r="611" spans="1:16">
      <c r="A611" s="151" t="s">
        <v>39</v>
      </c>
      <c r="B611" s="34" t="s">
        <v>237</v>
      </c>
      <c r="C611" s="40" t="s">
        <v>139</v>
      </c>
      <c r="D611" s="34" t="s">
        <v>88</v>
      </c>
      <c r="E611" s="257">
        <v>0.15479999999999999</v>
      </c>
      <c r="F611" s="232">
        <v>1</v>
      </c>
      <c r="G611" s="40" t="s">
        <v>140</v>
      </c>
      <c r="H611" s="29">
        <v>2</v>
      </c>
      <c r="I611" s="9">
        <v>2</v>
      </c>
      <c r="J611" s="9">
        <v>2</v>
      </c>
      <c r="K611" s="9">
        <v>1</v>
      </c>
      <c r="L611" s="9">
        <v>1</v>
      </c>
      <c r="M611" s="9">
        <v>2</v>
      </c>
      <c r="N611" s="185">
        <f t="shared" si="45"/>
        <v>0.37356464144298934</v>
      </c>
      <c r="O611" s="159">
        <f t="shared" si="46"/>
        <v>0.37356464144298934</v>
      </c>
      <c r="P611" s="63"/>
    </row>
    <row r="612" spans="1:16">
      <c r="A612" s="151" t="s">
        <v>39</v>
      </c>
      <c r="B612" s="34" t="s">
        <v>237</v>
      </c>
      <c r="C612" s="40" t="s">
        <v>139</v>
      </c>
      <c r="D612" s="34" t="s">
        <v>89</v>
      </c>
      <c r="E612" s="257">
        <v>1</v>
      </c>
      <c r="F612" s="232">
        <v>1</v>
      </c>
      <c r="G612" s="40" t="s">
        <v>140</v>
      </c>
      <c r="H612" s="29"/>
      <c r="I612" s="9"/>
      <c r="J612" s="9"/>
      <c r="K612" s="9"/>
      <c r="L612" s="9"/>
      <c r="M612" s="9"/>
      <c r="N612" s="185" t="str">
        <f t="shared" si="45"/>
        <v/>
      </c>
      <c r="O612" s="159" t="str">
        <f t="shared" si="46"/>
        <v/>
      </c>
      <c r="P612" s="63"/>
    </row>
    <row r="613" spans="1:16">
      <c r="A613" s="151" t="s">
        <v>39</v>
      </c>
      <c r="B613" s="34" t="s">
        <v>237</v>
      </c>
      <c r="C613" s="40" t="s">
        <v>139</v>
      </c>
      <c r="D613" s="34" t="s">
        <v>90</v>
      </c>
      <c r="E613" s="257">
        <v>0.375</v>
      </c>
      <c r="F613" s="232">
        <v>1</v>
      </c>
      <c r="G613" s="40" t="s">
        <v>140</v>
      </c>
      <c r="H613" s="29">
        <v>2</v>
      </c>
      <c r="I613" s="9">
        <v>2</v>
      </c>
      <c r="J613" s="9">
        <v>2</v>
      </c>
      <c r="K613" s="9">
        <v>1</v>
      </c>
      <c r="L613" s="9">
        <v>1</v>
      </c>
      <c r="M613" s="9">
        <v>2</v>
      </c>
      <c r="N613" s="185">
        <f t="shared" si="45"/>
        <v>0.37356464144298934</v>
      </c>
      <c r="O613" s="159">
        <f t="shared" si="46"/>
        <v>0.37356464144298934</v>
      </c>
      <c r="P613" s="63"/>
    </row>
    <row r="614" spans="1:16">
      <c r="A614" s="151" t="s">
        <v>39</v>
      </c>
      <c r="B614" s="34" t="s">
        <v>237</v>
      </c>
      <c r="C614" s="40" t="s">
        <v>139</v>
      </c>
      <c r="D614" s="34" t="s">
        <v>91</v>
      </c>
      <c r="E614" s="257">
        <v>5.9700000000000003E-2</v>
      </c>
      <c r="F614" s="232">
        <v>1</v>
      </c>
      <c r="G614" s="40" t="s">
        <v>140</v>
      </c>
      <c r="H614" s="29">
        <v>2</v>
      </c>
      <c r="I614" s="9">
        <v>2</v>
      </c>
      <c r="J614" s="9">
        <v>2</v>
      </c>
      <c r="K614" s="9">
        <v>1</v>
      </c>
      <c r="L614" s="9">
        <v>1</v>
      </c>
      <c r="M614" s="9">
        <v>2</v>
      </c>
      <c r="N614" s="185">
        <f t="shared" si="45"/>
        <v>0.37356464144298934</v>
      </c>
      <c r="O614" s="159">
        <f t="shared" si="46"/>
        <v>0.37356464144298934</v>
      </c>
      <c r="P614" s="63"/>
    </row>
    <row r="615" spans="1:16">
      <c r="A615" s="151" t="s">
        <v>39</v>
      </c>
      <c r="B615" s="34" t="s">
        <v>237</v>
      </c>
      <c r="C615" s="40" t="s">
        <v>139</v>
      </c>
      <c r="D615" s="34" t="s">
        <v>98</v>
      </c>
      <c r="E615" s="257">
        <v>0.36860068259385664</v>
      </c>
      <c r="F615" s="232">
        <v>1</v>
      </c>
      <c r="G615" s="40" t="s">
        <v>141</v>
      </c>
      <c r="H615" s="29">
        <v>2</v>
      </c>
      <c r="I615" s="9">
        <v>1</v>
      </c>
      <c r="J615" s="9">
        <v>2</v>
      </c>
      <c r="K615" s="9">
        <v>2</v>
      </c>
      <c r="L615" s="9">
        <v>1</v>
      </c>
      <c r="M615" s="9">
        <v>2</v>
      </c>
      <c r="N615" s="185">
        <f t="shared" si="45"/>
        <v>0.38795788889711302</v>
      </c>
      <c r="O615" s="159">
        <f t="shared" si="46"/>
        <v>0.37356464144298934</v>
      </c>
      <c r="P615" s="63"/>
    </row>
    <row r="616" spans="1:16">
      <c r="A616" s="151" t="s">
        <v>121</v>
      </c>
      <c r="B616" s="34" t="s">
        <v>152</v>
      </c>
      <c r="C616" s="40" t="s">
        <v>139</v>
      </c>
      <c r="D616" s="34" t="s">
        <v>86</v>
      </c>
      <c r="E616" s="257">
        <v>0</v>
      </c>
      <c r="F616" s="232">
        <v>1</v>
      </c>
      <c r="G616" s="40"/>
      <c r="H616" s="29"/>
      <c r="I616" s="9"/>
      <c r="J616" s="9"/>
      <c r="K616" s="9"/>
      <c r="L616" s="9"/>
      <c r="M616" s="9"/>
      <c r="N616" s="185" t="str">
        <f t="shared" si="45"/>
        <v/>
      </c>
      <c r="O616" s="159" t="str">
        <f t="shared" si="46"/>
        <v/>
      </c>
      <c r="P616" s="63"/>
    </row>
    <row r="617" spans="1:16">
      <c r="A617" s="151" t="s">
        <v>121</v>
      </c>
      <c r="B617" s="34" t="s">
        <v>152</v>
      </c>
      <c r="C617" s="40" t="s">
        <v>139</v>
      </c>
      <c r="D617" s="34" t="s">
        <v>87</v>
      </c>
      <c r="E617" s="257">
        <v>0.14328135279788046</v>
      </c>
      <c r="F617" s="232">
        <v>1</v>
      </c>
      <c r="G617" s="40"/>
      <c r="H617" s="29">
        <v>3</v>
      </c>
      <c r="I617" s="9">
        <v>3</v>
      </c>
      <c r="J617" s="9">
        <v>2</v>
      </c>
      <c r="K617" s="9">
        <v>2</v>
      </c>
      <c r="L617" s="9">
        <v>1</v>
      </c>
      <c r="M617" s="9">
        <v>2</v>
      </c>
      <c r="N617" s="185">
        <f t="shared" si="45"/>
        <v>0.50042652380814845</v>
      </c>
      <c r="O617" s="159">
        <f t="shared" si="46"/>
        <v>0.50042652380814845</v>
      </c>
      <c r="P617" s="63"/>
    </row>
    <row r="618" spans="1:16">
      <c r="A618" s="151" t="s">
        <v>121</v>
      </c>
      <c r="B618" s="34" t="s">
        <v>152</v>
      </c>
      <c r="C618" s="40" t="s">
        <v>139</v>
      </c>
      <c r="D618" s="34" t="s">
        <v>88</v>
      </c>
      <c r="E618" s="257">
        <v>0</v>
      </c>
      <c r="F618" s="232">
        <v>1</v>
      </c>
      <c r="G618" s="40"/>
      <c r="H618" s="29"/>
      <c r="I618" s="9"/>
      <c r="J618" s="9"/>
      <c r="K618" s="9"/>
      <c r="L618" s="9"/>
      <c r="M618" s="9"/>
      <c r="N618" s="185" t="str">
        <f t="shared" si="45"/>
        <v/>
      </c>
      <c r="O618" s="159" t="str">
        <f t="shared" si="46"/>
        <v/>
      </c>
      <c r="P618" s="63"/>
    </row>
    <row r="619" spans="1:16">
      <c r="A619" s="151" t="s">
        <v>121</v>
      </c>
      <c r="B619" s="34" t="s">
        <v>152</v>
      </c>
      <c r="C619" s="40" t="s">
        <v>139</v>
      </c>
      <c r="D619" s="34" t="s">
        <v>89</v>
      </c>
      <c r="E619" s="257">
        <v>0</v>
      </c>
      <c r="F619" s="232">
        <v>1</v>
      </c>
      <c r="G619" s="40"/>
      <c r="H619" s="29"/>
      <c r="I619" s="9"/>
      <c r="J619" s="9"/>
      <c r="K619" s="9"/>
      <c r="L619" s="9"/>
      <c r="M619" s="9"/>
      <c r="N619" s="185" t="str">
        <f t="shared" si="45"/>
        <v/>
      </c>
      <c r="O619" s="159" t="str">
        <f t="shared" si="46"/>
        <v/>
      </c>
      <c r="P619" s="63"/>
    </row>
    <row r="620" spans="1:16">
      <c r="A620" s="151" t="s">
        <v>121</v>
      </c>
      <c r="B620" s="34" t="s">
        <v>152</v>
      </c>
      <c r="C620" s="40" t="s">
        <v>139</v>
      </c>
      <c r="D620" s="34" t="s">
        <v>90</v>
      </c>
      <c r="E620" s="257">
        <v>0</v>
      </c>
      <c r="F620" s="232">
        <v>1</v>
      </c>
      <c r="G620" s="40"/>
      <c r="H620" s="29"/>
      <c r="I620" s="9"/>
      <c r="J620" s="9"/>
      <c r="K620" s="9"/>
      <c r="L620" s="9"/>
      <c r="M620" s="9"/>
      <c r="N620" s="185" t="str">
        <f t="shared" si="45"/>
        <v/>
      </c>
      <c r="O620" s="159" t="str">
        <f t="shared" si="46"/>
        <v/>
      </c>
      <c r="P620" s="63"/>
    </row>
    <row r="621" spans="1:16">
      <c r="A621" s="151" t="s">
        <v>121</v>
      </c>
      <c r="B621" s="34" t="s">
        <v>152</v>
      </c>
      <c r="C621" s="40" t="s">
        <v>139</v>
      </c>
      <c r="D621" s="34" t="s">
        <v>91</v>
      </c>
      <c r="E621" s="257">
        <v>0.15050289033535363</v>
      </c>
      <c r="F621" s="232">
        <v>1</v>
      </c>
      <c r="G621" s="40"/>
      <c r="H621" s="29">
        <v>3</v>
      </c>
      <c r="I621" s="9">
        <v>3</v>
      </c>
      <c r="J621" s="9">
        <v>2</v>
      </c>
      <c r="K621" s="9">
        <v>2</v>
      </c>
      <c r="L621" s="9">
        <v>1</v>
      </c>
      <c r="M621" s="9">
        <v>2</v>
      </c>
      <c r="N621" s="185">
        <f t="shared" si="45"/>
        <v>0.50042652380814845</v>
      </c>
      <c r="O621" s="159">
        <f t="shared" si="46"/>
        <v>0.50042652380814845</v>
      </c>
      <c r="P621" s="63"/>
    </row>
    <row r="622" spans="1:16">
      <c r="A622" s="151" t="s">
        <v>121</v>
      </c>
      <c r="B622" s="34" t="s">
        <v>152</v>
      </c>
      <c r="C622" s="40" t="s">
        <v>139</v>
      </c>
      <c r="D622" s="34" t="s">
        <v>95</v>
      </c>
      <c r="E622" s="257">
        <v>0.11589508747504616</v>
      </c>
      <c r="F622" s="232">
        <v>1</v>
      </c>
      <c r="G622" s="40"/>
      <c r="H622" s="29">
        <v>3</v>
      </c>
      <c r="I622" s="9">
        <v>4</v>
      </c>
      <c r="J622" s="9">
        <v>2</v>
      </c>
      <c r="K622" s="9">
        <v>2</v>
      </c>
      <c r="L622" s="9">
        <v>1</v>
      </c>
      <c r="M622" s="9">
        <v>2</v>
      </c>
      <c r="N622" s="185">
        <f t="shared" si="45"/>
        <v>0.50042652380814845</v>
      </c>
      <c r="O622" s="159">
        <f t="shared" si="46"/>
        <v>1.0776024280428556</v>
      </c>
      <c r="P622" s="63"/>
    </row>
    <row r="623" spans="1:16">
      <c r="A623" s="151" t="s">
        <v>121</v>
      </c>
      <c r="B623" s="34" t="s">
        <v>152</v>
      </c>
      <c r="C623" s="40" t="s">
        <v>139</v>
      </c>
      <c r="D623" s="34" t="s">
        <v>99</v>
      </c>
      <c r="E623" s="257">
        <v>0</v>
      </c>
      <c r="F623" s="232">
        <v>1</v>
      </c>
      <c r="G623" s="40"/>
      <c r="H623" s="29"/>
      <c r="I623" s="9"/>
      <c r="J623" s="9"/>
      <c r="K623" s="9"/>
      <c r="L623" s="9"/>
      <c r="M623" s="9"/>
      <c r="N623" s="185" t="str">
        <f t="shared" si="45"/>
        <v/>
      </c>
      <c r="O623" s="159" t="str">
        <f t="shared" si="46"/>
        <v/>
      </c>
      <c r="P623" s="63"/>
    </row>
    <row r="624" spans="1:16">
      <c r="A624" s="151" t="s">
        <v>121</v>
      </c>
      <c r="B624" s="34" t="s">
        <v>170</v>
      </c>
      <c r="C624" s="40" t="s">
        <v>139</v>
      </c>
      <c r="D624" s="34" t="s">
        <v>85</v>
      </c>
      <c r="E624" s="257">
        <v>0</v>
      </c>
      <c r="F624" s="232">
        <v>1</v>
      </c>
      <c r="G624" s="40"/>
      <c r="H624" s="29"/>
      <c r="I624" s="9"/>
      <c r="J624" s="9"/>
      <c r="K624" s="9"/>
      <c r="L624" s="9"/>
      <c r="M624" s="9"/>
      <c r="N624" s="185" t="str">
        <f t="shared" si="45"/>
        <v/>
      </c>
      <c r="O624" s="159" t="str">
        <f t="shared" si="46"/>
        <v/>
      </c>
      <c r="P624" s="63"/>
    </row>
    <row r="625" spans="1:16">
      <c r="A625" s="151" t="s">
        <v>228</v>
      </c>
      <c r="B625" s="34" t="s">
        <v>231</v>
      </c>
      <c r="C625" s="40" t="s">
        <v>139</v>
      </c>
      <c r="D625" s="34" t="s">
        <v>139</v>
      </c>
      <c r="E625" s="257">
        <v>0.52205999999999997</v>
      </c>
      <c r="F625" s="232">
        <v>2</v>
      </c>
      <c r="G625" s="40" t="s">
        <v>373</v>
      </c>
      <c r="H625" s="29">
        <v>3</v>
      </c>
      <c r="I625" s="9"/>
      <c r="J625" s="9">
        <v>3</v>
      </c>
      <c r="K625" s="9">
        <v>3</v>
      </c>
      <c r="L625" s="9">
        <v>3</v>
      </c>
      <c r="M625" s="9">
        <v>3</v>
      </c>
      <c r="N625" s="185">
        <f t="shared" si="45"/>
        <v>1.2132328390150593</v>
      </c>
      <c r="O625" s="159" t="str">
        <f t="shared" si="46"/>
        <v/>
      </c>
      <c r="P625" s="63" t="s">
        <v>374</v>
      </c>
    </row>
    <row r="626" spans="1:16">
      <c r="A626" s="151" t="s">
        <v>228</v>
      </c>
      <c r="B626" s="34" t="s">
        <v>231</v>
      </c>
      <c r="C626" s="40" t="s">
        <v>139</v>
      </c>
      <c r="D626" s="34" t="s">
        <v>139</v>
      </c>
      <c r="E626" s="257">
        <v>0.19137000000000001</v>
      </c>
      <c r="F626" s="232">
        <v>2</v>
      </c>
      <c r="G626" s="40" t="s">
        <v>373</v>
      </c>
      <c r="H626" s="29">
        <v>3</v>
      </c>
      <c r="I626" s="9"/>
      <c r="J626" s="9">
        <v>3</v>
      </c>
      <c r="K626" s="9">
        <v>3</v>
      </c>
      <c r="L626" s="9">
        <v>3</v>
      </c>
      <c r="M626" s="9">
        <v>3</v>
      </c>
      <c r="N626" s="185">
        <f t="shared" si="45"/>
        <v>1.2132328390150593</v>
      </c>
      <c r="O626" s="159" t="str">
        <f t="shared" si="46"/>
        <v/>
      </c>
      <c r="P626" s="63" t="s">
        <v>375</v>
      </c>
    </row>
    <row r="627" spans="1:16">
      <c r="A627" s="151" t="s">
        <v>228</v>
      </c>
      <c r="B627" s="34" t="s">
        <v>231</v>
      </c>
      <c r="C627" s="40" t="s">
        <v>139</v>
      </c>
      <c r="D627" s="34" t="s">
        <v>139</v>
      </c>
      <c r="E627" s="257">
        <v>0.11433</v>
      </c>
      <c r="F627" s="232">
        <v>2</v>
      </c>
      <c r="G627" s="40" t="s">
        <v>373</v>
      </c>
      <c r="H627" s="29">
        <v>3</v>
      </c>
      <c r="I627" s="9"/>
      <c r="J627" s="9">
        <v>3</v>
      </c>
      <c r="K627" s="9">
        <v>3</v>
      </c>
      <c r="L627" s="9">
        <v>3</v>
      </c>
      <c r="M627" s="9">
        <v>3</v>
      </c>
      <c r="N627" s="185">
        <f t="shared" si="45"/>
        <v>1.2132328390150593</v>
      </c>
      <c r="O627" s="159" t="str">
        <f t="shared" si="46"/>
        <v/>
      </c>
      <c r="P627" s="63" t="s">
        <v>376</v>
      </c>
    </row>
    <row r="628" spans="1:16">
      <c r="A628" s="151" t="s">
        <v>228</v>
      </c>
      <c r="B628" s="34" t="s">
        <v>231</v>
      </c>
      <c r="C628" s="40" t="s">
        <v>139</v>
      </c>
      <c r="D628" s="34" t="s">
        <v>139</v>
      </c>
      <c r="E628" s="257">
        <v>0.25267000000000001</v>
      </c>
      <c r="F628" s="232">
        <v>2</v>
      </c>
      <c r="G628" s="40" t="s">
        <v>373</v>
      </c>
      <c r="H628" s="29">
        <v>3</v>
      </c>
      <c r="I628" s="9"/>
      <c r="J628" s="9">
        <v>3</v>
      </c>
      <c r="K628" s="9">
        <v>3</v>
      </c>
      <c r="L628" s="9">
        <v>3</v>
      </c>
      <c r="M628" s="9">
        <v>3</v>
      </c>
      <c r="N628" s="185">
        <f t="shared" si="45"/>
        <v>1.2132328390150593</v>
      </c>
      <c r="O628" s="159" t="str">
        <f t="shared" si="46"/>
        <v/>
      </c>
      <c r="P628" s="63" t="s">
        <v>377</v>
      </c>
    </row>
    <row r="629" spans="1:16">
      <c r="A629" s="151" t="s">
        <v>270</v>
      </c>
      <c r="B629" s="34" t="s">
        <v>301</v>
      </c>
      <c r="C629" s="40" t="s">
        <v>139</v>
      </c>
      <c r="D629" s="34" t="s">
        <v>139</v>
      </c>
      <c r="E629" s="851">
        <v>0.02</v>
      </c>
      <c r="F629" s="34">
        <v>2</v>
      </c>
      <c r="G629" s="40" t="s">
        <v>302</v>
      </c>
      <c r="H629" s="29">
        <v>2</v>
      </c>
      <c r="I629" s="9">
        <v>2</v>
      </c>
      <c r="J629" s="9">
        <v>2</v>
      </c>
      <c r="K629" s="9">
        <v>2</v>
      </c>
      <c r="L629" s="9">
        <v>1</v>
      </c>
      <c r="M629" s="9">
        <v>1</v>
      </c>
      <c r="N629" s="185">
        <f t="shared" si="45"/>
        <v>0.2249354160293616</v>
      </c>
      <c r="O629" s="159">
        <f t="shared" si="46"/>
        <v>0.2249354160293616</v>
      </c>
      <c r="P629" s="838"/>
    </row>
    <row r="630" spans="1:16">
      <c r="A630" s="151" t="s">
        <v>275</v>
      </c>
      <c r="B630" s="34" t="s">
        <v>378</v>
      </c>
      <c r="C630" s="40" t="s">
        <v>139</v>
      </c>
      <c r="D630" s="34" t="s">
        <v>139</v>
      </c>
      <c r="E630" s="851">
        <v>0.9</v>
      </c>
      <c r="F630" s="34">
        <v>1</v>
      </c>
      <c r="G630" s="40" t="s">
        <v>379</v>
      </c>
      <c r="H630" s="29">
        <v>1</v>
      </c>
      <c r="I630" s="9">
        <v>3</v>
      </c>
      <c r="J630" s="9">
        <v>2</v>
      </c>
      <c r="K630" s="9">
        <v>1</v>
      </c>
      <c r="L630" s="9">
        <v>1</v>
      </c>
      <c r="M630" s="9">
        <v>2</v>
      </c>
      <c r="N630" s="185">
        <f t="shared" si="45"/>
        <v>0.35859414261160716</v>
      </c>
      <c r="O630" s="159">
        <f t="shared" si="46"/>
        <v>0.48935255543384243</v>
      </c>
      <c r="P630" s="838"/>
    </row>
    <row r="631" spans="1:16">
      <c r="A631" s="151" t="s">
        <v>275</v>
      </c>
      <c r="B631" s="34" t="s">
        <v>258</v>
      </c>
      <c r="C631" s="40" t="s">
        <v>139</v>
      </c>
      <c r="D631" s="34" t="s">
        <v>139</v>
      </c>
      <c r="E631" s="851">
        <v>0.1</v>
      </c>
      <c r="F631" s="34">
        <v>1</v>
      </c>
      <c r="G631" s="40" t="s">
        <v>379</v>
      </c>
      <c r="H631" s="29">
        <v>1</v>
      </c>
      <c r="I631" s="9">
        <v>3</v>
      </c>
      <c r="J631" s="9">
        <v>2</v>
      </c>
      <c r="K631" s="9">
        <v>1</v>
      </c>
      <c r="L631" s="9">
        <v>1</v>
      </c>
      <c r="M631" s="9">
        <v>2</v>
      </c>
      <c r="N631" s="185">
        <f t="shared" si="45"/>
        <v>0.35859414261160716</v>
      </c>
      <c r="O631" s="159">
        <f t="shared" si="46"/>
        <v>0.48935255543384243</v>
      </c>
      <c r="P631" s="838"/>
    </row>
    <row r="632" spans="1:16">
      <c r="A632" s="151" t="s">
        <v>271</v>
      </c>
      <c r="B632" s="34" t="s">
        <v>380</v>
      </c>
      <c r="C632" s="40" t="s">
        <v>139</v>
      </c>
      <c r="D632" s="34" t="s">
        <v>139</v>
      </c>
      <c r="E632" s="851" t="s">
        <v>150</v>
      </c>
      <c r="F632" s="34">
        <v>1</v>
      </c>
      <c r="G632" s="40"/>
      <c r="H632" s="29"/>
      <c r="I632" s="9"/>
      <c r="J632" s="9"/>
      <c r="K632" s="9"/>
      <c r="L632" s="9"/>
      <c r="M632" s="9"/>
      <c r="N632" s="185" t="str">
        <f t="shared" si="45"/>
        <v/>
      </c>
      <c r="O632" s="159" t="str">
        <f t="shared" si="46"/>
        <v/>
      </c>
      <c r="P632" s="838"/>
    </row>
    <row r="633" spans="1:16">
      <c r="A633" s="151" t="s">
        <v>271</v>
      </c>
      <c r="B633" s="34" t="s">
        <v>231</v>
      </c>
      <c r="C633" s="40" t="s">
        <v>139</v>
      </c>
      <c r="D633" s="34" t="s">
        <v>139</v>
      </c>
      <c r="E633" s="851">
        <v>0.05</v>
      </c>
      <c r="F633" s="34">
        <v>2</v>
      </c>
      <c r="G633" s="40" t="s">
        <v>276</v>
      </c>
      <c r="H633" s="29">
        <v>1</v>
      </c>
      <c r="I633" s="9">
        <v>2</v>
      </c>
      <c r="J633" s="9">
        <v>1</v>
      </c>
      <c r="K633" s="9">
        <v>1</v>
      </c>
      <c r="L633" s="9">
        <v>2</v>
      </c>
      <c r="M633" s="9">
        <v>3</v>
      </c>
      <c r="N633" s="185">
        <f t="shared" si="45"/>
        <v>1.0195048044558224</v>
      </c>
      <c r="O633" s="159">
        <f t="shared" si="46"/>
        <v>1.0248662490928169</v>
      </c>
      <c r="P633" s="838"/>
    </row>
    <row r="634" spans="1:16">
      <c r="A634" s="151" t="s">
        <v>271</v>
      </c>
      <c r="B634" s="34" t="s">
        <v>231</v>
      </c>
      <c r="C634" s="40" t="s">
        <v>139</v>
      </c>
      <c r="D634" s="34" t="s">
        <v>139</v>
      </c>
      <c r="E634" s="851">
        <v>0.1</v>
      </c>
      <c r="F634" s="34">
        <v>2</v>
      </c>
      <c r="G634" s="852" t="s">
        <v>277</v>
      </c>
      <c r="H634" s="29">
        <v>1</v>
      </c>
      <c r="I634" s="9">
        <v>2</v>
      </c>
      <c r="J634" s="9">
        <v>2</v>
      </c>
      <c r="K634" s="9">
        <v>1</v>
      </c>
      <c r="L634" s="9">
        <v>2</v>
      </c>
      <c r="M634" s="9">
        <v>3</v>
      </c>
      <c r="N634" s="185">
        <f t="shared" si="45"/>
        <v>1.0248662490928169</v>
      </c>
      <c r="O634" s="159">
        <f t="shared" si="46"/>
        <v>1.0301997916669636</v>
      </c>
      <c r="P634" s="838"/>
    </row>
    <row r="635" spans="1:16">
      <c r="A635" s="151" t="s">
        <v>271</v>
      </c>
      <c r="B635" s="34" t="s">
        <v>301</v>
      </c>
      <c r="C635" s="40" t="s">
        <v>139</v>
      </c>
      <c r="D635" s="34" t="s">
        <v>139</v>
      </c>
      <c r="E635" s="851">
        <v>0.8</v>
      </c>
      <c r="F635" s="34">
        <v>2</v>
      </c>
      <c r="G635" s="40" t="s">
        <v>381</v>
      </c>
      <c r="H635" s="29">
        <v>1</v>
      </c>
      <c r="I635" s="9">
        <v>2</v>
      </c>
      <c r="J635" s="9">
        <v>1</v>
      </c>
      <c r="K635" s="9">
        <v>1</v>
      </c>
      <c r="L635" s="9">
        <v>3</v>
      </c>
      <c r="M635" s="9">
        <v>3</v>
      </c>
      <c r="N635" s="185">
        <f t="shared" si="45"/>
        <v>1.0673825127299523</v>
      </c>
      <c r="O635" s="159">
        <f t="shared" si="46"/>
        <v>1.0725046436742278</v>
      </c>
      <c r="P635" s="838"/>
    </row>
    <row r="636" spans="1:16">
      <c r="A636" s="151" t="s">
        <v>271</v>
      </c>
      <c r="B636" s="34" t="s">
        <v>301</v>
      </c>
      <c r="C636" s="40" t="s">
        <v>139</v>
      </c>
      <c r="D636" s="34" t="s">
        <v>139</v>
      </c>
      <c r="E636" s="851">
        <v>0.9</v>
      </c>
      <c r="F636" s="34">
        <v>2</v>
      </c>
      <c r="G636" s="40" t="s">
        <v>379</v>
      </c>
      <c r="H636" s="29">
        <v>1</v>
      </c>
      <c r="I636" s="9">
        <v>2</v>
      </c>
      <c r="J636" s="9">
        <v>1</v>
      </c>
      <c r="K636" s="9">
        <v>1</v>
      </c>
      <c r="L636" s="9">
        <v>3</v>
      </c>
      <c r="M636" s="9">
        <v>3</v>
      </c>
      <c r="N636" s="185">
        <f t="shared" si="45"/>
        <v>1.0673825127299523</v>
      </c>
      <c r="O636" s="159">
        <f t="shared" si="46"/>
        <v>1.0725046436742278</v>
      </c>
      <c r="P636" s="838"/>
    </row>
    <row r="637" spans="1:16">
      <c r="A637" s="151" t="s">
        <v>121</v>
      </c>
      <c r="B637" s="34" t="s">
        <v>170</v>
      </c>
      <c r="C637" s="40" t="s">
        <v>139</v>
      </c>
      <c r="D637" s="34" t="s">
        <v>86</v>
      </c>
      <c r="E637" s="257">
        <v>0</v>
      </c>
      <c r="F637" s="232">
        <v>1</v>
      </c>
      <c r="G637" s="40"/>
      <c r="H637" s="29"/>
      <c r="I637" s="9"/>
      <c r="J637" s="9"/>
      <c r="K637" s="9"/>
      <c r="L637" s="9"/>
      <c r="M637" s="9"/>
      <c r="N637" s="185" t="str">
        <f t="shared" si="45"/>
        <v/>
      </c>
      <c r="O637" s="159" t="str">
        <f t="shared" si="46"/>
        <v/>
      </c>
      <c r="P637" s="63"/>
    </row>
    <row r="638" spans="1:16">
      <c r="A638" s="289" t="s">
        <v>360</v>
      </c>
      <c r="B638" s="55" t="s">
        <v>231</v>
      </c>
      <c r="C638" s="262" t="s">
        <v>139</v>
      </c>
      <c r="D638" s="55" t="s">
        <v>139</v>
      </c>
      <c r="E638" s="257">
        <v>3.8461538461538457E-2</v>
      </c>
      <c r="F638" s="232">
        <v>2</v>
      </c>
      <c r="G638" s="262" t="s">
        <v>163</v>
      </c>
      <c r="H638" s="29">
        <v>2</v>
      </c>
      <c r="I638" s="9">
        <v>2</v>
      </c>
      <c r="J638" s="9">
        <v>2</v>
      </c>
      <c r="K638" s="9">
        <v>2</v>
      </c>
      <c r="L638" s="9">
        <v>2</v>
      </c>
      <c r="M638" s="9">
        <v>2</v>
      </c>
      <c r="N638" s="185">
        <f t="shared" si="45"/>
        <v>0.40183591897512122</v>
      </c>
      <c r="O638" s="159">
        <f t="shared" si="46"/>
        <v>0.40183591897512122</v>
      </c>
      <c r="P638" s="63" t="s">
        <v>357</v>
      </c>
    </row>
    <row r="639" spans="1:16">
      <c r="A639" s="289" t="s">
        <v>360</v>
      </c>
      <c r="B639" s="55" t="s">
        <v>231</v>
      </c>
      <c r="C639" s="262" t="s">
        <v>139</v>
      </c>
      <c r="D639" s="55" t="s">
        <v>139</v>
      </c>
      <c r="E639" s="257">
        <v>0.4623655913978495</v>
      </c>
      <c r="F639" s="232">
        <v>2</v>
      </c>
      <c r="G639" s="262" t="s">
        <v>163</v>
      </c>
      <c r="H639" s="29">
        <v>2</v>
      </c>
      <c r="I639" s="9">
        <v>2</v>
      </c>
      <c r="J639" s="9">
        <v>2</v>
      </c>
      <c r="K639" s="9">
        <v>2</v>
      </c>
      <c r="L639" s="9">
        <v>2</v>
      </c>
      <c r="M639" s="9">
        <v>2</v>
      </c>
      <c r="N639" s="185">
        <f t="shared" si="45"/>
        <v>0.40183591897512122</v>
      </c>
      <c r="O639" s="159">
        <f t="shared" si="46"/>
        <v>0.40183591897512122</v>
      </c>
      <c r="P639" s="63" t="s">
        <v>358</v>
      </c>
    </row>
    <row r="640" spans="1:16">
      <c r="A640" s="151" t="s">
        <v>200</v>
      </c>
      <c r="B640" s="34" t="s">
        <v>244</v>
      </c>
      <c r="C640" s="40" t="s">
        <v>139</v>
      </c>
      <c r="D640" s="34" t="s">
        <v>139</v>
      </c>
      <c r="E640" s="257">
        <v>2.1505376344086021E-3</v>
      </c>
      <c r="F640" s="232">
        <v>1</v>
      </c>
      <c r="G640" s="40" t="s">
        <v>145</v>
      </c>
      <c r="H640" s="29">
        <v>2</v>
      </c>
      <c r="I640" s="9">
        <v>2</v>
      </c>
      <c r="J640" s="9">
        <v>2</v>
      </c>
      <c r="K640" s="9">
        <v>3</v>
      </c>
      <c r="L640" s="9">
        <v>1</v>
      </c>
      <c r="M640" s="9">
        <v>2</v>
      </c>
      <c r="N640" s="185">
        <f t="shared" si="45"/>
        <v>0.50042652380814845</v>
      </c>
      <c r="O640" s="159">
        <f t="shared" si="46"/>
        <v>0.50042652380814845</v>
      </c>
      <c r="P640" s="63" t="s">
        <v>382</v>
      </c>
    </row>
    <row r="641" spans="1:16">
      <c r="A641" s="151" t="s">
        <v>201</v>
      </c>
      <c r="B641" s="34" t="s">
        <v>244</v>
      </c>
      <c r="C641" s="40" t="s">
        <v>139</v>
      </c>
      <c r="D641" s="34" t="s">
        <v>85</v>
      </c>
      <c r="E641" s="257">
        <v>1.075268817204301E-2</v>
      </c>
      <c r="F641" s="232">
        <v>1</v>
      </c>
      <c r="G641" s="40" t="s">
        <v>145</v>
      </c>
      <c r="H641" s="29">
        <v>2</v>
      </c>
      <c r="I641" s="9">
        <v>2</v>
      </c>
      <c r="J641" s="9">
        <v>2</v>
      </c>
      <c r="K641" s="9">
        <v>3</v>
      </c>
      <c r="L641" s="9">
        <v>1</v>
      </c>
      <c r="M641" s="9">
        <v>2</v>
      </c>
      <c r="N641" s="185">
        <f t="shared" si="45"/>
        <v>0.50042652380814845</v>
      </c>
      <c r="O641" s="159">
        <f t="shared" si="46"/>
        <v>0.50042652380814845</v>
      </c>
      <c r="P641" s="63" t="s">
        <v>382</v>
      </c>
    </row>
    <row r="642" spans="1:16">
      <c r="A642" s="151" t="s">
        <v>201</v>
      </c>
      <c r="B642" s="34" t="s">
        <v>244</v>
      </c>
      <c r="C642" s="40" t="s">
        <v>139</v>
      </c>
      <c r="D642" s="34" t="s">
        <v>86</v>
      </c>
      <c r="E642" s="257">
        <v>0.5376344086021505</v>
      </c>
      <c r="F642" s="232">
        <v>1</v>
      </c>
      <c r="G642" s="40" t="s">
        <v>145</v>
      </c>
      <c r="H642" s="29">
        <v>2</v>
      </c>
      <c r="I642" s="9">
        <v>2</v>
      </c>
      <c r="J642" s="9">
        <v>2</v>
      </c>
      <c r="K642" s="9">
        <v>3</v>
      </c>
      <c r="L642" s="9">
        <v>1</v>
      </c>
      <c r="M642" s="9">
        <v>2</v>
      </c>
      <c r="N642" s="185">
        <f t="shared" si="45"/>
        <v>0.50042652380814845</v>
      </c>
      <c r="O642" s="159">
        <f t="shared" si="46"/>
        <v>0.50042652380814845</v>
      </c>
      <c r="P642" s="63" t="s">
        <v>382</v>
      </c>
    </row>
    <row r="643" spans="1:16">
      <c r="A643" s="151" t="s">
        <v>201</v>
      </c>
      <c r="B643" s="34" t="s">
        <v>244</v>
      </c>
      <c r="C643" s="40" t="s">
        <v>139</v>
      </c>
      <c r="D643" s="34" t="s">
        <v>87</v>
      </c>
      <c r="E643" s="257">
        <v>1.075268817204301E-2</v>
      </c>
      <c r="F643" s="232">
        <v>1</v>
      </c>
      <c r="G643" s="40" t="s">
        <v>145</v>
      </c>
      <c r="H643" s="29">
        <v>2</v>
      </c>
      <c r="I643" s="9">
        <v>2</v>
      </c>
      <c r="J643" s="9">
        <v>2</v>
      </c>
      <c r="K643" s="9">
        <v>3</v>
      </c>
      <c r="L643" s="9">
        <v>1</v>
      </c>
      <c r="M643" s="9">
        <v>2</v>
      </c>
      <c r="N643" s="185">
        <f t="shared" si="45"/>
        <v>0.50042652380814845</v>
      </c>
      <c r="O643" s="159">
        <f t="shared" si="46"/>
        <v>0.50042652380814845</v>
      </c>
      <c r="P643" s="63" t="s">
        <v>382</v>
      </c>
    </row>
    <row r="644" spans="1:16">
      <c r="A644" s="151" t="s">
        <v>201</v>
      </c>
      <c r="B644" s="34" t="s">
        <v>244</v>
      </c>
      <c r="C644" s="40" t="s">
        <v>139</v>
      </c>
      <c r="D644" s="34" t="s">
        <v>88</v>
      </c>
      <c r="E644" s="257">
        <v>1.075268817204301E-2</v>
      </c>
      <c r="F644" s="232">
        <v>1</v>
      </c>
      <c r="G644" s="40" t="s">
        <v>145</v>
      </c>
      <c r="H644" s="29">
        <v>2</v>
      </c>
      <c r="I644" s="9">
        <v>2</v>
      </c>
      <c r="J644" s="9">
        <v>2</v>
      </c>
      <c r="K644" s="9">
        <v>3</v>
      </c>
      <c r="L644" s="9">
        <v>1</v>
      </c>
      <c r="M644" s="9">
        <v>2</v>
      </c>
      <c r="N644" s="185">
        <f t="shared" si="45"/>
        <v>0.50042652380814845</v>
      </c>
      <c r="O644" s="159">
        <f t="shared" si="46"/>
        <v>0.50042652380814845</v>
      </c>
      <c r="P644" s="63" t="s">
        <v>382</v>
      </c>
    </row>
    <row r="645" spans="1:16">
      <c r="A645" s="151" t="s">
        <v>201</v>
      </c>
      <c r="B645" s="34" t="s">
        <v>244</v>
      </c>
      <c r="C645" s="40" t="s">
        <v>139</v>
      </c>
      <c r="D645" s="34" t="s">
        <v>89</v>
      </c>
      <c r="E645" s="257">
        <v>1.075268817204301E-2</v>
      </c>
      <c r="F645" s="232">
        <v>1</v>
      </c>
      <c r="G645" s="40" t="s">
        <v>145</v>
      </c>
      <c r="H645" s="29">
        <v>2</v>
      </c>
      <c r="I645" s="9">
        <v>2</v>
      </c>
      <c r="J645" s="9">
        <v>2</v>
      </c>
      <c r="K645" s="9">
        <v>3</v>
      </c>
      <c r="L645" s="9">
        <v>1</v>
      </c>
      <c r="M645" s="9">
        <v>2</v>
      </c>
      <c r="N645" s="185">
        <f t="shared" si="45"/>
        <v>0.50042652380814845</v>
      </c>
      <c r="O645" s="159">
        <f t="shared" si="46"/>
        <v>0.50042652380814845</v>
      </c>
      <c r="P645" s="63" t="s">
        <v>382</v>
      </c>
    </row>
    <row r="646" spans="1:16">
      <c r="A646" s="151" t="s">
        <v>201</v>
      </c>
      <c r="B646" s="34" t="s">
        <v>244</v>
      </c>
      <c r="C646" s="40" t="s">
        <v>139</v>
      </c>
      <c r="D646" s="34" t="s">
        <v>90</v>
      </c>
      <c r="E646" s="257">
        <v>1.075268817204301E-2</v>
      </c>
      <c r="F646" s="232">
        <v>1</v>
      </c>
      <c r="G646" s="40" t="s">
        <v>145</v>
      </c>
      <c r="H646" s="29">
        <v>2</v>
      </c>
      <c r="I646" s="9">
        <v>2</v>
      </c>
      <c r="J646" s="9">
        <v>2</v>
      </c>
      <c r="K646" s="9">
        <v>3</v>
      </c>
      <c r="L646" s="9">
        <v>1</v>
      </c>
      <c r="M646" s="9">
        <v>2</v>
      </c>
      <c r="N646" s="185">
        <f t="shared" si="45"/>
        <v>0.50042652380814845</v>
      </c>
      <c r="O646" s="159">
        <f t="shared" si="46"/>
        <v>0.50042652380814845</v>
      </c>
      <c r="P646" s="63" t="s">
        <v>382</v>
      </c>
    </row>
    <row r="647" spans="1:16">
      <c r="A647" s="151" t="s">
        <v>201</v>
      </c>
      <c r="B647" s="34" t="s">
        <v>244</v>
      </c>
      <c r="C647" s="40" t="s">
        <v>139</v>
      </c>
      <c r="D647" s="34" t="s">
        <v>91</v>
      </c>
      <c r="E647" s="257">
        <v>0.82</v>
      </c>
      <c r="F647" s="232">
        <v>1</v>
      </c>
      <c r="G647" s="40" t="s">
        <v>383</v>
      </c>
      <c r="H647" s="29">
        <v>2</v>
      </c>
      <c r="I647" s="9">
        <v>2</v>
      </c>
      <c r="J647" s="9">
        <v>1</v>
      </c>
      <c r="K647" s="9">
        <v>1</v>
      </c>
      <c r="L647" s="9">
        <v>1</v>
      </c>
      <c r="M647" s="9">
        <v>1</v>
      </c>
      <c r="N647" s="185">
        <f t="shared" si="45"/>
        <v>0.16933510251023262</v>
      </c>
      <c r="O647" s="159">
        <f t="shared" si="46"/>
        <v>0.16933510251023262</v>
      </c>
      <c r="P647" s="63"/>
    </row>
    <row r="648" spans="1:16">
      <c r="A648" s="151" t="s">
        <v>202</v>
      </c>
      <c r="B648" s="34" t="s">
        <v>244</v>
      </c>
      <c r="C648" s="40" t="s">
        <v>139</v>
      </c>
      <c r="D648" s="34" t="s">
        <v>139</v>
      </c>
      <c r="E648" s="257">
        <v>0</v>
      </c>
      <c r="F648" s="232">
        <v>1</v>
      </c>
      <c r="G648" s="40" t="s">
        <v>145</v>
      </c>
      <c r="H648" s="29"/>
      <c r="I648" s="9"/>
      <c r="J648" s="9"/>
      <c r="K648" s="9"/>
      <c r="L648" s="9"/>
      <c r="M648" s="9"/>
      <c r="N648" s="185" t="str">
        <f t="shared" si="45"/>
        <v/>
      </c>
      <c r="O648" s="159" t="str">
        <f t="shared" si="46"/>
        <v/>
      </c>
      <c r="P648" s="63"/>
    </row>
    <row r="649" spans="1:16">
      <c r="A649" s="151" t="s">
        <v>235</v>
      </c>
      <c r="B649" s="34" t="s">
        <v>244</v>
      </c>
      <c r="C649" s="40" t="s">
        <v>139</v>
      </c>
      <c r="D649" s="34" t="s">
        <v>139</v>
      </c>
      <c r="E649" s="257">
        <v>0.32258064516129031</v>
      </c>
      <c r="F649" s="232">
        <v>1</v>
      </c>
      <c r="G649" s="40" t="s">
        <v>145</v>
      </c>
      <c r="H649" s="29">
        <v>2</v>
      </c>
      <c r="I649" s="9">
        <v>2</v>
      </c>
      <c r="J649" s="9">
        <v>2</v>
      </c>
      <c r="K649" s="9">
        <v>3</v>
      </c>
      <c r="L649" s="9">
        <v>1</v>
      </c>
      <c r="M649" s="9">
        <v>2</v>
      </c>
      <c r="N649" s="185">
        <f t="shared" si="45"/>
        <v>0.50042652380814845</v>
      </c>
      <c r="O649" s="159">
        <f t="shared" si="46"/>
        <v>0.50042652380814845</v>
      </c>
      <c r="P649" s="63" t="s">
        <v>382</v>
      </c>
    </row>
    <row r="650" spans="1:16">
      <c r="A650" s="151" t="s">
        <v>203</v>
      </c>
      <c r="B650" s="34" t="s">
        <v>244</v>
      </c>
      <c r="C650" s="40" t="s">
        <v>139</v>
      </c>
      <c r="D650" s="34" t="s">
        <v>139</v>
      </c>
      <c r="E650" s="257">
        <v>1.075268817204301E-2</v>
      </c>
      <c r="F650" s="232">
        <v>1</v>
      </c>
      <c r="G650" s="40" t="s">
        <v>145</v>
      </c>
      <c r="H650" s="29">
        <v>2</v>
      </c>
      <c r="I650" s="9">
        <v>2</v>
      </c>
      <c r="J650" s="9">
        <v>2</v>
      </c>
      <c r="K650" s="9">
        <v>3</v>
      </c>
      <c r="L650" s="9">
        <v>1</v>
      </c>
      <c r="M650" s="9">
        <v>2</v>
      </c>
      <c r="N650" s="185">
        <f t="shared" si="45"/>
        <v>0.50042652380814845</v>
      </c>
      <c r="O650" s="159">
        <f t="shared" si="46"/>
        <v>0.50042652380814845</v>
      </c>
      <c r="P650" s="63" t="s">
        <v>382</v>
      </c>
    </row>
    <row r="651" spans="1:16">
      <c r="A651" s="151" t="s">
        <v>236</v>
      </c>
      <c r="B651" s="34" t="s">
        <v>244</v>
      </c>
      <c r="C651" s="40" t="s">
        <v>139</v>
      </c>
      <c r="D651" s="34" t="s">
        <v>139</v>
      </c>
      <c r="E651" s="257">
        <v>0.32258064516129031</v>
      </c>
      <c r="F651" s="232">
        <v>1</v>
      </c>
      <c r="G651" s="40" t="s">
        <v>145</v>
      </c>
      <c r="H651" s="29">
        <v>2</v>
      </c>
      <c r="I651" s="9">
        <v>2</v>
      </c>
      <c r="J651" s="9">
        <v>2</v>
      </c>
      <c r="K651" s="9">
        <v>3</v>
      </c>
      <c r="L651" s="9">
        <v>1</v>
      </c>
      <c r="M651" s="9">
        <v>2</v>
      </c>
      <c r="N651" s="185">
        <f t="shared" si="45"/>
        <v>0.50042652380814845</v>
      </c>
      <c r="O651" s="159">
        <f t="shared" si="46"/>
        <v>0.50042652380814845</v>
      </c>
      <c r="P651" s="63" t="s">
        <v>382</v>
      </c>
    </row>
    <row r="652" spans="1:16">
      <c r="A652" s="151" t="s">
        <v>237</v>
      </c>
      <c r="B652" s="34" t="s">
        <v>244</v>
      </c>
      <c r="C652" s="40" t="s">
        <v>139</v>
      </c>
      <c r="D652" s="34" t="s">
        <v>85</v>
      </c>
      <c r="E652" s="257">
        <v>6.4516129032258063E-2</v>
      </c>
      <c r="F652" s="232">
        <v>1</v>
      </c>
      <c r="G652" s="40" t="s">
        <v>145</v>
      </c>
      <c r="H652" s="29">
        <v>2</v>
      </c>
      <c r="I652" s="9">
        <v>2</v>
      </c>
      <c r="J652" s="9">
        <v>2</v>
      </c>
      <c r="K652" s="9">
        <v>3</v>
      </c>
      <c r="L652" s="9">
        <v>1</v>
      </c>
      <c r="M652" s="9">
        <v>2</v>
      </c>
      <c r="N652" s="185">
        <f t="shared" si="45"/>
        <v>0.50042652380814845</v>
      </c>
      <c r="O652" s="159">
        <f t="shared" si="46"/>
        <v>0.50042652380814845</v>
      </c>
      <c r="P652" s="63" t="s">
        <v>382</v>
      </c>
    </row>
    <row r="653" spans="1:16">
      <c r="A653" s="151" t="s">
        <v>237</v>
      </c>
      <c r="B653" s="34" t="s">
        <v>244</v>
      </c>
      <c r="C653" s="40" t="s">
        <v>139</v>
      </c>
      <c r="D653" s="34" t="s">
        <v>86</v>
      </c>
      <c r="E653" s="257">
        <v>6.4516129032258063E-2</v>
      </c>
      <c r="F653" s="232">
        <v>1</v>
      </c>
      <c r="G653" s="40" t="s">
        <v>145</v>
      </c>
      <c r="H653" s="29">
        <v>2</v>
      </c>
      <c r="I653" s="9">
        <v>2</v>
      </c>
      <c r="J653" s="9">
        <v>2</v>
      </c>
      <c r="K653" s="9">
        <v>3</v>
      </c>
      <c r="L653" s="9">
        <v>1</v>
      </c>
      <c r="M653" s="9">
        <v>2</v>
      </c>
      <c r="N653" s="185">
        <f t="shared" si="45"/>
        <v>0.50042652380814845</v>
      </c>
      <c r="O653" s="159">
        <f t="shared" si="46"/>
        <v>0.50042652380814845</v>
      </c>
      <c r="P653" s="63" t="s">
        <v>382</v>
      </c>
    </row>
    <row r="654" spans="1:16">
      <c r="A654" s="151" t="s">
        <v>237</v>
      </c>
      <c r="B654" s="34" t="s">
        <v>244</v>
      </c>
      <c r="C654" s="40" t="s">
        <v>139</v>
      </c>
      <c r="D654" s="34" t="s">
        <v>87</v>
      </c>
      <c r="E654" s="257">
        <v>6.4516129032258063E-2</v>
      </c>
      <c r="F654" s="232">
        <v>1</v>
      </c>
      <c r="G654" s="40" t="s">
        <v>145</v>
      </c>
      <c r="H654" s="29">
        <v>2</v>
      </c>
      <c r="I654" s="9">
        <v>2</v>
      </c>
      <c r="J654" s="9">
        <v>2</v>
      </c>
      <c r="K654" s="9">
        <v>3</v>
      </c>
      <c r="L654" s="9">
        <v>1</v>
      </c>
      <c r="M654" s="9">
        <v>2</v>
      </c>
      <c r="N654" s="185">
        <f t="shared" si="45"/>
        <v>0.50042652380814845</v>
      </c>
      <c r="O654" s="159">
        <f t="shared" si="46"/>
        <v>0.50042652380814845</v>
      </c>
      <c r="P654" s="63" t="s">
        <v>382</v>
      </c>
    </row>
    <row r="655" spans="1:16">
      <c r="A655" s="151" t="s">
        <v>237</v>
      </c>
      <c r="B655" s="34" t="s">
        <v>244</v>
      </c>
      <c r="C655" s="40" t="s">
        <v>139</v>
      </c>
      <c r="D655" s="34" t="s">
        <v>88</v>
      </c>
      <c r="E655" s="257">
        <v>6.4516129032258063E-2</v>
      </c>
      <c r="F655" s="232">
        <v>1</v>
      </c>
      <c r="G655" s="40" t="s">
        <v>145</v>
      </c>
      <c r="H655" s="29">
        <v>2</v>
      </c>
      <c r="I655" s="9">
        <v>2</v>
      </c>
      <c r="J655" s="9">
        <v>2</v>
      </c>
      <c r="K655" s="9">
        <v>3</v>
      </c>
      <c r="L655" s="9">
        <v>1</v>
      </c>
      <c r="M655" s="9">
        <v>2</v>
      </c>
      <c r="N655" s="185">
        <f t="shared" si="45"/>
        <v>0.50042652380814845</v>
      </c>
      <c r="O655" s="159">
        <f t="shared" si="46"/>
        <v>0.50042652380814845</v>
      </c>
      <c r="P655" s="63" t="s">
        <v>382</v>
      </c>
    </row>
    <row r="656" spans="1:16">
      <c r="A656" s="151" t="s">
        <v>237</v>
      </c>
      <c r="B656" s="34" t="s">
        <v>244</v>
      </c>
      <c r="C656" s="40" t="s">
        <v>139</v>
      </c>
      <c r="D656" s="34" t="s">
        <v>89</v>
      </c>
      <c r="E656" s="257">
        <v>6.4516129032258063E-2</v>
      </c>
      <c r="F656" s="232">
        <v>1</v>
      </c>
      <c r="G656" s="40" t="s">
        <v>145</v>
      </c>
      <c r="H656" s="29">
        <v>2</v>
      </c>
      <c r="I656" s="9">
        <v>2</v>
      </c>
      <c r="J656" s="9">
        <v>2</v>
      </c>
      <c r="K656" s="9">
        <v>3</v>
      </c>
      <c r="L656" s="9">
        <v>1</v>
      </c>
      <c r="M656" s="9">
        <v>2</v>
      </c>
      <c r="N656" s="185">
        <f t="shared" ref="N656:N719" si="47">IF( OR( ISBLANK(H656),ISBLANK(J656), ISBLANK(K656), ISBLANK(L656), ISBLANK(M656) ), "", 1.5*SQRT(   EXP(2.21*(H656-1)) + EXP(2.21*(J656-1)) + EXP(2.21*(K656-1)) + EXP(2.21*(L656-1)) + EXP(2.21*M656)   )/100*2.45 )</f>
        <v>0.50042652380814845</v>
      </c>
      <c r="O656" s="159">
        <f t="shared" ref="O656:O719" si="48">IF( OR( ISBLANK(I656),ISBLANK(J656), ISBLANK(K656), ISBLANK(L656), ISBLANK(M656) ), "", 1.5*SQRT( EXP(2.21*(I656-1)) + EXP(2.21*(J656-1)) + EXP(2.21*(K656-1)) + EXP(2.21*(L656-1)) + EXP(2.21*M656)   )/100*2.45 )</f>
        <v>0.50042652380814845</v>
      </c>
      <c r="P656" s="63" t="s">
        <v>382</v>
      </c>
    </row>
    <row r="657" spans="1:16">
      <c r="A657" s="151" t="s">
        <v>237</v>
      </c>
      <c r="B657" s="34" t="s">
        <v>244</v>
      </c>
      <c r="C657" s="40" t="s">
        <v>139</v>
      </c>
      <c r="D657" s="34" t="s">
        <v>90</v>
      </c>
      <c r="E657" s="257">
        <v>6.4516129032258063E-2</v>
      </c>
      <c r="F657" s="232">
        <v>1</v>
      </c>
      <c r="G657" s="40" t="s">
        <v>145</v>
      </c>
      <c r="H657" s="29">
        <v>2</v>
      </c>
      <c r="I657" s="9">
        <v>2</v>
      </c>
      <c r="J657" s="9">
        <v>2</v>
      </c>
      <c r="K657" s="9">
        <v>3</v>
      </c>
      <c r="L657" s="9">
        <v>1</v>
      </c>
      <c r="M657" s="9">
        <v>2</v>
      </c>
      <c r="N657" s="185">
        <f t="shared" si="47"/>
        <v>0.50042652380814845</v>
      </c>
      <c r="O657" s="159">
        <f t="shared" si="48"/>
        <v>0.50042652380814845</v>
      </c>
      <c r="P657" s="63" t="s">
        <v>382</v>
      </c>
    </row>
    <row r="658" spans="1:16">
      <c r="A658" s="151" t="s">
        <v>237</v>
      </c>
      <c r="B658" s="34" t="s">
        <v>244</v>
      </c>
      <c r="C658" s="40" t="s">
        <v>139</v>
      </c>
      <c r="D658" s="34" t="s">
        <v>91</v>
      </c>
      <c r="E658" s="257">
        <v>6.4516129032258063E-2</v>
      </c>
      <c r="F658" s="232">
        <v>1</v>
      </c>
      <c r="G658" s="40" t="s">
        <v>145</v>
      </c>
      <c r="H658" s="29">
        <v>2</v>
      </c>
      <c r="I658" s="9">
        <v>2</v>
      </c>
      <c r="J658" s="9">
        <v>2</v>
      </c>
      <c r="K658" s="9">
        <v>3</v>
      </c>
      <c r="L658" s="9">
        <v>1</v>
      </c>
      <c r="M658" s="9">
        <v>2</v>
      </c>
      <c r="N658" s="185">
        <f t="shared" si="47"/>
        <v>0.50042652380814845</v>
      </c>
      <c r="O658" s="159">
        <f t="shared" si="48"/>
        <v>0.50042652380814845</v>
      </c>
      <c r="P658" s="63" t="s">
        <v>382</v>
      </c>
    </row>
    <row r="659" spans="1:16">
      <c r="A659" s="151" t="s">
        <v>244</v>
      </c>
      <c r="B659" s="34" t="s">
        <v>283</v>
      </c>
      <c r="C659" s="40" t="s">
        <v>139</v>
      </c>
      <c r="D659" s="34" t="s">
        <v>139</v>
      </c>
      <c r="E659" s="257" t="s">
        <v>150</v>
      </c>
      <c r="F659" s="232">
        <v>1</v>
      </c>
      <c r="G659" s="40"/>
      <c r="H659" s="29"/>
      <c r="I659" s="9"/>
      <c r="J659" s="9"/>
      <c r="K659" s="9"/>
      <c r="L659" s="9"/>
      <c r="M659" s="9"/>
      <c r="N659" s="185" t="str">
        <f t="shared" si="47"/>
        <v/>
      </c>
      <c r="O659" s="159" t="str">
        <f t="shared" si="48"/>
        <v/>
      </c>
      <c r="P659" s="63"/>
    </row>
    <row r="660" spans="1:16">
      <c r="A660" s="151" t="s">
        <v>121</v>
      </c>
      <c r="B660" s="34" t="s">
        <v>170</v>
      </c>
      <c r="C660" s="40" t="s">
        <v>139</v>
      </c>
      <c r="D660" s="34" t="s">
        <v>87</v>
      </c>
      <c r="E660" s="257">
        <v>5.3557140062945638E-2</v>
      </c>
      <c r="F660" s="232">
        <v>1</v>
      </c>
      <c r="G660" s="40"/>
      <c r="H660" s="29">
        <v>3</v>
      </c>
      <c r="I660" s="9">
        <v>3</v>
      </c>
      <c r="J660" s="9">
        <v>2</v>
      </c>
      <c r="K660" s="9">
        <v>2</v>
      </c>
      <c r="L660" s="9">
        <v>1</v>
      </c>
      <c r="M660" s="9">
        <v>2</v>
      </c>
      <c r="N660" s="185">
        <f t="shared" si="47"/>
        <v>0.50042652380814845</v>
      </c>
      <c r="O660" s="159">
        <f t="shared" si="48"/>
        <v>0.50042652380814845</v>
      </c>
      <c r="P660" s="63"/>
    </row>
    <row r="661" spans="1:16">
      <c r="A661" s="151" t="s">
        <v>121</v>
      </c>
      <c r="B661" s="34" t="s">
        <v>170</v>
      </c>
      <c r="C661" s="40" t="s">
        <v>139</v>
      </c>
      <c r="D661" s="34" t="s">
        <v>88</v>
      </c>
      <c r="E661" s="257">
        <v>0</v>
      </c>
      <c r="F661" s="232">
        <v>1</v>
      </c>
      <c r="G661" s="40"/>
      <c r="H661" s="29"/>
      <c r="I661" s="9"/>
      <c r="J661" s="9"/>
      <c r="K661" s="9"/>
      <c r="L661" s="9"/>
      <c r="M661" s="9"/>
      <c r="N661" s="185" t="str">
        <f t="shared" si="47"/>
        <v/>
      </c>
      <c r="O661" s="159" t="str">
        <f t="shared" si="48"/>
        <v/>
      </c>
      <c r="P661" s="63"/>
    </row>
    <row r="662" spans="1:16">
      <c r="A662" s="151" t="s">
        <v>121</v>
      </c>
      <c r="B662" s="34" t="s">
        <v>170</v>
      </c>
      <c r="C662" s="40" t="s">
        <v>139</v>
      </c>
      <c r="D662" s="34" t="s">
        <v>89</v>
      </c>
      <c r="E662" s="257">
        <v>0</v>
      </c>
      <c r="F662" s="232">
        <v>1</v>
      </c>
      <c r="G662" s="40"/>
      <c r="H662" s="29"/>
      <c r="I662" s="9"/>
      <c r="J662" s="9"/>
      <c r="K662" s="9"/>
      <c r="L662" s="9"/>
      <c r="M662" s="9"/>
      <c r="N662" s="185" t="str">
        <f t="shared" si="47"/>
        <v/>
      </c>
      <c r="O662" s="159" t="str">
        <f t="shared" si="48"/>
        <v/>
      </c>
      <c r="P662" s="63"/>
    </row>
    <row r="663" spans="1:16">
      <c r="A663" s="151" t="s">
        <v>121</v>
      </c>
      <c r="B663" s="34" t="s">
        <v>170</v>
      </c>
      <c r="C663" s="40" t="s">
        <v>139</v>
      </c>
      <c r="D663" s="34" t="s">
        <v>90</v>
      </c>
      <c r="E663" s="257">
        <v>0</v>
      </c>
      <c r="F663" s="232">
        <v>1</v>
      </c>
      <c r="G663" s="40"/>
      <c r="H663" s="29"/>
      <c r="I663" s="9"/>
      <c r="J663" s="9"/>
      <c r="K663" s="9"/>
      <c r="L663" s="9"/>
      <c r="M663" s="9"/>
      <c r="N663" s="185" t="str">
        <f t="shared" si="47"/>
        <v/>
      </c>
      <c r="O663" s="159" t="str">
        <f t="shared" si="48"/>
        <v/>
      </c>
      <c r="P663" s="63"/>
    </row>
    <row r="664" spans="1:16">
      <c r="A664" s="151" t="s">
        <v>121</v>
      </c>
      <c r="B664" s="34" t="s">
        <v>170</v>
      </c>
      <c r="C664" s="40" t="s">
        <v>139</v>
      </c>
      <c r="D664" s="34" t="s">
        <v>91</v>
      </c>
      <c r="E664" s="257">
        <v>5.6256478740392787E-2</v>
      </c>
      <c r="F664" s="232">
        <v>1</v>
      </c>
      <c r="G664" s="40"/>
      <c r="H664" s="29">
        <v>3</v>
      </c>
      <c r="I664" s="9">
        <v>3</v>
      </c>
      <c r="J664" s="9">
        <v>2</v>
      </c>
      <c r="K664" s="9">
        <v>2</v>
      </c>
      <c r="L664" s="9">
        <v>1</v>
      </c>
      <c r="M664" s="9">
        <v>2</v>
      </c>
      <c r="N664" s="185">
        <f t="shared" si="47"/>
        <v>0.50042652380814845</v>
      </c>
      <c r="O664" s="159">
        <f t="shared" si="48"/>
        <v>0.50042652380814845</v>
      </c>
      <c r="P664" s="63"/>
    </row>
    <row r="665" spans="1:16">
      <c r="A665" s="151" t="s">
        <v>121</v>
      </c>
      <c r="B665" s="34" t="s">
        <v>170</v>
      </c>
      <c r="C665" s="40" t="s">
        <v>139</v>
      </c>
      <c r="D665" s="34" t="s">
        <v>95</v>
      </c>
      <c r="E665" s="257">
        <v>4.3320427336167665E-2</v>
      </c>
      <c r="F665" s="232">
        <v>1</v>
      </c>
      <c r="G665" s="40"/>
      <c r="H665" s="29">
        <v>3</v>
      </c>
      <c r="I665" s="9">
        <v>3</v>
      </c>
      <c r="J665" s="9">
        <v>2</v>
      </c>
      <c r="K665" s="9">
        <v>2</v>
      </c>
      <c r="L665" s="9">
        <v>1</v>
      </c>
      <c r="M665" s="9">
        <v>2</v>
      </c>
      <c r="N665" s="185">
        <f t="shared" si="47"/>
        <v>0.50042652380814845</v>
      </c>
      <c r="O665" s="159">
        <f t="shared" si="48"/>
        <v>0.50042652380814845</v>
      </c>
      <c r="P665" s="63"/>
    </row>
    <row r="666" spans="1:16">
      <c r="A666" s="151" t="s">
        <v>121</v>
      </c>
      <c r="B666" s="34" t="s">
        <v>170</v>
      </c>
      <c r="C666" s="40" t="s">
        <v>139</v>
      </c>
      <c r="D666" s="34" t="s">
        <v>99</v>
      </c>
      <c r="E666" s="257">
        <v>0</v>
      </c>
      <c r="F666" s="232">
        <v>1</v>
      </c>
      <c r="G666" s="40"/>
      <c r="H666" s="29"/>
      <c r="I666" s="9"/>
      <c r="J666" s="9"/>
      <c r="K666" s="9"/>
      <c r="L666" s="9"/>
      <c r="M666" s="9"/>
      <c r="N666" s="185" t="str">
        <f t="shared" si="47"/>
        <v/>
      </c>
      <c r="O666" s="159" t="str">
        <f t="shared" si="48"/>
        <v/>
      </c>
      <c r="P666" s="63"/>
    </row>
    <row r="667" spans="1:16">
      <c r="A667" s="151" t="s">
        <v>121</v>
      </c>
      <c r="B667" s="34" t="s">
        <v>185</v>
      </c>
      <c r="C667" s="40" t="s">
        <v>139</v>
      </c>
      <c r="D667" s="34" t="s">
        <v>85</v>
      </c>
      <c r="E667" s="257">
        <v>0</v>
      </c>
      <c r="F667" s="232">
        <v>1</v>
      </c>
      <c r="G667" s="40"/>
      <c r="H667" s="29"/>
      <c r="I667" s="9"/>
      <c r="J667" s="9"/>
      <c r="K667" s="9"/>
      <c r="L667" s="9"/>
      <c r="M667" s="9"/>
      <c r="N667" s="185" t="str">
        <f t="shared" si="47"/>
        <v/>
      </c>
      <c r="O667" s="159" t="str">
        <f t="shared" si="48"/>
        <v/>
      </c>
      <c r="P667" s="63"/>
    </row>
    <row r="668" spans="1:16">
      <c r="A668" s="151" t="s">
        <v>121</v>
      </c>
      <c r="B668" s="34" t="s">
        <v>185</v>
      </c>
      <c r="C668" s="40" t="s">
        <v>139</v>
      </c>
      <c r="D668" s="34" t="s">
        <v>86</v>
      </c>
      <c r="E668" s="257">
        <v>1</v>
      </c>
      <c r="F668" s="232">
        <v>1</v>
      </c>
      <c r="G668" s="40"/>
      <c r="H668" s="29">
        <v>2</v>
      </c>
      <c r="I668" s="9">
        <v>2</v>
      </c>
      <c r="J668" s="9">
        <v>2</v>
      </c>
      <c r="K668" s="9">
        <v>2</v>
      </c>
      <c r="L668" s="9">
        <v>1</v>
      </c>
      <c r="M668" s="9">
        <v>2</v>
      </c>
      <c r="N668" s="185">
        <f t="shared" si="47"/>
        <v>0.38795788889711302</v>
      </c>
      <c r="O668" s="159">
        <f t="shared" si="48"/>
        <v>0.38795788889711302</v>
      </c>
      <c r="P668" s="63"/>
    </row>
    <row r="669" spans="1:16">
      <c r="A669" s="151" t="s">
        <v>37</v>
      </c>
      <c r="B669" s="34" t="s">
        <v>354</v>
      </c>
      <c r="C669" s="40" t="s">
        <v>139</v>
      </c>
      <c r="D669" s="34" t="s">
        <v>85</v>
      </c>
      <c r="E669" s="257">
        <f>Intentionally_produced_MPs!B127</f>
        <v>0</v>
      </c>
      <c r="F669" s="232">
        <v>1</v>
      </c>
      <c r="G669" s="40"/>
      <c r="H669" s="29"/>
      <c r="I669" s="9"/>
      <c r="J669" s="9"/>
      <c r="K669" s="9"/>
      <c r="L669" s="9"/>
      <c r="M669" s="9"/>
      <c r="N669" s="185" t="str">
        <f t="shared" si="47"/>
        <v/>
      </c>
      <c r="O669" s="159" t="str">
        <f t="shared" si="48"/>
        <v/>
      </c>
      <c r="P669" s="63"/>
    </row>
    <row r="670" spans="1:16">
      <c r="A670" s="151" t="s">
        <v>37</v>
      </c>
      <c r="B670" s="34" t="s">
        <v>354</v>
      </c>
      <c r="C670" s="40" t="s">
        <v>139</v>
      </c>
      <c r="D670" s="34" t="s">
        <v>86</v>
      </c>
      <c r="E670" s="257">
        <f>Intentionally_produced_MPs!B128</f>
        <v>0.27128102999855674</v>
      </c>
      <c r="F670" s="232">
        <v>1</v>
      </c>
      <c r="G670" s="40"/>
      <c r="H670" s="29">
        <v>3</v>
      </c>
      <c r="I670" s="9">
        <v>2</v>
      </c>
      <c r="J670" s="9">
        <v>3</v>
      </c>
      <c r="K670" s="9">
        <v>3</v>
      </c>
      <c r="L670" s="9">
        <v>3</v>
      </c>
      <c r="M670" s="9">
        <v>3</v>
      </c>
      <c r="N670" s="185">
        <f t="shared" si="47"/>
        <v>1.2132328390150593</v>
      </c>
      <c r="O670" s="159">
        <f t="shared" si="48"/>
        <v>1.1713319510247036</v>
      </c>
      <c r="P670" s="63" t="s">
        <v>384</v>
      </c>
    </row>
    <row r="671" spans="1:16">
      <c r="A671" s="151" t="s">
        <v>37</v>
      </c>
      <c r="B671" s="34" t="s">
        <v>354</v>
      </c>
      <c r="C671" s="40" t="s">
        <v>139</v>
      </c>
      <c r="D671" s="34" t="s">
        <v>87</v>
      </c>
      <c r="E671" s="257">
        <f>Intentionally_produced_MPs!B129</f>
        <v>0</v>
      </c>
      <c r="F671" s="232">
        <v>1</v>
      </c>
      <c r="G671" s="40"/>
      <c r="H671" s="29"/>
      <c r="I671" s="9"/>
      <c r="J671" s="9"/>
      <c r="K671" s="9"/>
      <c r="L671" s="9"/>
      <c r="M671" s="9"/>
      <c r="N671" s="185" t="str">
        <f t="shared" si="47"/>
        <v/>
      </c>
      <c r="O671" s="159" t="str">
        <f t="shared" si="48"/>
        <v/>
      </c>
      <c r="P671" s="63"/>
    </row>
    <row r="672" spans="1:16">
      <c r="A672" s="151" t="s">
        <v>37</v>
      </c>
      <c r="B672" s="34" t="s">
        <v>354</v>
      </c>
      <c r="C672" s="40" t="s">
        <v>139</v>
      </c>
      <c r="D672" s="34" t="s">
        <v>88</v>
      </c>
      <c r="E672" s="257">
        <f>Intentionally_produced_MPs!B130</f>
        <v>0</v>
      </c>
      <c r="F672" s="232">
        <v>1</v>
      </c>
      <c r="G672" s="40"/>
      <c r="H672" s="29"/>
      <c r="I672" s="9"/>
      <c r="J672" s="9"/>
      <c r="K672" s="9"/>
      <c r="L672" s="9"/>
      <c r="M672" s="9"/>
      <c r="N672" s="185" t="str">
        <f t="shared" si="47"/>
        <v/>
      </c>
      <c r="O672" s="159" t="str">
        <f t="shared" si="48"/>
        <v/>
      </c>
      <c r="P672" s="63"/>
    </row>
    <row r="673" spans="1:16">
      <c r="A673" s="151" t="s">
        <v>37</v>
      </c>
      <c r="B673" s="34" t="s">
        <v>354</v>
      </c>
      <c r="C673" s="40" t="s">
        <v>139</v>
      </c>
      <c r="D673" s="34" t="s">
        <v>89</v>
      </c>
      <c r="E673" s="257">
        <f>Intentionally_produced_MPs!B131</f>
        <v>0</v>
      </c>
      <c r="F673" s="232">
        <v>1</v>
      </c>
      <c r="G673" s="40"/>
      <c r="H673" s="29"/>
      <c r="I673" s="9"/>
      <c r="J673" s="9"/>
      <c r="K673" s="9"/>
      <c r="L673" s="9"/>
      <c r="M673" s="9"/>
      <c r="N673" s="185" t="str">
        <f t="shared" si="47"/>
        <v/>
      </c>
      <c r="O673" s="159" t="str">
        <f t="shared" si="48"/>
        <v/>
      </c>
      <c r="P673" s="63"/>
    </row>
    <row r="674" spans="1:16">
      <c r="A674" s="151" t="s">
        <v>37</v>
      </c>
      <c r="B674" s="34" t="s">
        <v>354</v>
      </c>
      <c r="C674" s="40" t="s">
        <v>139</v>
      </c>
      <c r="D674" s="34" t="s">
        <v>90</v>
      </c>
      <c r="E674" s="257">
        <f>Intentionally_produced_MPs!B132</f>
        <v>0</v>
      </c>
      <c r="F674" s="232">
        <v>1</v>
      </c>
      <c r="G674" s="40"/>
      <c r="H674" s="29"/>
      <c r="I674" s="9"/>
      <c r="J674" s="9"/>
      <c r="K674" s="9"/>
      <c r="L674" s="9"/>
      <c r="M674" s="9"/>
      <c r="N674" s="185" t="str">
        <f t="shared" si="47"/>
        <v/>
      </c>
      <c r="O674" s="159" t="str">
        <f t="shared" si="48"/>
        <v/>
      </c>
      <c r="P674" s="63"/>
    </row>
    <row r="675" spans="1:16">
      <c r="A675" s="151" t="s">
        <v>37</v>
      </c>
      <c r="B675" s="34" t="s">
        <v>354</v>
      </c>
      <c r="C675" s="40" t="s">
        <v>139</v>
      </c>
      <c r="D675" s="34" t="s">
        <v>91</v>
      </c>
      <c r="E675" s="257">
        <f>Intentionally_produced_MPs!B133</f>
        <v>0</v>
      </c>
      <c r="F675" s="232">
        <v>1</v>
      </c>
      <c r="G675" s="40"/>
      <c r="H675" s="29"/>
      <c r="I675" s="9"/>
      <c r="J675" s="9"/>
      <c r="K675" s="9"/>
      <c r="L675" s="9"/>
      <c r="M675" s="9"/>
      <c r="N675" s="185" t="str">
        <f t="shared" si="47"/>
        <v/>
      </c>
      <c r="O675" s="159" t="str">
        <f t="shared" si="48"/>
        <v/>
      </c>
      <c r="P675" s="63"/>
    </row>
    <row r="676" spans="1:16">
      <c r="A676" s="151" t="s">
        <v>37</v>
      </c>
      <c r="B676" s="34" t="s">
        <v>354</v>
      </c>
      <c r="C676" s="40" t="s">
        <v>139</v>
      </c>
      <c r="D676" s="34" t="s">
        <v>92</v>
      </c>
      <c r="E676" s="257">
        <f>Intentionally_produced_MPs!B134</f>
        <v>0</v>
      </c>
      <c r="F676" s="232">
        <v>1</v>
      </c>
      <c r="G676" s="40"/>
      <c r="H676" s="29"/>
      <c r="I676" s="9"/>
      <c r="J676" s="9"/>
      <c r="K676" s="9"/>
      <c r="L676" s="9"/>
      <c r="M676" s="9"/>
      <c r="N676" s="185" t="str">
        <f t="shared" si="47"/>
        <v/>
      </c>
      <c r="O676" s="159" t="str">
        <f t="shared" si="48"/>
        <v/>
      </c>
      <c r="P676" s="63"/>
    </row>
    <row r="677" spans="1:16">
      <c r="A677" s="151" t="s">
        <v>37</v>
      </c>
      <c r="B677" s="34" t="s">
        <v>354</v>
      </c>
      <c r="C677" s="40" t="s">
        <v>139</v>
      </c>
      <c r="D677" s="34" t="s">
        <v>93</v>
      </c>
      <c r="E677" s="257">
        <f>Intentionally_produced_MPs!B135</f>
        <v>0.23555374262145426</v>
      </c>
      <c r="F677" s="232">
        <v>1</v>
      </c>
      <c r="G677" s="40"/>
      <c r="H677" s="29">
        <v>3</v>
      </c>
      <c r="I677" s="9">
        <v>2</v>
      </c>
      <c r="J677" s="9">
        <v>3</v>
      </c>
      <c r="K677" s="9">
        <v>3</v>
      </c>
      <c r="L677" s="9">
        <v>3</v>
      </c>
      <c r="M677" s="9">
        <v>3</v>
      </c>
      <c r="N677" s="185">
        <f t="shared" si="47"/>
        <v>1.2132328390150593</v>
      </c>
      <c r="O677" s="159">
        <f t="shared" si="48"/>
        <v>1.1713319510247036</v>
      </c>
      <c r="P677" s="63"/>
    </row>
    <row r="678" spans="1:16">
      <c r="A678" s="151" t="s">
        <v>37</v>
      </c>
      <c r="B678" s="34" t="s">
        <v>354</v>
      </c>
      <c r="C678" s="40" t="s">
        <v>139</v>
      </c>
      <c r="D678" s="34" t="s">
        <v>94</v>
      </c>
      <c r="E678" s="257">
        <f>Intentionally_produced_MPs!B136</f>
        <v>0</v>
      </c>
      <c r="F678" s="232">
        <v>1</v>
      </c>
      <c r="G678" s="40"/>
      <c r="H678" s="29"/>
      <c r="I678" s="9"/>
      <c r="J678" s="9"/>
      <c r="K678" s="9"/>
      <c r="L678" s="9"/>
      <c r="M678" s="9"/>
      <c r="N678" s="185" t="str">
        <f t="shared" si="47"/>
        <v/>
      </c>
      <c r="O678" s="159" t="str">
        <f t="shared" si="48"/>
        <v/>
      </c>
      <c r="P678" s="63"/>
    </row>
    <row r="679" spans="1:16">
      <c r="A679" s="151" t="s">
        <v>37</v>
      </c>
      <c r="B679" s="34" t="s">
        <v>354</v>
      </c>
      <c r="C679" s="40" t="s">
        <v>139</v>
      </c>
      <c r="D679" s="34" t="s">
        <v>95</v>
      </c>
      <c r="E679" s="257">
        <f>Intentionally_produced_MPs!B137</f>
        <v>5.6605334263949885E-3</v>
      </c>
      <c r="F679" s="232">
        <v>1</v>
      </c>
      <c r="G679" s="40"/>
      <c r="H679" s="29">
        <v>3</v>
      </c>
      <c r="I679" s="9">
        <v>2</v>
      </c>
      <c r="J679" s="9">
        <v>3</v>
      </c>
      <c r="K679" s="9">
        <v>3</v>
      </c>
      <c r="L679" s="9">
        <v>3</v>
      </c>
      <c r="M679" s="9">
        <v>3</v>
      </c>
      <c r="N679" s="185">
        <f t="shared" si="47"/>
        <v>1.2132328390150593</v>
      </c>
      <c r="O679" s="159">
        <f t="shared" si="48"/>
        <v>1.1713319510247036</v>
      </c>
      <c r="P679" s="63"/>
    </row>
    <row r="680" spans="1:16">
      <c r="A680" s="151" t="s">
        <v>37</v>
      </c>
      <c r="B680" s="34" t="s">
        <v>354</v>
      </c>
      <c r="C680" s="40" t="s">
        <v>139</v>
      </c>
      <c r="D680" s="34" t="s">
        <v>96</v>
      </c>
      <c r="E680" s="257">
        <f>Intentionally_produced_MPs!B138</f>
        <v>0</v>
      </c>
      <c r="F680" s="232">
        <v>1</v>
      </c>
      <c r="G680" s="40"/>
      <c r="H680" s="29"/>
      <c r="I680" s="9"/>
      <c r="J680" s="9"/>
      <c r="K680" s="9"/>
      <c r="L680" s="9"/>
      <c r="M680" s="9"/>
      <c r="N680" s="185" t="str">
        <f t="shared" si="47"/>
        <v/>
      </c>
      <c r="O680" s="159" t="str">
        <f t="shared" si="48"/>
        <v/>
      </c>
      <c r="P680" s="63"/>
    </row>
    <row r="681" spans="1:16">
      <c r="A681" s="151" t="s">
        <v>37</v>
      </c>
      <c r="B681" s="34" t="s">
        <v>354</v>
      </c>
      <c r="C681" s="40" t="s">
        <v>139</v>
      </c>
      <c r="D681" s="34" t="s">
        <v>97</v>
      </c>
      <c r="E681" s="257">
        <f>Intentionally_produced_MPs!B139</f>
        <v>0</v>
      </c>
      <c r="F681" s="232">
        <v>1</v>
      </c>
      <c r="G681" s="40"/>
      <c r="H681" s="29">
        <v>3</v>
      </c>
      <c r="I681" s="9">
        <v>2</v>
      </c>
      <c r="J681" s="9">
        <v>3</v>
      </c>
      <c r="K681" s="9">
        <v>3</v>
      </c>
      <c r="L681" s="9">
        <v>3</v>
      </c>
      <c r="M681" s="9">
        <v>3</v>
      </c>
      <c r="N681" s="185">
        <f t="shared" si="47"/>
        <v>1.2132328390150593</v>
      </c>
      <c r="O681" s="159">
        <f t="shared" si="48"/>
        <v>1.1713319510247036</v>
      </c>
      <c r="P681" s="63"/>
    </row>
    <row r="682" spans="1:16">
      <c r="A682" s="151" t="s">
        <v>37</v>
      </c>
      <c r="B682" s="34" t="s">
        <v>354</v>
      </c>
      <c r="C682" s="40" t="s">
        <v>139</v>
      </c>
      <c r="D682" s="34" t="s">
        <v>98</v>
      </c>
      <c r="E682" s="257">
        <f>Intentionally_produced_MPs!B140</f>
        <v>2.0189518931614638E-3</v>
      </c>
      <c r="F682" s="232">
        <v>1</v>
      </c>
      <c r="G682" s="40"/>
      <c r="H682" s="29">
        <v>3</v>
      </c>
      <c r="I682" s="9">
        <v>2</v>
      </c>
      <c r="J682" s="9">
        <v>3</v>
      </c>
      <c r="K682" s="9">
        <v>3</v>
      </c>
      <c r="L682" s="9">
        <v>3</v>
      </c>
      <c r="M682" s="9">
        <v>3</v>
      </c>
      <c r="N682" s="185">
        <f t="shared" si="47"/>
        <v>1.2132328390150593</v>
      </c>
      <c r="O682" s="159">
        <f t="shared" si="48"/>
        <v>1.1713319510247036</v>
      </c>
      <c r="P682" s="63"/>
    </row>
    <row r="683" spans="1:16">
      <c r="A683" s="151" t="s">
        <v>256</v>
      </c>
      <c r="B683" s="34" t="s">
        <v>267</v>
      </c>
      <c r="C683" s="40" t="s">
        <v>180</v>
      </c>
      <c r="D683" s="69" t="s">
        <v>96</v>
      </c>
      <c r="E683" s="848">
        <v>0.43243243243243251</v>
      </c>
      <c r="F683" s="34">
        <v>1</v>
      </c>
      <c r="G683" s="339" t="s">
        <v>110</v>
      </c>
      <c r="H683" s="29">
        <v>1</v>
      </c>
      <c r="I683" s="9"/>
      <c r="J683" s="9">
        <v>1</v>
      </c>
      <c r="K683" s="9">
        <v>1</v>
      </c>
      <c r="L683" s="9">
        <v>2</v>
      </c>
      <c r="M683" s="9">
        <v>2</v>
      </c>
      <c r="N683" s="185">
        <f t="shared" si="47"/>
        <v>0.35859414261160716</v>
      </c>
      <c r="O683" s="159" t="str">
        <f t="shared" si="48"/>
        <v/>
      </c>
      <c r="P683" s="63"/>
    </row>
    <row r="684" spans="1:16">
      <c r="A684" s="151" t="s">
        <v>256</v>
      </c>
      <c r="B684" s="34" t="s">
        <v>267</v>
      </c>
      <c r="C684" s="40" t="s">
        <v>180</v>
      </c>
      <c r="D684" s="69" t="s">
        <v>97</v>
      </c>
      <c r="E684" s="848">
        <v>0.66998341625207292</v>
      </c>
      <c r="F684" s="34">
        <v>1</v>
      </c>
      <c r="G684" s="339" t="s">
        <v>110</v>
      </c>
      <c r="H684" s="29">
        <v>1</v>
      </c>
      <c r="I684" s="9"/>
      <c r="J684" s="9">
        <v>1</v>
      </c>
      <c r="K684" s="9">
        <v>1</v>
      </c>
      <c r="L684" s="9">
        <v>2</v>
      </c>
      <c r="M684" s="9">
        <v>2</v>
      </c>
      <c r="N684" s="185">
        <f t="shared" si="47"/>
        <v>0.35859414261160716</v>
      </c>
      <c r="O684" s="159" t="str">
        <f t="shared" si="48"/>
        <v/>
      </c>
      <c r="P684" s="63"/>
    </row>
    <row r="685" spans="1:16">
      <c r="A685" s="151" t="s">
        <v>256</v>
      </c>
      <c r="B685" s="34" t="s">
        <v>267</v>
      </c>
      <c r="C685" s="40" t="s">
        <v>180</v>
      </c>
      <c r="D685" s="69" t="s">
        <v>95</v>
      </c>
      <c r="E685" s="848">
        <v>1</v>
      </c>
      <c r="F685" s="34">
        <v>1</v>
      </c>
      <c r="G685" s="339" t="s">
        <v>110</v>
      </c>
      <c r="H685" s="29">
        <v>1</v>
      </c>
      <c r="I685" s="9"/>
      <c r="J685" s="9">
        <v>1</v>
      </c>
      <c r="K685" s="9">
        <v>1</v>
      </c>
      <c r="L685" s="9">
        <v>2</v>
      </c>
      <c r="M685" s="9">
        <v>2</v>
      </c>
      <c r="N685" s="185">
        <f t="shared" si="47"/>
        <v>0.35859414261160716</v>
      </c>
      <c r="O685" s="159" t="str">
        <f t="shared" si="48"/>
        <v/>
      </c>
      <c r="P685" s="63"/>
    </row>
    <row r="686" spans="1:16">
      <c r="A686" s="151" t="s">
        <v>256</v>
      </c>
      <c r="B686" s="34" t="s">
        <v>267</v>
      </c>
      <c r="C686" s="40" t="s">
        <v>180</v>
      </c>
      <c r="D686" s="69" t="s">
        <v>93</v>
      </c>
      <c r="E686" s="848">
        <v>0.67391304347826086</v>
      </c>
      <c r="F686" s="34">
        <v>1</v>
      </c>
      <c r="G686" s="339" t="s">
        <v>110</v>
      </c>
      <c r="H686" s="29">
        <v>1</v>
      </c>
      <c r="I686" s="9"/>
      <c r="J686" s="9">
        <v>1</v>
      </c>
      <c r="K686" s="9">
        <v>1</v>
      </c>
      <c r="L686" s="9">
        <v>2</v>
      </c>
      <c r="M686" s="9">
        <v>2</v>
      </c>
      <c r="N686" s="185">
        <f t="shared" si="47"/>
        <v>0.35859414261160716</v>
      </c>
      <c r="O686" s="159" t="str">
        <f t="shared" si="48"/>
        <v/>
      </c>
      <c r="P686" s="63"/>
    </row>
    <row r="687" spans="1:16">
      <c r="A687" s="151" t="s">
        <v>256</v>
      </c>
      <c r="B687" s="34" t="s">
        <v>267</v>
      </c>
      <c r="C687" s="40" t="s">
        <v>180</v>
      </c>
      <c r="D687" s="69" t="s">
        <v>98</v>
      </c>
      <c r="E687" s="848">
        <v>1</v>
      </c>
      <c r="F687" s="34">
        <v>1</v>
      </c>
      <c r="G687" s="339" t="s">
        <v>110</v>
      </c>
      <c r="H687" s="29">
        <v>1</v>
      </c>
      <c r="I687" s="9"/>
      <c r="J687" s="9">
        <v>1</v>
      </c>
      <c r="K687" s="9">
        <v>1</v>
      </c>
      <c r="L687" s="9">
        <v>2</v>
      </c>
      <c r="M687" s="9">
        <v>2</v>
      </c>
      <c r="N687" s="185">
        <f t="shared" si="47"/>
        <v>0.35859414261160716</v>
      </c>
      <c r="O687" s="159" t="str">
        <f t="shared" si="48"/>
        <v/>
      </c>
      <c r="P687" s="63"/>
    </row>
    <row r="688" spans="1:16">
      <c r="A688" s="151" t="s">
        <v>37</v>
      </c>
      <c r="B688" s="34" t="s">
        <v>160</v>
      </c>
      <c r="C688" s="40" t="s">
        <v>139</v>
      </c>
      <c r="D688" s="34" t="s">
        <v>85</v>
      </c>
      <c r="E688" s="257">
        <f>Intentionally_produced_MPs!J127</f>
        <v>5.5555555555555546E-2</v>
      </c>
      <c r="F688" s="232">
        <v>1</v>
      </c>
      <c r="G688" s="40"/>
      <c r="H688" s="29">
        <v>3</v>
      </c>
      <c r="I688" s="9">
        <v>2</v>
      </c>
      <c r="J688" s="9">
        <v>3</v>
      </c>
      <c r="K688" s="9">
        <v>3</v>
      </c>
      <c r="L688" s="9">
        <v>3</v>
      </c>
      <c r="M688" s="9">
        <v>3</v>
      </c>
      <c r="N688" s="185">
        <f t="shared" si="47"/>
        <v>1.2132328390150593</v>
      </c>
      <c r="O688" s="159">
        <f t="shared" si="48"/>
        <v>1.1713319510247036</v>
      </c>
      <c r="P688" s="63"/>
    </row>
    <row r="689" spans="1:16">
      <c r="A689" s="151" t="s">
        <v>37</v>
      </c>
      <c r="B689" s="34" t="s">
        <v>160</v>
      </c>
      <c r="C689" s="40" t="s">
        <v>139</v>
      </c>
      <c r="D689" s="34" t="s">
        <v>86</v>
      </c>
      <c r="E689" s="257">
        <f>Intentionally_produced_MPs!J128</f>
        <v>8.8868167073346722E-3</v>
      </c>
      <c r="F689" s="232">
        <v>1</v>
      </c>
      <c r="G689" s="40"/>
      <c r="H689" s="29">
        <v>3</v>
      </c>
      <c r="I689" s="9">
        <v>2</v>
      </c>
      <c r="J689" s="9">
        <v>3</v>
      </c>
      <c r="K689" s="9">
        <v>3</v>
      </c>
      <c r="L689" s="9">
        <v>3</v>
      </c>
      <c r="M689" s="9">
        <v>3</v>
      </c>
      <c r="N689" s="185">
        <f t="shared" si="47"/>
        <v>1.2132328390150593</v>
      </c>
      <c r="O689" s="159">
        <f t="shared" si="48"/>
        <v>1.1713319510247036</v>
      </c>
      <c r="P689" s="63"/>
    </row>
    <row r="690" spans="1:16">
      <c r="A690" s="151" t="s">
        <v>37</v>
      </c>
      <c r="B690" s="34" t="s">
        <v>160</v>
      </c>
      <c r="C690" s="40" t="s">
        <v>139</v>
      </c>
      <c r="D690" s="34" t="s">
        <v>87</v>
      </c>
      <c r="E690" s="257">
        <f>Intentionally_produced_MPs!J129</f>
        <v>0</v>
      </c>
      <c r="F690" s="232">
        <v>1</v>
      </c>
      <c r="G690" s="40"/>
      <c r="H690" s="29"/>
      <c r="I690" s="9"/>
      <c r="J690" s="9"/>
      <c r="K690" s="9"/>
      <c r="L690" s="9"/>
      <c r="M690" s="9"/>
      <c r="N690" s="185" t="str">
        <f t="shared" si="47"/>
        <v/>
      </c>
      <c r="O690" s="159" t="str">
        <f t="shared" si="48"/>
        <v/>
      </c>
      <c r="P690" s="63"/>
    </row>
    <row r="691" spans="1:16">
      <c r="A691" s="151" t="s">
        <v>37</v>
      </c>
      <c r="B691" s="34" t="s">
        <v>160</v>
      </c>
      <c r="C691" s="40" t="s">
        <v>139</v>
      </c>
      <c r="D691" s="34" t="s">
        <v>88</v>
      </c>
      <c r="E691" s="257">
        <f>Intentionally_produced_MPs!J130</f>
        <v>0</v>
      </c>
      <c r="F691" s="232">
        <v>1</v>
      </c>
      <c r="G691" s="40"/>
      <c r="H691" s="29"/>
      <c r="I691" s="9"/>
      <c r="J691" s="9"/>
      <c r="K691" s="9"/>
      <c r="L691" s="9"/>
      <c r="M691" s="9"/>
      <c r="N691" s="185" t="str">
        <f t="shared" si="47"/>
        <v/>
      </c>
      <c r="O691" s="159" t="str">
        <f t="shared" si="48"/>
        <v/>
      </c>
      <c r="P691" s="63"/>
    </row>
    <row r="692" spans="1:16">
      <c r="A692" s="151" t="s">
        <v>37</v>
      </c>
      <c r="B692" s="34" t="s">
        <v>160</v>
      </c>
      <c r="C692" s="40" t="s">
        <v>139</v>
      </c>
      <c r="D692" s="34" t="s">
        <v>89</v>
      </c>
      <c r="E692" s="257">
        <f>Intentionally_produced_MPs!J131</f>
        <v>0</v>
      </c>
      <c r="F692" s="232">
        <v>1</v>
      </c>
      <c r="G692" s="40"/>
      <c r="H692" s="29"/>
      <c r="I692" s="9"/>
      <c r="J692" s="9"/>
      <c r="K692" s="9"/>
      <c r="L692" s="9"/>
      <c r="M692" s="9"/>
      <c r="N692" s="185" t="str">
        <f t="shared" si="47"/>
        <v/>
      </c>
      <c r="O692" s="159" t="str">
        <f t="shared" si="48"/>
        <v/>
      </c>
      <c r="P692" s="63"/>
    </row>
    <row r="693" spans="1:16">
      <c r="A693" s="151" t="s">
        <v>37</v>
      </c>
      <c r="B693" s="34" t="s">
        <v>160</v>
      </c>
      <c r="C693" s="40" t="s">
        <v>139</v>
      </c>
      <c r="D693" s="34" t="s">
        <v>90</v>
      </c>
      <c r="E693" s="257">
        <f>Intentionally_produced_MPs!J132</f>
        <v>5.5555555555555546E-2</v>
      </c>
      <c r="F693" s="232">
        <v>1</v>
      </c>
      <c r="G693" s="40"/>
      <c r="H693" s="29">
        <v>3</v>
      </c>
      <c r="I693" s="9">
        <v>2</v>
      </c>
      <c r="J693" s="9">
        <v>3</v>
      </c>
      <c r="K693" s="9">
        <v>3</v>
      </c>
      <c r="L693" s="9">
        <v>3</v>
      </c>
      <c r="M693" s="9">
        <v>3</v>
      </c>
      <c r="N693" s="185">
        <f t="shared" si="47"/>
        <v>1.2132328390150593</v>
      </c>
      <c r="O693" s="159">
        <f t="shared" si="48"/>
        <v>1.1713319510247036</v>
      </c>
      <c r="P693" s="63"/>
    </row>
    <row r="694" spans="1:16">
      <c r="A694" s="151" t="s">
        <v>37</v>
      </c>
      <c r="B694" s="34" t="s">
        <v>160</v>
      </c>
      <c r="C694" s="40" t="s">
        <v>139</v>
      </c>
      <c r="D694" s="34" t="s">
        <v>91</v>
      </c>
      <c r="E694" s="257">
        <f>Intentionally_produced_MPs!J133</f>
        <v>0.1555597303733175</v>
      </c>
      <c r="F694" s="232">
        <v>1</v>
      </c>
      <c r="G694" s="40"/>
      <c r="H694" s="29">
        <v>3</v>
      </c>
      <c r="I694" s="9">
        <v>2</v>
      </c>
      <c r="J694" s="9">
        <v>3</v>
      </c>
      <c r="K694" s="9">
        <v>3</v>
      </c>
      <c r="L694" s="9">
        <v>3</v>
      </c>
      <c r="M694" s="9">
        <v>3</v>
      </c>
      <c r="N694" s="185">
        <f t="shared" si="47"/>
        <v>1.2132328390150593</v>
      </c>
      <c r="O694" s="159">
        <f t="shared" si="48"/>
        <v>1.1713319510247036</v>
      </c>
      <c r="P694" s="63"/>
    </row>
    <row r="695" spans="1:16">
      <c r="A695" s="151" t="s">
        <v>37</v>
      </c>
      <c r="B695" s="34" t="s">
        <v>160</v>
      </c>
      <c r="C695" s="40" t="s">
        <v>139</v>
      </c>
      <c r="D695" s="34" t="s">
        <v>92</v>
      </c>
      <c r="E695" s="257">
        <f>Intentionally_produced_MPs!J134</f>
        <v>0</v>
      </c>
      <c r="F695" s="232">
        <v>1</v>
      </c>
      <c r="G695" s="40"/>
      <c r="H695" s="29"/>
      <c r="I695" s="9"/>
      <c r="J695" s="9"/>
      <c r="K695" s="9"/>
      <c r="L695" s="9"/>
      <c r="M695" s="9"/>
      <c r="N695" s="185" t="str">
        <f t="shared" si="47"/>
        <v/>
      </c>
      <c r="O695" s="159" t="str">
        <f t="shared" si="48"/>
        <v/>
      </c>
      <c r="P695" s="63"/>
    </row>
    <row r="696" spans="1:16">
      <c r="A696" s="151" t="s">
        <v>37</v>
      </c>
      <c r="B696" s="34" t="s">
        <v>160</v>
      </c>
      <c r="C696" s="40" t="s">
        <v>139</v>
      </c>
      <c r="D696" s="34" t="s">
        <v>93</v>
      </c>
      <c r="E696" s="257">
        <f>Intentionally_produced_MPs!J135</f>
        <v>4.7372437949387489E-3</v>
      </c>
      <c r="F696" s="232">
        <v>1</v>
      </c>
      <c r="G696" s="40"/>
      <c r="H696" s="29">
        <v>3</v>
      </c>
      <c r="I696" s="9">
        <v>2</v>
      </c>
      <c r="J696" s="9">
        <v>3</v>
      </c>
      <c r="K696" s="9">
        <v>3</v>
      </c>
      <c r="L696" s="9">
        <v>3</v>
      </c>
      <c r="M696" s="9">
        <v>3</v>
      </c>
      <c r="N696" s="185">
        <f t="shared" si="47"/>
        <v>1.2132328390150593</v>
      </c>
      <c r="O696" s="159">
        <f t="shared" si="48"/>
        <v>1.1713319510247036</v>
      </c>
      <c r="P696" s="63"/>
    </row>
    <row r="697" spans="1:16">
      <c r="A697" s="151" t="s">
        <v>37</v>
      </c>
      <c r="B697" s="34" t="s">
        <v>160</v>
      </c>
      <c r="C697" s="40" t="s">
        <v>139</v>
      </c>
      <c r="D697" s="34" t="s">
        <v>94</v>
      </c>
      <c r="E697" s="257">
        <f>Intentionally_produced_MPs!J136</f>
        <v>0</v>
      </c>
      <c r="F697" s="232">
        <v>1</v>
      </c>
      <c r="G697" s="40"/>
      <c r="H697" s="29"/>
      <c r="I697" s="9"/>
      <c r="J697" s="9"/>
      <c r="K697" s="9"/>
      <c r="L697" s="9"/>
      <c r="M697" s="9"/>
      <c r="N697" s="185" t="str">
        <f t="shared" si="47"/>
        <v/>
      </c>
      <c r="O697" s="159" t="str">
        <f t="shared" si="48"/>
        <v/>
      </c>
      <c r="P697" s="63"/>
    </row>
    <row r="698" spans="1:16">
      <c r="A698" s="151" t="s">
        <v>37</v>
      </c>
      <c r="B698" s="34" t="s">
        <v>160</v>
      </c>
      <c r="C698" s="40" t="s">
        <v>139</v>
      </c>
      <c r="D698" s="34" t="s">
        <v>95</v>
      </c>
      <c r="E698" s="257">
        <f>Intentionally_produced_MPs!J137</f>
        <v>4.4333947817568178E-2</v>
      </c>
      <c r="F698" s="232">
        <v>1</v>
      </c>
      <c r="G698" s="40"/>
      <c r="H698" s="29">
        <v>3</v>
      </c>
      <c r="I698" s="9">
        <v>2</v>
      </c>
      <c r="J698" s="9">
        <v>3</v>
      </c>
      <c r="K698" s="9">
        <v>3</v>
      </c>
      <c r="L698" s="9">
        <v>3</v>
      </c>
      <c r="M698" s="9">
        <v>3</v>
      </c>
      <c r="N698" s="185">
        <f t="shared" si="47"/>
        <v>1.2132328390150593</v>
      </c>
      <c r="O698" s="159">
        <f t="shared" si="48"/>
        <v>1.1713319510247036</v>
      </c>
      <c r="P698" s="63"/>
    </row>
    <row r="699" spans="1:16">
      <c r="A699" s="151" t="s">
        <v>37</v>
      </c>
      <c r="B699" s="34" t="s">
        <v>160</v>
      </c>
      <c r="C699" s="40" t="s">
        <v>139</v>
      </c>
      <c r="D699" s="34" t="s">
        <v>96</v>
      </c>
      <c r="E699" s="257">
        <f>Intentionally_produced_MPs!J138</f>
        <v>0</v>
      </c>
      <c r="F699" s="232">
        <v>1</v>
      </c>
      <c r="G699" s="40"/>
      <c r="H699" s="29"/>
      <c r="I699" s="9"/>
      <c r="J699" s="9"/>
      <c r="K699" s="9"/>
      <c r="L699" s="9"/>
      <c r="M699" s="9"/>
      <c r="N699" s="185" t="str">
        <f t="shared" si="47"/>
        <v/>
      </c>
      <c r="O699" s="159" t="str">
        <f t="shared" si="48"/>
        <v/>
      </c>
      <c r="P699" s="63"/>
    </row>
    <row r="700" spans="1:16">
      <c r="A700" s="151" t="s">
        <v>37</v>
      </c>
      <c r="B700" s="34" t="s">
        <v>160</v>
      </c>
      <c r="C700" s="40" t="s">
        <v>139</v>
      </c>
      <c r="D700" s="34" t="s">
        <v>97</v>
      </c>
      <c r="E700" s="257">
        <f>Intentionally_produced_MPs!J139</f>
        <v>4.4586330230196494E-2</v>
      </c>
      <c r="F700" s="232">
        <v>1</v>
      </c>
      <c r="G700" s="40"/>
      <c r="H700" s="29">
        <v>3</v>
      </c>
      <c r="I700" s="9">
        <v>2</v>
      </c>
      <c r="J700" s="9">
        <v>3</v>
      </c>
      <c r="K700" s="9">
        <v>3</v>
      </c>
      <c r="L700" s="9">
        <v>3</v>
      </c>
      <c r="M700" s="9">
        <v>3</v>
      </c>
      <c r="N700" s="185">
        <f t="shared" si="47"/>
        <v>1.2132328390150593</v>
      </c>
      <c r="O700" s="159">
        <f t="shared" si="48"/>
        <v>1.1713319510247036</v>
      </c>
      <c r="P700" s="63"/>
    </row>
    <row r="701" spans="1:16">
      <c r="A701" s="151" t="s">
        <v>37</v>
      </c>
      <c r="B701" s="34" t="s">
        <v>160</v>
      </c>
      <c r="C701" s="40" t="s">
        <v>139</v>
      </c>
      <c r="D701" s="34" t="s">
        <v>98</v>
      </c>
      <c r="E701" s="257">
        <f>Intentionally_produced_MPs!J140</f>
        <v>6.8330054573633985E-3</v>
      </c>
      <c r="F701" s="232">
        <v>1</v>
      </c>
      <c r="G701" s="40"/>
      <c r="H701" s="29">
        <v>3</v>
      </c>
      <c r="I701" s="9">
        <v>2</v>
      </c>
      <c r="J701" s="9">
        <v>3</v>
      </c>
      <c r="K701" s="9">
        <v>3</v>
      </c>
      <c r="L701" s="9">
        <v>3</v>
      </c>
      <c r="M701" s="9">
        <v>3</v>
      </c>
      <c r="N701" s="185">
        <f t="shared" si="47"/>
        <v>1.2132328390150593</v>
      </c>
      <c r="O701" s="159">
        <f t="shared" si="48"/>
        <v>1.1713319510247036</v>
      </c>
      <c r="P701" s="63"/>
    </row>
    <row r="702" spans="1:16">
      <c r="A702" s="151" t="s">
        <v>256</v>
      </c>
      <c r="B702" s="34" t="s">
        <v>267</v>
      </c>
      <c r="C702" s="339" t="s">
        <v>182</v>
      </c>
      <c r="D702" s="69" t="s">
        <v>85</v>
      </c>
      <c r="E702" s="848">
        <v>0.15660919540229881</v>
      </c>
      <c r="F702" s="34">
        <v>1</v>
      </c>
      <c r="G702" s="339" t="s">
        <v>126</v>
      </c>
      <c r="H702" s="29"/>
      <c r="I702" s="9">
        <v>1</v>
      </c>
      <c r="J702" s="9">
        <v>1</v>
      </c>
      <c r="K702" s="9">
        <v>1</v>
      </c>
      <c r="L702" s="9">
        <v>2</v>
      </c>
      <c r="M702" s="9">
        <v>2</v>
      </c>
      <c r="N702" s="185" t="str">
        <f t="shared" si="47"/>
        <v/>
      </c>
      <c r="O702" s="159">
        <f t="shared" si="48"/>
        <v>0.35859414261160716</v>
      </c>
      <c r="P702" s="63"/>
    </row>
    <row r="703" spans="1:16">
      <c r="A703" s="151" t="s">
        <v>209</v>
      </c>
      <c r="B703" s="34" t="s">
        <v>385</v>
      </c>
      <c r="C703" s="40" t="s">
        <v>139</v>
      </c>
      <c r="D703" s="34" t="s">
        <v>139</v>
      </c>
      <c r="E703" s="257" t="s">
        <v>150</v>
      </c>
      <c r="F703" s="232">
        <v>1</v>
      </c>
      <c r="G703" s="40"/>
      <c r="H703" s="29"/>
      <c r="I703" s="9"/>
      <c r="J703" s="9"/>
      <c r="K703" s="9"/>
      <c r="L703" s="9"/>
      <c r="M703" s="9"/>
      <c r="N703" s="185" t="str">
        <f t="shared" si="47"/>
        <v/>
      </c>
      <c r="O703" s="159" t="str">
        <f t="shared" si="48"/>
        <v/>
      </c>
      <c r="P703" s="63"/>
    </row>
    <row r="704" spans="1:16">
      <c r="A704" s="151" t="s">
        <v>215</v>
      </c>
      <c r="B704" s="34" t="s">
        <v>386</v>
      </c>
      <c r="C704" s="40" t="s">
        <v>139</v>
      </c>
      <c r="D704" s="34" t="s">
        <v>139</v>
      </c>
      <c r="E704" s="257" t="s">
        <v>150</v>
      </c>
      <c r="F704" s="232">
        <v>1</v>
      </c>
      <c r="G704" s="40"/>
      <c r="H704" s="29"/>
      <c r="I704" s="9"/>
      <c r="J704" s="9"/>
      <c r="K704" s="9"/>
      <c r="L704" s="9"/>
      <c r="M704" s="9"/>
      <c r="N704" s="185" t="str">
        <f t="shared" si="47"/>
        <v/>
      </c>
      <c r="O704" s="159" t="str">
        <f t="shared" si="48"/>
        <v/>
      </c>
      <c r="P704" s="63" t="s">
        <v>387</v>
      </c>
    </row>
    <row r="705" spans="1:16">
      <c r="A705" s="151" t="s">
        <v>149</v>
      </c>
      <c r="B705" s="34" t="s">
        <v>176</v>
      </c>
      <c r="C705" s="40" t="s">
        <v>139</v>
      </c>
      <c r="D705" s="34" t="s">
        <v>139</v>
      </c>
      <c r="E705" s="257">
        <v>0.03</v>
      </c>
      <c r="F705" s="232">
        <v>2</v>
      </c>
      <c r="G705" s="40" t="s">
        <v>221</v>
      </c>
      <c r="H705" s="29">
        <v>1</v>
      </c>
      <c r="I705" s="9"/>
      <c r="J705" s="9">
        <v>2</v>
      </c>
      <c r="K705" s="9">
        <v>3</v>
      </c>
      <c r="L705" s="9">
        <v>2</v>
      </c>
      <c r="M705" s="9">
        <v>2</v>
      </c>
      <c r="N705" s="185">
        <f t="shared" si="47"/>
        <v>0.50042652380814845</v>
      </c>
      <c r="O705" s="159" t="str">
        <f t="shared" si="48"/>
        <v/>
      </c>
      <c r="P705" s="63" t="s">
        <v>388</v>
      </c>
    </row>
    <row r="706" spans="1:16">
      <c r="A706" s="853" t="s">
        <v>334</v>
      </c>
      <c r="B706" s="854" t="s">
        <v>184</v>
      </c>
      <c r="C706" s="855" t="s">
        <v>182</v>
      </c>
      <c r="D706" s="854" t="s">
        <v>139</v>
      </c>
      <c r="E706" s="856">
        <v>0</v>
      </c>
      <c r="F706" s="857">
        <v>2</v>
      </c>
      <c r="G706" s="855" t="s">
        <v>320</v>
      </c>
      <c r="H706" s="821"/>
      <c r="I706" s="639"/>
      <c r="J706" s="639"/>
      <c r="K706" s="639"/>
      <c r="L706" s="639"/>
      <c r="M706" s="639"/>
      <c r="N706" s="830" t="str">
        <f t="shared" si="47"/>
        <v/>
      </c>
      <c r="O706" s="831" t="str">
        <f t="shared" si="48"/>
        <v/>
      </c>
      <c r="P706" s="838"/>
    </row>
    <row r="707" spans="1:16">
      <c r="A707" s="151" t="s">
        <v>326</v>
      </c>
      <c r="B707" s="34" t="s">
        <v>264</v>
      </c>
      <c r="C707" s="40" t="s">
        <v>139</v>
      </c>
      <c r="D707" s="34" t="s">
        <v>139</v>
      </c>
      <c r="E707" s="257">
        <v>0.01</v>
      </c>
      <c r="F707" s="232">
        <v>2</v>
      </c>
      <c r="G707" s="40" t="s">
        <v>389</v>
      </c>
      <c r="H707" s="29">
        <v>3</v>
      </c>
      <c r="I707" s="9"/>
      <c r="J707" s="9">
        <v>3</v>
      </c>
      <c r="K707" s="9">
        <v>3</v>
      </c>
      <c r="L707" s="9">
        <v>3</v>
      </c>
      <c r="M707" s="9">
        <v>3</v>
      </c>
      <c r="N707" s="185">
        <f t="shared" si="47"/>
        <v>1.2132328390150593</v>
      </c>
      <c r="O707" s="159" t="str">
        <f t="shared" si="48"/>
        <v/>
      </c>
      <c r="P707" s="63"/>
    </row>
    <row r="708" spans="1:16">
      <c r="A708" s="151" t="s">
        <v>244</v>
      </c>
      <c r="B708" s="34" t="s">
        <v>176</v>
      </c>
      <c r="C708" s="40" t="s">
        <v>139</v>
      </c>
      <c r="D708" s="34" t="s">
        <v>139</v>
      </c>
      <c r="E708" s="257">
        <v>1E-4</v>
      </c>
      <c r="F708" s="232">
        <v>2</v>
      </c>
      <c r="G708" s="40" t="s">
        <v>157</v>
      </c>
      <c r="H708" s="29">
        <v>1</v>
      </c>
      <c r="I708" s="9">
        <v>2</v>
      </c>
      <c r="J708" s="9">
        <v>1</v>
      </c>
      <c r="K708" s="9">
        <v>1</v>
      </c>
      <c r="L708" s="9">
        <v>1</v>
      </c>
      <c r="M708" s="9">
        <v>3</v>
      </c>
      <c r="N708" s="185">
        <f t="shared" si="47"/>
        <v>1.0141150152164344</v>
      </c>
      <c r="O708" s="159">
        <f t="shared" si="48"/>
        <v>1.0195048044558224</v>
      </c>
      <c r="P708" s="63"/>
    </row>
    <row r="709" spans="1:16">
      <c r="A709" s="853" t="s">
        <v>334</v>
      </c>
      <c r="B709" s="854" t="s">
        <v>184</v>
      </c>
      <c r="C709" s="855" t="s">
        <v>182</v>
      </c>
      <c r="D709" s="854" t="s">
        <v>139</v>
      </c>
      <c r="E709" s="856">
        <v>1</v>
      </c>
      <c r="F709" s="857">
        <v>2</v>
      </c>
      <c r="G709" s="855" t="s">
        <v>321</v>
      </c>
      <c r="H709" s="821"/>
      <c r="I709" s="639"/>
      <c r="J709" s="639"/>
      <c r="K709" s="639"/>
      <c r="L709" s="639"/>
      <c r="M709" s="639"/>
      <c r="N709" s="830" t="str">
        <f t="shared" si="47"/>
        <v/>
      </c>
      <c r="O709" s="831" t="str">
        <f t="shared" si="48"/>
        <v/>
      </c>
      <c r="P709" s="838"/>
    </row>
    <row r="710" spans="1:16">
      <c r="A710" s="151" t="s">
        <v>121</v>
      </c>
      <c r="B710" s="34" t="s">
        <v>185</v>
      </c>
      <c r="C710" s="40" t="s">
        <v>139</v>
      </c>
      <c r="D710" s="34" t="s">
        <v>87</v>
      </c>
      <c r="E710" s="257">
        <v>0.11189388147015418</v>
      </c>
      <c r="F710" s="232">
        <v>1</v>
      </c>
      <c r="G710" s="40"/>
      <c r="H710" s="29">
        <v>2</v>
      </c>
      <c r="I710" s="9">
        <v>2</v>
      </c>
      <c r="J710" s="9">
        <v>2</v>
      </c>
      <c r="K710" s="9">
        <v>2</v>
      </c>
      <c r="L710" s="9">
        <v>1</v>
      </c>
      <c r="M710" s="9">
        <v>2</v>
      </c>
      <c r="N710" s="185">
        <f t="shared" si="47"/>
        <v>0.38795788889711302</v>
      </c>
      <c r="O710" s="159">
        <f t="shared" si="48"/>
        <v>0.38795788889711302</v>
      </c>
      <c r="P710" s="63"/>
    </row>
    <row r="711" spans="1:16">
      <c r="A711" s="853" t="s">
        <v>334</v>
      </c>
      <c r="B711" s="854" t="s">
        <v>184</v>
      </c>
      <c r="C711" s="855" t="s">
        <v>180</v>
      </c>
      <c r="D711" s="854" t="s">
        <v>139</v>
      </c>
      <c r="E711" s="856">
        <v>0</v>
      </c>
      <c r="F711" s="857">
        <v>2</v>
      </c>
      <c r="G711" s="855" t="s">
        <v>390</v>
      </c>
      <c r="H711" s="821"/>
      <c r="I711" s="639"/>
      <c r="J711" s="639"/>
      <c r="K711" s="639"/>
      <c r="L711" s="639"/>
      <c r="M711" s="639"/>
      <c r="N711" s="830" t="str">
        <f t="shared" si="47"/>
        <v/>
      </c>
      <c r="O711" s="831" t="str">
        <f t="shared" si="48"/>
        <v/>
      </c>
      <c r="P711" s="838"/>
    </row>
    <row r="712" spans="1:16">
      <c r="A712" s="151" t="s">
        <v>334</v>
      </c>
      <c r="B712" s="34" t="s">
        <v>251</v>
      </c>
      <c r="C712" s="40" t="s">
        <v>139</v>
      </c>
      <c r="D712" s="34" t="s">
        <v>139</v>
      </c>
      <c r="E712" s="257">
        <v>1E-4</v>
      </c>
      <c r="F712" s="232">
        <v>3</v>
      </c>
      <c r="G712" s="40" t="s">
        <v>333</v>
      </c>
      <c r="H712" s="29">
        <v>2</v>
      </c>
      <c r="I712" s="9">
        <v>2</v>
      </c>
      <c r="J712" s="9">
        <v>1</v>
      </c>
      <c r="K712" s="9">
        <v>1</v>
      </c>
      <c r="L712" s="9">
        <v>1</v>
      </c>
      <c r="M712" s="9">
        <v>3</v>
      </c>
      <c r="N712" s="185">
        <f t="shared" si="47"/>
        <v>1.0195048044558224</v>
      </c>
      <c r="O712" s="159">
        <f t="shared" si="48"/>
        <v>1.0195048044558224</v>
      </c>
      <c r="P712" s="63" t="s">
        <v>391</v>
      </c>
    </row>
    <row r="713" spans="1:16">
      <c r="A713" s="151" t="s">
        <v>154</v>
      </c>
      <c r="B713" s="34" t="s">
        <v>251</v>
      </c>
      <c r="C713" s="40" t="s">
        <v>139</v>
      </c>
      <c r="D713" s="34" t="s">
        <v>139</v>
      </c>
      <c r="E713" s="257">
        <v>0.03</v>
      </c>
      <c r="F713" s="232">
        <v>2</v>
      </c>
      <c r="G713" s="40" t="s">
        <v>221</v>
      </c>
      <c r="H713" s="29">
        <v>1</v>
      </c>
      <c r="I713" s="9"/>
      <c r="J713" s="9">
        <v>2</v>
      </c>
      <c r="K713" s="9">
        <v>3</v>
      </c>
      <c r="L713" s="9">
        <v>2</v>
      </c>
      <c r="M713" s="9">
        <v>2</v>
      </c>
      <c r="N713" s="185">
        <f t="shared" si="47"/>
        <v>0.50042652380814845</v>
      </c>
      <c r="O713" s="159" t="str">
        <f t="shared" si="48"/>
        <v/>
      </c>
      <c r="P713" s="63" t="s">
        <v>388</v>
      </c>
    </row>
    <row r="714" spans="1:16">
      <c r="A714" s="151" t="s">
        <v>256</v>
      </c>
      <c r="B714" s="34" t="s">
        <v>267</v>
      </c>
      <c r="C714" s="40" t="s">
        <v>182</v>
      </c>
      <c r="D714" s="69" t="s">
        <v>86</v>
      </c>
      <c r="E714" s="848">
        <v>0.1689198415949747</v>
      </c>
      <c r="F714" s="34">
        <v>1</v>
      </c>
      <c r="G714" s="339" t="s">
        <v>126</v>
      </c>
      <c r="H714" s="29"/>
      <c r="I714" s="9">
        <v>1</v>
      </c>
      <c r="J714" s="9">
        <v>1</v>
      </c>
      <c r="K714" s="9">
        <v>1</v>
      </c>
      <c r="L714" s="9">
        <v>2</v>
      </c>
      <c r="M714" s="9">
        <v>2</v>
      </c>
      <c r="N714" s="185" t="str">
        <f t="shared" si="47"/>
        <v/>
      </c>
      <c r="O714" s="159">
        <f t="shared" si="48"/>
        <v>0.35859414261160716</v>
      </c>
      <c r="P714" s="63"/>
    </row>
    <row r="715" spans="1:16">
      <c r="A715" s="151" t="s">
        <v>312</v>
      </c>
      <c r="B715" s="34" t="s">
        <v>251</v>
      </c>
      <c r="C715" s="515" t="s">
        <v>139</v>
      </c>
      <c r="D715" s="37" t="s">
        <v>139</v>
      </c>
      <c r="E715" s="308">
        <v>0.52</v>
      </c>
      <c r="F715" s="37">
        <v>1</v>
      </c>
      <c r="G715" s="40" t="s">
        <v>353</v>
      </c>
      <c r="H715" s="29">
        <v>2</v>
      </c>
      <c r="I715" s="9">
        <v>2</v>
      </c>
      <c r="J715" s="9">
        <v>1</v>
      </c>
      <c r="K715" s="9">
        <v>1</v>
      </c>
      <c r="L715" s="9">
        <v>1</v>
      </c>
      <c r="M715" s="9">
        <v>1</v>
      </c>
      <c r="N715" s="185">
        <f t="shared" si="47"/>
        <v>0.16933510251023262</v>
      </c>
      <c r="O715" s="159">
        <f t="shared" si="48"/>
        <v>0.16933510251023262</v>
      </c>
      <c r="P715" s="63"/>
    </row>
    <row r="716" spans="1:16">
      <c r="A716" s="151" t="s">
        <v>283</v>
      </c>
      <c r="B716" s="34" t="s">
        <v>254</v>
      </c>
      <c r="C716" s="40" t="s">
        <v>139</v>
      </c>
      <c r="D716" s="34" t="s">
        <v>139</v>
      </c>
      <c r="E716" s="848">
        <f>0.004*0.0001/100</f>
        <v>4.0000000000000002E-9</v>
      </c>
      <c r="F716" s="232">
        <v>2</v>
      </c>
      <c r="G716" s="515" t="s">
        <v>1995</v>
      </c>
      <c r="H716" s="29">
        <v>2</v>
      </c>
      <c r="I716" s="9">
        <v>1</v>
      </c>
      <c r="J716" s="9">
        <v>2</v>
      </c>
      <c r="K716" s="9">
        <v>3</v>
      </c>
      <c r="L716" s="9">
        <v>3</v>
      </c>
      <c r="M716" s="9">
        <v>1</v>
      </c>
      <c r="N716" s="185">
        <f t="shared" si="47"/>
        <v>0.51126068492676302</v>
      </c>
      <c r="O716" s="159">
        <f t="shared" si="48"/>
        <v>0.50042652380814845</v>
      </c>
      <c r="P716" s="63"/>
    </row>
    <row r="717" spans="1:16">
      <c r="A717" s="151" t="s">
        <v>283</v>
      </c>
      <c r="B717" s="34" t="s">
        <v>254</v>
      </c>
      <c r="C717" s="40" t="s">
        <v>139</v>
      </c>
      <c r="D717" s="34" t="s">
        <v>139</v>
      </c>
      <c r="E717" s="848">
        <f>0.004*0.04/100</f>
        <v>1.6000000000000001E-6</v>
      </c>
      <c r="F717" s="232">
        <v>2</v>
      </c>
      <c r="G717" s="515" t="s">
        <v>1995</v>
      </c>
      <c r="H717" s="29">
        <v>2</v>
      </c>
      <c r="I717" s="9">
        <v>1</v>
      </c>
      <c r="J717" s="9">
        <v>2</v>
      </c>
      <c r="K717" s="9">
        <v>3</v>
      </c>
      <c r="L717" s="9">
        <v>3</v>
      </c>
      <c r="M717" s="9">
        <v>1</v>
      </c>
      <c r="N717" s="185">
        <f t="shared" si="47"/>
        <v>0.51126068492676302</v>
      </c>
      <c r="O717" s="159">
        <f t="shared" si="48"/>
        <v>0.50042652380814845</v>
      </c>
      <c r="P717" s="63"/>
    </row>
    <row r="718" spans="1:16">
      <c r="A718" s="151" t="s">
        <v>256</v>
      </c>
      <c r="B718" s="34" t="s">
        <v>267</v>
      </c>
      <c r="C718" s="40" t="s">
        <v>182</v>
      </c>
      <c r="D718" s="69" t="s">
        <v>87</v>
      </c>
      <c r="E718" s="848">
        <v>9.9585062240663894E-2</v>
      </c>
      <c r="F718" s="34">
        <v>1</v>
      </c>
      <c r="G718" s="339" t="s">
        <v>126</v>
      </c>
      <c r="H718" s="29"/>
      <c r="I718" s="9">
        <v>1</v>
      </c>
      <c r="J718" s="9">
        <v>1</v>
      </c>
      <c r="K718" s="9">
        <v>1</v>
      </c>
      <c r="L718" s="9">
        <v>2</v>
      </c>
      <c r="M718" s="9">
        <v>2</v>
      </c>
      <c r="N718" s="185" t="str">
        <f t="shared" si="47"/>
        <v/>
      </c>
      <c r="O718" s="159">
        <f t="shared" si="48"/>
        <v>0.35859414261160716</v>
      </c>
      <c r="P718" s="63"/>
    </row>
    <row r="719" spans="1:16">
      <c r="A719" s="151" t="s">
        <v>283</v>
      </c>
      <c r="B719" s="34" t="s">
        <v>184</v>
      </c>
      <c r="C719" s="40" t="s">
        <v>139</v>
      </c>
      <c r="D719" s="34" t="s">
        <v>139</v>
      </c>
      <c r="E719" s="257">
        <v>0</v>
      </c>
      <c r="F719" s="232">
        <v>1</v>
      </c>
      <c r="G719" s="40" t="s">
        <v>157</v>
      </c>
      <c r="H719" s="29"/>
      <c r="I719" s="9"/>
      <c r="J719" s="9"/>
      <c r="K719" s="9"/>
      <c r="L719" s="9"/>
      <c r="M719" s="9"/>
      <c r="N719" s="185" t="str">
        <f t="shared" si="47"/>
        <v/>
      </c>
      <c r="O719" s="159" t="str">
        <f t="shared" si="48"/>
        <v/>
      </c>
      <c r="P719" s="63"/>
    </row>
    <row r="720" spans="1:16">
      <c r="A720" s="151" t="s">
        <v>283</v>
      </c>
      <c r="B720" s="34" t="s">
        <v>251</v>
      </c>
      <c r="C720" s="40" t="s">
        <v>139</v>
      </c>
      <c r="D720" s="34" t="s">
        <v>139</v>
      </c>
      <c r="E720" s="848">
        <f>(1-0.004)*0.0001/100</f>
        <v>9.9600000000000008E-7</v>
      </c>
      <c r="F720" s="232">
        <v>2</v>
      </c>
      <c r="G720" s="515" t="s">
        <v>1995</v>
      </c>
      <c r="H720" s="29">
        <v>2</v>
      </c>
      <c r="I720" s="9">
        <v>1</v>
      </c>
      <c r="J720" s="9">
        <v>2</v>
      </c>
      <c r="K720" s="9">
        <v>3</v>
      </c>
      <c r="L720" s="9">
        <v>3</v>
      </c>
      <c r="M720" s="9">
        <v>1</v>
      </c>
      <c r="N720" s="185">
        <f t="shared" ref="N720:N774" si="49">IF( OR( ISBLANK(H720),ISBLANK(J720), ISBLANK(K720), ISBLANK(L720), ISBLANK(M720) ), "", 1.5*SQRT(   EXP(2.21*(H720-1)) + EXP(2.21*(J720-1)) + EXP(2.21*(K720-1)) + EXP(2.21*(L720-1)) + EXP(2.21*M720)   )/100*2.45 )</f>
        <v>0.51126068492676302</v>
      </c>
      <c r="O720" s="159">
        <f t="shared" ref="O720:O774" si="50">IF( OR( ISBLANK(I720),ISBLANK(J720), ISBLANK(K720), ISBLANK(L720), ISBLANK(M720) ), "", 1.5*SQRT( EXP(2.21*(I720-1)) + EXP(2.21*(J720-1)) + EXP(2.21*(K720-1)) + EXP(2.21*(L720-1)) + EXP(2.21*M720)   )/100*2.45 )</f>
        <v>0.50042652380814845</v>
      </c>
      <c r="P720" s="63"/>
    </row>
    <row r="721" spans="1:16">
      <c r="A721" s="289" t="s">
        <v>360</v>
      </c>
      <c r="B721" s="55" t="s">
        <v>251</v>
      </c>
      <c r="C721" s="262" t="s">
        <v>139</v>
      </c>
      <c r="D721" s="55" t="s">
        <v>139</v>
      </c>
      <c r="E721" s="257">
        <v>0.24038461538461536</v>
      </c>
      <c r="F721" s="232">
        <v>2</v>
      </c>
      <c r="G721" s="262" t="s">
        <v>163</v>
      </c>
      <c r="H721" s="29">
        <v>2</v>
      </c>
      <c r="I721" s="9">
        <v>2</v>
      </c>
      <c r="J721" s="9">
        <v>1</v>
      </c>
      <c r="K721" s="9">
        <v>1</v>
      </c>
      <c r="L721" s="9">
        <v>1</v>
      </c>
      <c r="M721" s="9">
        <v>3</v>
      </c>
      <c r="N721" s="185">
        <f t="shared" si="49"/>
        <v>1.0195048044558224</v>
      </c>
      <c r="O721" s="159">
        <f t="shared" si="50"/>
        <v>1.0195048044558224</v>
      </c>
      <c r="P721" s="63" t="s">
        <v>357</v>
      </c>
    </row>
    <row r="722" spans="1:16">
      <c r="A722" s="289" t="s">
        <v>360</v>
      </c>
      <c r="B722" s="55" t="s">
        <v>251</v>
      </c>
      <c r="C722" s="262" t="s">
        <v>139</v>
      </c>
      <c r="D722" s="55" t="s">
        <v>139</v>
      </c>
      <c r="E722" s="257">
        <v>0.13440860215053765</v>
      </c>
      <c r="F722" s="232">
        <v>2</v>
      </c>
      <c r="G722" s="262" t="s">
        <v>163</v>
      </c>
      <c r="H722" s="29">
        <v>2</v>
      </c>
      <c r="I722" s="9">
        <v>2</v>
      </c>
      <c r="J722" s="9">
        <v>1</v>
      </c>
      <c r="K722" s="9">
        <v>1</v>
      </c>
      <c r="L722" s="9">
        <v>1</v>
      </c>
      <c r="M722" s="9">
        <v>3</v>
      </c>
      <c r="N722" s="185">
        <f t="shared" si="49"/>
        <v>1.0195048044558224</v>
      </c>
      <c r="O722" s="159">
        <f t="shared" si="50"/>
        <v>1.0195048044558224</v>
      </c>
      <c r="P722" s="63" t="s">
        <v>358</v>
      </c>
    </row>
    <row r="723" spans="1:16">
      <c r="A723" s="151" t="s">
        <v>380</v>
      </c>
      <c r="B723" s="34" t="s">
        <v>378</v>
      </c>
      <c r="C723" s="40" t="s">
        <v>139</v>
      </c>
      <c r="D723" s="34" t="s">
        <v>139</v>
      </c>
      <c r="E723" s="851">
        <v>0.9</v>
      </c>
      <c r="F723" s="34">
        <v>1</v>
      </c>
      <c r="G723" s="40" t="s">
        <v>392</v>
      </c>
      <c r="H723" s="29">
        <v>1</v>
      </c>
      <c r="I723" s="9">
        <v>3</v>
      </c>
      <c r="J723" s="9">
        <v>2</v>
      </c>
      <c r="K723" s="9">
        <v>1</v>
      </c>
      <c r="L723" s="9">
        <v>1</v>
      </c>
      <c r="M723" s="9">
        <v>2</v>
      </c>
      <c r="N723" s="185">
        <f t="shared" si="49"/>
        <v>0.35859414261160716</v>
      </c>
      <c r="O723" s="159">
        <f t="shared" si="50"/>
        <v>0.48935255543384243</v>
      </c>
      <c r="P723" s="838"/>
    </row>
    <row r="724" spans="1:16">
      <c r="A724" s="151" t="s">
        <v>380</v>
      </c>
      <c r="B724" s="34" t="s">
        <v>258</v>
      </c>
      <c r="C724" s="40" t="s">
        <v>139</v>
      </c>
      <c r="D724" s="34" t="s">
        <v>139</v>
      </c>
      <c r="E724" s="851">
        <v>0.1</v>
      </c>
      <c r="F724" s="34">
        <v>1</v>
      </c>
      <c r="G724" s="40" t="s">
        <v>379</v>
      </c>
      <c r="H724" s="29">
        <v>1</v>
      </c>
      <c r="I724" s="9">
        <v>3</v>
      </c>
      <c r="J724" s="9">
        <v>2</v>
      </c>
      <c r="K724" s="9">
        <v>1</v>
      </c>
      <c r="L724" s="9">
        <v>1</v>
      </c>
      <c r="M724" s="9">
        <v>2</v>
      </c>
      <c r="N724" s="185">
        <f t="shared" si="49"/>
        <v>0.35859414261160716</v>
      </c>
      <c r="O724" s="159">
        <f t="shared" si="50"/>
        <v>0.48935255543384243</v>
      </c>
      <c r="P724" s="838"/>
    </row>
    <row r="725" spans="1:16">
      <c r="A725" s="151" t="s">
        <v>301</v>
      </c>
      <c r="B725" s="34" t="s">
        <v>179</v>
      </c>
      <c r="C725" s="40" t="s">
        <v>139</v>
      </c>
      <c r="D725" s="34" t="s">
        <v>139</v>
      </c>
      <c r="E725" s="851" t="s">
        <v>150</v>
      </c>
      <c r="F725" s="34">
        <v>1</v>
      </c>
      <c r="G725" s="40" t="s">
        <v>302</v>
      </c>
      <c r="H725" s="29"/>
      <c r="I725" s="9"/>
      <c r="J725" s="9"/>
      <c r="K725" s="9"/>
      <c r="L725" s="9"/>
      <c r="M725" s="9"/>
      <c r="N725" s="185" t="str">
        <f t="shared" si="49"/>
        <v/>
      </c>
      <c r="O725" s="159" t="str">
        <f t="shared" si="50"/>
        <v/>
      </c>
      <c r="P725" s="838"/>
    </row>
    <row r="726" spans="1:16">
      <c r="A726" s="151" t="s">
        <v>301</v>
      </c>
      <c r="B726" s="34" t="s">
        <v>232</v>
      </c>
      <c r="C726" s="40" t="s">
        <v>139</v>
      </c>
      <c r="D726" s="34" t="s">
        <v>139</v>
      </c>
      <c r="E726" s="851">
        <v>0.05</v>
      </c>
      <c r="F726" s="34">
        <v>2</v>
      </c>
      <c r="G726" s="40" t="s">
        <v>393</v>
      </c>
      <c r="H726" s="29">
        <v>1</v>
      </c>
      <c r="I726" s="9">
        <v>2</v>
      </c>
      <c r="J726" s="9">
        <v>1</v>
      </c>
      <c r="K726" s="9">
        <v>2</v>
      </c>
      <c r="L726" s="9">
        <v>2</v>
      </c>
      <c r="M726" s="9">
        <v>4</v>
      </c>
      <c r="N726" s="185">
        <f t="shared" si="49"/>
        <v>3.0582589715853041</v>
      </c>
      <c r="O726" s="159">
        <f t="shared" si="50"/>
        <v>3.0600504439474649</v>
      </c>
      <c r="P726" s="838"/>
    </row>
    <row r="727" spans="1:16">
      <c r="A727" s="151" t="s">
        <v>394</v>
      </c>
      <c r="B727" s="34" t="s">
        <v>378</v>
      </c>
      <c r="C727" s="40" t="s">
        <v>139</v>
      </c>
      <c r="D727" s="34" t="s">
        <v>139</v>
      </c>
      <c r="E727" s="262" t="s">
        <v>150</v>
      </c>
      <c r="F727" s="34">
        <v>1</v>
      </c>
      <c r="G727" s="40" t="s">
        <v>381</v>
      </c>
      <c r="H727" s="29">
        <v>1</v>
      </c>
      <c r="I727" s="9">
        <v>2</v>
      </c>
      <c r="J727" s="9">
        <v>3</v>
      </c>
      <c r="K727" s="9">
        <v>1</v>
      </c>
      <c r="L727" s="9">
        <v>2</v>
      </c>
      <c r="M727" s="9">
        <v>1</v>
      </c>
      <c r="N727" s="185">
        <f t="shared" si="49"/>
        <v>0.37356464144298934</v>
      </c>
      <c r="O727" s="159">
        <f t="shared" si="50"/>
        <v>0.38795788889711297</v>
      </c>
      <c r="P727" s="838"/>
    </row>
    <row r="728" spans="1:16">
      <c r="A728" s="151" t="s">
        <v>394</v>
      </c>
      <c r="B728" s="34" t="s">
        <v>266</v>
      </c>
      <c r="C728" s="40" t="s">
        <v>139</v>
      </c>
      <c r="D728" s="34" t="s">
        <v>139</v>
      </c>
      <c r="E728" s="262">
        <f>0.526*0.34</f>
        <v>0.17884000000000003</v>
      </c>
      <c r="F728" s="34">
        <v>2</v>
      </c>
      <c r="G728" s="40" t="s">
        <v>381</v>
      </c>
      <c r="H728" s="29">
        <v>1</v>
      </c>
      <c r="I728" s="9">
        <v>2</v>
      </c>
      <c r="J728" s="9">
        <v>3</v>
      </c>
      <c r="K728" s="9">
        <v>1</v>
      </c>
      <c r="L728" s="9">
        <v>2</v>
      </c>
      <c r="M728" s="9">
        <v>1</v>
      </c>
      <c r="N728" s="185">
        <f t="shared" si="49"/>
        <v>0.37356464144298934</v>
      </c>
      <c r="O728" s="159">
        <f t="shared" si="50"/>
        <v>0.38795788889711297</v>
      </c>
      <c r="P728" s="838"/>
    </row>
    <row r="729" spans="1:16">
      <c r="A729" s="151" t="s">
        <v>394</v>
      </c>
      <c r="B729" s="34" t="s">
        <v>258</v>
      </c>
      <c r="C729" s="40" t="s">
        <v>139</v>
      </c>
      <c r="D729" s="34" t="s">
        <v>139</v>
      </c>
      <c r="E729" s="262">
        <v>0.255</v>
      </c>
      <c r="F729" s="34">
        <v>2</v>
      </c>
      <c r="G729" s="40" t="s">
        <v>381</v>
      </c>
      <c r="H729" s="29">
        <v>1</v>
      </c>
      <c r="I729" s="9">
        <v>2</v>
      </c>
      <c r="J729" s="9">
        <v>3</v>
      </c>
      <c r="K729" s="9">
        <v>1</v>
      </c>
      <c r="L729" s="9">
        <v>2</v>
      </c>
      <c r="M729" s="9">
        <v>1</v>
      </c>
      <c r="N729" s="185">
        <f t="shared" si="49"/>
        <v>0.37356464144298934</v>
      </c>
      <c r="O729" s="159">
        <f t="shared" si="50"/>
        <v>0.38795788889711297</v>
      </c>
      <c r="P729" s="838"/>
    </row>
    <row r="730" spans="1:16">
      <c r="A730" s="151" t="s">
        <v>394</v>
      </c>
      <c r="B730" s="34" t="s">
        <v>232</v>
      </c>
      <c r="C730" s="40" t="s">
        <v>139</v>
      </c>
      <c r="D730" s="34" t="s">
        <v>139</v>
      </c>
      <c r="E730" s="262">
        <f>0.526*0.66</f>
        <v>0.34716000000000002</v>
      </c>
      <c r="F730" s="34">
        <v>2</v>
      </c>
      <c r="G730" s="40" t="s">
        <v>381</v>
      </c>
      <c r="H730" s="29">
        <v>1</v>
      </c>
      <c r="I730" s="9">
        <v>2</v>
      </c>
      <c r="J730" s="9">
        <v>3</v>
      </c>
      <c r="K730" s="9">
        <v>1</v>
      </c>
      <c r="L730" s="9">
        <v>2</v>
      </c>
      <c r="M730" s="9">
        <v>1</v>
      </c>
      <c r="N730" s="185">
        <f t="shared" si="49"/>
        <v>0.37356464144298934</v>
      </c>
      <c r="O730" s="159">
        <f t="shared" si="50"/>
        <v>0.38795788889711297</v>
      </c>
      <c r="P730" s="838"/>
    </row>
    <row r="731" spans="1:16">
      <c r="A731" s="151" t="s">
        <v>395</v>
      </c>
      <c r="B731" s="34" t="s">
        <v>301</v>
      </c>
      <c r="C731" s="40" t="s">
        <v>139</v>
      </c>
      <c r="D731" s="34" t="s">
        <v>139</v>
      </c>
      <c r="E731" s="262">
        <v>0.01</v>
      </c>
      <c r="F731" s="34">
        <v>2</v>
      </c>
      <c r="G731" s="40" t="s">
        <v>302</v>
      </c>
      <c r="H731" s="29">
        <v>2</v>
      </c>
      <c r="I731" s="9">
        <v>2</v>
      </c>
      <c r="J731" s="9">
        <v>2</v>
      </c>
      <c r="K731" s="9">
        <v>2</v>
      </c>
      <c r="L731" s="9">
        <v>1</v>
      </c>
      <c r="M731" s="9">
        <v>1</v>
      </c>
      <c r="N731" s="185">
        <f t="shared" si="49"/>
        <v>0.2249354160293616</v>
      </c>
      <c r="O731" s="159">
        <f t="shared" si="50"/>
        <v>0.2249354160293616</v>
      </c>
      <c r="P731" s="838"/>
    </row>
    <row r="732" spans="1:16">
      <c r="A732" s="151" t="s">
        <v>326</v>
      </c>
      <c r="B732" s="34" t="s">
        <v>265</v>
      </c>
      <c r="C732" s="40" t="s">
        <v>139</v>
      </c>
      <c r="D732" s="34" t="s">
        <v>139</v>
      </c>
      <c r="E732" s="257">
        <v>1.0200000000000001E-3</v>
      </c>
      <c r="F732" s="232">
        <v>2</v>
      </c>
      <c r="G732" s="40" t="s">
        <v>344</v>
      </c>
      <c r="H732" s="29">
        <v>2</v>
      </c>
      <c r="I732" s="9"/>
      <c r="J732" s="9">
        <v>3</v>
      </c>
      <c r="K732" s="9">
        <v>3</v>
      </c>
      <c r="L732" s="9">
        <v>3</v>
      </c>
      <c r="M732" s="9">
        <v>2</v>
      </c>
      <c r="N732" s="185">
        <f t="shared" si="49"/>
        <v>0.67913051197703389</v>
      </c>
      <c r="O732" s="159" t="str">
        <f t="shared" si="50"/>
        <v/>
      </c>
      <c r="P732" s="63" t="s">
        <v>345</v>
      </c>
    </row>
    <row r="733" spans="1:16">
      <c r="A733" s="151" t="s">
        <v>396</v>
      </c>
      <c r="B733" s="34" t="s">
        <v>269</v>
      </c>
      <c r="C733" s="40" t="s">
        <v>139</v>
      </c>
      <c r="D733" s="34" t="s">
        <v>139</v>
      </c>
      <c r="E733" s="851">
        <v>0.51183800000000002</v>
      </c>
      <c r="F733" s="34">
        <v>2</v>
      </c>
      <c r="G733" s="40" t="s">
        <v>397</v>
      </c>
      <c r="H733" s="29">
        <v>1</v>
      </c>
      <c r="I733" s="9">
        <v>1</v>
      </c>
      <c r="J733" s="9">
        <v>1</v>
      </c>
      <c r="K733" s="9">
        <v>1</v>
      </c>
      <c r="L733" s="9">
        <v>1</v>
      </c>
      <c r="M733" s="9">
        <v>1</v>
      </c>
      <c r="N733" s="185">
        <f t="shared" si="49"/>
        <v>0.13309242924026707</v>
      </c>
      <c r="O733" s="159">
        <f t="shared" si="50"/>
        <v>0.13309242924026707</v>
      </c>
      <c r="P733" s="838"/>
    </row>
    <row r="734" spans="1:16">
      <c r="A734" s="151" t="s">
        <v>396</v>
      </c>
      <c r="B734" s="34" t="s">
        <v>395</v>
      </c>
      <c r="C734" s="40" t="s">
        <v>139</v>
      </c>
      <c r="D734" s="34" t="s">
        <v>139</v>
      </c>
      <c r="E734" s="851">
        <v>0.23042099999999999</v>
      </c>
      <c r="F734" s="34">
        <v>1</v>
      </c>
      <c r="G734" s="40" t="s">
        <v>397</v>
      </c>
      <c r="H734" s="29">
        <v>1</v>
      </c>
      <c r="I734" s="9">
        <v>1</v>
      </c>
      <c r="J734" s="9">
        <v>1</v>
      </c>
      <c r="K734" s="9">
        <v>1</v>
      </c>
      <c r="L734" s="9">
        <v>1</v>
      </c>
      <c r="M734" s="9">
        <v>1</v>
      </c>
      <c r="N734" s="185">
        <f t="shared" si="49"/>
        <v>0.13309242924026707</v>
      </c>
      <c r="O734" s="159">
        <f t="shared" si="50"/>
        <v>0.13309242924026707</v>
      </c>
      <c r="P734" s="838"/>
    </row>
    <row r="735" spans="1:16">
      <c r="A735" s="151" t="s">
        <v>395</v>
      </c>
      <c r="B735" s="34" t="s">
        <v>301</v>
      </c>
      <c r="C735" s="40" t="s">
        <v>139</v>
      </c>
      <c r="D735" s="34" t="s">
        <v>139</v>
      </c>
      <c r="E735" s="262">
        <v>0.02</v>
      </c>
      <c r="F735" s="34">
        <v>2</v>
      </c>
      <c r="G735" s="40" t="s">
        <v>302</v>
      </c>
      <c r="H735" s="29">
        <v>2</v>
      </c>
      <c r="I735" s="9">
        <v>2</v>
      </c>
      <c r="J735" s="9">
        <v>2</v>
      </c>
      <c r="K735" s="9">
        <v>2</v>
      </c>
      <c r="L735" s="9">
        <v>1</v>
      </c>
      <c r="M735" s="9">
        <v>1</v>
      </c>
      <c r="N735" s="185">
        <f t="shared" si="49"/>
        <v>0.2249354160293616</v>
      </c>
      <c r="O735" s="159">
        <f t="shared" si="50"/>
        <v>0.2249354160293616</v>
      </c>
      <c r="P735" s="838"/>
    </row>
    <row r="736" spans="1:16">
      <c r="A736" s="151" t="s">
        <v>396</v>
      </c>
      <c r="B736" s="34" t="s">
        <v>398</v>
      </c>
      <c r="C736" s="40" t="s">
        <v>139</v>
      </c>
      <c r="D736" s="34" t="s">
        <v>139</v>
      </c>
      <c r="E736" s="851">
        <v>0.257741</v>
      </c>
      <c r="F736" s="34">
        <v>2</v>
      </c>
      <c r="G736" s="40" t="s">
        <v>397</v>
      </c>
      <c r="H736" s="29">
        <v>1</v>
      </c>
      <c r="I736" s="9">
        <v>1</v>
      </c>
      <c r="J736" s="9">
        <v>1</v>
      </c>
      <c r="K736" s="9">
        <v>1</v>
      </c>
      <c r="L736" s="9">
        <v>1</v>
      </c>
      <c r="M736" s="9">
        <v>1</v>
      </c>
      <c r="N736" s="185">
        <f t="shared" si="49"/>
        <v>0.13309242924026707</v>
      </c>
      <c r="O736" s="159">
        <f t="shared" si="50"/>
        <v>0.13309242924026707</v>
      </c>
      <c r="P736" s="838"/>
    </row>
    <row r="737" spans="1:16">
      <c r="A737" s="151" t="s">
        <v>395</v>
      </c>
      <c r="B737" s="34" t="s">
        <v>231</v>
      </c>
      <c r="C737" s="40" t="s">
        <v>139</v>
      </c>
      <c r="D737" s="34" t="s">
        <v>139</v>
      </c>
      <c r="E737" s="262">
        <v>0.05</v>
      </c>
      <c r="F737" s="34">
        <v>2</v>
      </c>
      <c r="G737" s="40" t="s">
        <v>276</v>
      </c>
      <c r="H737" s="29">
        <v>1</v>
      </c>
      <c r="I737" s="9">
        <v>2</v>
      </c>
      <c r="J737" s="9">
        <v>1</v>
      </c>
      <c r="K737" s="9">
        <v>1</v>
      </c>
      <c r="L737" s="9">
        <v>2</v>
      </c>
      <c r="M737" s="9">
        <v>3</v>
      </c>
      <c r="N737" s="185">
        <f t="shared" si="49"/>
        <v>1.0195048044558224</v>
      </c>
      <c r="O737" s="159">
        <f t="shared" si="50"/>
        <v>1.0248662490928169</v>
      </c>
      <c r="P737" s="838"/>
    </row>
    <row r="738" spans="1:16">
      <c r="A738" s="151" t="s">
        <v>395</v>
      </c>
      <c r="B738" s="34" t="s">
        <v>231</v>
      </c>
      <c r="C738" s="40" t="s">
        <v>139</v>
      </c>
      <c r="D738" s="34" t="s">
        <v>139</v>
      </c>
      <c r="E738" s="262">
        <v>0.1</v>
      </c>
      <c r="F738" s="34">
        <v>2</v>
      </c>
      <c r="G738" s="852" t="s">
        <v>277</v>
      </c>
      <c r="H738" s="29">
        <v>1</v>
      </c>
      <c r="I738" s="9">
        <v>2</v>
      </c>
      <c r="J738" s="9">
        <v>2</v>
      </c>
      <c r="K738" s="9">
        <v>1</v>
      </c>
      <c r="L738" s="9">
        <v>2</v>
      </c>
      <c r="M738" s="9">
        <v>3</v>
      </c>
      <c r="N738" s="185">
        <f t="shared" si="49"/>
        <v>1.0248662490928169</v>
      </c>
      <c r="O738" s="159">
        <f t="shared" si="50"/>
        <v>1.0301997916669636</v>
      </c>
      <c r="P738" s="838"/>
    </row>
    <row r="739" spans="1:16">
      <c r="A739" s="151" t="s">
        <v>121</v>
      </c>
      <c r="B739" s="34" t="s">
        <v>185</v>
      </c>
      <c r="C739" s="40" t="s">
        <v>139</v>
      </c>
      <c r="D739" s="34" t="s">
        <v>88</v>
      </c>
      <c r="E739" s="257">
        <v>0</v>
      </c>
      <c r="F739" s="232">
        <v>1</v>
      </c>
      <c r="G739" s="40"/>
      <c r="H739" s="29"/>
      <c r="I739" s="9"/>
      <c r="J739" s="9"/>
      <c r="K739" s="9"/>
      <c r="L739" s="9"/>
      <c r="M739" s="9"/>
      <c r="N739" s="185" t="str">
        <f t="shared" si="49"/>
        <v/>
      </c>
      <c r="O739" s="159" t="str">
        <f t="shared" si="50"/>
        <v/>
      </c>
      <c r="P739" s="63"/>
    </row>
    <row r="740" spans="1:16">
      <c r="A740" s="151" t="s">
        <v>121</v>
      </c>
      <c r="B740" s="34" t="s">
        <v>185</v>
      </c>
      <c r="C740" s="40" t="s">
        <v>139</v>
      </c>
      <c r="D740" s="34" t="s">
        <v>89</v>
      </c>
      <c r="E740" s="257">
        <v>0</v>
      </c>
      <c r="F740" s="232">
        <v>1</v>
      </c>
      <c r="G740" s="40"/>
      <c r="H740" s="29"/>
      <c r="I740" s="9"/>
      <c r="J740" s="9"/>
      <c r="K740" s="9"/>
      <c r="L740" s="9"/>
      <c r="M740" s="9"/>
      <c r="N740" s="185" t="str">
        <f t="shared" si="49"/>
        <v/>
      </c>
      <c r="O740" s="159" t="str">
        <f t="shared" si="50"/>
        <v/>
      </c>
      <c r="P740" s="63"/>
    </row>
    <row r="741" spans="1:16">
      <c r="A741" s="151" t="s">
        <v>121</v>
      </c>
      <c r="B741" s="34" t="s">
        <v>185</v>
      </c>
      <c r="C741" s="40" t="s">
        <v>139</v>
      </c>
      <c r="D741" s="34" t="s">
        <v>90</v>
      </c>
      <c r="E741" s="257">
        <v>0</v>
      </c>
      <c r="F741" s="232">
        <v>1</v>
      </c>
      <c r="G741" s="40"/>
      <c r="H741" s="29"/>
      <c r="I741" s="9"/>
      <c r="J741" s="9"/>
      <c r="K741" s="9"/>
      <c r="L741" s="9"/>
      <c r="M741" s="9"/>
      <c r="N741" s="185" t="str">
        <f t="shared" si="49"/>
        <v/>
      </c>
      <c r="O741" s="159" t="str">
        <f t="shared" si="50"/>
        <v/>
      </c>
      <c r="P741" s="63"/>
    </row>
    <row r="742" spans="1:16">
      <c r="A742" s="151" t="s">
        <v>121</v>
      </c>
      <c r="B742" s="34" t="s">
        <v>185</v>
      </c>
      <c r="C742" s="40" t="s">
        <v>139</v>
      </c>
      <c r="D742" s="34" t="s">
        <v>91</v>
      </c>
      <c r="E742" s="257">
        <v>6.387687825104362E-3</v>
      </c>
      <c r="F742" s="232">
        <v>1</v>
      </c>
      <c r="G742" s="40"/>
      <c r="H742" s="29">
        <v>2</v>
      </c>
      <c r="I742" s="9">
        <v>2</v>
      </c>
      <c r="J742" s="9">
        <v>2</v>
      </c>
      <c r="K742" s="9">
        <v>2</v>
      </c>
      <c r="L742" s="9">
        <v>1</v>
      </c>
      <c r="M742" s="9">
        <v>2</v>
      </c>
      <c r="N742" s="185">
        <f t="shared" si="49"/>
        <v>0.38795788889711302</v>
      </c>
      <c r="O742" s="159">
        <f t="shared" si="50"/>
        <v>0.38795788889711302</v>
      </c>
      <c r="P742" s="63"/>
    </row>
    <row r="743" spans="1:16">
      <c r="A743" s="151" t="s">
        <v>121</v>
      </c>
      <c r="B743" s="34" t="s">
        <v>185</v>
      </c>
      <c r="C743" s="40" t="s">
        <v>139</v>
      </c>
      <c r="D743" s="34" t="s">
        <v>95</v>
      </c>
      <c r="E743" s="257">
        <v>9.8377066062213417E-4</v>
      </c>
      <c r="F743" s="232">
        <v>1</v>
      </c>
      <c r="G743" s="40"/>
      <c r="H743" s="29">
        <v>2</v>
      </c>
      <c r="I743" s="9">
        <v>2</v>
      </c>
      <c r="J743" s="9">
        <v>2</v>
      </c>
      <c r="K743" s="9">
        <v>2</v>
      </c>
      <c r="L743" s="9">
        <v>1</v>
      </c>
      <c r="M743" s="9">
        <v>2</v>
      </c>
      <c r="N743" s="185">
        <f t="shared" si="49"/>
        <v>0.38795788889711302</v>
      </c>
      <c r="O743" s="159">
        <f t="shared" si="50"/>
        <v>0.38795788889711302</v>
      </c>
      <c r="P743" s="63"/>
    </row>
    <row r="744" spans="1:16">
      <c r="A744" s="151" t="s">
        <v>121</v>
      </c>
      <c r="B744" s="34" t="s">
        <v>185</v>
      </c>
      <c r="C744" s="40" t="s">
        <v>139</v>
      </c>
      <c r="D744" s="34" t="s">
        <v>99</v>
      </c>
      <c r="E744" s="257">
        <v>0</v>
      </c>
      <c r="F744" s="232">
        <v>1</v>
      </c>
      <c r="G744" s="40"/>
      <c r="H744" s="29"/>
      <c r="I744" s="9"/>
      <c r="J744" s="9"/>
      <c r="K744" s="9"/>
      <c r="L744" s="9"/>
      <c r="M744" s="9"/>
      <c r="N744" s="185" t="str">
        <f t="shared" si="49"/>
        <v/>
      </c>
      <c r="O744" s="159" t="str">
        <f t="shared" si="50"/>
        <v/>
      </c>
      <c r="P744" s="63"/>
    </row>
    <row r="745" spans="1:16">
      <c r="A745" s="151" t="s">
        <v>121</v>
      </c>
      <c r="B745" s="34" t="s">
        <v>346</v>
      </c>
      <c r="C745" s="40" t="s">
        <v>139</v>
      </c>
      <c r="D745" s="34" t="s">
        <v>85</v>
      </c>
      <c r="E745" s="257">
        <v>0</v>
      </c>
      <c r="F745" s="232">
        <v>1</v>
      </c>
      <c r="G745" s="40"/>
      <c r="H745" s="29"/>
      <c r="I745" s="9"/>
      <c r="J745" s="9"/>
      <c r="K745" s="9"/>
      <c r="L745" s="9"/>
      <c r="M745" s="9"/>
      <c r="N745" s="185" t="str">
        <f t="shared" si="49"/>
        <v/>
      </c>
      <c r="O745" s="159" t="str">
        <f t="shared" si="50"/>
        <v/>
      </c>
      <c r="P745" s="63"/>
    </row>
    <row r="746" spans="1:16">
      <c r="A746" s="151" t="s">
        <v>121</v>
      </c>
      <c r="B746" s="34" t="s">
        <v>346</v>
      </c>
      <c r="C746" s="40" t="s">
        <v>139</v>
      </c>
      <c r="D746" s="34" t="s">
        <v>86</v>
      </c>
      <c r="E746" s="257">
        <v>0</v>
      </c>
      <c r="F746" s="232">
        <v>1</v>
      </c>
      <c r="G746" s="40"/>
      <c r="H746" s="29"/>
      <c r="I746" s="9"/>
      <c r="J746" s="9"/>
      <c r="K746" s="9"/>
      <c r="L746" s="9"/>
      <c r="M746" s="9"/>
      <c r="N746" s="185" t="str">
        <f t="shared" si="49"/>
        <v/>
      </c>
      <c r="O746" s="159" t="str">
        <f t="shared" si="50"/>
        <v/>
      </c>
      <c r="P746" s="63"/>
    </row>
    <row r="747" spans="1:16">
      <c r="A747" s="151" t="s">
        <v>121</v>
      </c>
      <c r="B747" s="34" t="s">
        <v>346</v>
      </c>
      <c r="C747" s="40" t="s">
        <v>139</v>
      </c>
      <c r="D747" s="34" t="s">
        <v>87</v>
      </c>
      <c r="E747" s="257">
        <v>0.15197638649335868</v>
      </c>
      <c r="F747" s="232">
        <v>1</v>
      </c>
      <c r="G747" s="40"/>
      <c r="H747" s="29">
        <v>2</v>
      </c>
      <c r="I747" s="9">
        <v>2</v>
      </c>
      <c r="J747" s="9">
        <v>2</v>
      </c>
      <c r="K747" s="9">
        <v>2</v>
      </c>
      <c r="L747" s="9">
        <v>1</v>
      </c>
      <c r="M747" s="9">
        <v>2</v>
      </c>
      <c r="N747" s="185">
        <f t="shared" si="49"/>
        <v>0.38795788889711302</v>
      </c>
      <c r="O747" s="159">
        <f t="shared" si="50"/>
        <v>0.38795788889711302</v>
      </c>
      <c r="P747" s="63"/>
    </row>
    <row r="748" spans="1:16">
      <c r="A748" s="151" t="s">
        <v>256</v>
      </c>
      <c r="B748" s="34" t="s">
        <v>267</v>
      </c>
      <c r="C748" s="40" t="s">
        <v>182</v>
      </c>
      <c r="D748" s="69" t="s">
        <v>88</v>
      </c>
      <c r="E748" s="848">
        <v>0.16331787738279241</v>
      </c>
      <c r="F748" s="34">
        <v>1</v>
      </c>
      <c r="G748" s="339" t="s">
        <v>126</v>
      </c>
      <c r="H748" s="29"/>
      <c r="I748" s="9">
        <v>1</v>
      </c>
      <c r="J748" s="9">
        <v>1</v>
      </c>
      <c r="K748" s="9">
        <v>1</v>
      </c>
      <c r="L748" s="9">
        <v>2</v>
      </c>
      <c r="M748" s="9">
        <v>2</v>
      </c>
      <c r="N748" s="185" t="str">
        <f t="shared" si="49"/>
        <v/>
      </c>
      <c r="O748" s="159">
        <f t="shared" si="50"/>
        <v>0.35859414261160716</v>
      </c>
      <c r="P748" s="63"/>
    </row>
    <row r="749" spans="1:16">
      <c r="A749" s="151" t="s">
        <v>283</v>
      </c>
      <c r="B749" s="34" t="s">
        <v>251</v>
      </c>
      <c r="C749" s="40" t="s">
        <v>139</v>
      </c>
      <c r="D749" s="34" t="s">
        <v>139</v>
      </c>
      <c r="E749" s="848">
        <f>(1-0.004)*0.04/100</f>
        <v>3.9839999999999998E-4</v>
      </c>
      <c r="F749" s="232">
        <v>2</v>
      </c>
      <c r="G749" s="515" t="s">
        <v>1995</v>
      </c>
      <c r="H749" s="29">
        <v>2</v>
      </c>
      <c r="I749" s="9">
        <v>1</v>
      </c>
      <c r="J749" s="9">
        <v>2</v>
      </c>
      <c r="K749" s="9">
        <v>3</v>
      </c>
      <c r="L749" s="9">
        <v>3</v>
      </c>
      <c r="M749" s="9">
        <v>1</v>
      </c>
      <c r="N749" s="185">
        <f t="shared" si="49"/>
        <v>0.51126068492676302</v>
      </c>
      <c r="O749" s="159">
        <f t="shared" si="50"/>
        <v>0.50042652380814845</v>
      </c>
      <c r="P749" s="63"/>
    </row>
    <row r="750" spans="1:16">
      <c r="A750" s="151" t="s">
        <v>283</v>
      </c>
      <c r="B750" s="34" t="s">
        <v>248</v>
      </c>
      <c r="C750" s="40" t="s">
        <v>139</v>
      </c>
      <c r="D750" s="34" t="s">
        <v>139</v>
      </c>
      <c r="E750" s="257" t="s">
        <v>150</v>
      </c>
      <c r="F750" s="232">
        <v>1</v>
      </c>
      <c r="G750" s="40"/>
      <c r="H750" s="29"/>
      <c r="I750" s="9"/>
      <c r="J750" s="9"/>
      <c r="K750" s="9"/>
      <c r="L750" s="9"/>
      <c r="M750" s="9"/>
      <c r="N750" s="185" t="str">
        <f t="shared" si="49"/>
        <v/>
      </c>
      <c r="O750" s="159" t="str">
        <f t="shared" si="50"/>
        <v/>
      </c>
      <c r="P750" s="63"/>
    </row>
    <row r="751" spans="1:16">
      <c r="A751" s="151" t="s">
        <v>385</v>
      </c>
      <c r="B751" s="34" t="s">
        <v>400</v>
      </c>
      <c r="C751" s="40" t="s">
        <v>139</v>
      </c>
      <c r="D751" s="34" t="s">
        <v>139</v>
      </c>
      <c r="E751" s="257" t="s">
        <v>150</v>
      </c>
      <c r="F751" s="232">
        <v>1</v>
      </c>
      <c r="G751" s="40"/>
      <c r="H751" s="29"/>
      <c r="I751" s="9"/>
      <c r="J751" s="9"/>
      <c r="K751" s="9"/>
      <c r="L751" s="9"/>
      <c r="M751" s="9"/>
      <c r="N751" s="185" t="str">
        <f t="shared" si="49"/>
        <v/>
      </c>
      <c r="O751" s="159" t="str">
        <f t="shared" si="50"/>
        <v/>
      </c>
      <c r="P751" s="63" t="s">
        <v>401</v>
      </c>
    </row>
    <row r="752" spans="1:16">
      <c r="A752" s="151" t="s">
        <v>37</v>
      </c>
      <c r="B752" s="34" t="s">
        <v>161</v>
      </c>
      <c r="C752" s="40" t="s">
        <v>139</v>
      </c>
      <c r="D752" s="34" t="s">
        <v>85</v>
      </c>
      <c r="E752" s="257">
        <f>Intentionally_produced_MPs!L127</f>
        <v>5.5555555555555546E-2</v>
      </c>
      <c r="F752" s="232">
        <v>1</v>
      </c>
      <c r="G752" s="40"/>
      <c r="H752" s="29">
        <v>3</v>
      </c>
      <c r="I752" s="9">
        <v>2</v>
      </c>
      <c r="J752" s="9">
        <v>3</v>
      </c>
      <c r="K752" s="9">
        <v>3</v>
      </c>
      <c r="L752" s="9">
        <v>3</v>
      </c>
      <c r="M752" s="9">
        <v>3</v>
      </c>
      <c r="N752" s="185">
        <f t="shared" si="49"/>
        <v>1.2132328390150593</v>
      </c>
      <c r="O752" s="159">
        <f t="shared" si="50"/>
        <v>1.1713319510247036</v>
      </c>
      <c r="P752" s="63"/>
    </row>
    <row r="753" spans="1:16">
      <c r="A753" s="151" t="s">
        <v>37</v>
      </c>
      <c r="B753" s="34" t="s">
        <v>161</v>
      </c>
      <c r="C753" s="40" t="s">
        <v>139</v>
      </c>
      <c r="D753" s="34" t="s">
        <v>86</v>
      </c>
      <c r="E753" s="257">
        <f>Intentionally_produced_MPs!L128</f>
        <v>8.8868167073346722E-3</v>
      </c>
      <c r="F753" s="232">
        <v>1</v>
      </c>
      <c r="G753" s="40"/>
      <c r="H753" s="29">
        <v>3</v>
      </c>
      <c r="I753" s="9">
        <v>2</v>
      </c>
      <c r="J753" s="9">
        <v>3</v>
      </c>
      <c r="K753" s="9">
        <v>3</v>
      </c>
      <c r="L753" s="9">
        <v>3</v>
      </c>
      <c r="M753" s="9">
        <v>3</v>
      </c>
      <c r="N753" s="185">
        <f t="shared" si="49"/>
        <v>1.2132328390150593</v>
      </c>
      <c r="O753" s="159">
        <f t="shared" si="50"/>
        <v>1.1713319510247036</v>
      </c>
      <c r="P753" s="63"/>
    </row>
    <row r="754" spans="1:16">
      <c r="A754" s="151" t="s">
        <v>37</v>
      </c>
      <c r="B754" s="34" t="s">
        <v>161</v>
      </c>
      <c r="C754" s="40" t="s">
        <v>139</v>
      </c>
      <c r="D754" s="34" t="s">
        <v>87</v>
      </c>
      <c r="E754" s="257">
        <f>Intentionally_produced_MPs!L129</f>
        <v>0</v>
      </c>
      <c r="F754" s="232">
        <v>1</v>
      </c>
      <c r="G754" s="40"/>
      <c r="H754" s="29"/>
      <c r="I754" s="9"/>
      <c r="J754" s="9"/>
      <c r="K754" s="9"/>
      <c r="L754" s="9"/>
      <c r="M754" s="9"/>
      <c r="N754" s="185" t="str">
        <f t="shared" si="49"/>
        <v/>
      </c>
      <c r="O754" s="159" t="str">
        <f t="shared" si="50"/>
        <v/>
      </c>
      <c r="P754" s="63"/>
    </row>
    <row r="755" spans="1:16">
      <c r="A755" s="151" t="s">
        <v>37</v>
      </c>
      <c r="B755" s="34" t="s">
        <v>161</v>
      </c>
      <c r="C755" s="40" t="s">
        <v>139</v>
      </c>
      <c r="D755" s="34" t="s">
        <v>88</v>
      </c>
      <c r="E755" s="257">
        <f>Intentionally_produced_MPs!L130</f>
        <v>0</v>
      </c>
      <c r="F755" s="232">
        <v>1</v>
      </c>
      <c r="G755" s="40"/>
      <c r="H755" s="29"/>
      <c r="I755" s="9"/>
      <c r="J755" s="9"/>
      <c r="K755" s="9"/>
      <c r="L755" s="9"/>
      <c r="M755" s="9"/>
      <c r="N755" s="185" t="str">
        <f t="shared" si="49"/>
        <v/>
      </c>
      <c r="O755" s="159" t="str">
        <f t="shared" si="50"/>
        <v/>
      </c>
      <c r="P755" s="63"/>
    </row>
    <row r="756" spans="1:16">
      <c r="A756" s="151" t="s">
        <v>37</v>
      </c>
      <c r="B756" s="34" t="s">
        <v>161</v>
      </c>
      <c r="C756" s="40" t="s">
        <v>139</v>
      </c>
      <c r="D756" s="34" t="s">
        <v>89</v>
      </c>
      <c r="E756" s="257">
        <f>Intentionally_produced_MPs!L131</f>
        <v>0</v>
      </c>
      <c r="F756" s="232">
        <v>1</v>
      </c>
      <c r="G756" s="40"/>
      <c r="H756" s="29"/>
      <c r="I756" s="9"/>
      <c r="J756" s="9"/>
      <c r="K756" s="9"/>
      <c r="L756" s="9"/>
      <c r="M756" s="9"/>
      <c r="N756" s="185" t="str">
        <f t="shared" si="49"/>
        <v/>
      </c>
      <c r="O756" s="159" t="str">
        <f t="shared" si="50"/>
        <v/>
      </c>
      <c r="P756" s="63"/>
    </row>
    <row r="757" spans="1:16">
      <c r="A757" s="151" t="s">
        <v>37</v>
      </c>
      <c r="B757" s="34" t="s">
        <v>161</v>
      </c>
      <c r="C757" s="40" t="s">
        <v>139</v>
      </c>
      <c r="D757" s="34" t="s">
        <v>90</v>
      </c>
      <c r="E757" s="257">
        <f>Intentionally_produced_MPs!L132</f>
        <v>5.5555555555555546E-2</v>
      </c>
      <c r="F757" s="232">
        <v>1</v>
      </c>
      <c r="G757" s="40"/>
      <c r="H757" s="29">
        <v>3</v>
      </c>
      <c r="I757" s="9">
        <v>2</v>
      </c>
      <c r="J757" s="9">
        <v>3</v>
      </c>
      <c r="K757" s="9">
        <v>3</v>
      </c>
      <c r="L757" s="9">
        <v>3</v>
      </c>
      <c r="M757" s="9">
        <v>3</v>
      </c>
      <c r="N757" s="185">
        <f t="shared" si="49"/>
        <v>1.2132328390150593</v>
      </c>
      <c r="O757" s="159">
        <f t="shared" si="50"/>
        <v>1.1713319510247036</v>
      </c>
      <c r="P757" s="63"/>
    </row>
    <row r="758" spans="1:16">
      <c r="A758" s="151" t="s">
        <v>37</v>
      </c>
      <c r="B758" s="34" t="s">
        <v>161</v>
      </c>
      <c r="C758" s="40" t="s">
        <v>139</v>
      </c>
      <c r="D758" s="34" t="s">
        <v>91</v>
      </c>
      <c r="E758" s="257">
        <f>Intentionally_produced_MPs!L133</f>
        <v>0.1555597303733175</v>
      </c>
      <c r="F758" s="232">
        <v>1</v>
      </c>
      <c r="G758" s="40"/>
      <c r="H758" s="29">
        <v>3</v>
      </c>
      <c r="I758" s="9">
        <v>2</v>
      </c>
      <c r="J758" s="9">
        <v>3</v>
      </c>
      <c r="K758" s="9">
        <v>3</v>
      </c>
      <c r="L758" s="9">
        <v>3</v>
      </c>
      <c r="M758" s="9">
        <v>3</v>
      </c>
      <c r="N758" s="185">
        <f t="shared" si="49"/>
        <v>1.2132328390150593</v>
      </c>
      <c r="O758" s="159">
        <f t="shared" si="50"/>
        <v>1.1713319510247036</v>
      </c>
      <c r="P758" s="63"/>
    </row>
    <row r="759" spans="1:16">
      <c r="A759" s="151" t="s">
        <v>37</v>
      </c>
      <c r="B759" s="34" t="s">
        <v>161</v>
      </c>
      <c r="C759" s="40" t="s">
        <v>139</v>
      </c>
      <c r="D759" s="34" t="s">
        <v>92</v>
      </c>
      <c r="E759" s="257">
        <f>Intentionally_produced_MPs!L134</f>
        <v>0</v>
      </c>
      <c r="F759" s="232">
        <v>1</v>
      </c>
      <c r="G759" s="40"/>
      <c r="H759" s="29"/>
      <c r="I759" s="9"/>
      <c r="J759" s="9"/>
      <c r="K759" s="9"/>
      <c r="L759" s="9"/>
      <c r="M759" s="9"/>
      <c r="N759" s="185" t="str">
        <f t="shared" si="49"/>
        <v/>
      </c>
      <c r="O759" s="159" t="str">
        <f t="shared" si="50"/>
        <v/>
      </c>
      <c r="P759" s="63"/>
    </row>
    <row r="760" spans="1:16">
      <c r="A760" s="151" t="s">
        <v>37</v>
      </c>
      <c r="B760" s="34" t="s">
        <v>161</v>
      </c>
      <c r="C760" s="40" t="s">
        <v>139</v>
      </c>
      <c r="D760" s="34" t="s">
        <v>93</v>
      </c>
      <c r="E760" s="257">
        <f>Intentionally_produced_MPs!L135</f>
        <v>4.7372437949387489E-3</v>
      </c>
      <c r="F760" s="232">
        <v>1</v>
      </c>
      <c r="G760" s="40"/>
      <c r="H760" s="29">
        <v>3</v>
      </c>
      <c r="I760" s="9">
        <v>2</v>
      </c>
      <c r="J760" s="9">
        <v>3</v>
      </c>
      <c r="K760" s="9">
        <v>3</v>
      </c>
      <c r="L760" s="9">
        <v>3</v>
      </c>
      <c r="M760" s="9">
        <v>3</v>
      </c>
      <c r="N760" s="185">
        <f t="shared" si="49"/>
        <v>1.2132328390150593</v>
      </c>
      <c r="O760" s="159">
        <f t="shared" si="50"/>
        <v>1.1713319510247036</v>
      </c>
      <c r="P760" s="63"/>
    </row>
    <row r="761" spans="1:16">
      <c r="A761" s="151" t="s">
        <v>37</v>
      </c>
      <c r="B761" s="34" t="s">
        <v>161</v>
      </c>
      <c r="C761" s="40" t="s">
        <v>139</v>
      </c>
      <c r="D761" s="34" t="s">
        <v>94</v>
      </c>
      <c r="E761" s="257">
        <f>Intentionally_produced_MPs!L136</f>
        <v>0</v>
      </c>
      <c r="F761" s="232">
        <v>1</v>
      </c>
      <c r="G761" s="40"/>
      <c r="H761" s="29"/>
      <c r="I761" s="9"/>
      <c r="J761" s="9"/>
      <c r="K761" s="9"/>
      <c r="L761" s="9"/>
      <c r="M761" s="9"/>
      <c r="N761" s="185" t="str">
        <f t="shared" si="49"/>
        <v/>
      </c>
      <c r="O761" s="159" t="str">
        <f t="shared" si="50"/>
        <v/>
      </c>
      <c r="P761" s="63"/>
    </row>
    <row r="762" spans="1:16">
      <c r="A762" s="151" t="s">
        <v>37</v>
      </c>
      <c r="B762" s="34" t="s">
        <v>161</v>
      </c>
      <c r="C762" s="40" t="s">
        <v>139</v>
      </c>
      <c r="D762" s="34" t="s">
        <v>95</v>
      </c>
      <c r="E762" s="257">
        <f>Intentionally_produced_MPs!L137</f>
        <v>4.4333947817568178E-2</v>
      </c>
      <c r="F762" s="232">
        <v>1</v>
      </c>
      <c r="G762" s="40"/>
      <c r="H762" s="29">
        <v>3</v>
      </c>
      <c r="I762" s="9">
        <v>2</v>
      </c>
      <c r="J762" s="9">
        <v>3</v>
      </c>
      <c r="K762" s="9">
        <v>3</v>
      </c>
      <c r="L762" s="9">
        <v>3</v>
      </c>
      <c r="M762" s="9">
        <v>3</v>
      </c>
      <c r="N762" s="185">
        <f t="shared" si="49"/>
        <v>1.2132328390150593</v>
      </c>
      <c r="O762" s="159">
        <f t="shared" si="50"/>
        <v>1.1713319510247036</v>
      </c>
      <c r="P762" s="63"/>
    </row>
    <row r="763" spans="1:16">
      <c r="A763" s="151" t="s">
        <v>37</v>
      </c>
      <c r="B763" s="34" t="s">
        <v>161</v>
      </c>
      <c r="C763" s="40" t="s">
        <v>139</v>
      </c>
      <c r="D763" s="34" t="s">
        <v>96</v>
      </c>
      <c r="E763" s="257">
        <f>Intentionally_produced_MPs!L138</f>
        <v>0</v>
      </c>
      <c r="F763" s="232">
        <v>1</v>
      </c>
      <c r="G763" s="40"/>
      <c r="H763" s="29"/>
      <c r="I763" s="9"/>
      <c r="J763" s="9"/>
      <c r="K763" s="9"/>
      <c r="L763" s="9"/>
      <c r="M763" s="9"/>
      <c r="N763" s="185" t="str">
        <f t="shared" si="49"/>
        <v/>
      </c>
      <c r="O763" s="159" t="str">
        <f t="shared" si="50"/>
        <v/>
      </c>
      <c r="P763" s="63"/>
    </row>
    <row r="764" spans="1:16">
      <c r="A764" s="151" t="s">
        <v>37</v>
      </c>
      <c r="B764" s="34" t="s">
        <v>161</v>
      </c>
      <c r="C764" s="40" t="s">
        <v>139</v>
      </c>
      <c r="D764" s="34" t="s">
        <v>97</v>
      </c>
      <c r="E764" s="257">
        <f>Intentionally_produced_MPs!L139</f>
        <v>4.4586330230196494E-2</v>
      </c>
      <c r="F764" s="232">
        <v>1</v>
      </c>
      <c r="G764" s="40"/>
      <c r="H764" s="29">
        <v>3</v>
      </c>
      <c r="I764" s="9">
        <v>2</v>
      </c>
      <c r="J764" s="9">
        <v>3</v>
      </c>
      <c r="K764" s="9">
        <v>3</v>
      </c>
      <c r="L764" s="9">
        <v>3</v>
      </c>
      <c r="M764" s="9">
        <v>3</v>
      </c>
      <c r="N764" s="185">
        <f t="shared" si="49"/>
        <v>1.2132328390150593</v>
      </c>
      <c r="O764" s="159">
        <f t="shared" si="50"/>
        <v>1.1713319510247036</v>
      </c>
      <c r="P764" s="63"/>
    </row>
    <row r="765" spans="1:16">
      <c r="A765" s="151" t="s">
        <v>37</v>
      </c>
      <c r="B765" s="34" t="s">
        <v>161</v>
      </c>
      <c r="C765" s="40" t="s">
        <v>139</v>
      </c>
      <c r="D765" s="34" t="s">
        <v>98</v>
      </c>
      <c r="E765" s="257">
        <f>Intentionally_produced_MPs!L140</f>
        <v>6.8330054573633985E-3</v>
      </c>
      <c r="F765" s="232">
        <v>1</v>
      </c>
      <c r="G765" s="40"/>
      <c r="H765" s="29">
        <v>3</v>
      </c>
      <c r="I765" s="9">
        <v>2</v>
      </c>
      <c r="J765" s="9">
        <v>3</v>
      </c>
      <c r="K765" s="9">
        <v>3</v>
      </c>
      <c r="L765" s="9">
        <v>3</v>
      </c>
      <c r="M765" s="9">
        <v>3</v>
      </c>
      <c r="N765" s="185">
        <f t="shared" si="49"/>
        <v>1.2132328390150593</v>
      </c>
      <c r="O765" s="159">
        <f t="shared" si="50"/>
        <v>1.1713319510247036</v>
      </c>
      <c r="P765" s="63"/>
    </row>
    <row r="766" spans="1:16">
      <c r="A766" s="151" t="s">
        <v>364</v>
      </c>
      <c r="B766" s="34" t="s">
        <v>284</v>
      </c>
      <c r="C766" s="40" t="s">
        <v>139</v>
      </c>
      <c r="D766" s="34" t="s">
        <v>139</v>
      </c>
      <c r="E766" s="257">
        <v>1</v>
      </c>
      <c r="F766" s="232">
        <v>2</v>
      </c>
      <c r="G766" s="40" t="s">
        <v>157</v>
      </c>
      <c r="H766" s="29"/>
      <c r="I766" s="9"/>
      <c r="J766" s="9"/>
      <c r="K766" s="9"/>
      <c r="L766" s="9"/>
      <c r="M766" s="9"/>
      <c r="N766" s="185" t="str">
        <f t="shared" si="49"/>
        <v/>
      </c>
      <c r="O766" s="159" t="str">
        <f t="shared" si="50"/>
        <v/>
      </c>
      <c r="P766" s="63"/>
    </row>
    <row r="767" spans="1:16">
      <c r="A767" s="151" t="s">
        <v>385</v>
      </c>
      <c r="B767" s="34" t="s">
        <v>284</v>
      </c>
      <c r="C767" s="40" t="s">
        <v>139</v>
      </c>
      <c r="D767" s="34" t="s">
        <v>139</v>
      </c>
      <c r="E767" s="257">
        <v>0.59523809523809523</v>
      </c>
      <c r="F767" s="232">
        <v>2</v>
      </c>
      <c r="G767" s="40" t="s">
        <v>404</v>
      </c>
      <c r="H767" s="29">
        <v>1</v>
      </c>
      <c r="I767" s="9"/>
      <c r="J767" s="9">
        <v>1</v>
      </c>
      <c r="K767" s="9">
        <v>3</v>
      </c>
      <c r="L767" s="9">
        <v>3</v>
      </c>
      <c r="M767" s="9">
        <v>3</v>
      </c>
      <c r="N767" s="185">
        <f t="shared" si="49"/>
        <v>1.1181151966036349</v>
      </c>
      <c r="O767" s="159" t="str">
        <f t="shared" si="50"/>
        <v/>
      </c>
      <c r="P767" s="63" t="s">
        <v>405</v>
      </c>
    </row>
    <row r="768" spans="1:16">
      <c r="A768" s="151" t="s">
        <v>400</v>
      </c>
      <c r="B768" s="34" t="s">
        <v>284</v>
      </c>
      <c r="C768" s="40" t="s">
        <v>139</v>
      </c>
      <c r="D768" s="34" t="s">
        <v>139</v>
      </c>
      <c r="E768" s="257">
        <v>1</v>
      </c>
      <c r="F768" s="232">
        <v>2</v>
      </c>
      <c r="G768" s="40" t="s">
        <v>157</v>
      </c>
      <c r="H768" s="29">
        <v>3</v>
      </c>
      <c r="I768" s="9"/>
      <c r="J768" s="9">
        <v>3</v>
      </c>
      <c r="K768" s="9">
        <v>3</v>
      </c>
      <c r="L768" s="9">
        <v>3</v>
      </c>
      <c r="M768" s="9">
        <v>3</v>
      </c>
      <c r="N768" s="185">
        <f t="shared" si="49"/>
        <v>1.2132328390150593</v>
      </c>
      <c r="O768" s="159" t="str">
        <f t="shared" si="50"/>
        <v/>
      </c>
      <c r="P768" s="63" t="s">
        <v>406</v>
      </c>
    </row>
    <row r="769" spans="1:16">
      <c r="A769" s="151" t="s">
        <v>367</v>
      </c>
      <c r="B769" s="34" t="s">
        <v>286</v>
      </c>
      <c r="C769" s="40" t="s">
        <v>139</v>
      </c>
      <c r="D769" s="34" t="s">
        <v>139</v>
      </c>
      <c r="E769" s="257">
        <v>0.50016393442622953</v>
      </c>
      <c r="F769" s="232">
        <v>2</v>
      </c>
      <c r="G769" s="847" t="s">
        <v>290</v>
      </c>
      <c r="H769" s="29">
        <v>2</v>
      </c>
      <c r="I769" s="9"/>
      <c r="J769" s="9">
        <v>2</v>
      </c>
      <c r="K769" s="9">
        <v>3</v>
      </c>
      <c r="L769" s="9">
        <v>3</v>
      </c>
      <c r="M769" s="9">
        <v>1</v>
      </c>
      <c r="N769" s="185">
        <f t="shared" si="49"/>
        <v>0.51126068492676302</v>
      </c>
      <c r="O769" s="159" t="str">
        <f t="shared" si="50"/>
        <v/>
      </c>
      <c r="P769" s="63"/>
    </row>
    <row r="770" spans="1:16">
      <c r="A770" s="151" t="s">
        <v>367</v>
      </c>
      <c r="B770" s="34" t="s">
        <v>286</v>
      </c>
      <c r="C770" s="40" t="s">
        <v>139</v>
      </c>
      <c r="D770" s="34" t="s">
        <v>139</v>
      </c>
      <c r="E770" s="257">
        <v>0.78343949044585992</v>
      </c>
      <c r="F770" s="232">
        <v>2</v>
      </c>
      <c r="G770" s="847" t="s">
        <v>407</v>
      </c>
      <c r="H770" s="29">
        <v>2</v>
      </c>
      <c r="I770" s="9"/>
      <c r="J770" s="9">
        <v>2</v>
      </c>
      <c r="K770" s="9">
        <v>3</v>
      </c>
      <c r="L770" s="9">
        <v>3</v>
      </c>
      <c r="M770" s="9">
        <v>1</v>
      </c>
      <c r="N770" s="185">
        <f t="shared" si="49"/>
        <v>0.51126068492676302</v>
      </c>
      <c r="O770" s="159" t="str">
        <f t="shared" si="50"/>
        <v/>
      </c>
      <c r="P770" s="63"/>
    </row>
    <row r="771" spans="1:16">
      <c r="A771" s="151" t="s">
        <v>367</v>
      </c>
      <c r="B771" s="34" t="s">
        <v>286</v>
      </c>
      <c r="C771" s="40" t="s">
        <v>139</v>
      </c>
      <c r="D771" s="34" t="s">
        <v>139</v>
      </c>
      <c r="E771" s="257">
        <v>0.91509433962264153</v>
      </c>
      <c r="F771" s="232">
        <v>2</v>
      </c>
      <c r="G771" s="847" t="s">
        <v>408</v>
      </c>
      <c r="H771" s="29">
        <v>2</v>
      </c>
      <c r="I771" s="9"/>
      <c r="J771" s="9">
        <v>2</v>
      </c>
      <c r="K771" s="9">
        <v>3</v>
      </c>
      <c r="L771" s="9">
        <v>3</v>
      </c>
      <c r="M771" s="9">
        <v>1</v>
      </c>
      <c r="N771" s="185">
        <f t="shared" si="49"/>
        <v>0.51126068492676302</v>
      </c>
      <c r="O771" s="159" t="str">
        <f t="shared" si="50"/>
        <v/>
      </c>
      <c r="P771" s="63"/>
    </row>
    <row r="772" spans="1:16">
      <c r="A772" s="151" t="s">
        <v>367</v>
      </c>
      <c r="B772" s="34" t="s">
        <v>286</v>
      </c>
      <c r="C772" s="40" t="s">
        <v>139</v>
      </c>
      <c r="D772" s="34" t="s">
        <v>139</v>
      </c>
      <c r="E772" s="257">
        <v>0.97399999999999998</v>
      </c>
      <c r="F772" s="232">
        <v>2</v>
      </c>
      <c r="G772" s="847" t="s">
        <v>294</v>
      </c>
      <c r="H772" s="29">
        <v>2</v>
      </c>
      <c r="I772" s="9"/>
      <c r="J772" s="9">
        <v>2</v>
      </c>
      <c r="K772" s="9">
        <v>3</v>
      </c>
      <c r="L772" s="9">
        <v>3</v>
      </c>
      <c r="M772" s="9">
        <v>1</v>
      </c>
      <c r="N772" s="185">
        <f t="shared" si="49"/>
        <v>0.51126068492676302</v>
      </c>
      <c r="O772" s="159" t="str">
        <f t="shared" si="50"/>
        <v/>
      </c>
      <c r="P772" s="63"/>
    </row>
    <row r="773" spans="1:16">
      <c r="A773" s="151" t="s">
        <v>367</v>
      </c>
      <c r="B773" s="34" t="s">
        <v>286</v>
      </c>
      <c r="C773" s="40" t="s">
        <v>139</v>
      </c>
      <c r="D773" s="34" t="s">
        <v>139</v>
      </c>
      <c r="E773" s="257">
        <v>0.98399999999999999</v>
      </c>
      <c r="F773" s="232">
        <v>2</v>
      </c>
      <c r="G773" s="847" t="s">
        <v>294</v>
      </c>
      <c r="H773" s="29">
        <v>2</v>
      </c>
      <c r="I773" s="9"/>
      <c r="J773" s="9">
        <v>2</v>
      </c>
      <c r="K773" s="9">
        <v>3</v>
      </c>
      <c r="L773" s="9">
        <v>3</v>
      </c>
      <c r="M773" s="9">
        <v>1</v>
      </c>
      <c r="N773" s="185">
        <f t="shared" si="49"/>
        <v>0.51126068492676302</v>
      </c>
      <c r="O773" s="159" t="str">
        <f t="shared" si="50"/>
        <v/>
      </c>
      <c r="P773" s="63"/>
    </row>
    <row r="774" spans="1:16">
      <c r="A774" s="151" t="s">
        <v>367</v>
      </c>
      <c r="B774" s="34" t="s">
        <v>286</v>
      </c>
      <c r="C774" s="40" t="s">
        <v>139</v>
      </c>
      <c r="D774" s="34" t="s">
        <v>139</v>
      </c>
      <c r="E774" s="257">
        <v>0.68936446173800259</v>
      </c>
      <c r="F774" s="232">
        <v>2</v>
      </c>
      <c r="G774" s="847" t="s">
        <v>296</v>
      </c>
      <c r="H774" s="29">
        <v>2</v>
      </c>
      <c r="I774" s="9"/>
      <c r="J774" s="9">
        <v>2</v>
      </c>
      <c r="K774" s="9">
        <v>3</v>
      </c>
      <c r="L774" s="9">
        <v>3</v>
      </c>
      <c r="M774" s="9">
        <v>1</v>
      </c>
      <c r="N774" s="185">
        <f t="shared" si="49"/>
        <v>0.51126068492676302</v>
      </c>
      <c r="O774" s="159" t="str">
        <f t="shared" si="50"/>
        <v/>
      </c>
      <c r="P774" s="63"/>
    </row>
    <row r="775" spans="1:16">
      <c r="A775" s="151" t="s">
        <v>315</v>
      </c>
      <c r="B775" s="34" t="s">
        <v>223</v>
      </c>
      <c r="C775" s="40" t="s">
        <v>139</v>
      </c>
      <c r="D775" s="34" t="s">
        <v>139</v>
      </c>
      <c r="E775" s="257">
        <v>0.1</v>
      </c>
      <c r="F775" s="232">
        <v>2</v>
      </c>
      <c r="G775" s="40" t="s">
        <v>414</v>
      </c>
      <c r="H775" s="29">
        <v>1</v>
      </c>
      <c r="I775" s="9"/>
      <c r="J775" s="9">
        <v>1</v>
      </c>
      <c r="K775" s="9">
        <v>1</v>
      </c>
      <c r="L775" s="9">
        <v>1</v>
      </c>
      <c r="M775" s="9">
        <v>3</v>
      </c>
      <c r="N775" s="185">
        <f t="shared" ref="N775:N824" si="51">IF( OR( ISBLANK(H775),ISBLANK(J775), ISBLANK(K775), ISBLANK(L775), ISBLANK(M775) ), "", 1.5*SQRT(   EXP(2.21*(H775-1)) + EXP(2.21*(J775-1)) + EXP(2.21*(K775-1)) + EXP(2.21*(L775-1)) + EXP(2.21*M775)   )/100*2.45 )</f>
        <v>1.0141150152164344</v>
      </c>
      <c r="O775" s="159" t="str">
        <f t="shared" ref="O775:O824" si="52">IF( OR( ISBLANK(I775),ISBLANK(J775), ISBLANK(K775), ISBLANK(L775), ISBLANK(M775) ), "", 1.5*SQRT( EXP(2.21*(I775-1)) + EXP(2.21*(J775-1)) + EXP(2.21*(K775-1)) + EXP(2.21*(L775-1)) + EXP(2.21*M775)   )/100*2.45 )</f>
        <v/>
      </c>
      <c r="P775" s="63"/>
    </row>
    <row r="776" spans="1:16">
      <c r="A776" s="151" t="s">
        <v>395</v>
      </c>
      <c r="B776" s="34" t="s">
        <v>378</v>
      </c>
      <c r="C776" s="40" t="s">
        <v>139</v>
      </c>
      <c r="D776" s="34" t="s">
        <v>139</v>
      </c>
      <c r="E776" s="262">
        <v>0.9</v>
      </c>
      <c r="F776" s="34">
        <v>1</v>
      </c>
      <c r="G776" s="40" t="s">
        <v>379</v>
      </c>
      <c r="H776" s="29">
        <v>1</v>
      </c>
      <c r="I776" s="9">
        <v>3</v>
      </c>
      <c r="J776" s="9">
        <v>2</v>
      </c>
      <c r="K776" s="9">
        <v>1</v>
      </c>
      <c r="L776" s="9">
        <v>1</v>
      </c>
      <c r="M776" s="9">
        <v>2</v>
      </c>
      <c r="N776" s="185">
        <f t="shared" si="51"/>
        <v>0.35859414261160716</v>
      </c>
      <c r="O776" s="159">
        <f t="shared" si="52"/>
        <v>0.48935255543384243</v>
      </c>
      <c r="P776" s="838"/>
    </row>
    <row r="777" spans="1:16">
      <c r="A777" s="289" t="s">
        <v>360</v>
      </c>
      <c r="B777" s="55" t="s">
        <v>266</v>
      </c>
      <c r="C777" s="40" t="s">
        <v>139</v>
      </c>
      <c r="D777" s="55" t="s">
        <v>139</v>
      </c>
      <c r="E777" s="257">
        <v>0.24038461538461536</v>
      </c>
      <c r="F777" s="232">
        <v>2</v>
      </c>
      <c r="G777" s="262" t="s">
        <v>163</v>
      </c>
      <c r="H777" s="29">
        <v>2</v>
      </c>
      <c r="I777" s="9">
        <v>2</v>
      </c>
      <c r="J777" s="9">
        <v>1</v>
      </c>
      <c r="K777" s="9">
        <v>1</v>
      </c>
      <c r="L777" s="9">
        <v>1</v>
      </c>
      <c r="M777" s="9">
        <v>3</v>
      </c>
      <c r="N777" s="185">
        <f t="shared" si="51"/>
        <v>1.0195048044558224</v>
      </c>
      <c r="O777" s="159">
        <f t="shared" si="52"/>
        <v>1.0195048044558224</v>
      </c>
      <c r="P777" s="63" t="s">
        <v>357</v>
      </c>
    </row>
    <row r="778" spans="1:16">
      <c r="A778" s="289" t="s">
        <v>360</v>
      </c>
      <c r="B778" s="55" t="s">
        <v>266</v>
      </c>
      <c r="C778" s="40" t="s">
        <v>139</v>
      </c>
      <c r="D778" s="55" t="s">
        <v>139</v>
      </c>
      <c r="E778" s="257">
        <v>0.13440860215053765</v>
      </c>
      <c r="F778" s="232">
        <v>2</v>
      </c>
      <c r="G778" s="262" t="s">
        <v>163</v>
      </c>
      <c r="H778" s="29">
        <v>2</v>
      </c>
      <c r="I778" s="9">
        <v>2</v>
      </c>
      <c r="J778" s="9">
        <v>1</v>
      </c>
      <c r="K778" s="9">
        <v>1</v>
      </c>
      <c r="L778" s="9">
        <v>1</v>
      </c>
      <c r="M778" s="9">
        <v>3</v>
      </c>
      <c r="N778" s="185">
        <f t="shared" si="51"/>
        <v>1.0195048044558224</v>
      </c>
      <c r="O778" s="159">
        <f t="shared" si="52"/>
        <v>1.0195048044558224</v>
      </c>
      <c r="P778" s="63" t="s">
        <v>358</v>
      </c>
    </row>
    <row r="779" spans="1:16">
      <c r="A779" s="151" t="s">
        <v>367</v>
      </c>
      <c r="B779" s="34" t="s">
        <v>188</v>
      </c>
      <c r="C779" s="40" t="s">
        <v>139</v>
      </c>
      <c r="D779" s="34" t="s">
        <v>139</v>
      </c>
      <c r="E779" s="257" t="s">
        <v>150</v>
      </c>
      <c r="F779" s="232">
        <v>1</v>
      </c>
      <c r="G779" s="40"/>
      <c r="H779" s="29"/>
      <c r="I779" s="9"/>
      <c r="J779" s="9"/>
      <c r="K779" s="9"/>
      <c r="L779" s="9"/>
      <c r="M779" s="9"/>
      <c r="N779" s="185" t="str">
        <f t="shared" si="51"/>
        <v/>
      </c>
      <c r="O779" s="159" t="str">
        <f t="shared" si="52"/>
        <v/>
      </c>
      <c r="P779" s="63"/>
    </row>
    <row r="780" spans="1:16">
      <c r="A780" s="151" t="s">
        <v>232</v>
      </c>
      <c r="B780" s="34" t="s">
        <v>188</v>
      </c>
      <c r="C780" s="40" t="s">
        <v>139</v>
      </c>
      <c r="D780" s="34" t="s">
        <v>139</v>
      </c>
      <c r="E780" s="257">
        <v>0.01</v>
      </c>
      <c r="F780" s="232">
        <v>2</v>
      </c>
      <c r="G780" s="40" t="s">
        <v>415</v>
      </c>
      <c r="H780" s="29">
        <v>3</v>
      </c>
      <c r="I780" s="9">
        <v>3</v>
      </c>
      <c r="J780" s="9">
        <v>4</v>
      </c>
      <c r="K780" s="9">
        <v>3</v>
      </c>
      <c r="L780" s="9">
        <v>3</v>
      </c>
      <c r="M780" s="9">
        <v>1</v>
      </c>
      <c r="N780" s="185">
        <f t="shared" si="51"/>
        <v>1.1713319510247036</v>
      </c>
      <c r="O780" s="159">
        <f t="shared" si="52"/>
        <v>1.1713319510247036</v>
      </c>
      <c r="P780" s="63" t="s">
        <v>416</v>
      </c>
    </row>
    <row r="781" spans="1:16">
      <c r="A781" s="151" t="s">
        <v>232</v>
      </c>
      <c r="B781" s="34" t="s">
        <v>188</v>
      </c>
      <c r="C781" s="40" t="s">
        <v>139</v>
      </c>
      <c r="D781" s="34" t="s">
        <v>139</v>
      </c>
      <c r="E781" s="257">
        <v>0.05</v>
      </c>
      <c r="F781" s="232">
        <v>2</v>
      </c>
      <c r="G781" s="40" t="s">
        <v>415</v>
      </c>
      <c r="H781" s="29">
        <v>3</v>
      </c>
      <c r="I781" s="9">
        <v>3</v>
      </c>
      <c r="J781" s="9">
        <v>4</v>
      </c>
      <c r="K781" s="9">
        <v>3</v>
      </c>
      <c r="L781" s="9">
        <v>3</v>
      </c>
      <c r="M781" s="9">
        <v>1</v>
      </c>
      <c r="N781" s="185">
        <f t="shared" si="51"/>
        <v>1.1713319510247036</v>
      </c>
      <c r="O781" s="159">
        <f t="shared" si="52"/>
        <v>1.1713319510247036</v>
      </c>
      <c r="P781" s="63" t="s">
        <v>416</v>
      </c>
    </row>
    <row r="782" spans="1:16">
      <c r="A782" s="151" t="s">
        <v>232</v>
      </c>
      <c r="B782" s="34" t="s">
        <v>188</v>
      </c>
      <c r="C782" s="40" t="s">
        <v>139</v>
      </c>
      <c r="D782" s="34" t="s">
        <v>139</v>
      </c>
      <c r="E782" s="257">
        <v>0.13</v>
      </c>
      <c r="F782" s="232">
        <v>2</v>
      </c>
      <c r="G782" s="40" t="s">
        <v>415</v>
      </c>
      <c r="H782" s="29">
        <v>3</v>
      </c>
      <c r="I782" s="9">
        <v>3</v>
      </c>
      <c r="J782" s="9">
        <v>4</v>
      </c>
      <c r="K782" s="9">
        <v>3</v>
      </c>
      <c r="L782" s="9">
        <v>3</v>
      </c>
      <c r="M782" s="9">
        <v>1</v>
      </c>
      <c r="N782" s="185">
        <f t="shared" si="51"/>
        <v>1.1713319510247036</v>
      </c>
      <c r="O782" s="159">
        <f t="shared" si="52"/>
        <v>1.1713319510247036</v>
      </c>
      <c r="P782" s="63" t="s">
        <v>416</v>
      </c>
    </row>
    <row r="783" spans="1:16">
      <c r="A783" s="151" t="s">
        <v>232</v>
      </c>
      <c r="B783" s="34" t="s">
        <v>188</v>
      </c>
      <c r="C783" s="40" t="s">
        <v>139</v>
      </c>
      <c r="D783" s="34" t="s">
        <v>139</v>
      </c>
      <c r="E783" s="257">
        <v>0.05</v>
      </c>
      <c r="F783" s="232">
        <v>2</v>
      </c>
      <c r="G783" s="40" t="s">
        <v>415</v>
      </c>
      <c r="H783" s="29">
        <v>3</v>
      </c>
      <c r="I783" s="9">
        <v>3</v>
      </c>
      <c r="J783" s="9">
        <v>4</v>
      </c>
      <c r="K783" s="9">
        <v>3</v>
      </c>
      <c r="L783" s="9">
        <v>3</v>
      </c>
      <c r="M783" s="9">
        <v>1</v>
      </c>
      <c r="N783" s="185">
        <f t="shared" si="51"/>
        <v>1.1713319510247036</v>
      </c>
      <c r="O783" s="159">
        <f t="shared" si="52"/>
        <v>1.1713319510247036</v>
      </c>
      <c r="P783" s="63" t="s">
        <v>416</v>
      </c>
    </row>
    <row r="784" spans="1:16">
      <c r="A784" s="151" t="s">
        <v>232</v>
      </c>
      <c r="B784" s="34" t="s">
        <v>188</v>
      </c>
      <c r="C784" s="40" t="s">
        <v>139</v>
      </c>
      <c r="D784" s="34" t="s">
        <v>139</v>
      </c>
      <c r="E784" s="257">
        <v>0.1</v>
      </c>
      <c r="F784" s="232">
        <v>2</v>
      </c>
      <c r="G784" s="40" t="s">
        <v>415</v>
      </c>
      <c r="H784" s="29">
        <v>3</v>
      </c>
      <c r="I784" s="9">
        <v>3</v>
      </c>
      <c r="J784" s="9">
        <v>4</v>
      </c>
      <c r="K784" s="9">
        <v>3</v>
      </c>
      <c r="L784" s="9">
        <v>3</v>
      </c>
      <c r="M784" s="9">
        <v>1</v>
      </c>
      <c r="N784" s="185">
        <f t="shared" si="51"/>
        <v>1.1713319510247036</v>
      </c>
      <c r="O784" s="159">
        <f t="shared" si="52"/>
        <v>1.1713319510247036</v>
      </c>
      <c r="P784" s="63" t="s">
        <v>416</v>
      </c>
    </row>
    <row r="785" spans="1:868">
      <c r="A785" s="151" t="s">
        <v>210</v>
      </c>
      <c r="B785" s="34" t="s">
        <v>265</v>
      </c>
      <c r="C785" s="40" t="s">
        <v>139</v>
      </c>
      <c r="D785" s="34" t="s">
        <v>139</v>
      </c>
      <c r="E785" s="257" t="s">
        <v>150</v>
      </c>
      <c r="F785" s="232">
        <v>1</v>
      </c>
      <c r="G785" s="40"/>
      <c r="H785" s="29"/>
      <c r="I785" s="9"/>
      <c r="J785" s="9"/>
      <c r="K785" s="9"/>
      <c r="L785" s="9"/>
      <c r="M785" s="9"/>
      <c r="N785" s="185" t="str">
        <f t="shared" si="51"/>
        <v/>
      </c>
      <c r="O785" s="159" t="str">
        <f t="shared" si="52"/>
        <v/>
      </c>
      <c r="P785" s="63"/>
    </row>
    <row r="786" spans="1:868">
      <c r="A786" s="151" t="s">
        <v>315</v>
      </c>
      <c r="B786" s="34" t="s">
        <v>223</v>
      </c>
      <c r="C786" s="40" t="s">
        <v>139</v>
      </c>
      <c r="D786" s="34" t="s">
        <v>139</v>
      </c>
      <c r="E786" s="257">
        <v>0.9</v>
      </c>
      <c r="F786" s="232">
        <v>2</v>
      </c>
      <c r="G786" s="40" t="s">
        <v>147</v>
      </c>
      <c r="H786" s="29">
        <v>1</v>
      </c>
      <c r="I786" s="9"/>
      <c r="J786" s="9">
        <v>1</v>
      </c>
      <c r="K786" s="9">
        <v>1</v>
      </c>
      <c r="L786" s="9">
        <v>1</v>
      </c>
      <c r="M786" s="9">
        <v>3</v>
      </c>
      <c r="N786" s="185">
        <f t="shared" si="51"/>
        <v>1.0141150152164344</v>
      </c>
      <c r="O786" s="159" t="str">
        <f t="shared" si="52"/>
        <v/>
      </c>
      <c r="P786" s="63"/>
    </row>
    <row r="787" spans="1:868">
      <c r="A787" s="151" t="s">
        <v>315</v>
      </c>
      <c r="B787" s="34" t="s">
        <v>418</v>
      </c>
      <c r="C787" s="40" t="s">
        <v>139</v>
      </c>
      <c r="D787" s="34" t="s">
        <v>139</v>
      </c>
      <c r="E787" s="257" t="s">
        <v>150</v>
      </c>
      <c r="F787" s="232">
        <v>1</v>
      </c>
      <c r="G787" s="40"/>
      <c r="H787" s="29"/>
      <c r="I787" s="9"/>
      <c r="J787" s="9"/>
      <c r="K787" s="9"/>
      <c r="L787" s="9"/>
      <c r="M787" s="9"/>
      <c r="N787" s="185" t="str">
        <f t="shared" si="51"/>
        <v/>
      </c>
      <c r="O787" s="159" t="str">
        <f t="shared" si="52"/>
        <v/>
      </c>
      <c r="P787" s="63"/>
    </row>
    <row r="788" spans="1:868">
      <c r="A788" s="151" t="s">
        <v>385</v>
      </c>
      <c r="B788" s="34" t="s">
        <v>265</v>
      </c>
      <c r="C788" s="40" t="s">
        <v>139</v>
      </c>
      <c r="D788" s="34" t="s">
        <v>139</v>
      </c>
      <c r="E788" s="257">
        <v>0</v>
      </c>
      <c r="F788" s="232">
        <v>2</v>
      </c>
      <c r="G788" s="40" t="s">
        <v>419</v>
      </c>
      <c r="H788" s="29"/>
      <c r="I788" s="9"/>
      <c r="J788" s="9"/>
      <c r="K788" s="9"/>
      <c r="L788" s="9"/>
      <c r="M788" s="9"/>
      <c r="N788" s="185" t="str">
        <f t="shared" si="51"/>
        <v/>
      </c>
      <c r="O788" s="159" t="str">
        <f t="shared" si="52"/>
        <v/>
      </c>
      <c r="P788" s="63" t="s">
        <v>401</v>
      </c>
    </row>
    <row r="789" spans="1:868">
      <c r="A789" s="151" t="s">
        <v>400</v>
      </c>
      <c r="B789" s="34" t="s">
        <v>265</v>
      </c>
      <c r="C789" s="40" t="s">
        <v>139</v>
      </c>
      <c r="D789" s="34" t="s">
        <v>139</v>
      </c>
      <c r="E789" s="257" t="s">
        <v>150</v>
      </c>
      <c r="F789" s="232">
        <v>1</v>
      </c>
      <c r="G789" s="40"/>
      <c r="H789" s="29"/>
      <c r="I789" s="9"/>
      <c r="J789" s="9"/>
      <c r="K789" s="9"/>
      <c r="L789" s="9"/>
      <c r="M789" s="9"/>
      <c r="N789" s="185" t="str">
        <f t="shared" si="51"/>
        <v/>
      </c>
      <c r="O789" s="159" t="str">
        <f t="shared" si="52"/>
        <v/>
      </c>
      <c r="P789" s="63"/>
    </row>
    <row r="790" spans="1:868">
      <c r="A790" s="151" t="s">
        <v>256</v>
      </c>
      <c r="B790" s="34" t="s">
        <v>267</v>
      </c>
      <c r="C790" s="40" t="s">
        <v>182</v>
      </c>
      <c r="D790" s="69" t="s">
        <v>89</v>
      </c>
      <c r="E790" s="848">
        <v>4.9733570159857902E-2</v>
      </c>
      <c r="F790" s="34">
        <v>1</v>
      </c>
      <c r="G790" s="339" t="s">
        <v>126</v>
      </c>
      <c r="H790" s="29"/>
      <c r="I790" s="9">
        <v>1</v>
      </c>
      <c r="J790" s="9">
        <v>1</v>
      </c>
      <c r="K790" s="9">
        <v>1</v>
      </c>
      <c r="L790" s="9">
        <v>2</v>
      </c>
      <c r="M790" s="9">
        <v>2</v>
      </c>
      <c r="N790" s="185" t="str">
        <f t="shared" si="51"/>
        <v/>
      </c>
      <c r="O790" s="159">
        <f t="shared" si="52"/>
        <v>0.35859414261160716</v>
      </c>
      <c r="P790" s="63"/>
    </row>
    <row r="791" spans="1:868">
      <c r="A791" s="151" t="s">
        <v>256</v>
      </c>
      <c r="B791" s="34" t="s">
        <v>267</v>
      </c>
      <c r="C791" s="40" t="s">
        <v>182</v>
      </c>
      <c r="D791" s="69" t="s">
        <v>90</v>
      </c>
      <c r="E791" s="848">
        <v>0.225984796129924</v>
      </c>
      <c r="F791" s="34">
        <v>1</v>
      </c>
      <c r="G791" s="339" t="s">
        <v>126</v>
      </c>
      <c r="H791" s="29"/>
      <c r="I791" s="9">
        <v>1</v>
      </c>
      <c r="J791" s="9">
        <v>1</v>
      </c>
      <c r="K791" s="9">
        <v>1</v>
      </c>
      <c r="L791" s="9">
        <v>2</v>
      </c>
      <c r="M791" s="9">
        <v>2</v>
      </c>
      <c r="N791" s="185" t="str">
        <f t="shared" si="51"/>
        <v/>
      </c>
      <c r="O791" s="159">
        <f t="shared" si="52"/>
        <v>0.35859414261160716</v>
      </c>
      <c r="P791" s="63"/>
    </row>
    <row r="792" spans="1:868" ht="15.75" thickBot="1">
      <c r="A792" s="151" t="s">
        <v>287</v>
      </c>
      <c r="B792" s="34" t="s">
        <v>265</v>
      </c>
      <c r="C792" s="40" t="s">
        <v>139</v>
      </c>
      <c r="D792" s="34" t="s">
        <v>139</v>
      </c>
      <c r="E792" s="257">
        <v>0</v>
      </c>
      <c r="F792" s="232">
        <v>2</v>
      </c>
      <c r="G792" s="40"/>
      <c r="H792" s="29"/>
      <c r="I792" s="9"/>
      <c r="J792" s="9"/>
      <c r="K792" s="9"/>
      <c r="L792" s="9"/>
      <c r="M792" s="9"/>
      <c r="N792" s="185" t="str">
        <f t="shared" si="51"/>
        <v/>
      </c>
      <c r="O792" s="159" t="str">
        <f t="shared" si="52"/>
        <v/>
      </c>
      <c r="P792" s="63"/>
    </row>
    <row r="793" spans="1:868" s="833" customFormat="1">
      <c r="A793" s="151" t="s">
        <v>216</v>
      </c>
      <c r="B793" s="34" t="s">
        <v>258</v>
      </c>
      <c r="C793" s="40" t="s">
        <v>139</v>
      </c>
      <c r="D793" s="34" t="s">
        <v>139</v>
      </c>
      <c r="E793" s="257">
        <v>1</v>
      </c>
      <c r="F793" s="232">
        <v>2</v>
      </c>
      <c r="G793" s="40" t="s">
        <v>157</v>
      </c>
      <c r="H793" s="29"/>
      <c r="I793" s="9"/>
      <c r="J793" s="9"/>
      <c r="K793" s="9"/>
      <c r="L793" s="9"/>
      <c r="M793" s="9"/>
      <c r="N793" s="185" t="str">
        <f t="shared" si="51"/>
        <v/>
      </c>
      <c r="O793" s="159" t="str">
        <f t="shared" si="52"/>
        <v/>
      </c>
      <c r="P793" s="63"/>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c r="JS793" s="16"/>
      <c r="JT793" s="16"/>
      <c r="JU793" s="16"/>
      <c r="JV793" s="16"/>
      <c r="JW793" s="16"/>
      <c r="JX793" s="16"/>
      <c r="JY793" s="16"/>
      <c r="JZ793" s="16"/>
      <c r="KA793" s="16"/>
      <c r="KB793" s="16"/>
      <c r="KC793" s="16"/>
      <c r="KD793" s="16"/>
      <c r="KE793" s="16"/>
      <c r="KF793" s="16"/>
      <c r="KG793" s="16"/>
      <c r="KH793" s="16"/>
      <c r="KI793" s="16"/>
      <c r="KJ793" s="16"/>
      <c r="KK793" s="16"/>
      <c r="KL793" s="16"/>
      <c r="KM793" s="16"/>
      <c r="KN793" s="16"/>
      <c r="KO793" s="16"/>
      <c r="KP793" s="16"/>
      <c r="KQ793" s="16"/>
      <c r="KR793" s="16"/>
      <c r="KS793" s="16"/>
      <c r="KT793" s="16"/>
      <c r="KU793" s="16"/>
      <c r="KV793" s="16"/>
      <c r="KW793" s="16"/>
      <c r="KX793" s="16"/>
      <c r="KY793" s="16"/>
      <c r="KZ793" s="16"/>
      <c r="LA793" s="16"/>
      <c r="LB793" s="16"/>
      <c r="LC793" s="16"/>
      <c r="LD793" s="16"/>
      <c r="LE793" s="16"/>
      <c r="LF793" s="16"/>
      <c r="LG793" s="16"/>
      <c r="LH793" s="16"/>
      <c r="LI793" s="16"/>
      <c r="LJ793" s="16"/>
      <c r="LK793" s="16"/>
      <c r="LL793" s="16"/>
      <c r="LM793" s="16"/>
      <c r="LN793" s="16"/>
      <c r="LO793" s="16"/>
      <c r="LP793" s="16"/>
      <c r="LQ793" s="16"/>
      <c r="LR793" s="16"/>
      <c r="LS793" s="16"/>
      <c r="LT793" s="16"/>
      <c r="LU793" s="16"/>
      <c r="LV793" s="16"/>
      <c r="LW793" s="16"/>
      <c r="LX793" s="16"/>
      <c r="LY793" s="16"/>
      <c r="LZ793" s="16"/>
      <c r="MA793" s="16"/>
      <c r="MB793" s="16"/>
      <c r="MC793" s="16"/>
      <c r="MD793" s="16"/>
      <c r="ME793" s="16"/>
      <c r="MF793" s="16"/>
      <c r="MG793" s="16"/>
      <c r="MH793" s="16"/>
      <c r="MI793" s="16"/>
      <c r="MJ793" s="16"/>
      <c r="MK793" s="16"/>
      <c r="ML793" s="16"/>
      <c r="MM793" s="16"/>
      <c r="MN793" s="16"/>
      <c r="MO793" s="16"/>
      <c r="MP793" s="16"/>
      <c r="MQ793" s="16"/>
      <c r="MR793" s="16"/>
      <c r="MS793" s="16"/>
      <c r="MT793" s="16"/>
      <c r="MU793" s="16"/>
      <c r="MV793" s="16"/>
      <c r="MW793" s="16"/>
      <c r="MX793" s="16"/>
      <c r="MY793" s="16"/>
      <c r="MZ793" s="16"/>
      <c r="NA793" s="16"/>
      <c r="NB793" s="16"/>
      <c r="NC793" s="16"/>
      <c r="ND793" s="16"/>
      <c r="NE793" s="16"/>
      <c r="NF793" s="16"/>
      <c r="NG793" s="16"/>
      <c r="NH793" s="16"/>
      <c r="NI793" s="16"/>
      <c r="NJ793" s="16"/>
      <c r="NK793" s="16"/>
      <c r="NL793" s="16"/>
      <c r="NM793" s="16"/>
      <c r="NN793" s="16"/>
      <c r="NO793" s="16"/>
      <c r="NP793" s="16"/>
      <c r="NQ793" s="16"/>
      <c r="NR793" s="16"/>
      <c r="NS793" s="16"/>
      <c r="NT793" s="16"/>
      <c r="NU793" s="16"/>
      <c r="NV793" s="16"/>
      <c r="NW793" s="16"/>
      <c r="NX793" s="16"/>
      <c r="NY793" s="16"/>
      <c r="NZ793" s="16"/>
      <c r="OA793" s="16"/>
      <c r="OB793" s="16"/>
      <c r="OC793" s="16"/>
      <c r="OD793" s="16"/>
      <c r="OE793" s="16"/>
      <c r="OF793" s="16"/>
      <c r="OG793" s="16"/>
      <c r="OH793" s="16"/>
      <c r="OI793" s="16"/>
      <c r="OJ793" s="16"/>
      <c r="OK793" s="16"/>
      <c r="OL793" s="16"/>
      <c r="OM793" s="16"/>
      <c r="ON793" s="16"/>
      <c r="OO793" s="16"/>
      <c r="OP793" s="16"/>
      <c r="OQ793" s="16"/>
      <c r="OR793" s="16"/>
      <c r="OS793" s="16"/>
      <c r="OT793" s="16"/>
      <c r="OU793" s="16"/>
      <c r="OV793" s="16"/>
      <c r="OW793" s="16"/>
      <c r="OX793" s="16"/>
      <c r="OY793" s="16"/>
      <c r="OZ793" s="16"/>
      <c r="PA793" s="16"/>
      <c r="PB793" s="16"/>
      <c r="PC793" s="16"/>
      <c r="PD793" s="16"/>
      <c r="PE793" s="16"/>
      <c r="PF793" s="16"/>
      <c r="PG793" s="16"/>
      <c r="PH793" s="16"/>
      <c r="PI793" s="16"/>
      <c r="PJ793" s="16"/>
      <c r="PK793" s="16"/>
      <c r="PL793" s="16"/>
      <c r="PM793" s="16"/>
      <c r="PN793" s="16"/>
      <c r="PO793" s="16"/>
      <c r="PP793" s="16"/>
      <c r="PQ793" s="16"/>
      <c r="PR793" s="16"/>
      <c r="PS793" s="16"/>
      <c r="PT793" s="16"/>
      <c r="PU793" s="16"/>
      <c r="PV793" s="16"/>
      <c r="PW793" s="16"/>
      <c r="PX793" s="16"/>
      <c r="PY793" s="16"/>
      <c r="PZ793" s="16"/>
      <c r="QA793" s="16"/>
      <c r="QB793" s="16"/>
      <c r="QC793" s="16"/>
      <c r="QD793" s="16"/>
      <c r="QE793" s="16"/>
      <c r="QF793" s="16"/>
      <c r="QG793" s="16"/>
      <c r="QH793" s="16"/>
      <c r="QI793" s="16"/>
      <c r="QJ793" s="16"/>
      <c r="QK793" s="16"/>
      <c r="QL793" s="16"/>
      <c r="QM793" s="16"/>
      <c r="QN793" s="16"/>
      <c r="QO793" s="16"/>
      <c r="QP793" s="16"/>
      <c r="QQ793" s="16"/>
      <c r="QR793" s="16"/>
      <c r="QS793" s="16"/>
      <c r="QT793" s="16"/>
      <c r="QU793" s="16"/>
      <c r="QV793" s="16"/>
      <c r="QW793" s="16"/>
      <c r="QX793" s="16"/>
      <c r="QY793" s="16"/>
      <c r="QZ793" s="16"/>
      <c r="RA793" s="16"/>
      <c r="RB793" s="16"/>
      <c r="RC793" s="16"/>
      <c r="RD793" s="16"/>
      <c r="RE793" s="16"/>
      <c r="RF793" s="16"/>
      <c r="RG793" s="16"/>
      <c r="RH793" s="16"/>
      <c r="RI793" s="16"/>
      <c r="RJ793" s="16"/>
      <c r="RK793" s="16"/>
      <c r="RL793" s="16"/>
      <c r="RM793" s="16"/>
      <c r="RN793" s="16"/>
      <c r="RO793" s="16"/>
      <c r="RP793" s="16"/>
      <c r="RQ793" s="16"/>
      <c r="RR793" s="16"/>
      <c r="RS793" s="16"/>
      <c r="RT793" s="16"/>
      <c r="RU793" s="16"/>
      <c r="RV793" s="16"/>
      <c r="RW793" s="16"/>
      <c r="RX793" s="16"/>
      <c r="RY793" s="16"/>
      <c r="RZ793" s="16"/>
      <c r="SA793" s="16"/>
      <c r="SB793" s="16"/>
      <c r="SC793" s="16"/>
      <c r="SD793" s="16"/>
      <c r="SE793" s="16"/>
      <c r="SF793" s="16"/>
      <c r="SG793" s="16"/>
      <c r="SH793" s="16"/>
      <c r="SI793" s="16"/>
      <c r="SJ793" s="16"/>
      <c r="SK793" s="16"/>
      <c r="SL793" s="16"/>
      <c r="SM793" s="16"/>
      <c r="SN793" s="16"/>
      <c r="SO793" s="16"/>
      <c r="SP793" s="16"/>
      <c r="SQ793" s="16"/>
      <c r="SR793" s="16"/>
      <c r="SS793" s="16"/>
      <c r="ST793" s="16"/>
      <c r="SU793" s="16"/>
      <c r="SV793" s="16"/>
      <c r="SW793" s="16"/>
      <c r="SX793" s="16"/>
      <c r="SY793" s="16"/>
      <c r="SZ793" s="16"/>
      <c r="TA793" s="16"/>
      <c r="TB793" s="16"/>
      <c r="TC793" s="16"/>
      <c r="TD793" s="16"/>
      <c r="TE793" s="16"/>
      <c r="TF793" s="16"/>
      <c r="TG793" s="16"/>
      <c r="TH793" s="16"/>
      <c r="TI793" s="16"/>
      <c r="TJ793" s="16"/>
      <c r="TK793" s="16"/>
      <c r="TL793" s="16"/>
      <c r="TM793" s="16"/>
      <c r="TN793" s="16"/>
      <c r="TO793" s="16"/>
      <c r="TP793" s="16"/>
      <c r="TQ793" s="16"/>
      <c r="TR793" s="16"/>
      <c r="TS793" s="16"/>
      <c r="TT793" s="16"/>
      <c r="TU793" s="16"/>
      <c r="TV793" s="16"/>
      <c r="TW793" s="16"/>
      <c r="TX793" s="16"/>
      <c r="TY793" s="16"/>
      <c r="TZ793" s="16"/>
      <c r="UA793" s="16"/>
      <c r="UB793" s="16"/>
      <c r="UC793" s="16"/>
      <c r="UD793" s="16"/>
      <c r="UE793" s="16"/>
      <c r="UF793" s="16"/>
      <c r="UG793" s="16"/>
      <c r="UH793" s="16"/>
      <c r="UI793" s="16"/>
      <c r="UJ793" s="16"/>
      <c r="UK793" s="16"/>
      <c r="UL793" s="16"/>
      <c r="UM793" s="16"/>
      <c r="UN793" s="16"/>
      <c r="UO793" s="16"/>
      <c r="UP793" s="16"/>
      <c r="UQ793" s="16"/>
      <c r="UR793" s="16"/>
      <c r="US793" s="16"/>
      <c r="UT793" s="16"/>
      <c r="UU793" s="16"/>
      <c r="UV793" s="16"/>
      <c r="UW793" s="16"/>
      <c r="UX793" s="16"/>
      <c r="UY793" s="16"/>
      <c r="UZ793" s="16"/>
      <c r="VA793" s="16"/>
      <c r="VB793" s="16"/>
      <c r="VC793" s="16"/>
      <c r="VD793" s="16"/>
      <c r="VE793" s="16"/>
      <c r="VF793" s="16"/>
      <c r="VG793" s="16"/>
      <c r="VH793" s="16"/>
      <c r="VI793" s="16"/>
      <c r="VJ793" s="16"/>
      <c r="VK793" s="16"/>
      <c r="VL793" s="16"/>
      <c r="VM793" s="16"/>
      <c r="VN793" s="16"/>
      <c r="VO793" s="16"/>
      <c r="VP793" s="16"/>
      <c r="VQ793" s="16"/>
      <c r="VR793" s="16"/>
      <c r="VS793" s="16"/>
      <c r="VT793" s="16"/>
      <c r="VU793" s="16"/>
      <c r="VV793" s="16"/>
      <c r="VW793" s="16"/>
      <c r="VX793" s="16"/>
      <c r="VY793" s="16"/>
      <c r="VZ793" s="16"/>
      <c r="WA793" s="16"/>
      <c r="WB793" s="16"/>
      <c r="WC793" s="16"/>
      <c r="WD793" s="16"/>
      <c r="WE793" s="16"/>
      <c r="WF793" s="16"/>
      <c r="WG793" s="16"/>
      <c r="WH793" s="16"/>
      <c r="WI793" s="16"/>
      <c r="WJ793" s="16"/>
      <c r="WK793" s="16"/>
      <c r="WL793" s="16"/>
      <c r="WM793" s="16"/>
      <c r="WN793" s="16"/>
      <c r="WO793" s="16"/>
      <c r="WP793" s="16"/>
      <c r="WQ793" s="16"/>
      <c r="WR793" s="16"/>
      <c r="WS793" s="16"/>
      <c r="WT793" s="16"/>
      <c r="WU793" s="16"/>
      <c r="WV793" s="16"/>
      <c r="WW793" s="16"/>
      <c r="WX793" s="16"/>
      <c r="WY793" s="16"/>
      <c r="WZ793" s="16"/>
      <c r="XA793" s="16"/>
      <c r="XB793" s="16"/>
      <c r="XC793" s="16"/>
      <c r="XD793" s="16"/>
      <c r="XE793" s="16"/>
      <c r="XF793" s="16"/>
      <c r="XG793" s="16"/>
      <c r="XH793" s="16"/>
      <c r="XI793" s="16"/>
      <c r="XJ793" s="16"/>
      <c r="XK793" s="16"/>
      <c r="XL793" s="16"/>
      <c r="XM793" s="16"/>
      <c r="XN793" s="16"/>
      <c r="XO793" s="16"/>
      <c r="XP793" s="16"/>
      <c r="XQ793" s="16"/>
      <c r="XR793" s="16"/>
      <c r="XS793" s="16"/>
      <c r="XT793" s="16"/>
      <c r="XU793" s="16"/>
      <c r="XV793" s="16"/>
      <c r="XW793" s="16"/>
      <c r="XX793" s="16"/>
      <c r="XY793" s="16"/>
      <c r="XZ793" s="16"/>
      <c r="YA793" s="16"/>
      <c r="YB793" s="16"/>
      <c r="YC793" s="16"/>
      <c r="YD793" s="16"/>
      <c r="YE793" s="16"/>
      <c r="YF793" s="16"/>
      <c r="YG793" s="16"/>
      <c r="YH793" s="16"/>
      <c r="YI793" s="16"/>
      <c r="YJ793" s="16"/>
      <c r="YK793" s="16"/>
      <c r="YL793" s="16"/>
      <c r="YM793" s="16"/>
      <c r="YN793" s="16"/>
      <c r="YO793" s="16"/>
      <c r="YP793" s="16"/>
      <c r="YQ793" s="16"/>
      <c r="YR793" s="16"/>
      <c r="YS793" s="16"/>
      <c r="YT793" s="16"/>
      <c r="YU793" s="16"/>
      <c r="YV793" s="16"/>
      <c r="YW793" s="16"/>
      <c r="YX793" s="16"/>
      <c r="YY793" s="16"/>
      <c r="YZ793" s="16"/>
      <c r="ZA793" s="16"/>
      <c r="ZB793" s="16"/>
      <c r="ZC793" s="16"/>
      <c r="ZD793" s="16"/>
      <c r="ZE793" s="16"/>
      <c r="ZF793" s="16"/>
      <c r="ZG793" s="16"/>
      <c r="ZH793" s="16"/>
      <c r="ZI793" s="16"/>
      <c r="ZJ793" s="16"/>
      <c r="ZK793" s="16"/>
      <c r="ZL793" s="16"/>
      <c r="ZM793" s="16"/>
      <c r="ZN793" s="16"/>
      <c r="ZO793" s="16"/>
      <c r="ZP793" s="16"/>
      <c r="ZQ793" s="16"/>
      <c r="ZR793" s="16"/>
      <c r="ZS793" s="16"/>
      <c r="ZT793" s="16"/>
      <c r="ZU793" s="16"/>
      <c r="ZV793" s="16"/>
      <c r="ZW793" s="16"/>
      <c r="ZX793" s="16"/>
      <c r="ZY793" s="16"/>
      <c r="ZZ793" s="16"/>
      <c r="AAA793" s="16"/>
      <c r="AAB793" s="16"/>
      <c r="AAC793" s="16"/>
      <c r="AAD793" s="16"/>
      <c r="AAE793" s="16"/>
      <c r="AAF793" s="16"/>
      <c r="AAG793" s="16"/>
      <c r="AAH793" s="16"/>
      <c r="AAI793" s="16"/>
      <c r="AAJ793" s="16"/>
      <c r="AAK793" s="16"/>
      <c r="AAL793" s="16"/>
      <c r="AAM793" s="16"/>
      <c r="AAN793" s="16"/>
      <c r="AAO793" s="16"/>
      <c r="AAP793" s="16"/>
      <c r="AAQ793" s="16"/>
      <c r="AAR793" s="16"/>
      <c r="AAS793" s="16"/>
      <c r="AAT793" s="16"/>
      <c r="AAU793" s="16"/>
      <c r="AAV793" s="16"/>
      <c r="AAW793" s="16"/>
      <c r="AAX793" s="16"/>
      <c r="AAY793" s="16"/>
      <c r="AAZ793" s="16"/>
      <c r="ABA793" s="16"/>
      <c r="ABB793" s="16"/>
      <c r="ABC793" s="16"/>
      <c r="ABD793" s="16"/>
      <c r="ABE793" s="16"/>
      <c r="ABF793" s="16"/>
      <c r="ABG793" s="16"/>
      <c r="ABH793" s="16"/>
      <c r="ABI793" s="16"/>
      <c r="ABJ793" s="16"/>
      <c r="ABK793" s="16"/>
      <c r="ABL793" s="16"/>
      <c r="ABM793" s="16"/>
      <c r="ABN793" s="16"/>
      <c r="ABO793" s="16"/>
      <c r="ABP793" s="16"/>
      <c r="ABQ793" s="16"/>
      <c r="ABR793" s="16"/>
      <c r="ABS793" s="16"/>
      <c r="ABT793" s="16"/>
      <c r="ABU793" s="16"/>
      <c r="ABV793" s="16"/>
      <c r="ABW793" s="16"/>
      <c r="ABX793" s="16"/>
      <c r="ABY793" s="16"/>
      <c r="ABZ793" s="16"/>
      <c r="ACA793" s="16"/>
      <c r="ACB793" s="16"/>
      <c r="ACC793" s="16"/>
      <c r="ACD793" s="16"/>
      <c r="ACE793" s="16"/>
      <c r="ACF793" s="16"/>
      <c r="ACG793" s="16"/>
      <c r="ACH793" s="16"/>
      <c r="ACI793" s="16"/>
      <c r="ACJ793" s="16"/>
      <c r="ACK793" s="16"/>
      <c r="ACL793" s="16"/>
      <c r="ACM793" s="16"/>
      <c r="ACN793" s="16"/>
      <c r="ACO793" s="16"/>
      <c r="ACP793" s="16"/>
      <c r="ACQ793" s="16"/>
      <c r="ACR793" s="16"/>
      <c r="ACS793" s="16"/>
      <c r="ACT793" s="16"/>
      <c r="ACU793" s="16"/>
      <c r="ACV793" s="16"/>
      <c r="ACW793" s="16"/>
      <c r="ACX793" s="16"/>
      <c r="ACY793" s="16"/>
      <c r="ACZ793" s="16"/>
      <c r="ADA793" s="16"/>
      <c r="ADB793" s="16"/>
      <c r="ADC793" s="16"/>
      <c r="ADD793" s="16"/>
      <c r="ADE793" s="16"/>
      <c r="ADF793" s="16"/>
      <c r="ADG793" s="16"/>
      <c r="ADH793" s="16"/>
      <c r="ADI793" s="16"/>
      <c r="ADJ793" s="16"/>
      <c r="ADK793" s="16"/>
      <c r="ADL793" s="16"/>
      <c r="ADM793" s="16"/>
      <c r="ADN793" s="16"/>
      <c r="ADO793" s="16"/>
      <c r="ADP793" s="16"/>
      <c r="ADQ793" s="16"/>
      <c r="ADR793" s="16"/>
      <c r="ADS793" s="16"/>
      <c r="ADT793" s="16"/>
      <c r="ADU793" s="16"/>
      <c r="ADV793" s="16"/>
      <c r="ADW793" s="16"/>
      <c r="ADX793" s="16"/>
      <c r="ADY793" s="16"/>
      <c r="ADZ793" s="16"/>
      <c r="AEA793" s="16"/>
      <c r="AEB793" s="16"/>
      <c r="AEC793" s="16"/>
      <c r="AED793" s="16"/>
      <c r="AEE793" s="16"/>
      <c r="AEF793" s="16"/>
      <c r="AEG793" s="16"/>
      <c r="AEH793" s="16"/>
      <c r="AEI793" s="16"/>
      <c r="AEJ793" s="16"/>
      <c r="AEK793" s="16"/>
      <c r="AEL793" s="16"/>
      <c r="AEM793" s="16"/>
      <c r="AEN793" s="16"/>
      <c r="AEO793" s="16"/>
      <c r="AEP793" s="16"/>
      <c r="AEQ793" s="16"/>
      <c r="AER793" s="16"/>
      <c r="AES793" s="16"/>
      <c r="AET793" s="16"/>
      <c r="AEU793" s="16"/>
      <c r="AEV793" s="16"/>
      <c r="AEW793" s="16"/>
      <c r="AEX793" s="16"/>
      <c r="AEY793" s="16"/>
      <c r="AEZ793" s="16"/>
      <c r="AFA793" s="16"/>
      <c r="AFB793" s="16"/>
      <c r="AFC793" s="16"/>
      <c r="AFD793" s="16"/>
      <c r="AFE793" s="16"/>
      <c r="AFF793" s="16"/>
      <c r="AFG793" s="16"/>
      <c r="AFH793" s="16"/>
      <c r="AFI793" s="16"/>
      <c r="AFJ793" s="16"/>
      <c r="AFK793" s="16"/>
      <c r="AFL793" s="16"/>
      <c r="AFM793" s="16"/>
      <c r="AFN793" s="16"/>
      <c r="AFO793" s="16"/>
      <c r="AFP793" s="16"/>
      <c r="AFQ793" s="16"/>
      <c r="AFR793" s="16"/>
      <c r="AFS793" s="16"/>
      <c r="AFT793" s="16"/>
      <c r="AFU793" s="16"/>
      <c r="AFV793" s="16"/>
      <c r="AFW793" s="16"/>
      <c r="AFX793" s="16"/>
      <c r="AFY793" s="16"/>
      <c r="AFZ793" s="16"/>
      <c r="AGA793" s="16"/>
      <c r="AGB793" s="16"/>
      <c r="AGC793" s="16"/>
      <c r="AGD793" s="16"/>
      <c r="AGE793" s="16"/>
      <c r="AGF793" s="16"/>
      <c r="AGG793" s="16"/>
      <c r="AGH793" s="16"/>
      <c r="AGI793" s="16"/>
      <c r="AGJ793" s="16"/>
    </row>
    <row r="794" spans="1:868">
      <c r="A794" s="151" t="s">
        <v>256</v>
      </c>
      <c r="B794" s="34" t="s">
        <v>267</v>
      </c>
      <c r="C794" s="40" t="s">
        <v>182</v>
      </c>
      <c r="D794" s="69" t="s">
        <v>91</v>
      </c>
      <c r="E794" s="848">
        <v>9.5582536812193225E-2</v>
      </c>
      <c r="F794" s="34">
        <v>1</v>
      </c>
      <c r="G794" s="339" t="s">
        <v>126</v>
      </c>
      <c r="H794" s="29"/>
      <c r="I794" s="9">
        <v>1</v>
      </c>
      <c r="J794" s="9">
        <v>1</v>
      </c>
      <c r="K794" s="9">
        <v>1</v>
      </c>
      <c r="L794" s="9">
        <v>2</v>
      </c>
      <c r="M794" s="9">
        <v>2</v>
      </c>
      <c r="N794" s="185" t="str">
        <f t="shared" si="51"/>
        <v/>
      </c>
      <c r="O794" s="159">
        <f t="shared" si="52"/>
        <v>0.35859414261160716</v>
      </c>
      <c r="P794" s="63"/>
    </row>
    <row r="795" spans="1:868">
      <c r="A795" s="151" t="s">
        <v>256</v>
      </c>
      <c r="B795" s="34" t="s">
        <v>267</v>
      </c>
      <c r="C795" s="40" t="s">
        <v>182</v>
      </c>
      <c r="D795" s="69" t="s">
        <v>94</v>
      </c>
      <c r="E795" s="848">
        <v>0.24492099322799099</v>
      </c>
      <c r="F795" s="34">
        <v>1</v>
      </c>
      <c r="G795" s="339" t="s">
        <v>126</v>
      </c>
      <c r="H795" s="29"/>
      <c r="I795" s="9">
        <v>1</v>
      </c>
      <c r="J795" s="9">
        <v>1</v>
      </c>
      <c r="K795" s="9">
        <v>1</v>
      </c>
      <c r="L795" s="9">
        <v>2</v>
      </c>
      <c r="M795" s="9">
        <v>2</v>
      </c>
      <c r="N795" s="185" t="str">
        <f t="shared" si="51"/>
        <v/>
      </c>
      <c r="O795" s="159">
        <f t="shared" si="52"/>
        <v>0.35859414261160716</v>
      </c>
      <c r="P795" s="63"/>
    </row>
    <row r="796" spans="1:868">
      <c r="A796" s="151" t="s">
        <v>256</v>
      </c>
      <c r="B796" s="34" t="s">
        <v>267</v>
      </c>
      <c r="C796" s="40" t="s">
        <v>182</v>
      </c>
      <c r="D796" s="69" t="s">
        <v>96</v>
      </c>
      <c r="E796" s="848">
        <v>0.19953775038520799</v>
      </c>
      <c r="F796" s="34">
        <v>1</v>
      </c>
      <c r="G796" s="339" t="s">
        <v>126</v>
      </c>
      <c r="H796" s="29"/>
      <c r="I796" s="9">
        <v>1</v>
      </c>
      <c r="J796" s="9">
        <v>1</v>
      </c>
      <c r="K796" s="9">
        <v>1</v>
      </c>
      <c r="L796" s="9">
        <v>2</v>
      </c>
      <c r="M796" s="9">
        <v>2</v>
      </c>
      <c r="N796" s="185" t="str">
        <f t="shared" si="51"/>
        <v/>
      </c>
      <c r="O796" s="159">
        <f t="shared" si="52"/>
        <v>0.35859414261160716</v>
      </c>
      <c r="P796" s="63"/>
    </row>
    <row r="797" spans="1:868">
      <c r="A797" s="151" t="s">
        <v>256</v>
      </c>
      <c r="B797" s="34" t="s">
        <v>267</v>
      </c>
      <c r="C797" s="40" t="s">
        <v>182</v>
      </c>
      <c r="D797" s="69" t="s">
        <v>97</v>
      </c>
      <c r="E797" s="848">
        <v>0.3138111888111888</v>
      </c>
      <c r="F797" s="34">
        <v>1</v>
      </c>
      <c r="G797" s="339" t="s">
        <v>126</v>
      </c>
      <c r="H797" s="29"/>
      <c r="I797" s="9">
        <v>1</v>
      </c>
      <c r="J797" s="9">
        <v>1</v>
      </c>
      <c r="K797" s="9">
        <v>1</v>
      </c>
      <c r="L797" s="9">
        <v>2</v>
      </c>
      <c r="M797" s="9">
        <v>2</v>
      </c>
      <c r="N797" s="185" t="str">
        <f t="shared" si="51"/>
        <v/>
      </c>
      <c r="O797" s="159">
        <f t="shared" si="52"/>
        <v>0.35859414261160716</v>
      </c>
      <c r="P797" s="63"/>
    </row>
    <row r="798" spans="1:868">
      <c r="A798" s="151" t="s">
        <v>395</v>
      </c>
      <c r="B798" s="34" t="s">
        <v>258</v>
      </c>
      <c r="C798" s="40" t="s">
        <v>139</v>
      </c>
      <c r="D798" s="34" t="s">
        <v>139</v>
      </c>
      <c r="E798" s="262">
        <v>0.1</v>
      </c>
      <c r="F798" s="34">
        <v>1</v>
      </c>
      <c r="G798" s="40" t="s">
        <v>379</v>
      </c>
      <c r="H798" s="29">
        <v>1</v>
      </c>
      <c r="I798" s="9">
        <v>3</v>
      </c>
      <c r="J798" s="9">
        <v>2</v>
      </c>
      <c r="K798" s="9">
        <v>1</v>
      </c>
      <c r="L798" s="9">
        <v>1</v>
      </c>
      <c r="M798" s="9">
        <v>2</v>
      </c>
      <c r="N798" s="185">
        <f t="shared" si="51"/>
        <v>0.35859414261160716</v>
      </c>
      <c r="O798" s="159">
        <f t="shared" si="52"/>
        <v>0.48935255543384243</v>
      </c>
      <c r="P798" s="838"/>
    </row>
    <row r="799" spans="1:868" s="210" customFormat="1" ht="15.75" thickBot="1">
      <c r="A799" s="151" t="s">
        <v>398</v>
      </c>
      <c r="B799" s="34" t="s">
        <v>301</v>
      </c>
      <c r="C799" s="40" t="s">
        <v>139</v>
      </c>
      <c r="D799" s="34" t="s">
        <v>139</v>
      </c>
      <c r="E799" s="262">
        <v>0.1</v>
      </c>
      <c r="F799" s="232">
        <v>2</v>
      </c>
      <c r="G799" s="40" t="s">
        <v>302</v>
      </c>
      <c r="H799" s="29">
        <v>2</v>
      </c>
      <c r="I799" s="9">
        <v>2</v>
      </c>
      <c r="J799" s="9">
        <v>2</v>
      </c>
      <c r="K799" s="9">
        <v>2</v>
      </c>
      <c r="L799" s="9">
        <v>1</v>
      </c>
      <c r="M799" s="9">
        <v>1</v>
      </c>
      <c r="N799" s="185">
        <f t="shared" si="51"/>
        <v>0.2249354160293616</v>
      </c>
      <c r="O799" s="159">
        <f t="shared" si="52"/>
        <v>0.2249354160293616</v>
      </c>
      <c r="P799" s="838"/>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c r="CI799" s="16"/>
      <c r="CJ799" s="16"/>
      <c r="CK799" s="16"/>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c r="DW799" s="16"/>
      <c r="DX799" s="16"/>
      <c r="DY799" s="16"/>
      <c r="DZ799" s="16"/>
      <c r="EA799" s="16"/>
      <c r="EB799" s="16"/>
      <c r="EC799" s="16"/>
      <c r="ED799" s="16"/>
      <c r="EE799" s="16"/>
      <c r="EF799" s="16"/>
      <c r="EG799" s="16"/>
      <c r="EH799" s="16"/>
      <c r="EI799" s="16"/>
      <c r="EJ799" s="16"/>
      <c r="EK799" s="16"/>
      <c r="EL799" s="16"/>
      <c r="EM799" s="16"/>
      <c r="EN799" s="16"/>
      <c r="EO799" s="16"/>
      <c r="EP799" s="16"/>
      <c r="EQ799" s="16"/>
      <c r="ER799" s="16"/>
      <c r="ES799" s="16"/>
      <c r="ET799" s="16"/>
      <c r="EU799" s="16"/>
      <c r="EV799" s="16"/>
      <c r="EW799" s="16"/>
      <c r="EX799" s="16"/>
      <c r="EY799" s="16"/>
      <c r="EZ799" s="16"/>
      <c r="FA799" s="16"/>
      <c r="FB799" s="16"/>
      <c r="FC799" s="16"/>
      <c r="FD799" s="16"/>
      <c r="FE799" s="16"/>
      <c r="FF799" s="16"/>
      <c r="FG799" s="16"/>
      <c r="FH799" s="16"/>
      <c r="FI799" s="16"/>
      <c r="FJ799" s="16"/>
      <c r="FK799" s="16"/>
      <c r="FL799" s="16"/>
      <c r="FM799" s="16"/>
      <c r="FN799" s="16"/>
      <c r="FO799" s="16"/>
      <c r="FP799" s="16"/>
      <c r="FQ799" s="16"/>
      <c r="FR799" s="16"/>
      <c r="FS799" s="16"/>
      <c r="FT799" s="16"/>
      <c r="FU799" s="16"/>
      <c r="FV799" s="16"/>
      <c r="FW799" s="16"/>
      <c r="FX799" s="16"/>
      <c r="FY799" s="16"/>
      <c r="FZ799" s="16"/>
      <c r="GA799" s="16"/>
      <c r="GB799" s="16"/>
      <c r="GC799" s="16"/>
      <c r="GD799" s="16"/>
      <c r="GE799" s="16"/>
      <c r="GF799" s="16"/>
      <c r="GG799" s="16"/>
      <c r="GH799" s="16"/>
      <c r="GI799" s="16"/>
      <c r="GJ799" s="16"/>
      <c r="GK799" s="16"/>
      <c r="GL799" s="16"/>
      <c r="GM799" s="16"/>
      <c r="GN799" s="16"/>
      <c r="GO799" s="16"/>
      <c r="GP799" s="16"/>
      <c r="GQ799" s="16"/>
      <c r="GR799" s="16"/>
      <c r="GS799" s="16"/>
      <c r="GT799" s="16"/>
      <c r="GU799" s="16"/>
      <c r="GV799" s="16"/>
      <c r="GW799" s="16"/>
      <c r="GX799" s="16"/>
      <c r="GY799" s="16"/>
      <c r="GZ799" s="16"/>
      <c r="HA799" s="16"/>
      <c r="HB799" s="16"/>
      <c r="HC799" s="16"/>
      <c r="HD799" s="16"/>
      <c r="HE799" s="16"/>
      <c r="HF799" s="16"/>
      <c r="HG799" s="16"/>
      <c r="HH799" s="16"/>
      <c r="HI799" s="16"/>
      <c r="HJ799" s="16"/>
      <c r="HK799" s="16"/>
      <c r="HL799" s="16"/>
      <c r="HM799" s="16"/>
      <c r="HN799" s="16"/>
      <c r="HO799" s="16"/>
      <c r="HP799" s="16"/>
      <c r="HQ799" s="16"/>
      <c r="HR799" s="16"/>
      <c r="HS799" s="16"/>
      <c r="HT799" s="16"/>
      <c r="HU799" s="16"/>
      <c r="HV799" s="16"/>
      <c r="HW799" s="16"/>
      <c r="HX799" s="16"/>
      <c r="HY799" s="16"/>
      <c r="HZ799" s="16"/>
      <c r="IA799" s="16"/>
      <c r="IB799" s="16"/>
      <c r="IC799" s="16"/>
      <c r="ID799" s="16"/>
      <c r="IE799" s="16"/>
      <c r="IF799" s="16"/>
      <c r="IG799" s="16"/>
      <c r="IH799" s="16"/>
      <c r="II799" s="16"/>
      <c r="IJ799" s="16"/>
      <c r="IK799" s="16"/>
      <c r="IL799" s="16"/>
      <c r="IM799" s="16"/>
      <c r="IN799" s="16"/>
      <c r="IO799" s="16"/>
      <c r="IP799" s="16"/>
      <c r="IQ799" s="16"/>
      <c r="IR799" s="16"/>
      <c r="IS799" s="16"/>
      <c r="IT799" s="16"/>
      <c r="IU799" s="16"/>
      <c r="IV799" s="16"/>
      <c r="IW799" s="16"/>
      <c r="IX799" s="16"/>
      <c r="IY799" s="16"/>
      <c r="IZ799" s="16"/>
      <c r="JA799" s="16"/>
      <c r="JB799" s="16"/>
      <c r="JC799" s="16"/>
      <c r="JD799" s="16"/>
      <c r="JE799" s="16"/>
      <c r="JF799" s="16"/>
      <c r="JG799" s="16"/>
      <c r="JH799" s="16"/>
      <c r="JI799" s="16"/>
      <c r="JJ799" s="16"/>
      <c r="JK799" s="16"/>
      <c r="JL799" s="16"/>
      <c r="JM799" s="16"/>
      <c r="JN799" s="16"/>
      <c r="JO799" s="16"/>
      <c r="JP799" s="16"/>
      <c r="JQ799" s="16"/>
      <c r="JR799" s="16"/>
      <c r="JS799" s="16"/>
      <c r="JT799" s="16"/>
      <c r="JU799" s="16"/>
      <c r="JV799" s="16"/>
      <c r="JW799" s="16"/>
      <c r="JX799" s="16"/>
      <c r="JY799" s="16"/>
      <c r="JZ799" s="16"/>
      <c r="KA799" s="16"/>
      <c r="KB799" s="16"/>
      <c r="KC799" s="16"/>
      <c r="KD799" s="16"/>
      <c r="KE799" s="16"/>
      <c r="KF799" s="16"/>
      <c r="KG799" s="16"/>
      <c r="KH799" s="16"/>
      <c r="KI799" s="16"/>
      <c r="KJ799" s="16"/>
      <c r="KK799" s="16"/>
      <c r="KL799" s="16"/>
      <c r="KM799" s="16"/>
      <c r="KN799" s="16"/>
      <c r="KO799" s="16"/>
      <c r="KP799" s="16"/>
      <c r="KQ799" s="16"/>
      <c r="KR799" s="16"/>
      <c r="KS799" s="16"/>
      <c r="KT799" s="16"/>
      <c r="KU799" s="16"/>
      <c r="KV799" s="16"/>
      <c r="KW799" s="16"/>
      <c r="KX799" s="16"/>
      <c r="KY799" s="16"/>
      <c r="KZ799" s="16"/>
      <c r="LA799" s="16"/>
      <c r="LB799" s="16"/>
      <c r="LC799" s="16"/>
      <c r="LD799" s="16"/>
      <c r="LE799" s="16"/>
      <c r="LF799" s="16"/>
      <c r="LG799" s="16"/>
      <c r="LH799" s="16"/>
      <c r="LI799" s="16"/>
      <c r="LJ799" s="16"/>
      <c r="LK799" s="16"/>
      <c r="LL799" s="16"/>
      <c r="LM799" s="16"/>
      <c r="LN799" s="16"/>
      <c r="LO799" s="16"/>
      <c r="LP799" s="16"/>
      <c r="LQ799" s="16"/>
      <c r="LR799" s="16"/>
      <c r="LS799" s="16"/>
      <c r="LT799" s="16"/>
      <c r="LU799" s="16"/>
      <c r="LV799" s="16"/>
      <c r="LW799" s="16"/>
      <c r="LX799" s="16"/>
      <c r="LY799" s="16"/>
      <c r="LZ799" s="16"/>
      <c r="MA799" s="16"/>
      <c r="MB799" s="16"/>
      <c r="MC799" s="16"/>
      <c r="MD799" s="16"/>
      <c r="ME799" s="16"/>
      <c r="MF799" s="16"/>
      <c r="MG799" s="16"/>
      <c r="MH799" s="16"/>
      <c r="MI799" s="16"/>
      <c r="MJ799" s="16"/>
      <c r="MK799" s="16"/>
      <c r="ML799" s="16"/>
      <c r="MM799" s="16"/>
      <c r="MN799" s="16"/>
      <c r="MO799" s="16"/>
      <c r="MP799" s="16"/>
      <c r="MQ799" s="16"/>
      <c r="MR799" s="16"/>
      <c r="MS799" s="16"/>
      <c r="MT799" s="16"/>
      <c r="MU799" s="16"/>
      <c r="MV799" s="16"/>
      <c r="MW799" s="16"/>
      <c r="MX799" s="16"/>
      <c r="MY799" s="16"/>
      <c r="MZ799" s="16"/>
      <c r="NA799" s="16"/>
      <c r="NB799" s="16"/>
      <c r="NC799" s="16"/>
      <c r="ND799" s="16"/>
      <c r="NE799" s="16"/>
      <c r="NF799" s="16"/>
      <c r="NG799" s="16"/>
      <c r="NH799" s="16"/>
      <c r="NI799" s="16"/>
      <c r="NJ799" s="16"/>
      <c r="NK799" s="16"/>
      <c r="NL799" s="16"/>
      <c r="NM799" s="16"/>
      <c r="NN799" s="16"/>
      <c r="NO799" s="16"/>
      <c r="NP799" s="16"/>
      <c r="NQ799" s="16"/>
      <c r="NR799" s="16"/>
      <c r="NS799" s="16"/>
      <c r="NT799" s="16"/>
      <c r="NU799" s="16"/>
      <c r="NV799" s="16"/>
      <c r="NW799" s="16"/>
      <c r="NX799" s="16"/>
      <c r="NY799" s="16"/>
      <c r="NZ799" s="16"/>
      <c r="OA799" s="16"/>
      <c r="OB799" s="16"/>
      <c r="OC799" s="16"/>
      <c r="OD799" s="16"/>
      <c r="OE799" s="16"/>
      <c r="OF799" s="16"/>
      <c r="OG799" s="16"/>
      <c r="OH799" s="16"/>
      <c r="OI799" s="16"/>
      <c r="OJ799" s="16"/>
      <c r="OK799" s="16"/>
      <c r="OL799" s="16"/>
      <c r="OM799" s="16"/>
      <c r="ON799" s="16"/>
      <c r="OO799" s="16"/>
      <c r="OP799" s="16"/>
      <c r="OQ799" s="16"/>
      <c r="OR799" s="16"/>
      <c r="OS799" s="16"/>
      <c r="OT799" s="16"/>
      <c r="OU799" s="16"/>
      <c r="OV799" s="16"/>
      <c r="OW799" s="16"/>
      <c r="OX799" s="16"/>
      <c r="OY799" s="16"/>
      <c r="OZ799" s="16"/>
      <c r="PA799" s="16"/>
      <c r="PB799" s="16"/>
      <c r="PC799" s="16"/>
      <c r="PD799" s="16"/>
      <c r="PE799" s="16"/>
      <c r="PF799" s="16"/>
      <c r="PG799" s="16"/>
      <c r="PH799" s="16"/>
      <c r="PI799" s="16"/>
      <c r="PJ799" s="16"/>
      <c r="PK799" s="16"/>
      <c r="PL799" s="16"/>
      <c r="PM799" s="16"/>
      <c r="PN799" s="16"/>
      <c r="PO799" s="16"/>
      <c r="PP799" s="16"/>
      <c r="PQ799" s="16"/>
      <c r="PR799" s="16"/>
      <c r="PS799" s="16"/>
      <c r="PT799" s="16"/>
      <c r="PU799" s="16"/>
      <c r="PV799" s="16"/>
      <c r="PW799" s="16"/>
      <c r="PX799" s="16"/>
      <c r="PY799" s="16"/>
      <c r="PZ799" s="16"/>
      <c r="QA799" s="16"/>
      <c r="QB799" s="16"/>
      <c r="QC799" s="16"/>
      <c r="QD799" s="16"/>
      <c r="QE799" s="16"/>
      <c r="QF799" s="16"/>
      <c r="QG799" s="16"/>
      <c r="QH799" s="16"/>
      <c r="QI799" s="16"/>
      <c r="QJ799" s="16"/>
      <c r="QK799" s="16"/>
      <c r="QL799" s="16"/>
      <c r="QM799" s="16"/>
      <c r="QN799" s="16"/>
      <c r="QO799" s="16"/>
      <c r="QP799" s="16"/>
      <c r="QQ799" s="16"/>
      <c r="QR799" s="16"/>
      <c r="QS799" s="16"/>
      <c r="QT799" s="16"/>
      <c r="QU799" s="16"/>
      <c r="QV799" s="16"/>
      <c r="QW799" s="16"/>
      <c r="QX799" s="16"/>
      <c r="QY799" s="16"/>
      <c r="QZ799" s="16"/>
      <c r="RA799" s="16"/>
      <c r="RB799" s="16"/>
      <c r="RC799" s="16"/>
      <c r="RD799" s="16"/>
      <c r="RE799" s="16"/>
      <c r="RF799" s="16"/>
      <c r="RG799" s="16"/>
      <c r="RH799" s="16"/>
      <c r="RI799" s="16"/>
      <c r="RJ799" s="16"/>
      <c r="RK799" s="16"/>
      <c r="RL799" s="16"/>
      <c r="RM799" s="16"/>
      <c r="RN799" s="16"/>
      <c r="RO799" s="16"/>
      <c r="RP799" s="16"/>
      <c r="RQ799" s="16"/>
      <c r="RR799" s="16"/>
      <c r="RS799" s="16"/>
      <c r="RT799" s="16"/>
      <c r="RU799" s="16"/>
      <c r="RV799" s="16"/>
      <c r="RW799" s="16"/>
      <c r="RX799" s="16"/>
      <c r="RY799" s="16"/>
      <c r="RZ799" s="16"/>
      <c r="SA799" s="16"/>
      <c r="SB799" s="16"/>
      <c r="SC799" s="16"/>
      <c r="SD799" s="16"/>
      <c r="SE799" s="16"/>
      <c r="SF799" s="16"/>
      <c r="SG799" s="16"/>
      <c r="SH799" s="16"/>
      <c r="SI799" s="16"/>
      <c r="SJ799" s="16"/>
      <c r="SK799" s="16"/>
      <c r="SL799" s="16"/>
      <c r="SM799" s="16"/>
      <c r="SN799" s="16"/>
      <c r="SO799" s="16"/>
      <c r="SP799" s="16"/>
      <c r="SQ799" s="16"/>
      <c r="SR799" s="16"/>
      <c r="SS799" s="16"/>
      <c r="ST799" s="16"/>
      <c r="SU799" s="16"/>
      <c r="SV799" s="16"/>
      <c r="SW799" s="16"/>
      <c r="SX799" s="16"/>
      <c r="SY799" s="16"/>
      <c r="SZ799" s="16"/>
      <c r="TA799" s="16"/>
      <c r="TB799" s="16"/>
      <c r="TC799" s="16"/>
      <c r="TD799" s="16"/>
      <c r="TE799" s="16"/>
      <c r="TF799" s="16"/>
      <c r="TG799" s="16"/>
      <c r="TH799" s="16"/>
      <c r="TI799" s="16"/>
      <c r="TJ799" s="16"/>
      <c r="TK799" s="16"/>
      <c r="TL799" s="16"/>
      <c r="TM799" s="16"/>
      <c r="TN799" s="16"/>
      <c r="TO799" s="16"/>
      <c r="TP799" s="16"/>
      <c r="TQ799" s="16"/>
      <c r="TR799" s="16"/>
      <c r="TS799" s="16"/>
      <c r="TT799" s="16"/>
      <c r="TU799" s="16"/>
      <c r="TV799" s="16"/>
      <c r="TW799" s="16"/>
      <c r="TX799" s="16"/>
      <c r="TY799" s="16"/>
      <c r="TZ799" s="16"/>
      <c r="UA799" s="16"/>
      <c r="UB799" s="16"/>
      <c r="UC799" s="16"/>
      <c r="UD799" s="16"/>
      <c r="UE799" s="16"/>
      <c r="UF799" s="16"/>
      <c r="UG799" s="16"/>
      <c r="UH799" s="16"/>
      <c r="UI799" s="16"/>
      <c r="UJ799" s="16"/>
      <c r="UK799" s="16"/>
      <c r="UL799" s="16"/>
      <c r="UM799" s="16"/>
      <c r="UN799" s="16"/>
      <c r="UO799" s="16"/>
      <c r="UP799" s="16"/>
      <c r="UQ799" s="16"/>
      <c r="UR799" s="16"/>
      <c r="US799" s="16"/>
      <c r="UT799" s="16"/>
      <c r="UU799" s="16"/>
      <c r="UV799" s="16"/>
      <c r="UW799" s="16"/>
      <c r="UX799" s="16"/>
      <c r="UY799" s="16"/>
      <c r="UZ799" s="16"/>
      <c r="VA799" s="16"/>
      <c r="VB799" s="16"/>
      <c r="VC799" s="16"/>
      <c r="VD799" s="16"/>
      <c r="VE799" s="16"/>
      <c r="VF799" s="16"/>
      <c r="VG799" s="16"/>
      <c r="VH799" s="16"/>
      <c r="VI799" s="16"/>
      <c r="VJ799" s="16"/>
      <c r="VK799" s="16"/>
      <c r="VL799" s="16"/>
      <c r="VM799" s="16"/>
      <c r="VN799" s="16"/>
      <c r="VO799" s="16"/>
      <c r="VP799" s="16"/>
      <c r="VQ799" s="16"/>
      <c r="VR799" s="16"/>
      <c r="VS799" s="16"/>
      <c r="VT799" s="16"/>
      <c r="VU799" s="16"/>
      <c r="VV799" s="16"/>
      <c r="VW799" s="16"/>
      <c r="VX799" s="16"/>
      <c r="VY799" s="16"/>
      <c r="VZ799" s="16"/>
      <c r="WA799" s="16"/>
      <c r="WB799" s="16"/>
      <c r="WC799" s="16"/>
      <c r="WD799" s="16"/>
      <c r="WE799" s="16"/>
      <c r="WF799" s="16"/>
      <c r="WG799" s="16"/>
      <c r="WH799" s="16"/>
      <c r="WI799" s="16"/>
      <c r="WJ799" s="16"/>
      <c r="WK799" s="16"/>
      <c r="WL799" s="16"/>
      <c r="WM799" s="16"/>
      <c r="WN799" s="16"/>
      <c r="WO799" s="16"/>
      <c r="WP799" s="16"/>
      <c r="WQ799" s="16"/>
      <c r="WR799" s="16"/>
      <c r="WS799" s="16"/>
      <c r="WT799" s="16"/>
      <c r="WU799" s="16"/>
      <c r="WV799" s="16"/>
      <c r="WW799" s="16"/>
      <c r="WX799" s="16"/>
      <c r="WY799" s="16"/>
      <c r="WZ799" s="16"/>
      <c r="XA799" s="16"/>
      <c r="XB799" s="16"/>
      <c r="XC799" s="16"/>
      <c r="XD799" s="16"/>
      <c r="XE799" s="16"/>
      <c r="XF799" s="16"/>
      <c r="XG799" s="16"/>
      <c r="XH799" s="16"/>
      <c r="XI799" s="16"/>
      <c r="XJ799" s="16"/>
      <c r="XK799" s="16"/>
      <c r="XL799" s="16"/>
      <c r="XM799" s="16"/>
      <c r="XN799" s="16"/>
      <c r="XO799" s="16"/>
      <c r="XP799" s="16"/>
      <c r="XQ799" s="16"/>
      <c r="XR799" s="16"/>
      <c r="XS799" s="16"/>
      <c r="XT799" s="16"/>
      <c r="XU799" s="16"/>
      <c r="XV799" s="16"/>
      <c r="XW799" s="16"/>
      <c r="XX799" s="16"/>
      <c r="XY799" s="16"/>
      <c r="XZ799" s="16"/>
      <c r="YA799" s="16"/>
      <c r="YB799" s="16"/>
      <c r="YC799" s="16"/>
      <c r="YD799" s="16"/>
      <c r="YE799" s="16"/>
      <c r="YF799" s="16"/>
      <c r="YG799" s="16"/>
      <c r="YH799" s="16"/>
      <c r="YI799" s="16"/>
      <c r="YJ799" s="16"/>
      <c r="YK799" s="16"/>
      <c r="YL799" s="16"/>
      <c r="YM799" s="16"/>
      <c r="YN799" s="16"/>
      <c r="YO799" s="16"/>
      <c r="YP799" s="16"/>
      <c r="YQ799" s="16"/>
      <c r="YR799" s="16"/>
      <c r="YS799" s="16"/>
      <c r="YT799" s="16"/>
      <c r="YU799" s="16"/>
      <c r="YV799" s="16"/>
      <c r="YW799" s="16"/>
      <c r="YX799" s="16"/>
      <c r="YY799" s="16"/>
      <c r="YZ799" s="16"/>
      <c r="ZA799" s="16"/>
      <c r="ZB799" s="16"/>
      <c r="ZC799" s="16"/>
      <c r="ZD799" s="16"/>
      <c r="ZE799" s="16"/>
      <c r="ZF799" s="16"/>
      <c r="ZG799" s="16"/>
      <c r="ZH799" s="16"/>
      <c r="ZI799" s="16"/>
      <c r="ZJ799" s="16"/>
      <c r="ZK799" s="16"/>
      <c r="ZL799" s="16"/>
      <c r="ZM799" s="16"/>
      <c r="ZN799" s="16"/>
      <c r="ZO799" s="16"/>
      <c r="ZP799" s="16"/>
      <c r="ZQ799" s="16"/>
      <c r="ZR799" s="16"/>
      <c r="ZS799" s="16"/>
      <c r="ZT799" s="16"/>
      <c r="ZU799" s="16"/>
      <c r="ZV799" s="16"/>
      <c r="ZW799" s="16"/>
      <c r="ZX799" s="16"/>
      <c r="ZY799" s="16"/>
      <c r="ZZ799" s="16"/>
      <c r="AAA799" s="16"/>
      <c r="AAB799" s="16"/>
      <c r="AAC799" s="16"/>
      <c r="AAD799" s="16"/>
      <c r="AAE799" s="16"/>
      <c r="AAF799" s="16"/>
      <c r="AAG799" s="16"/>
      <c r="AAH799" s="16"/>
      <c r="AAI799" s="16"/>
      <c r="AAJ799" s="16"/>
      <c r="AAK799" s="16"/>
      <c r="AAL799" s="16"/>
      <c r="AAM799" s="16"/>
      <c r="AAN799" s="16"/>
      <c r="AAO799" s="16"/>
      <c r="AAP799" s="16"/>
      <c r="AAQ799" s="16"/>
      <c r="AAR799" s="16"/>
      <c r="AAS799" s="16"/>
      <c r="AAT799" s="16"/>
      <c r="AAU799" s="16"/>
      <c r="AAV799" s="16"/>
      <c r="AAW799" s="16"/>
      <c r="AAX799" s="16"/>
      <c r="AAY799" s="16"/>
      <c r="AAZ799" s="16"/>
      <c r="ABA799" s="16"/>
      <c r="ABB799" s="16"/>
      <c r="ABC799" s="16"/>
      <c r="ABD799" s="16"/>
      <c r="ABE799" s="16"/>
      <c r="ABF799" s="16"/>
      <c r="ABG799" s="16"/>
      <c r="ABH799" s="16"/>
      <c r="ABI799" s="16"/>
      <c r="ABJ799" s="16"/>
      <c r="ABK799" s="16"/>
      <c r="ABL799" s="16"/>
      <c r="ABM799" s="16"/>
      <c r="ABN799" s="16"/>
      <c r="ABO799" s="16"/>
      <c r="ABP799" s="16"/>
      <c r="ABQ799" s="16"/>
      <c r="ABR799" s="16"/>
      <c r="ABS799" s="16"/>
      <c r="ABT799" s="16"/>
      <c r="ABU799" s="16"/>
      <c r="ABV799" s="16"/>
      <c r="ABW799" s="16"/>
      <c r="ABX799" s="16"/>
      <c r="ABY799" s="16"/>
      <c r="ABZ799" s="16"/>
      <c r="ACA799" s="16"/>
      <c r="ACB799" s="16"/>
      <c r="ACC799" s="16"/>
      <c r="ACD799" s="16"/>
      <c r="ACE799" s="16"/>
      <c r="ACF799" s="16"/>
      <c r="ACG799" s="16"/>
      <c r="ACH799" s="16"/>
      <c r="ACI799" s="16"/>
      <c r="ACJ799" s="16"/>
      <c r="ACK799" s="16"/>
      <c r="ACL799" s="16"/>
      <c r="ACM799" s="16"/>
      <c r="ACN799" s="16"/>
      <c r="ACO799" s="16"/>
      <c r="ACP799" s="16"/>
      <c r="ACQ799" s="16"/>
      <c r="ACR799" s="16"/>
      <c r="ACS799" s="16"/>
      <c r="ACT799" s="16"/>
      <c r="ACU799" s="16"/>
      <c r="ACV799" s="16"/>
      <c r="ACW799" s="16"/>
      <c r="ACX799" s="16"/>
      <c r="ACY799" s="16"/>
      <c r="ACZ799" s="16"/>
      <c r="ADA799" s="16"/>
      <c r="ADB799" s="16"/>
      <c r="ADC799" s="16"/>
      <c r="ADD799" s="16"/>
      <c r="ADE799" s="16"/>
      <c r="ADF799" s="16"/>
      <c r="ADG799" s="16"/>
      <c r="ADH799" s="16"/>
      <c r="ADI799" s="16"/>
      <c r="ADJ799" s="16"/>
      <c r="ADK799" s="16"/>
      <c r="ADL799" s="16"/>
      <c r="ADM799" s="16"/>
      <c r="ADN799" s="16"/>
      <c r="ADO799" s="16"/>
      <c r="ADP799" s="16"/>
      <c r="ADQ799" s="16"/>
      <c r="ADR799" s="16"/>
      <c r="ADS799" s="16"/>
      <c r="ADT799" s="16"/>
      <c r="ADU799" s="16"/>
      <c r="ADV799" s="16"/>
      <c r="ADW799" s="16"/>
      <c r="ADX799" s="16"/>
      <c r="ADY799" s="16"/>
      <c r="ADZ799" s="16"/>
      <c r="AEA799" s="16"/>
      <c r="AEB799" s="16"/>
      <c r="AEC799" s="16"/>
      <c r="AED799" s="16"/>
      <c r="AEE799" s="16"/>
      <c r="AEF799" s="16"/>
      <c r="AEG799" s="16"/>
      <c r="AEH799" s="16"/>
      <c r="AEI799" s="16"/>
      <c r="AEJ799" s="16"/>
      <c r="AEK799" s="16"/>
      <c r="AEL799" s="16"/>
      <c r="AEM799" s="16"/>
      <c r="AEN799" s="16"/>
      <c r="AEO799" s="16"/>
      <c r="AEP799" s="16"/>
      <c r="AEQ799" s="16"/>
      <c r="AER799" s="16"/>
      <c r="AES799" s="16"/>
      <c r="AET799" s="16"/>
      <c r="AEU799" s="16"/>
      <c r="AEV799" s="16"/>
      <c r="AEW799" s="16"/>
      <c r="AEX799" s="16"/>
      <c r="AEY799" s="16"/>
      <c r="AEZ799" s="16"/>
      <c r="AFA799" s="16"/>
      <c r="AFB799" s="16"/>
      <c r="AFC799" s="16"/>
      <c r="AFD799" s="16"/>
      <c r="AFE799" s="16"/>
      <c r="AFF799" s="16"/>
      <c r="AFG799" s="16"/>
      <c r="AFH799" s="16"/>
      <c r="AFI799" s="16"/>
      <c r="AFJ799" s="16"/>
      <c r="AFK799" s="16"/>
      <c r="AFL799" s="16"/>
      <c r="AFM799" s="16"/>
      <c r="AFN799" s="16"/>
      <c r="AFO799" s="16"/>
      <c r="AFP799" s="16"/>
      <c r="AFQ799" s="16"/>
      <c r="AFR799" s="16"/>
      <c r="AFS799" s="16"/>
      <c r="AFT799" s="16"/>
      <c r="AFU799" s="16"/>
      <c r="AFV799" s="16"/>
      <c r="AFW799" s="16"/>
      <c r="AFX799" s="16"/>
      <c r="AFY799" s="16"/>
      <c r="AFZ799" s="16"/>
      <c r="AGA799" s="16"/>
      <c r="AGB799" s="16"/>
      <c r="AGC799" s="16"/>
      <c r="AGD799" s="16"/>
      <c r="AGE799" s="16"/>
      <c r="AGF799" s="16"/>
      <c r="AGG799" s="16"/>
      <c r="AGH799" s="16"/>
      <c r="AGI799" s="16"/>
      <c r="AGJ799" s="16"/>
    </row>
    <row r="800" spans="1:868" s="833" customFormat="1">
      <c r="A800" s="151" t="s">
        <v>398</v>
      </c>
      <c r="B800" s="34" t="s">
        <v>301</v>
      </c>
      <c r="C800" s="40" t="s">
        <v>139</v>
      </c>
      <c r="D800" s="34" t="s">
        <v>139</v>
      </c>
      <c r="E800" s="262">
        <v>0.02</v>
      </c>
      <c r="F800" s="232">
        <v>2</v>
      </c>
      <c r="G800" s="40" t="s">
        <v>302</v>
      </c>
      <c r="H800" s="29">
        <v>2</v>
      </c>
      <c r="I800" s="9">
        <v>2</v>
      </c>
      <c r="J800" s="9">
        <v>2</v>
      </c>
      <c r="K800" s="9">
        <v>2</v>
      </c>
      <c r="L800" s="9">
        <v>1</v>
      </c>
      <c r="M800" s="9">
        <v>1</v>
      </c>
      <c r="N800" s="185">
        <f t="shared" si="51"/>
        <v>0.2249354160293616</v>
      </c>
      <c r="O800" s="159">
        <f t="shared" si="52"/>
        <v>0.2249354160293616</v>
      </c>
      <c r="P800" s="838"/>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c r="CI800" s="16"/>
      <c r="CJ800" s="16"/>
      <c r="CK800" s="16"/>
      <c r="CL800" s="16"/>
      <c r="CM800" s="16"/>
      <c r="CN800" s="16"/>
      <c r="CO800" s="16"/>
      <c r="CP800" s="16"/>
      <c r="CQ800" s="16"/>
      <c r="CR800" s="16"/>
      <c r="CS800" s="16"/>
      <c r="CT800" s="16"/>
      <c r="CU800" s="16"/>
      <c r="CV800" s="16"/>
      <c r="CW800" s="16"/>
      <c r="CX800" s="16"/>
      <c r="CY800" s="16"/>
      <c r="CZ800" s="16"/>
      <c r="DA800" s="16"/>
      <c r="DB800" s="16"/>
      <c r="DC800" s="16"/>
      <c r="DD800" s="16"/>
      <c r="DE800" s="16"/>
      <c r="DF800" s="16"/>
      <c r="DG800" s="16"/>
      <c r="DH800" s="16"/>
      <c r="DI800" s="16"/>
      <c r="DJ800" s="16"/>
      <c r="DK800" s="16"/>
      <c r="DL800" s="16"/>
      <c r="DM800" s="16"/>
      <c r="DN800" s="16"/>
      <c r="DO800" s="16"/>
      <c r="DP800" s="16"/>
      <c r="DQ800" s="16"/>
      <c r="DR800" s="16"/>
      <c r="DS800" s="16"/>
      <c r="DT800" s="16"/>
      <c r="DU800" s="16"/>
      <c r="DV800" s="16"/>
      <c r="DW800" s="16"/>
      <c r="DX800" s="16"/>
      <c r="DY800" s="16"/>
      <c r="DZ800" s="16"/>
      <c r="EA800" s="16"/>
      <c r="EB800" s="16"/>
      <c r="EC800" s="16"/>
      <c r="ED800" s="16"/>
      <c r="EE800" s="16"/>
      <c r="EF800" s="16"/>
      <c r="EG800" s="16"/>
      <c r="EH800" s="16"/>
      <c r="EI800" s="16"/>
      <c r="EJ800" s="16"/>
      <c r="EK800" s="16"/>
      <c r="EL800" s="16"/>
      <c r="EM800" s="16"/>
      <c r="EN800" s="16"/>
      <c r="EO800" s="16"/>
      <c r="EP800" s="16"/>
      <c r="EQ800" s="16"/>
      <c r="ER800" s="16"/>
      <c r="ES800" s="16"/>
      <c r="ET800" s="16"/>
      <c r="EU800" s="16"/>
      <c r="EV800" s="16"/>
      <c r="EW800" s="16"/>
      <c r="EX800" s="16"/>
      <c r="EY800" s="16"/>
      <c r="EZ800" s="16"/>
      <c r="FA800" s="16"/>
      <c r="FB800" s="16"/>
      <c r="FC800" s="16"/>
      <c r="FD800" s="16"/>
      <c r="FE800" s="16"/>
      <c r="FF800" s="16"/>
      <c r="FG800" s="16"/>
      <c r="FH800" s="16"/>
      <c r="FI800" s="16"/>
      <c r="FJ800" s="16"/>
      <c r="FK800" s="16"/>
      <c r="FL800" s="16"/>
      <c r="FM800" s="16"/>
      <c r="FN800" s="16"/>
      <c r="FO800" s="16"/>
      <c r="FP800" s="16"/>
      <c r="FQ800" s="16"/>
      <c r="FR800" s="16"/>
      <c r="FS800" s="16"/>
      <c r="FT800" s="16"/>
      <c r="FU800" s="16"/>
      <c r="FV800" s="16"/>
      <c r="FW800" s="16"/>
      <c r="FX800" s="16"/>
      <c r="FY800" s="16"/>
      <c r="FZ800" s="16"/>
      <c r="GA800" s="16"/>
      <c r="GB800" s="16"/>
      <c r="GC800" s="16"/>
      <c r="GD800" s="16"/>
      <c r="GE800" s="16"/>
      <c r="GF800" s="16"/>
      <c r="GG800" s="16"/>
      <c r="GH800" s="16"/>
      <c r="GI800" s="16"/>
      <c r="GJ800" s="16"/>
      <c r="GK800" s="16"/>
      <c r="GL800" s="16"/>
      <c r="GM800" s="16"/>
      <c r="GN800" s="16"/>
      <c r="GO800" s="16"/>
      <c r="GP800" s="16"/>
      <c r="GQ800" s="16"/>
      <c r="GR800" s="16"/>
      <c r="GS800" s="16"/>
      <c r="GT800" s="16"/>
      <c r="GU800" s="16"/>
      <c r="GV800" s="16"/>
      <c r="GW800" s="16"/>
      <c r="GX800" s="16"/>
      <c r="GY800" s="16"/>
      <c r="GZ800" s="16"/>
      <c r="HA800" s="16"/>
      <c r="HB800" s="16"/>
      <c r="HC800" s="16"/>
      <c r="HD800" s="16"/>
      <c r="HE800" s="16"/>
      <c r="HF800" s="16"/>
      <c r="HG800" s="16"/>
      <c r="HH800" s="16"/>
      <c r="HI800" s="16"/>
      <c r="HJ800" s="16"/>
      <c r="HK800" s="16"/>
      <c r="HL800" s="16"/>
      <c r="HM800" s="16"/>
      <c r="HN800" s="16"/>
      <c r="HO800" s="16"/>
      <c r="HP800" s="16"/>
      <c r="HQ800" s="16"/>
      <c r="HR800" s="16"/>
      <c r="HS800" s="16"/>
      <c r="HT800" s="16"/>
      <c r="HU800" s="16"/>
      <c r="HV800" s="16"/>
      <c r="HW800" s="16"/>
      <c r="HX800" s="16"/>
      <c r="HY800" s="16"/>
      <c r="HZ800" s="16"/>
      <c r="IA800" s="16"/>
      <c r="IB800" s="16"/>
      <c r="IC800" s="16"/>
      <c r="ID800" s="16"/>
      <c r="IE800" s="16"/>
      <c r="IF800" s="16"/>
      <c r="IG800" s="16"/>
      <c r="IH800" s="16"/>
      <c r="II800" s="16"/>
      <c r="IJ800" s="16"/>
      <c r="IK800" s="16"/>
      <c r="IL800" s="16"/>
      <c r="IM800" s="16"/>
      <c r="IN800" s="16"/>
      <c r="IO800" s="16"/>
      <c r="IP800" s="16"/>
      <c r="IQ800" s="16"/>
      <c r="IR800" s="16"/>
      <c r="IS800" s="16"/>
      <c r="IT800" s="16"/>
      <c r="IU800" s="16"/>
      <c r="IV800" s="16"/>
      <c r="IW800" s="16"/>
      <c r="IX800" s="16"/>
      <c r="IY800" s="16"/>
      <c r="IZ800" s="16"/>
      <c r="JA800" s="16"/>
      <c r="JB800" s="16"/>
      <c r="JC800" s="16"/>
      <c r="JD800" s="16"/>
      <c r="JE800" s="16"/>
      <c r="JF800" s="16"/>
      <c r="JG800" s="16"/>
      <c r="JH800" s="16"/>
      <c r="JI800" s="16"/>
      <c r="JJ800" s="16"/>
      <c r="JK800" s="16"/>
      <c r="JL800" s="16"/>
      <c r="JM800" s="16"/>
      <c r="JN800" s="16"/>
      <c r="JO800" s="16"/>
      <c r="JP800" s="16"/>
      <c r="JQ800" s="16"/>
      <c r="JR800" s="16"/>
      <c r="JS800" s="16"/>
      <c r="JT800" s="16"/>
      <c r="JU800" s="16"/>
      <c r="JV800" s="16"/>
      <c r="JW800" s="16"/>
      <c r="JX800" s="16"/>
      <c r="JY800" s="16"/>
      <c r="JZ800" s="16"/>
      <c r="KA800" s="16"/>
      <c r="KB800" s="16"/>
      <c r="KC800" s="16"/>
      <c r="KD800" s="16"/>
      <c r="KE800" s="16"/>
      <c r="KF800" s="16"/>
      <c r="KG800" s="16"/>
      <c r="KH800" s="16"/>
      <c r="KI800" s="16"/>
      <c r="KJ800" s="16"/>
      <c r="KK800" s="16"/>
      <c r="KL800" s="16"/>
      <c r="KM800" s="16"/>
      <c r="KN800" s="16"/>
      <c r="KO800" s="16"/>
      <c r="KP800" s="16"/>
      <c r="KQ800" s="16"/>
      <c r="KR800" s="16"/>
      <c r="KS800" s="16"/>
      <c r="KT800" s="16"/>
      <c r="KU800" s="16"/>
      <c r="KV800" s="16"/>
      <c r="KW800" s="16"/>
      <c r="KX800" s="16"/>
      <c r="KY800" s="16"/>
      <c r="KZ800" s="16"/>
      <c r="LA800" s="16"/>
      <c r="LB800" s="16"/>
      <c r="LC800" s="16"/>
      <c r="LD800" s="16"/>
      <c r="LE800" s="16"/>
      <c r="LF800" s="16"/>
      <c r="LG800" s="16"/>
      <c r="LH800" s="16"/>
      <c r="LI800" s="16"/>
      <c r="LJ800" s="16"/>
      <c r="LK800" s="16"/>
      <c r="LL800" s="16"/>
      <c r="LM800" s="16"/>
      <c r="LN800" s="16"/>
      <c r="LO800" s="16"/>
      <c r="LP800" s="16"/>
      <c r="LQ800" s="16"/>
      <c r="LR800" s="16"/>
      <c r="LS800" s="16"/>
      <c r="LT800" s="16"/>
      <c r="LU800" s="16"/>
      <c r="LV800" s="16"/>
      <c r="LW800" s="16"/>
      <c r="LX800" s="16"/>
      <c r="LY800" s="16"/>
      <c r="LZ800" s="16"/>
      <c r="MA800" s="16"/>
      <c r="MB800" s="16"/>
      <c r="MC800" s="16"/>
      <c r="MD800" s="16"/>
      <c r="ME800" s="16"/>
      <c r="MF800" s="16"/>
      <c r="MG800" s="16"/>
      <c r="MH800" s="16"/>
      <c r="MI800" s="16"/>
      <c r="MJ800" s="16"/>
      <c r="MK800" s="16"/>
      <c r="ML800" s="16"/>
      <c r="MM800" s="16"/>
      <c r="MN800" s="16"/>
      <c r="MO800" s="16"/>
      <c r="MP800" s="16"/>
      <c r="MQ800" s="16"/>
      <c r="MR800" s="16"/>
      <c r="MS800" s="16"/>
      <c r="MT800" s="16"/>
      <c r="MU800" s="16"/>
      <c r="MV800" s="16"/>
      <c r="MW800" s="16"/>
      <c r="MX800" s="16"/>
      <c r="MY800" s="16"/>
      <c r="MZ800" s="16"/>
      <c r="NA800" s="16"/>
      <c r="NB800" s="16"/>
      <c r="NC800" s="16"/>
      <c r="ND800" s="16"/>
      <c r="NE800" s="16"/>
      <c r="NF800" s="16"/>
      <c r="NG800" s="16"/>
      <c r="NH800" s="16"/>
      <c r="NI800" s="16"/>
      <c r="NJ800" s="16"/>
      <c r="NK800" s="16"/>
      <c r="NL800" s="16"/>
      <c r="NM800" s="16"/>
      <c r="NN800" s="16"/>
      <c r="NO800" s="16"/>
      <c r="NP800" s="16"/>
      <c r="NQ800" s="16"/>
      <c r="NR800" s="16"/>
      <c r="NS800" s="16"/>
      <c r="NT800" s="16"/>
      <c r="NU800" s="16"/>
      <c r="NV800" s="16"/>
      <c r="NW800" s="16"/>
      <c r="NX800" s="16"/>
      <c r="NY800" s="16"/>
      <c r="NZ800" s="16"/>
      <c r="OA800" s="16"/>
      <c r="OB800" s="16"/>
      <c r="OC800" s="16"/>
      <c r="OD800" s="16"/>
      <c r="OE800" s="16"/>
      <c r="OF800" s="16"/>
      <c r="OG800" s="16"/>
      <c r="OH800" s="16"/>
      <c r="OI800" s="16"/>
      <c r="OJ800" s="16"/>
      <c r="OK800" s="16"/>
      <c r="OL800" s="16"/>
      <c r="OM800" s="16"/>
      <c r="ON800" s="16"/>
      <c r="OO800" s="16"/>
      <c r="OP800" s="16"/>
      <c r="OQ800" s="16"/>
      <c r="OR800" s="16"/>
      <c r="OS800" s="16"/>
      <c r="OT800" s="16"/>
      <c r="OU800" s="16"/>
      <c r="OV800" s="16"/>
      <c r="OW800" s="16"/>
      <c r="OX800" s="16"/>
      <c r="OY800" s="16"/>
      <c r="OZ800" s="16"/>
      <c r="PA800" s="16"/>
      <c r="PB800" s="16"/>
      <c r="PC800" s="16"/>
      <c r="PD800" s="16"/>
      <c r="PE800" s="16"/>
      <c r="PF800" s="16"/>
      <c r="PG800" s="16"/>
      <c r="PH800" s="16"/>
      <c r="PI800" s="16"/>
      <c r="PJ800" s="16"/>
      <c r="PK800" s="16"/>
      <c r="PL800" s="16"/>
      <c r="PM800" s="16"/>
      <c r="PN800" s="16"/>
      <c r="PO800" s="16"/>
      <c r="PP800" s="16"/>
      <c r="PQ800" s="16"/>
      <c r="PR800" s="16"/>
      <c r="PS800" s="16"/>
      <c r="PT800" s="16"/>
      <c r="PU800" s="16"/>
      <c r="PV800" s="16"/>
      <c r="PW800" s="16"/>
      <c r="PX800" s="16"/>
      <c r="PY800" s="16"/>
      <c r="PZ800" s="16"/>
      <c r="QA800" s="16"/>
      <c r="QB800" s="16"/>
      <c r="QC800" s="16"/>
      <c r="QD800" s="16"/>
      <c r="QE800" s="16"/>
      <c r="QF800" s="16"/>
      <c r="QG800" s="16"/>
      <c r="QH800" s="16"/>
      <c r="QI800" s="16"/>
      <c r="QJ800" s="16"/>
      <c r="QK800" s="16"/>
      <c r="QL800" s="16"/>
      <c r="QM800" s="16"/>
      <c r="QN800" s="16"/>
      <c r="QO800" s="16"/>
      <c r="QP800" s="16"/>
      <c r="QQ800" s="16"/>
      <c r="QR800" s="16"/>
      <c r="QS800" s="16"/>
      <c r="QT800" s="16"/>
      <c r="QU800" s="16"/>
      <c r="QV800" s="16"/>
      <c r="QW800" s="16"/>
      <c r="QX800" s="16"/>
      <c r="QY800" s="16"/>
      <c r="QZ800" s="16"/>
      <c r="RA800" s="16"/>
      <c r="RB800" s="16"/>
      <c r="RC800" s="16"/>
      <c r="RD800" s="16"/>
      <c r="RE800" s="16"/>
      <c r="RF800" s="16"/>
      <c r="RG800" s="16"/>
      <c r="RH800" s="16"/>
      <c r="RI800" s="16"/>
      <c r="RJ800" s="16"/>
      <c r="RK800" s="16"/>
      <c r="RL800" s="16"/>
      <c r="RM800" s="16"/>
      <c r="RN800" s="16"/>
      <c r="RO800" s="16"/>
      <c r="RP800" s="16"/>
      <c r="RQ800" s="16"/>
      <c r="RR800" s="16"/>
      <c r="RS800" s="16"/>
      <c r="RT800" s="16"/>
      <c r="RU800" s="16"/>
      <c r="RV800" s="16"/>
      <c r="RW800" s="16"/>
      <c r="RX800" s="16"/>
      <c r="RY800" s="16"/>
      <c r="RZ800" s="16"/>
      <c r="SA800" s="16"/>
      <c r="SB800" s="16"/>
      <c r="SC800" s="16"/>
      <c r="SD800" s="16"/>
      <c r="SE800" s="16"/>
      <c r="SF800" s="16"/>
      <c r="SG800" s="16"/>
      <c r="SH800" s="16"/>
      <c r="SI800" s="16"/>
      <c r="SJ800" s="16"/>
      <c r="SK800" s="16"/>
      <c r="SL800" s="16"/>
      <c r="SM800" s="16"/>
      <c r="SN800" s="16"/>
      <c r="SO800" s="16"/>
      <c r="SP800" s="16"/>
      <c r="SQ800" s="16"/>
      <c r="SR800" s="16"/>
      <c r="SS800" s="16"/>
      <c r="ST800" s="16"/>
      <c r="SU800" s="16"/>
      <c r="SV800" s="16"/>
      <c r="SW800" s="16"/>
      <c r="SX800" s="16"/>
      <c r="SY800" s="16"/>
      <c r="SZ800" s="16"/>
      <c r="TA800" s="16"/>
      <c r="TB800" s="16"/>
      <c r="TC800" s="16"/>
      <c r="TD800" s="16"/>
      <c r="TE800" s="16"/>
      <c r="TF800" s="16"/>
      <c r="TG800" s="16"/>
      <c r="TH800" s="16"/>
      <c r="TI800" s="16"/>
      <c r="TJ800" s="16"/>
      <c r="TK800" s="16"/>
      <c r="TL800" s="16"/>
      <c r="TM800" s="16"/>
      <c r="TN800" s="16"/>
      <c r="TO800" s="16"/>
      <c r="TP800" s="16"/>
      <c r="TQ800" s="16"/>
      <c r="TR800" s="16"/>
      <c r="TS800" s="16"/>
      <c r="TT800" s="16"/>
      <c r="TU800" s="16"/>
      <c r="TV800" s="16"/>
      <c r="TW800" s="16"/>
      <c r="TX800" s="16"/>
      <c r="TY800" s="16"/>
      <c r="TZ800" s="16"/>
      <c r="UA800" s="16"/>
      <c r="UB800" s="16"/>
      <c r="UC800" s="16"/>
      <c r="UD800" s="16"/>
      <c r="UE800" s="16"/>
      <c r="UF800" s="16"/>
      <c r="UG800" s="16"/>
      <c r="UH800" s="16"/>
      <c r="UI800" s="16"/>
      <c r="UJ800" s="16"/>
      <c r="UK800" s="16"/>
      <c r="UL800" s="16"/>
      <c r="UM800" s="16"/>
      <c r="UN800" s="16"/>
      <c r="UO800" s="16"/>
      <c r="UP800" s="16"/>
      <c r="UQ800" s="16"/>
      <c r="UR800" s="16"/>
      <c r="US800" s="16"/>
      <c r="UT800" s="16"/>
      <c r="UU800" s="16"/>
      <c r="UV800" s="16"/>
      <c r="UW800" s="16"/>
      <c r="UX800" s="16"/>
      <c r="UY800" s="16"/>
      <c r="UZ800" s="16"/>
      <c r="VA800" s="16"/>
      <c r="VB800" s="16"/>
      <c r="VC800" s="16"/>
      <c r="VD800" s="16"/>
      <c r="VE800" s="16"/>
      <c r="VF800" s="16"/>
      <c r="VG800" s="16"/>
      <c r="VH800" s="16"/>
      <c r="VI800" s="16"/>
      <c r="VJ800" s="16"/>
      <c r="VK800" s="16"/>
      <c r="VL800" s="16"/>
      <c r="VM800" s="16"/>
      <c r="VN800" s="16"/>
      <c r="VO800" s="16"/>
      <c r="VP800" s="16"/>
      <c r="VQ800" s="16"/>
      <c r="VR800" s="16"/>
      <c r="VS800" s="16"/>
      <c r="VT800" s="16"/>
      <c r="VU800" s="16"/>
      <c r="VV800" s="16"/>
      <c r="VW800" s="16"/>
      <c r="VX800" s="16"/>
      <c r="VY800" s="16"/>
      <c r="VZ800" s="16"/>
      <c r="WA800" s="16"/>
      <c r="WB800" s="16"/>
      <c r="WC800" s="16"/>
      <c r="WD800" s="16"/>
      <c r="WE800" s="16"/>
      <c r="WF800" s="16"/>
      <c r="WG800" s="16"/>
      <c r="WH800" s="16"/>
      <c r="WI800" s="16"/>
      <c r="WJ800" s="16"/>
      <c r="WK800" s="16"/>
      <c r="WL800" s="16"/>
      <c r="WM800" s="16"/>
      <c r="WN800" s="16"/>
      <c r="WO800" s="16"/>
      <c r="WP800" s="16"/>
      <c r="WQ800" s="16"/>
      <c r="WR800" s="16"/>
      <c r="WS800" s="16"/>
      <c r="WT800" s="16"/>
      <c r="WU800" s="16"/>
      <c r="WV800" s="16"/>
      <c r="WW800" s="16"/>
      <c r="WX800" s="16"/>
      <c r="WY800" s="16"/>
      <c r="WZ800" s="16"/>
      <c r="XA800" s="16"/>
      <c r="XB800" s="16"/>
      <c r="XC800" s="16"/>
      <c r="XD800" s="16"/>
      <c r="XE800" s="16"/>
      <c r="XF800" s="16"/>
      <c r="XG800" s="16"/>
      <c r="XH800" s="16"/>
      <c r="XI800" s="16"/>
      <c r="XJ800" s="16"/>
      <c r="XK800" s="16"/>
      <c r="XL800" s="16"/>
      <c r="XM800" s="16"/>
      <c r="XN800" s="16"/>
      <c r="XO800" s="16"/>
      <c r="XP800" s="16"/>
      <c r="XQ800" s="16"/>
      <c r="XR800" s="16"/>
      <c r="XS800" s="16"/>
      <c r="XT800" s="16"/>
      <c r="XU800" s="16"/>
      <c r="XV800" s="16"/>
      <c r="XW800" s="16"/>
      <c r="XX800" s="16"/>
      <c r="XY800" s="16"/>
      <c r="XZ800" s="16"/>
      <c r="YA800" s="16"/>
      <c r="YB800" s="16"/>
      <c r="YC800" s="16"/>
      <c r="YD800" s="16"/>
      <c r="YE800" s="16"/>
      <c r="YF800" s="16"/>
      <c r="YG800" s="16"/>
      <c r="YH800" s="16"/>
      <c r="YI800" s="16"/>
      <c r="YJ800" s="16"/>
      <c r="YK800" s="16"/>
      <c r="YL800" s="16"/>
      <c r="YM800" s="16"/>
      <c r="YN800" s="16"/>
      <c r="YO800" s="16"/>
      <c r="YP800" s="16"/>
      <c r="YQ800" s="16"/>
      <c r="YR800" s="16"/>
      <c r="YS800" s="16"/>
      <c r="YT800" s="16"/>
      <c r="YU800" s="16"/>
      <c r="YV800" s="16"/>
      <c r="YW800" s="16"/>
      <c r="YX800" s="16"/>
      <c r="YY800" s="16"/>
      <c r="YZ800" s="16"/>
      <c r="ZA800" s="16"/>
      <c r="ZB800" s="16"/>
      <c r="ZC800" s="16"/>
      <c r="ZD800" s="16"/>
      <c r="ZE800" s="16"/>
      <c r="ZF800" s="16"/>
      <c r="ZG800" s="16"/>
      <c r="ZH800" s="16"/>
      <c r="ZI800" s="16"/>
      <c r="ZJ800" s="16"/>
      <c r="ZK800" s="16"/>
      <c r="ZL800" s="16"/>
      <c r="ZM800" s="16"/>
      <c r="ZN800" s="16"/>
      <c r="ZO800" s="16"/>
      <c r="ZP800" s="16"/>
      <c r="ZQ800" s="16"/>
      <c r="ZR800" s="16"/>
      <c r="ZS800" s="16"/>
      <c r="ZT800" s="16"/>
      <c r="ZU800" s="16"/>
      <c r="ZV800" s="16"/>
      <c r="ZW800" s="16"/>
      <c r="ZX800" s="16"/>
      <c r="ZY800" s="16"/>
      <c r="ZZ800" s="16"/>
      <c r="AAA800" s="16"/>
      <c r="AAB800" s="16"/>
      <c r="AAC800" s="16"/>
      <c r="AAD800" s="16"/>
      <c r="AAE800" s="16"/>
      <c r="AAF800" s="16"/>
      <c r="AAG800" s="16"/>
      <c r="AAH800" s="16"/>
      <c r="AAI800" s="16"/>
      <c r="AAJ800" s="16"/>
      <c r="AAK800" s="16"/>
      <c r="AAL800" s="16"/>
      <c r="AAM800" s="16"/>
      <c r="AAN800" s="16"/>
      <c r="AAO800" s="16"/>
      <c r="AAP800" s="16"/>
      <c r="AAQ800" s="16"/>
      <c r="AAR800" s="16"/>
      <c r="AAS800" s="16"/>
      <c r="AAT800" s="16"/>
      <c r="AAU800" s="16"/>
      <c r="AAV800" s="16"/>
      <c r="AAW800" s="16"/>
      <c r="AAX800" s="16"/>
      <c r="AAY800" s="16"/>
      <c r="AAZ800" s="16"/>
      <c r="ABA800" s="16"/>
      <c r="ABB800" s="16"/>
      <c r="ABC800" s="16"/>
      <c r="ABD800" s="16"/>
      <c r="ABE800" s="16"/>
      <c r="ABF800" s="16"/>
      <c r="ABG800" s="16"/>
      <c r="ABH800" s="16"/>
      <c r="ABI800" s="16"/>
      <c r="ABJ800" s="16"/>
      <c r="ABK800" s="16"/>
      <c r="ABL800" s="16"/>
      <c r="ABM800" s="16"/>
      <c r="ABN800" s="16"/>
      <c r="ABO800" s="16"/>
      <c r="ABP800" s="16"/>
      <c r="ABQ800" s="16"/>
      <c r="ABR800" s="16"/>
      <c r="ABS800" s="16"/>
      <c r="ABT800" s="16"/>
      <c r="ABU800" s="16"/>
      <c r="ABV800" s="16"/>
      <c r="ABW800" s="16"/>
      <c r="ABX800" s="16"/>
      <c r="ABY800" s="16"/>
      <c r="ABZ800" s="16"/>
      <c r="ACA800" s="16"/>
      <c r="ACB800" s="16"/>
      <c r="ACC800" s="16"/>
      <c r="ACD800" s="16"/>
      <c r="ACE800" s="16"/>
      <c r="ACF800" s="16"/>
      <c r="ACG800" s="16"/>
      <c r="ACH800" s="16"/>
      <c r="ACI800" s="16"/>
      <c r="ACJ800" s="16"/>
      <c r="ACK800" s="16"/>
      <c r="ACL800" s="16"/>
      <c r="ACM800" s="16"/>
      <c r="ACN800" s="16"/>
      <c r="ACO800" s="16"/>
      <c r="ACP800" s="16"/>
      <c r="ACQ800" s="16"/>
      <c r="ACR800" s="16"/>
      <c r="ACS800" s="16"/>
      <c r="ACT800" s="16"/>
      <c r="ACU800" s="16"/>
      <c r="ACV800" s="16"/>
      <c r="ACW800" s="16"/>
      <c r="ACX800" s="16"/>
      <c r="ACY800" s="16"/>
      <c r="ACZ800" s="16"/>
      <c r="ADA800" s="16"/>
      <c r="ADB800" s="16"/>
      <c r="ADC800" s="16"/>
      <c r="ADD800" s="16"/>
      <c r="ADE800" s="16"/>
      <c r="ADF800" s="16"/>
      <c r="ADG800" s="16"/>
      <c r="ADH800" s="16"/>
      <c r="ADI800" s="16"/>
      <c r="ADJ800" s="16"/>
      <c r="ADK800" s="16"/>
      <c r="ADL800" s="16"/>
      <c r="ADM800" s="16"/>
      <c r="ADN800" s="16"/>
      <c r="ADO800" s="16"/>
      <c r="ADP800" s="16"/>
      <c r="ADQ800" s="16"/>
      <c r="ADR800" s="16"/>
      <c r="ADS800" s="16"/>
      <c r="ADT800" s="16"/>
      <c r="ADU800" s="16"/>
      <c r="ADV800" s="16"/>
      <c r="ADW800" s="16"/>
      <c r="ADX800" s="16"/>
      <c r="ADY800" s="16"/>
      <c r="ADZ800" s="16"/>
      <c r="AEA800" s="16"/>
      <c r="AEB800" s="16"/>
      <c r="AEC800" s="16"/>
      <c r="AED800" s="16"/>
      <c r="AEE800" s="16"/>
      <c r="AEF800" s="16"/>
      <c r="AEG800" s="16"/>
      <c r="AEH800" s="16"/>
      <c r="AEI800" s="16"/>
      <c r="AEJ800" s="16"/>
      <c r="AEK800" s="16"/>
      <c r="AEL800" s="16"/>
      <c r="AEM800" s="16"/>
      <c r="AEN800" s="16"/>
      <c r="AEO800" s="16"/>
      <c r="AEP800" s="16"/>
      <c r="AEQ800" s="16"/>
      <c r="AER800" s="16"/>
      <c r="AES800" s="16"/>
      <c r="AET800" s="16"/>
      <c r="AEU800" s="16"/>
      <c r="AEV800" s="16"/>
      <c r="AEW800" s="16"/>
      <c r="AEX800" s="16"/>
      <c r="AEY800" s="16"/>
      <c r="AEZ800" s="16"/>
      <c r="AFA800" s="16"/>
      <c r="AFB800" s="16"/>
      <c r="AFC800" s="16"/>
      <c r="AFD800" s="16"/>
      <c r="AFE800" s="16"/>
      <c r="AFF800" s="16"/>
      <c r="AFG800" s="16"/>
      <c r="AFH800" s="16"/>
      <c r="AFI800" s="16"/>
      <c r="AFJ800" s="16"/>
      <c r="AFK800" s="16"/>
      <c r="AFL800" s="16"/>
      <c r="AFM800" s="16"/>
      <c r="AFN800" s="16"/>
      <c r="AFO800" s="16"/>
      <c r="AFP800" s="16"/>
      <c r="AFQ800" s="16"/>
      <c r="AFR800" s="16"/>
      <c r="AFS800" s="16"/>
      <c r="AFT800" s="16"/>
      <c r="AFU800" s="16"/>
      <c r="AFV800" s="16"/>
      <c r="AFW800" s="16"/>
      <c r="AFX800" s="16"/>
      <c r="AFY800" s="16"/>
      <c r="AFZ800" s="16"/>
      <c r="AGA800" s="16"/>
      <c r="AGB800" s="16"/>
      <c r="AGC800" s="16"/>
      <c r="AGD800" s="16"/>
      <c r="AGE800" s="16"/>
      <c r="AGF800" s="16"/>
      <c r="AGG800" s="16"/>
      <c r="AGH800" s="16"/>
      <c r="AGI800" s="16"/>
      <c r="AGJ800" s="16"/>
    </row>
    <row r="801" spans="1:868">
      <c r="A801" s="151" t="s">
        <v>398</v>
      </c>
      <c r="B801" s="34" t="s">
        <v>394</v>
      </c>
      <c r="C801" s="40" t="s">
        <v>139</v>
      </c>
      <c r="D801" s="34" t="s">
        <v>139</v>
      </c>
      <c r="E801" s="262" t="s">
        <v>150</v>
      </c>
      <c r="F801" s="232">
        <v>1</v>
      </c>
      <c r="G801" s="40"/>
      <c r="H801" s="29"/>
      <c r="I801" s="9"/>
      <c r="J801" s="9"/>
      <c r="K801" s="9"/>
      <c r="L801" s="9"/>
      <c r="M801" s="9"/>
      <c r="N801" s="185" t="str">
        <f t="shared" si="51"/>
        <v/>
      </c>
      <c r="O801" s="159" t="str">
        <f t="shared" si="52"/>
        <v/>
      </c>
      <c r="P801" s="838"/>
    </row>
    <row r="802" spans="1:868">
      <c r="A802" s="151" t="s">
        <v>362</v>
      </c>
      <c r="B802" s="34" t="s">
        <v>258</v>
      </c>
      <c r="C802" s="40" t="s">
        <v>139</v>
      </c>
      <c r="D802" s="34" t="s">
        <v>139</v>
      </c>
      <c r="E802" s="257">
        <v>1</v>
      </c>
      <c r="F802" s="232">
        <v>2</v>
      </c>
      <c r="G802" s="40" t="s">
        <v>157</v>
      </c>
      <c r="H802" s="29">
        <v>1</v>
      </c>
      <c r="I802" s="9">
        <v>1</v>
      </c>
      <c r="J802" s="9">
        <v>2</v>
      </c>
      <c r="K802" s="9">
        <v>4</v>
      </c>
      <c r="L802" s="9">
        <v>3</v>
      </c>
      <c r="M802" s="9">
        <v>3</v>
      </c>
      <c r="N802" s="185">
        <f t="shared" si="51"/>
        <v>1.4737512213023647</v>
      </c>
      <c r="O802" s="159">
        <f t="shared" si="52"/>
        <v>1.4737512213023647</v>
      </c>
      <c r="P802" s="63"/>
    </row>
    <row r="803" spans="1:868">
      <c r="A803" s="151" t="s">
        <v>121</v>
      </c>
      <c r="B803" s="34" t="s">
        <v>346</v>
      </c>
      <c r="C803" s="40" t="s">
        <v>139</v>
      </c>
      <c r="D803" s="34" t="s">
        <v>88</v>
      </c>
      <c r="E803" s="257">
        <v>0</v>
      </c>
      <c r="F803" s="232">
        <v>1</v>
      </c>
      <c r="G803" s="40"/>
      <c r="H803" s="29"/>
      <c r="I803" s="9"/>
      <c r="J803" s="9"/>
      <c r="K803" s="9"/>
      <c r="L803" s="9"/>
      <c r="M803" s="9"/>
      <c r="N803" s="185" t="str">
        <f t="shared" si="51"/>
        <v/>
      </c>
      <c r="O803" s="159" t="str">
        <f t="shared" si="52"/>
        <v/>
      </c>
      <c r="P803" s="63"/>
    </row>
    <row r="804" spans="1:868">
      <c r="A804" s="151" t="s">
        <v>121</v>
      </c>
      <c r="B804" s="34" t="s">
        <v>346</v>
      </c>
      <c r="C804" s="40" t="s">
        <v>139</v>
      </c>
      <c r="D804" s="34" t="s">
        <v>89</v>
      </c>
      <c r="E804" s="257">
        <v>0</v>
      </c>
      <c r="F804" s="232">
        <v>1</v>
      </c>
      <c r="G804" s="40"/>
      <c r="H804" s="29"/>
      <c r="I804" s="9"/>
      <c r="J804" s="9"/>
      <c r="K804" s="9"/>
      <c r="L804" s="9"/>
      <c r="M804" s="9"/>
      <c r="N804" s="185" t="str">
        <f t="shared" si="51"/>
        <v/>
      </c>
      <c r="O804" s="159" t="str">
        <f t="shared" si="52"/>
        <v/>
      </c>
      <c r="P804" s="63"/>
    </row>
    <row r="805" spans="1:868" s="210" customFormat="1" ht="15.75" thickBot="1">
      <c r="A805" s="151" t="s">
        <v>121</v>
      </c>
      <c r="B805" s="34" t="s">
        <v>346</v>
      </c>
      <c r="C805" s="40" t="s">
        <v>139</v>
      </c>
      <c r="D805" s="34" t="s">
        <v>90</v>
      </c>
      <c r="E805" s="257">
        <v>0</v>
      </c>
      <c r="F805" s="232">
        <v>1</v>
      </c>
      <c r="G805" s="40"/>
      <c r="H805" s="29"/>
      <c r="I805" s="9"/>
      <c r="J805" s="9"/>
      <c r="K805" s="9"/>
      <c r="L805" s="9"/>
      <c r="M805" s="9"/>
      <c r="N805" s="185" t="str">
        <f t="shared" si="51"/>
        <v/>
      </c>
      <c r="O805" s="159" t="str">
        <f t="shared" si="52"/>
        <v/>
      </c>
      <c r="P805" s="63"/>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c r="DW805" s="16"/>
      <c r="DX805" s="16"/>
      <c r="DY805" s="16"/>
      <c r="DZ805" s="16"/>
      <c r="EA805" s="16"/>
      <c r="EB805" s="16"/>
      <c r="EC805" s="16"/>
      <c r="ED805" s="16"/>
      <c r="EE805" s="16"/>
      <c r="EF805" s="16"/>
      <c r="EG805" s="16"/>
      <c r="EH805" s="16"/>
      <c r="EI805" s="16"/>
      <c r="EJ805" s="16"/>
      <c r="EK805" s="16"/>
      <c r="EL805" s="16"/>
      <c r="EM805" s="16"/>
      <c r="EN805" s="16"/>
      <c r="EO805" s="16"/>
      <c r="EP805" s="16"/>
      <c r="EQ805" s="16"/>
      <c r="ER805" s="16"/>
      <c r="ES805" s="16"/>
      <c r="ET805" s="16"/>
      <c r="EU805" s="16"/>
      <c r="EV805" s="16"/>
      <c r="EW805" s="16"/>
      <c r="EX805" s="16"/>
      <c r="EY805" s="16"/>
      <c r="EZ805" s="16"/>
      <c r="FA805" s="16"/>
      <c r="FB805" s="16"/>
      <c r="FC805" s="16"/>
      <c r="FD805" s="16"/>
      <c r="FE805" s="16"/>
      <c r="FF805" s="16"/>
      <c r="FG805" s="16"/>
      <c r="FH805" s="16"/>
      <c r="FI805" s="16"/>
      <c r="FJ805" s="16"/>
      <c r="FK805" s="16"/>
      <c r="FL805" s="16"/>
      <c r="FM805" s="16"/>
      <c r="FN805" s="16"/>
      <c r="FO805" s="16"/>
      <c r="FP805" s="16"/>
      <c r="FQ805" s="16"/>
      <c r="FR805" s="16"/>
      <c r="FS805" s="16"/>
      <c r="FT805" s="16"/>
      <c r="FU805" s="16"/>
      <c r="FV805" s="16"/>
      <c r="FW805" s="16"/>
      <c r="FX805" s="16"/>
      <c r="FY805" s="16"/>
      <c r="FZ805" s="16"/>
      <c r="GA805" s="16"/>
      <c r="GB805" s="16"/>
      <c r="GC805" s="16"/>
      <c r="GD805" s="16"/>
      <c r="GE805" s="16"/>
      <c r="GF805" s="16"/>
      <c r="GG805" s="16"/>
      <c r="GH805" s="16"/>
      <c r="GI805" s="16"/>
      <c r="GJ805" s="16"/>
      <c r="GK805" s="16"/>
      <c r="GL805" s="16"/>
      <c r="GM805" s="16"/>
      <c r="GN805" s="16"/>
      <c r="GO805" s="16"/>
      <c r="GP805" s="16"/>
      <c r="GQ805" s="16"/>
      <c r="GR805" s="16"/>
      <c r="GS805" s="16"/>
      <c r="GT805" s="16"/>
      <c r="GU805" s="16"/>
      <c r="GV805" s="16"/>
      <c r="GW805" s="16"/>
      <c r="GX805" s="16"/>
      <c r="GY805" s="16"/>
      <c r="GZ805" s="16"/>
      <c r="HA805" s="16"/>
      <c r="HB805" s="16"/>
      <c r="HC805" s="16"/>
      <c r="HD805" s="16"/>
      <c r="HE805" s="16"/>
      <c r="HF805" s="16"/>
      <c r="HG805" s="16"/>
      <c r="HH805" s="16"/>
      <c r="HI805" s="16"/>
      <c r="HJ805" s="16"/>
      <c r="HK805" s="16"/>
      <c r="HL805" s="16"/>
      <c r="HM805" s="16"/>
      <c r="HN805" s="16"/>
      <c r="HO805" s="16"/>
      <c r="HP805" s="16"/>
      <c r="HQ805" s="16"/>
      <c r="HR805" s="16"/>
      <c r="HS805" s="16"/>
      <c r="HT805" s="16"/>
      <c r="HU805" s="16"/>
      <c r="HV805" s="16"/>
      <c r="HW805" s="16"/>
      <c r="HX805" s="16"/>
      <c r="HY805" s="16"/>
      <c r="HZ805" s="16"/>
      <c r="IA805" s="16"/>
      <c r="IB805" s="16"/>
      <c r="IC805" s="16"/>
      <c r="ID805" s="16"/>
      <c r="IE805" s="16"/>
      <c r="IF805" s="16"/>
      <c r="IG805" s="16"/>
      <c r="IH805" s="16"/>
      <c r="II805" s="16"/>
      <c r="IJ805" s="16"/>
      <c r="IK805" s="16"/>
      <c r="IL805" s="16"/>
      <c r="IM805" s="16"/>
      <c r="IN805" s="16"/>
      <c r="IO805" s="16"/>
      <c r="IP805" s="16"/>
      <c r="IQ805" s="16"/>
      <c r="IR805" s="16"/>
      <c r="IS805" s="16"/>
      <c r="IT805" s="16"/>
      <c r="IU805" s="16"/>
      <c r="IV805" s="16"/>
      <c r="IW805" s="16"/>
      <c r="IX805" s="16"/>
      <c r="IY805" s="16"/>
      <c r="IZ805" s="16"/>
      <c r="JA805" s="16"/>
      <c r="JB805" s="16"/>
      <c r="JC805" s="16"/>
      <c r="JD805" s="16"/>
      <c r="JE805" s="16"/>
      <c r="JF805" s="16"/>
      <c r="JG805" s="16"/>
      <c r="JH805" s="16"/>
      <c r="JI805" s="16"/>
      <c r="JJ805" s="16"/>
      <c r="JK805" s="16"/>
      <c r="JL805" s="16"/>
      <c r="JM805" s="16"/>
      <c r="JN805" s="16"/>
      <c r="JO805" s="16"/>
      <c r="JP805" s="16"/>
      <c r="JQ805" s="16"/>
      <c r="JR805" s="16"/>
      <c r="JS805" s="16"/>
      <c r="JT805" s="16"/>
      <c r="JU805" s="16"/>
      <c r="JV805" s="16"/>
      <c r="JW805" s="16"/>
      <c r="JX805" s="16"/>
      <c r="JY805" s="16"/>
      <c r="JZ805" s="16"/>
      <c r="KA805" s="16"/>
      <c r="KB805" s="16"/>
      <c r="KC805" s="16"/>
      <c r="KD805" s="16"/>
      <c r="KE805" s="16"/>
      <c r="KF805" s="16"/>
      <c r="KG805" s="16"/>
      <c r="KH805" s="16"/>
      <c r="KI805" s="16"/>
      <c r="KJ805" s="16"/>
      <c r="KK805" s="16"/>
      <c r="KL805" s="16"/>
      <c r="KM805" s="16"/>
      <c r="KN805" s="16"/>
      <c r="KO805" s="16"/>
      <c r="KP805" s="16"/>
      <c r="KQ805" s="16"/>
      <c r="KR805" s="16"/>
      <c r="KS805" s="16"/>
      <c r="KT805" s="16"/>
      <c r="KU805" s="16"/>
      <c r="KV805" s="16"/>
      <c r="KW805" s="16"/>
      <c r="KX805" s="16"/>
      <c r="KY805" s="16"/>
      <c r="KZ805" s="16"/>
      <c r="LA805" s="16"/>
      <c r="LB805" s="16"/>
      <c r="LC805" s="16"/>
      <c r="LD805" s="16"/>
      <c r="LE805" s="16"/>
      <c r="LF805" s="16"/>
      <c r="LG805" s="16"/>
      <c r="LH805" s="16"/>
      <c r="LI805" s="16"/>
      <c r="LJ805" s="16"/>
      <c r="LK805" s="16"/>
      <c r="LL805" s="16"/>
      <c r="LM805" s="16"/>
      <c r="LN805" s="16"/>
      <c r="LO805" s="16"/>
      <c r="LP805" s="16"/>
      <c r="LQ805" s="16"/>
      <c r="LR805" s="16"/>
      <c r="LS805" s="16"/>
      <c r="LT805" s="16"/>
      <c r="LU805" s="16"/>
      <c r="LV805" s="16"/>
      <c r="LW805" s="16"/>
      <c r="LX805" s="16"/>
      <c r="LY805" s="16"/>
      <c r="LZ805" s="16"/>
      <c r="MA805" s="16"/>
      <c r="MB805" s="16"/>
      <c r="MC805" s="16"/>
      <c r="MD805" s="16"/>
      <c r="ME805" s="16"/>
      <c r="MF805" s="16"/>
      <c r="MG805" s="16"/>
      <c r="MH805" s="16"/>
      <c r="MI805" s="16"/>
      <c r="MJ805" s="16"/>
      <c r="MK805" s="16"/>
      <c r="ML805" s="16"/>
      <c r="MM805" s="16"/>
      <c r="MN805" s="16"/>
      <c r="MO805" s="16"/>
      <c r="MP805" s="16"/>
      <c r="MQ805" s="16"/>
      <c r="MR805" s="16"/>
      <c r="MS805" s="16"/>
      <c r="MT805" s="16"/>
      <c r="MU805" s="16"/>
      <c r="MV805" s="16"/>
      <c r="MW805" s="16"/>
      <c r="MX805" s="16"/>
      <c r="MY805" s="16"/>
      <c r="MZ805" s="16"/>
      <c r="NA805" s="16"/>
      <c r="NB805" s="16"/>
      <c r="NC805" s="16"/>
      <c r="ND805" s="16"/>
      <c r="NE805" s="16"/>
      <c r="NF805" s="16"/>
      <c r="NG805" s="16"/>
      <c r="NH805" s="16"/>
      <c r="NI805" s="16"/>
      <c r="NJ805" s="16"/>
      <c r="NK805" s="16"/>
      <c r="NL805" s="16"/>
      <c r="NM805" s="16"/>
      <c r="NN805" s="16"/>
      <c r="NO805" s="16"/>
      <c r="NP805" s="16"/>
      <c r="NQ805" s="16"/>
      <c r="NR805" s="16"/>
      <c r="NS805" s="16"/>
      <c r="NT805" s="16"/>
      <c r="NU805" s="16"/>
      <c r="NV805" s="16"/>
      <c r="NW805" s="16"/>
      <c r="NX805" s="16"/>
      <c r="NY805" s="16"/>
      <c r="NZ805" s="16"/>
      <c r="OA805" s="16"/>
      <c r="OB805" s="16"/>
      <c r="OC805" s="16"/>
      <c r="OD805" s="16"/>
      <c r="OE805" s="16"/>
      <c r="OF805" s="16"/>
      <c r="OG805" s="16"/>
      <c r="OH805" s="16"/>
      <c r="OI805" s="16"/>
      <c r="OJ805" s="16"/>
      <c r="OK805" s="16"/>
      <c r="OL805" s="16"/>
      <c r="OM805" s="16"/>
      <c r="ON805" s="16"/>
      <c r="OO805" s="16"/>
      <c r="OP805" s="16"/>
      <c r="OQ805" s="16"/>
      <c r="OR805" s="16"/>
      <c r="OS805" s="16"/>
      <c r="OT805" s="16"/>
      <c r="OU805" s="16"/>
      <c r="OV805" s="16"/>
      <c r="OW805" s="16"/>
      <c r="OX805" s="16"/>
      <c r="OY805" s="16"/>
      <c r="OZ805" s="16"/>
      <c r="PA805" s="16"/>
      <c r="PB805" s="16"/>
      <c r="PC805" s="16"/>
      <c r="PD805" s="16"/>
      <c r="PE805" s="16"/>
      <c r="PF805" s="16"/>
      <c r="PG805" s="16"/>
      <c r="PH805" s="16"/>
      <c r="PI805" s="16"/>
      <c r="PJ805" s="16"/>
      <c r="PK805" s="16"/>
      <c r="PL805" s="16"/>
      <c r="PM805" s="16"/>
      <c r="PN805" s="16"/>
      <c r="PO805" s="16"/>
      <c r="PP805" s="16"/>
      <c r="PQ805" s="16"/>
      <c r="PR805" s="16"/>
      <c r="PS805" s="16"/>
      <c r="PT805" s="16"/>
      <c r="PU805" s="16"/>
      <c r="PV805" s="16"/>
      <c r="PW805" s="16"/>
      <c r="PX805" s="16"/>
      <c r="PY805" s="16"/>
      <c r="PZ805" s="16"/>
      <c r="QA805" s="16"/>
      <c r="QB805" s="16"/>
      <c r="QC805" s="16"/>
      <c r="QD805" s="16"/>
      <c r="QE805" s="16"/>
      <c r="QF805" s="16"/>
      <c r="QG805" s="16"/>
      <c r="QH805" s="16"/>
      <c r="QI805" s="16"/>
      <c r="QJ805" s="16"/>
      <c r="QK805" s="16"/>
      <c r="QL805" s="16"/>
      <c r="QM805" s="16"/>
      <c r="QN805" s="16"/>
      <c r="QO805" s="16"/>
      <c r="QP805" s="16"/>
      <c r="QQ805" s="16"/>
      <c r="QR805" s="16"/>
      <c r="QS805" s="16"/>
      <c r="QT805" s="16"/>
      <c r="QU805" s="16"/>
      <c r="QV805" s="16"/>
      <c r="QW805" s="16"/>
      <c r="QX805" s="16"/>
      <c r="QY805" s="16"/>
      <c r="QZ805" s="16"/>
      <c r="RA805" s="16"/>
      <c r="RB805" s="16"/>
      <c r="RC805" s="16"/>
      <c r="RD805" s="16"/>
      <c r="RE805" s="16"/>
      <c r="RF805" s="16"/>
      <c r="RG805" s="16"/>
      <c r="RH805" s="16"/>
      <c r="RI805" s="16"/>
      <c r="RJ805" s="16"/>
      <c r="RK805" s="16"/>
      <c r="RL805" s="16"/>
      <c r="RM805" s="16"/>
      <c r="RN805" s="16"/>
      <c r="RO805" s="16"/>
      <c r="RP805" s="16"/>
      <c r="RQ805" s="16"/>
      <c r="RR805" s="16"/>
      <c r="RS805" s="16"/>
      <c r="RT805" s="16"/>
      <c r="RU805" s="16"/>
      <c r="RV805" s="16"/>
      <c r="RW805" s="16"/>
      <c r="RX805" s="16"/>
      <c r="RY805" s="16"/>
      <c r="RZ805" s="16"/>
      <c r="SA805" s="16"/>
      <c r="SB805" s="16"/>
      <c r="SC805" s="16"/>
      <c r="SD805" s="16"/>
      <c r="SE805" s="16"/>
      <c r="SF805" s="16"/>
      <c r="SG805" s="16"/>
      <c r="SH805" s="16"/>
      <c r="SI805" s="16"/>
      <c r="SJ805" s="16"/>
      <c r="SK805" s="16"/>
      <c r="SL805" s="16"/>
      <c r="SM805" s="16"/>
      <c r="SN805" s="16"/>
      <c r="SO805" s="16"/>
      <c r="SP805" s="16"/>
      <c r="SQ805" s="16"/>
      <c r="SR805" s="16"/>
      <c r="SS805" s="16"/>
      <c r="ST805" s="16"/>
      <c r="SU805" s="16"/>
      <c r="SV805" s="16"/>
      <c r="SW805" s="16"/>
      <c r="SX805" s="16"/>
      <c r="SY805" s="16"/>
      <c r="SZ805" s="16"/>
      <c r="TA805" s="16"/>
      <c r="TB805" s="16"/>
      <c r="TC805" s="16"/>
      <c r="TD805" s="16"/>
      <c r="TE805" s="16"/>
      <c r="TF805" s="16"/>
      <c r="TG805" s="16"/>
      <c r="TH805" s="16"/>
      <c r="TI805" s="16"/>
      <c r="TJ805" s="16"/>
      <c r="TK805" s="16"/>
      <c r="TL805" s="16"/>
      <c r="TM805" s="16"/>
      <c r="TN805" s="16"/>
      <c r="TO805" s="16"/>
      <c r="TP805" s="16"/>
      <c r="TQ805" s="16"/>
      <c r="TR805" s="16"/>
      <c r="TS805" s="16"/>
      <c r="TT805" s="16"/>
      <c r="TU805" s="16"/>
      <c r="TV805" s="16"/>
      <c r="TW805" s="16"/>
      <c r="TX805" s="16"/>
      <c r="TY805" s="16"/>
      <c r="TZ805" s="16"/>
      <c r="UA805" s="16"/>
      <c r="UB805" s="16"/>
      <c r="UC805" s="16"/>
      <c r="UD805" s="16"/>
      <c r="UE805" s="16"/>
      <c r="UF805" s="16"/>
      <c r="UG805" s="16"/>
      <c r="UH805" s="16"/>
      <c r="UI805" s="16"/>
      <c r="UJ805" s="16"/>
      <c r="UK805" s="16"/>
      <c r="UL805" s="16"/>
      <c r="UM805" s="16"/>
      <c r="UN805" s="16"/>
      <c r="UO805" s="16"/>
      <c r="UP805" s="16"/>
      <c r="UQ805" s="16"/>
      <c r="UR805" s="16"/>
      <c r="US805" s="16"/>
      <c r="UT805" s="16"/>
      <c r="UU805" s="16"/>
      <c r="UV805" s="16"/>
      <c r="UW805" s="16"/>
      <c r="UX805" s="16"/>
      <c r="UY805" s="16"/>
      <c r="UZ805" s="16"/>
      <c r="VA805" s="16"/>
      <c r="VB805" s="16"/>
      <c r="VC805" s="16"/>
      <c r="VD805" s="16"/>
      <c r="VE805" s="16"/>
      <c r="VF805" s="16"/>
      <c r="VG805" s="16"/>
      <c r="VH805" s="16"/>
      <c r="VI805" s="16"/>
      <c r="VJ805" s="16"/>
      <c r="VK805" s="16"/>
      <c r="VL805" s="16"/>
      <c r="VM805" s="16"/>
      <c r="VN805" s="16"/>
      <c r="VO805" s="16"/>
      <c r="VP805" s="16"/>
      <c r="VQ805" s="16"/>
      <c r="VR805" s="16"/>
      <c r="VS805" s="16"/>
      <c r="VT805" s="16"/>
      <c r="VU805" s="16"/>
      <c r="VV805" s="16"/>
      <c r="VW805" s="16"/>
      <c r="VX805" s="16"/>
      <c r="VY805" s="16"/>
      <c r="VZ805" s="16"/>
      <c r="WA805" s="16"/>
      <c r="WB805" s="16"/>
      <c r="WC805" s="16"/>
      <c r="WD805" s="16"/>
      <c r="WE805" s="16"/>
      <c r="WF805" s="16"/>
      <c r="WG805" s="16"/>
      <c r="WH805" s="16"/>
      <c r="WI805" s="16"/>
      <c r="WJ805" s="16"/>
      <c r="WK805" s="16"/>
      <c r="WL805" s="16"/>
      <c r="WM805" s="16"/>
      <c r="WN805" s="16"/>
      <c r="WO805" s="16"/>
      <c r="WP805" s="16"/>
      <c r="WQ805" s="16"/>
      <c r="WR805" s="16"/>
      <c r="WS805" s="16"/>
      <c r="WT805" s="16"/>
      <c r="WU805" s="16"/>
      <c r="WV805" s="16"/>
      <c r="WW805" s="16"/>
      <c r="WX805" s="16"/>
      <c r="WY805" s="16"/>
      <c r="WZ805" s="16"/>
      <c r="XA805" s="16"/>
      <c r="XB805" s="16"/>
      <c r="XC805" s="16"/>
      <c r="XD805" s="16"/>
      <c r="XE805" s="16"/>
      <c r="XF805" s="16"/>
      <c r="XG805" s="16"/>
      <c r="XH805" s="16"/>
      <c r="XI805" s="16"/>
      <c r="XJ805" s="16"/>
      <c r="XK805" s="16"/>
      <c r="XL805" s="16"/>
      <c r="XM805" s="16"/>
      <c r="XN805" s="16"/>
      <c r="XO805" s="16"/>
      <c r="XP805" s="16"/>
      <c r="XQ805" s="16"/>
      <c r="XR805" s="16"/>
      <c r="XS805" s="16"/>
      <c r="XT805" s="16"/>
      <c r="XU805" s="16"/>
      <c r="XV805" s="16"/>
      <c r="XW805" s="16"/>
      <c r="XX805" s="16"/>
      <c r="XY805" s="16"/>
      <c r="XZ805" s="16"/>
      <c r="YA805" s="16"/>
      <c r="YB805" s="16"/>
      <c r="YC805" s="16"/>
      <c r="YD805" s="16"/>
      <c r="YE805" s="16"/>
      <c r="YF805" s="16"/>
      <c r="YG805" s="16"/>
      <c r="YH805" s="16"/>
      <c r="YI805" s="16"/>
      <c r="YJ805" s="16"/>
      <c r="YK805" s="16"/>
      <c r="YL805" s="16"/>
      <c r="YM805" s="16"/>
      <c r="YN805" s="16"/>
      <c r="YO805" s="16"/>
      <c r="YP805" s="16"/>
      <c r="YQ805" s="16"/>
      <c r="YR805" s="16"/>
      <c r="YS805" s="16"/>
      <c r="YT805" s="16"/>
      <c r="YU805" s="16"/>
      <c r="YV805" s="16"/>
      <c r="YW805" s="16"/>
      <c r="YX805" s="16"/>
      <c r="YY805" s="16"/>
      <c r="YZ805" s="16"/>
      <c r="ZA805" s="16"/>
      <c r="ZB805" s="16"/>
      <c r="ZC805" s="16"/>
      <c r="ZD805" s="16"/>
      <c r="ZE805" s="16"/>
      <c r="ZF805" s="16"/>
      <c r="ZG805" s="16"/>
      <c r="ZH805" s="16"/>
      <c r="ZI805" s="16"/>
      <c r="ZJ805" s="16"/>
      <c r="ZK805" s="16"/>
      <c r="ZL805" s="16"/>
      <c r="ZM805" s="16"/>
      <c r="ZN805" s="16"/>
      <c r="ZO805" s="16"/>
      <c r="ZP805" s="16"/>
      <c r="ZQ805" s="16"/>
      <c r="ZR805" s="16"/>
      <c r="ZS805" s="16"/>
      <c r="ZT805" s="16"/>
      <c r="ZU805" s="16"/>
      <c r="ZV805" s="16"/>
      <c r="ZW805" s="16"/>
      <c r="ZX805" s="16"/>
      <c r="ZY805" s="16"/>
      <c r="ZZ805" s="16"/>
      <c r="AAA805" s="16"/>
      <c r="AAB805" s="16"/>
      <c r="AAC805" s="16"/>
      <c r="AAD805" s="16"/>
      <c r="AAE805" s="16"/>
      <c r="AAF805" s="16"/>
      <c r="AAG805" s="16"/>
      <c r="AAH805" s="16"/>
      <c r="AAI805" s="16"/>
      <c r="AAJ805" s="16"/>
      <c r="AAK805" s="16"/>
      <c r="AAL805" s="16"/>
      <c r="AAM805" s="16"/>
      <c r="AAN805" s="16"/>
      <c r="AAO805" s="16"/>
      <c r="AAP805" s="16"/>
      <c r="AAQ805" s="16"/>
      <c r="AAR805" s="16"/>
      <c r="AAS805" s="16"/>
      <c r="AAT805" s="16"/>
      <c r="AAU805" s="16"/>
      <c r="AAV805" s="16"/>
      <c r="AAW805" s="16"/>
      <c r="AAX805" s="16"/>
      <c r="AAY805" s="16"/>
      <c r="AAZ805" s="16"/>
      <c r="ABA805" s="16"/>
      <c r="ABB805" s="16"/>
      <c r="ABC805" s="16"/>
      <c r="ABD805" s="16"/>
      <c r="ABE805" s="16"/>
      <c r="ABF805" s="16"/>
      <c r="ABG805" s="16"/>
      <c r="ABH805" s="16"/>
      <c r="ABI805" s="16"/>
      <c r="ABJ805" s="16"/>
      <c r="ABK805" s="16"/>
      <c r="ABL805" s="16"/>
      <c r="ABM805" s="16"/>
      <c r="ABN805" s="16"/>
      <c r="ABO805" s="16"/>
      <c r="ABP805" s="16"/>
      <c r="ABQ805" s="16"/>
      <c r="ABR805" s="16"/>
      <c r="ABS805" s="16"/>
      <c r="ABT805" s="16"/>
      <c r="ABU805" s="16"/>
      <c r="ABV805" s="16"/>
      <c r="ABW805" s="16"/>
      <c r="ABX805" s="16"/>
      <c r="ABY805" s="16"/>
      <c r="ABZ805" s="16"/>
      <c r="ACA805" s="16"/>
      <c r="ACB805" s="16"/>
      <c r="ACC805" s="16"/>
      <c r="ACD805" s="16"/>
      <c r="ACE805" s="16"/>
      <c r="ACF805" s="16"/>
      <c r="ACG805" s="16"/>
      <c r="ACH805" s="16"/>
      <c r="ACI805" s="16"/>
      <c r="ACJ805" s="16"/>
      <c r="ACK805" s="16"/>
      <c r="ACL805" s="16"/>
      <c r="ACM805" s="16"/>
      <c r="ACN805" s="16"/>
      <c r="ACO805" s="16"/>
      <c r="ACP805" s="16"/>
      <c r="ACQ805" s="16"/>
      <c r="ACR805" s="16"/>
      <c r="ACS805" s="16"/>
      <c r="ACT805" s="16"/>
      <c r="ACU805" s="16"/>
      <c r="ACV805" s="16"/>
      <c r="ACW805" s="16"/>
      <c r="ACX805" s="16"/>
      <c r="ACY805" s="16"/>
      <c r="ACZ805" s="16"/>
      <c r="ADA805" s="16"/>
      <c r="ADB805" s="16"/>
      <c r="ADC805" s="16"/>
      <c r="ADD805" s="16"/>
      <c r="ADE805" s="16"/>
      <c r="ADF805" s="16"/>
      <c r="ADG805" s="16"/>
      <c r="ADH805" s="16"/>
      <c r="ADI805" s="16"/>
      <c r="ADJ805" s="16"/>
      <c r="ADK805" s="16"/>
      <c r="ADL805" s="16"/>
      <c r="ADM805" s="16"/>
      <c r="ADN805" s="16"/>
      <c r="ADO805" s="16"/>
      <c r="ADP805" s="16"/>
      <c r="ADQ805" s="16"/>
      <c r="ADR805" s="16"/>
      <c r="ADS805" s="16"/>
      <c r="ADT805" s="16"/>
      <c r="ADU805" s="16"/>
      <c r="ADV805" s="16"/>
      <c r="ADW805" s="16"/>
      <c r="ADX805" s="16"/>
      <c r="ADY805" s="16"/>
      <c r="ADZ805" s="16"/>
      <c r="AEA805" s="16"/>
      <c r="AEB805" s="16"/>
      <c r="AEC805" s="16"/>
      <c r="AED805" s="16"/>
      <c r="AEE805" s="16"/>
      <c r="AEF805" s="16"/>
      <c r="AEG805" s="16"/>
      <c r="AEH805" s="16"/>
      <c r="AEI805" s="16"/>
      <c r="AEJ805" s="16"/>
      <c r="AEK805" s="16"/>
      <c r="AEL805" s="16"/>
      <c r="AEM805" s="16"/>
      <c r="AEN805" s="16"/>
      <c r="AEO805" s="16"/>
      <c r="AEP805" s="16"/>
      <c r="AEQ805" s="16"/>
      <c r="AER805" s="16"/>
      <c r="AES805" s="16"/>
      <c r="AET805" s="16"/>
      <c r="AEU805" s="16"/>
      <c r="AEV805" s="16"/>
      <c r="AEW805" s="16"/>
      <c r="AEX805" s="16"/>
      <c r="AEY805" s="16"/>
      <c r="AEZ805" s="16"/>
      <c r="AFA805" s="16"/>
      <c r="AFB805" s="16"/>
      <c r="AFC805" s="16"/>
      <c r="AFD805" s="16"/>
      <c r="AFE805" s="16"/>
      <c r="AFF805" s="16"/>
      <c r="AFG805" s="16"/>
      <c r="AFH805" s="16"/>
      <c r="AFI805" s="16"/>
      <c r="AFJ805" s="16"/>
      <c r="AFK805" s="16"/>
      <c r="AFL805" s="16"/>
      <c r="AFM805" s="16"/>
      <c r="AFN805" s="16"/>
      <c r="AFO805" s="16"/>
      <c r="AFP805" s="16"/>
      <c r="AFQ805" s="16"/>
      <c r="AFR805" s="16"/>
      <c r="AFS805" s="16"/>
      <c r="AFT805" s="16"/>
      <c r="AFU805" s="16"/>
      <c r="AFV805" s="16"/>
      <c r="AFW805" s="16"/>
      <c r="AFX805" s="16"/>
      <c r="AFY805" s="16"/>
      <c r="AFZ805" s="16"/>
      <c r="AGA805" s="16"/>
      <c r="AGB805" s="16"/>
      <c r="AGC805" s="16"/>
      <c r="AGD805" s="16"/>
      <c r="AGE805" s="16"/>
      <c r="AGF805" s="16"/>
      <c r="AGG805" s="16"/>
      <c r="AGH805" s="16"/>
      <c r="AGI805" s="16"/>
      <c r="AGJ805" s="16"/>
    </row>
    <row r="806" spans="1:868" s="833" customFormat="1">
      <c r="A806" s="151" t="s">
        <v>121</v>
      </c>
      <c r="B806" s="34" t="s">
        <v>346</v>
      </c>
      <c r="C806" s="40" t="s">
        <v>139</v>
      </c>
      <c r="D806" s="34" t="s">
        <v>91</v>
      </c>
      <c r="E806" s="257">
        <v>0.15963616327826599</v>
      </c>
      <c r="F806" s="232">
        <v>1</v>
      </c>
      <c r="G806" s="40"/>
      <c r="H806" s="29">
        <v>2</v>
      </c>
      <c r="I806" s="9">
        <v>2</v>
      </c>
      <c r="J806" s="9">
        <v>2</v>
      </c>
      <c r="K806" s="9">
        <v>2</v>
      </c>
      <c r="L806" s="9">
        <v>1</v>
      </c>
      <c r="M806" s="9">
        <v>2</v>
      </c>
      <c r="N806" s="185">
        <f t="shared" si="51"/>
        <v>0.38795788889711302</v>
      </c>
      <c r="O806" s="159">
        <f t="shared" si="52"/>
        <v>0.38795788889711302</v>
      </c>
      <c r="P806" s="63"/>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c r="CI806" s="16"/>
      <c r="CJ806" s="16"/>
      <c r="CK806" s="16"/>
      <c r="CL806" s="16"/>
      <c r="CM806" s="16"/>
      <c r="CN806" s="16"/>
      <c r="CO806" s="16"/>
      <c r="CP806" s="16"/>
      <c r="CQ806" s="16"/>
      <c r="CR806" s="16"/>
      <c r="CS806" s="16"/>
      <c r="CT806" s="16"/>
      <c r="CU806" s="16"/>
      <c r="CV806" s="16"/>
      <c r="CW806" s="16"/>
      <c r="CX806" s="16"/>
      <c r="CY806" s="16"/>
      <c r="CZ806" s="16"/>
      <c r="DA806" s="16"/>
      <c r="DB806" s="16"/>
      <c r="DC806" s="16"/>
      <c r="DD806" s="16"/>
      <c r="DE806" s="16"/>
      <c r="DF806" s="16"/>
      <c r="DG806" s="16"/>
      <c r="DH806" s="16"/>
      <c r="DI806" s="16"/>
      <c r="DJ806" s="16"/>
      <c r="DK806" s="16"/>
      <c r="DL806" s="16"/>
      <c r="DM806" s="16"/>
      <c r="DN806" s="16"/>
      <c r="DO806" s="16"/>
      <c r="DP806" s="16"/>
      <c r="DQ806" s="16"/>
      <c r="DR806" s="16"/>
      <c r="DS806" s="16"/>
      <c r="DT806" s="16"/>
      <c r="DU806" s="16"/>
      <c r="DV806" s="16"/>
      <c r="DW806" s="16"/>
      <c r="DX806" s="16"/>
      <c r="DY806" s="16"/>
      <c r="DZ806" s="16"/>
      <c r="EA806" s="16"/>
      <c r="EB806" s="16"/>
      <c r="EC806" s="16"/>
      <c r="ED806" s="16"/>
      <c r="EE806" s="16"/>
      <c r="EF806" s="16"/>
      <c r="EG806" s="16"/>
      <c r="EH806" s="16"/>
      <c r="EI806" s="16"/>
      <c r="EJ806" s="16"/>
      <c r="EK806" s="16"/>
      <c r="EL806" s="16"/>
      <c r="EM806" s="16"/>
      <c r="EN806" s="16"/>
      <c r="EO806" s="16"/>
      <c r="EP806" s="16"/>
      <c r="EQ806" s="16"/>
      <c r="ER806" s="16"/>
      <c r="ES806" s="16"/>
      <c r="ET806" s="16"/>
      <c r="EU806" s="16"/>
      <c r="EV806" s="16"/>
      <c r="EW806" s="16"/>
      <c r="EX806" s="16"/>
      <c r="EY806" s="16"/>
      <c r="EZ806" s="16"/>
      <c r="FA806" s="16"/>
      <c r="FB806" s="16"/>
      <c r="FC806" s="16"/>
      <c r="FD806" s="16"/>
      <c r="FE806" s="16"/>
      <c r="FF806" s="16"/>
      <c r="FG806" s="16"/>
      <c r="FH806" s="16"/>
      <c r="FI806" s="16"/>
      <c r="FJ806" s="16"/>
      <c r="FK806" s="16"/>
      <c r="FL806" s="16"/>
      <c r="FM806" s="16"/>
      <c r="FN806" s="16"/>
      <c r="FO806" s="16"/>
      <c r="FP806" s="16"/>
      <c r="FQ806" s="16"/>
      <c r="FR806" s="16"/>
      <c r="FS806" s="16"/>
      <c r="FT806" s="16"/>
      <c r="FU806" s="16"/>
      <c r="FV806" s="16"/>
      <c r="FW806" s="16"/>
      <c r="FX806" s="16"/>
      <c r="FY806" s="16"/>
      <c r="FZ806" s="16"/>
      <c r="GA806" s="16"/>
      <c r="GB806" s="16"/>
      <c r="GC806" s="16"/>
      <c r="GD806" s="16"/>
      <c r="GE806" s="16"/>
      <c r="GF806" s="16"/>
      <c r="GG806" s="16"/>
      <c r="GH806" s="16"/>
      <c r="GI806" s="16"/>
      <c r="GJ806" s="16"/>
      <c r="GK806" s="16"/>
      <c r="GL806" s="16"/>
      <c r="GM806" s="16"/>
      <c r="GN806" s="16"/>
      <c r="GO806" s="16"/>
      <c r="GP806" s="16"/>
      <c r="GQ806" s="16"/>
      <c r="GR806" s="16"/>
      <c r="GS806" s="16"/>
      <c r="GT806" s="16"/>
      <c r="GU806" s="16"/>
      <c r="GV806" s="16"/>
      <c r="GW806" s="16"/>
      <c r="GX806" s="16"/>
      <c r="GY806" s="16"/>
      <c r="GZ806" s="16"/>
      <c r="HA806" s="16"/>
      <c r="HB806" s="16"/>
      <c r="HC806" s="16"/>
      <c r="HD806" s="16"/>
      <c r="HE806" s="16"/>
      <c r="HF806" s="16"/>
      <c r="HG806" s="16"/>
      <c r="HH806" s="16"/>
      <c r="HI806" s="16"/>
      <c r="HJ806" s="16"/>
      <c r="HK806" s="16"/>
      <c r="HL806" s="16"/>
      <c r="HM806" s="16"/>
      <c r="HN806" s="16"/>
      <c r="HO806" s="16"/>
      <c r="HP806" s="16"/>
      <c r="HQ806" s="16"/>
      <c r="HR806" s="16"/>
      <c r="HS806" s="16"/>
      <c r="HT806" s="16"/>
      <c r="HU806" s="16"/>
      <c r="HV806" s="16"/>
      <c r="HW806" s="16"/>
      <c r="HX806" s="16"/>
      <c r="HY806" s="16"/>
      <c r="HZ806" s="16"/>
      <c r="IA806" s="16"/>
      <c r="IB806" s="16"/>
      <c r="IC806" s="16"/>
      <c r="ID806" s="16"/>
      <c r="IE806" s="16"/>
      <c r="IF806" s="16"/>
      <c r="IG806" s="16"/>
      <c r="IH806" s="16"/>
      <c r="II806" s="16"/>
      <c r="IJ806" s="16"/>
      <c r="IK806" s="16"/>
      <c r="IL806" s="16"/>
      <c r="IM806" s="16"/>
      <c r="IN806" s="16"/>
      <c r="IO806" s="16"/>
      <c r="IP806" s="16"/>
      <c r="IQ806" s="16"/>
      <c r="IR806" s="16"/>
      <c r="IS806" s="16"/>
      <c r="IT806" s="16"/>
      <c r="IU806" s="16"/>
      <c r="IV806" s="16"/>
      <c r="IW806" s="16"/>
      <c r="IX806" s="16"/>
      <c r="IY806" s="16"/>
      <c r="IZ806" s="16"/>
      <c r="JA806" s="16"/>
      <c r="JB806" s="16"/>
      <c r="JC806" s="16"/>
      <c r="JD806" s="16"/>
      <c r="JE806" s="16"/>
      <c r="JF806" s="16"/>
      <c r="JG806" s="16"/>
      <c r="JH806" s="16"/>
      <c r="JI806" s="16"/>
      <c r="JJ806" s="16"/>
      <c r="JK806" s="16"/>
      <c r="JL806" s="16"/>
      <c r="JM806" s="16"/>
      <c r="JN806" s="16"/>
      <c r="JO806" s="16"/>
      <c r="JP806" s="16"/>
      <c r="JQ806" s="16"/>
      <c r="JR806" s="16"/>
      <c r="JS806" s="16"/>
      <c r="JT806" s="16"/>
      <c r="JU806" s="16"/>
      <c r="JV806" s="16"/>
      <c r="JW806" s="16"/>
      <c r="JX806" s="16"/>
      <c r="JY806" s="16"/>
      <c r="JZ806" s="16"/>
      <c r="KA806" s="16"/>
      <c r="KB806" s="16"/>
      <c r="KC806" s="16"/>
      <c r="KD806" s="16"/>
      <c r="KE806" s="16"/>
      <c r="KF806" s="16"/>
      <c r="KG806" s="16"/>
      <c r="KH806" s="16"/>
      <c r="KI806" s="16"/>
      <c r="KJ806" s="16"/>
      <c r="KK806" s="16"/>
      <c r="KL806" s="16"/>
      <c r="KM806" s="16"/>
      <c r="KN806" s="16"/>
      <c r="KO806" s="16"/>
      <c r="KP806" s="16"/>
      <c r="KQ806" s="16"/>
      <c r="KR806" s="16"/>
      <c r="KS806" s="16"/>
      <c r="KT806" s="16"/>
      <c r="KU806" s="16"/>
      <c r="KV806" s="16"/>
      <c r="KW806" s="16"/>
      <c r="KX806" s="16"/>
      <c r="KY806" s="16"/>
      <c r="KZ806" s="16"/>
      <c r="LA806" s="16"/>
      <c r="LB806" s="16"/>
      <c r="LC806" s="16"/>
      <c r="LD806" s="16"/>
      <c r="LE806" s="16"/>
      <c r="LF806" s="16"/>
      <c r="LG806" s="16"/>
      <c r="LH806" s="16"/>
      <c r="LI806" s="16"/>
      <c r="LJ806" s="16"/>
      <c r="LK806" s="16"/>
      <c r="LL806" s="16"/>
      <c r="LM806" s="16"/>
      <c r="LN806" s="16"/>
      <c r="LO806" s="16"/>
      <c r="LP806" s="16"/>
      <c r="LQ806" s="16"/>
      <c r="LR806" s="16"/>
      <c r="LS806" s="16"/>
      <c r="LT806" s="16"/>
      <c r="LU806" s="16"/>
      <c r="LV806" s="16"/>
      <c r="LW806" s="16"/>
      <c r="LX806" s="16"/>
      <c r="LY806" s="16"/>
      <c r="LZ806" s="16"/>
      <c r="MA806" s="16"/>
      <c r="MB806" s="16"/>
      <c r="MC806" s="16"/>
      <c r="MD806" s="16"/>
      <c r="ME806" s="16"/>
      <c r="MF806" s="16"/>
      <c r="MG806" s="16"/>
      <c r="MH806" s="16"/>
      <c r="MI806" s="16"/>
      <c r="MJ806" s="16"/>
      <c r="MK806" s="16"/>
      <c r="ML806" s="16"/>
      <c r="MM806" s="16"/>
      <c r="MN806" s="16"/>
      <c r="MO806" s="16"/>
      <c r="MP806" s="16"/>
      <c r="MQ806" s="16"/>
      <c r="MR806" s="16"/>
      <c r="MS806" s="16"/>
      <c r="MT806" s="16"/>
      <c r="MU806" s="16"/>
      <c r="MV806" s="16"/>
      <c r="MW806" s="16"/>
      <c r="MX806" s="16"/>
      <c r="MY806" s="16"/>
      <c r="MZ806" s="16"/>
      <c r="NA806" s="16"/>
      <c r="NB806" s="16"/>
      <c r="NC806" s="16"/>
      <c r="ND806" s="16"/>
      <c r="NE806" s="16"/>
      <c r="NF806" s="16"/>
      <c r="NG806" s="16"/>
      <c r="NH806" s="16"/>
      <c r="NI806" s="16"/>
      <c r="NJ806" s="16"/>
      <c r="NK806" s="16"/>
      <c r="NL806" s="16"/>
      <c r="NM806" s="16"/>
      <c r="NN806" s="16"/>
      <c r="NO806" s="16"/>
      <c r="NP806" s="16"/>
      <c r="NQ806" s="16"/>
      <c r="NR806" s="16"/>
      <c r="NS806" s="16"/>
      <c r="NT806" s="16"/>
      <c r="NU806" s="16"/>
      <c r="NV806" s="16"/>
      <c r="NW806" s="16"/>
      <c r="NX806" s="16"/>
      <c r="NY806" s="16"/>
      <c r="NZ806" s="16"/>
      <c r="OA806" s="16"/>
      <c r="OB806" s="16"/>
      <c r="OC806" s="16"/>
      <c r="OD806" s="16"/>
      <c r="OE806" s="16"/>
      <c r="OF806" s="16"/>
      <c r="OG806" s="16"/>
      <c r="OH806" s="16"/>
      <c r="OI806" s="16"/>
      <c r="OJ806" s="16"/>
      <c r="OK806" s="16"/>
      <c r="OL806" s="16"/>
      <c r="OM806" s="16"/>
      <c r="ON806" s="16"/>
      <c r="OO806" s="16"/>
      <c r="OP806" s="16"/>
      <c r="OQ806" s="16"/>
      <c r="OR806" s="16"/>
      <c r="OS806" s="16"/>
      <c r="OT806" s="16"/>
      <c r="OU806" s="16"/>
      <c r="OV806" s="16"/>
      <c r="OW806" s="16"/>
      <c r="OX806" s="16"/>
      <c r="OY806" s="16"/>
      <c r="OZ806" s="16"/>
      <c r="PA806" s="16"/>
      <c r="PB806" s="16"/>
      <c r="PC806" s="16"/>
      <c r="PD806" s="16"/>
      <c r="PE806" s="16"/>
      <c r="PF806" s="16"/>
      <c r="PG806" s="16"/>
      <c r="PH806" s="16"/>
      <c r="PI806" s="16"/>
      <c r="PJ806" s="16"/>
      <c r="PK806" s="16"/>
      <c r="PL806" s="16"/>
      <c r="PM806" s="16"/>
      <c r="PN806" s="16"/>
      <c r="PO806" s="16"/>
      <c r="PP806" s="16"/>
      <c r="PQ806" s="16"/>
      <c r="PR806" s="16"/>
      <c r="PS806" s="16"/>
      <c r="PT806" s="16"/>
      <c r="PU806" s="16"/>
      <c r="PV806" s="16"/>
      <c r="PW806" s="16"/>
      <c r="PX806" s="16"/>
      <c r="PY806" s="16"/>
      <c r="PZ806" s="16"/>
      <c r="QA806" s="16"/>
      <c r="QB806" s="16"/>
      <c r="QC806" s="16"/>
      <c r="QD806" s="16"/>
      <c r="QE806" s="16"/>
      <c r="QF806" s="16"/>
      <c r="QG806" s="16"/>
      <c r="QH806" s="16"/>
      <c r="QI806" s="16"/>
      <c r="QJ806" s="16"/>
      <c r="QK806" s="16"/>
      <c r="QL806" s="16"/>
      <c r="QM806" s="16"/>
      <c r="QN806" s="16"/>
      <c r="QO806" s="16"/>
      <c r="QP806" s="16"/>
      <c r="QQ806" s="16"/>
      <c r="QR806" s="16"/>
      <c r="QS806" s="16"/>
      <c r="QT806" s="16"/>
      <c r="QU806" s="16"/>
      <c r="QV806" s="16"/>
      <c r="QW806" s="16"/>
      <c r="QX806" s="16"/>
      <c r="QY806" s="16"/>
      <c r="QZ806" s="16"/>
      <c r="RA806" s="16"/>
      <c r="RB806" s="16"/>
      <c r="RC806" s="16"/>
      <c r="RD806" s="16"/>
      <c r="RE806" s="16"/>
      <c r="RF806" s="16"/>
      <c r="RG806" s="16"/>
      <c r="RH806" s="16"/>
      <c r="RI806" s="16"/>
      <c r="RJ806" s="16"/>
      <c r="RK806" s="16"/>
      <c r="RL806" s="16"/>
      <c r="RM806" s="16"/>
      <c r="RN806" s="16"/>
      <c r="RO806" s="16"/>
      <c r="RP806" s="16"/>
      <c r="RQ806" s="16"/>
      <c r="RR806" s="16"/>
      <c r="RS806" s="16"/>
      <c r="RT806" s="16"/>
      <c r="RU806" s="16"/>
      <c r="RV806" s="16"/>
      <c r="RW806" s="16"/>
      <c r="RX806" s="16"/>
      <c r="RY806" s="16"/>
      <c r="RZ806" s="16"/>
      <c r="SA806" s="16"/>
      <c r="SB806" s="16"/>
      <c r="SC806" s="16"/>
      <c r="SD806" s="16"/>
      <c r="SE806" s="16"/>
      <c r="SF806" s="16"/>
      <c r="SG806" s="16"/>
      <c r="SH806" s="16"/>
      <c r="SI806" s="16"/>
      <c r="SJ806" s="16"/>
      <c r="SK806" s="16"/>
      <c r="SL806" s="16"/>
      <c r="SM806" s="16"/>
      <c r="SN806" s="16"/>
      <c r="SO806" s="16"/>
      <c r="SP806" s="16"/>
      <c r="SQ806" s="16"/>
      <c r="SR806" s="16"/>
      <c r="SS806" s="16"/>
      <c r="ST806" s="16"/>
      <c r="SU806" s="16"/>
      <c r="SV806" s="16"/>
      <c r="SW806" s="16"/>
      <c r="SX806" s="16"/>
      <c r="SY806" s="16"/>
      <c r="SZ806" s="16"/>
      <c r="TA806" s="16"/>
      <c r="TB806" s="16"/>
      <c r="TC806" s="16"/>
      <c r="TD806" s="16"/>
      <c r="TE806" s="16"/>
      <c r="TF806" s="16"/>
      <c r="TG806" s="16"/>
      <c r="TH806" s="16"/>
      <c r="TI806" s="16"/>
      <c r="TJ806" s="16"/>
      <c r="TK806" s="16"/>
      <c r="TL806" s="16"/>
      <c r="TM806" s="16"/>
      <c r="TN806" s="16"/>
      <c r="TO806" s="16"/>
      <c r="TP806" s="16"/>
      <c r="TQ806" s="16"/>
      <c r="TR806" s="16"/>
      <c r="TS806" s="16"/>
      <c r="TT806" s="16"/>
      <c r="TU806" s="16"/>
      <c r="TV806" s="16"/>
      <c r="TW806" s="16"/>
      <c r="TX806" s="16"/>
      <c r="TY806" s="16"/>
      <c r="TZ806" s="16"/>
      <c r="UA806" s="16"/>
      <c r="UB806" s="16"/>
      <c r="UC806" s="16"/>
      <c r="UD806" s="16"/>
      <c r="UE806" s="16"/>
      <c r="UF806" s="16"/>
      <c r="UG806" s="16"/>
      <c r="UH806" s="16"/>
      <c r="UI806" s="16"/>
      <c r="UJ806" s="16"/>
      <c r="UK806" s="16"/>
      <c r="UL806" s="16"/>
      <c r="UM806" s="16"/>
      <c r="UN806" s="16"/>
      <c r="UO806" s="16"/>
      <c r="UP806" s="16"/>
      <c r="UQ806" s="16"/>
      <c r="UR806" s="16"/>
      <c r="US806" s="16"/>
      <c r="UT806" s="16"/>
      <c r="UU806" s="16"/>
      <c r="UV806" s="16"/>
      <c r="UW806" s="16"/>
      <c r="UX806" s="16"/>
      <c r="UY806" s="16"/>
      <c r="UZ806" s="16"/>
      <c r="VA806" s="16"/>
      <c r="VB806" s="16"/>
      <c r="VC806" s="16"/>
      <c r="VD806" s="16"/>
      <c r="VE806" s="16"/>
      <c r="VF806" s="16"/>
      <c r="VG806" s="16"/>
      <c r="VH806" s="16"/>
      <c r="VI806" s="16"/>
      <c r="VJ806" s="16"/>
      <c r="VK806" s="16"/>
      <c r="VL806" s="16"/>
      <c r="VM806" s="16"/>
      <c r="VN806" s="16"/>
      <c r="VO806" s="16"/>
      <c r="VP806" s="16"/>
      <c r="VQ806" s="16"/>
      <c r="VR806" s="16"/>
      <c r="VS806" s="16"/>
      <c r="VT806" s="16"/>
      <c r="VU806" s="16"/>
      <c r="VV806" s="16"/>
      <c r="VW806" s="16"/>
      <c r="VX806" s="16"/>
      <c r="VY806" s="16"/>
      <c r="VZ806" s="16"/>
      <c r="WA806" s="16"/>
      <c r="WB806" s="16"/>
      <c r="WC806" s="16"/>
      <c r="WD806" s="16"/>
      <c r="WE806" s="16"/>
      <c r="WF806" s="16"/>
      <c r="WG806" s="16"/>
      <c r="WH806" s="16"/>
      <c r="WI806" s="16"/>
      <c r="WJ806" s="16"/>
      <c r="WK806" s="16"/>
      <c r="WL806" s="16"/>
      <c r="WM806" s="16"/>
      <c r="WN806" s="16"/>
      <c r="WO806" s="16"/>
      <c r="WP806" s="16"/>
      <c r="WQ806" s="16"/>
      <c r="WR806" s="16"/>
      <c r="WS806" s="16"/>
      <c r="WT806" s="16"/>
      <c r="WU806" s="16"/>
      <c r="WV806" s="16"/>
      <c r="WW806" s="16"/>
      <c r="WX806" s="16"/>
      <c r="WY806" s="16"/>
      <c r="WZ806" s="16"/>
      <c r="XA806" s="16"/>
      <c r="XB806" s="16"/>
      <c r="XC806" s="16"/>
      <c r="XD806" s="16"/>
      <c r="XE806" s="16"/>
      <c r="XF806" s="16"/>
      <c r="XG806" s="16"/>
      <c r="XH806" s="16"/>
      <c r="XI806" s="16"/>
      <c r="XJ806" s="16"/>
      <c r="XK806" s="16"/>
      <c r="XL806" s="16"/>
      <c r="XM806" s="16"/>
      <c r="XN806" s="16"/>
      <c r="XO806" s="16"/>
      <c r="XP806" s="16"/>
      <c r="XQ806" s="16"/>
      <c r="XR806" s="16"/>
      <c r="XS806" s="16"/>
      <c r="XT806" s="16"/>
      <c r="XU806" s="16"/>
      <c r="XV806" s="16"/>
      <c r="XW806" s="16"/>
      <c r="XX806" s="16"/>
      <c r="XY806" s="16"/>
      <c r="XZ806" s="16"/>
      <c r="YA806" s="16"/>
      <c r="YB806" s="16"/>
      <c r="YC806" s="16"/>
      <c r="YD806" s="16"/>
      <c r="YE806" s="16"/>
      <c r="YF806" s="16"/>
      <c r="YG806" s="16"/>
      <c r="YH806" s="16"/>
      <c r="YI806" s="16"/>
      <c r="YJ806" s="16"/>
      <c r="YK806" s="16"/>
      <c r="YL806" s="16"/>
      <c r="YM806" s="16"/>
      <c r="YN806" s="16"/>
      <c r="YO806" s="16"/>
      <c r="YP806" s="16"/>
      <c r="YQ806" s="16"/>
      <c r="YR806" s="16"/>
      <c r="YS806" s="16"/>
      <c r="YT806" s="16"/>
      <c r="YU806" s="16"/>
      <c r="YV806" s="16"/>
      <c r="YW806" s="16"/>
      <c r="YX806" s="16"/>
      <c r="YY806" s="16"/>
      <c r="YZ806" s="16"/>
      <c r="ZA806" s="16"/>
      <c r="ZB806" s="16"/>
      <c r="ZC806" s="16"/>
      <c r="ZD806" s="16"/>
      <c r="ZE806" s="16"/>
      <c r="ZF806" s="16"/>
      <c r="ZG806" s="16"/>
      <c r="ZH806" s="16"/>
      <c r="ZI806" s="16"/>
      <c r="ZJ806" s="16"/>
      <c r="ZK806" s="16"/>
      <c r="ZL806" s="16"/>
      <c r="ZM806" s="16"/>
      <c r="ZN806" s="16"/>
      <c r="ZO806" s="16"/>
      <c r="ZP806" s="16"/>
      <c r="ZQ806" s="16"/>
      <c r="ZR806" s="16"/>
      <c r="ZS806" s="16"/>
      <c r="ZT806" s="16"/>
      <c r="ZU806" s="16"/>
      <c r="ZV806" s="16"/>
      <c r="ZW806" s="16"/>
      <c r="ZX806" s="16"/>
      <c r="ZY806" s="16"/>
      <c r="ZZ806" s="16"/>
      <c r="AAA806" s="16"/>
      <c r="AAB806" s="16"/>
      <c r="AAC806" s="16"/>
      <c r="AAD806" s="16"/>
      <c r="AAE806" s="16"/>
      <c r="AAF806" s="16"/>
      <c r="AAG806" s="16"/>
      <c r="AAH806" s="16"/>
      <c r="AAI806" s="16"/>
      <c r="AAJ806" s="16"/>
      <c r="AAK806" s="16"/>
      <c r="AAL806" s="16"/>
      <c r="AAM806" s="16"/>
      <c r="AAN806" s="16"/>
      <c r="AAO806" s="16"/>
      <c r="AAP806" s="16"/>
      <c r="AAQ806" s="16"/>
      <c r="AAR806" s="16"/>
      <c r="AAS806" s="16"/>
      <c r="AAT806" s="16"/>
      <c r="AAU806" s="16"/>
      <c r="AAV806" s="16"/>
      <c r="AAW806" s="16"/>
      <c r="AAX806" s="16"/>
      <c r="AAY806" s="16"/>
      <c r="AAZ806" s="16"/>
      <c r="ABA806" s="16"/>
      <c r="ABB806" s="16"/>
      <c r="ABC806" s="16"/>
      <c r="ABD806" s="16"/>
      <c r="ABE806" s="16"/>
      <c r="ABF806" s="16"/>
      <c r="ABG806" s="16"/>
      <c r="ABH806" s="16"/>
      <c r="ABI806" s="16"/>
      <c r="ABJ806" s="16"/>
      <c r="ABK806" s="16"/>
      <c r="ABL806" s="16"/>
      <c r="ABM806" s="16"/>
      <c r="ABN806" s="16"/>
      <c r="ABO806" s="16"/>
      <c r="ABP806" s="16"/>
      <c r="ABQ806" s="16"/>
      <c r="ABR806" s="16"/>
      <c r="ABS806" s="16"/>
      <c r="ABT806" s="16"/>
      <c r="ABU806" s="16"/>
      <c r="ABV806" s="16"/>
      <c r="ABW806" s="16"/>
      <c r="ABX806" s="16"/>
      <c r="ABY806" s="16"/>
      <c r="ABZ806" s="16"/>
      <c r="ACA806" s="16"/>
      <c r="ACB806" s="16"/>
      <c r="ACC806" s="16"/>
      <c r="ACD806" s="16"/>
      <c r="ACE806" s="16"/>
      <c r="ACF806" s="16"/>
      <c r="ACG806" s="16"/>
      <c r="ACH806" s="16"/>
      <c r="ACI806" s="16"/>
      <c r="ACJ806" s="16"/>
      <c r="ACK806" s="16"/>
      <c r="ACL806" s="16"/>
      <c r="ACM806" s="16"/>
      <c r="ACN806" s="16"/>
      <c r="ACO806" s="16"/>
      <c r="ACP806" s="16"/>
      <c r="ACQ806" s="16"/>
      <c r="ACR806" s="16"/>
      <c r="ACS806" s="16"/>
      <c r="ACT806" s="16"/>
      <c r="ACU806" s="16"/>
      <c r="ACV806" s="16"/>
      <c r="ACW806" s="16"/>
      <c r="ACX806" s="16"/>
      <c r="ACY806" s="16"/>
      <c r="ACZ806" s="16"/>
      <c r="ADA806" s="16"/>
      <c r="ADB806" s="16"/>
      <c r="ADC806" s="16"/>
      <c r="ADD806" s="16"/>
      <c r="ADE806" s="16"/>
      <c r="ADF806" s="16"/>
      <c r="ADG806" s="16"/>
      <c r="ADH806" s="16"/>
      <c r="ADI806" s="16"/>
      <c r="ADJ806" s="16"/>
      <c r="ADK806" s="16"/>
      <c r="ADL806" s="16"/>
      <c r="ADM806" s="16"/>
      <c r="ADN806" s="16"/>
      <c r="ADO806" s="16"/>
      <c r="ADP806" s="16"/>
      <c r="ADQ806" s="16"/>
      <c r="ADR806" s="16"/>
      <c r="ADS806" s="16"/>
      <c r="ADT806" s="16"/>
      <c r="ADU806" s="16"/>
      <c r="ADV806" s="16"/>
      <c r="ADW806" s="16"/>
      <c r="ADX806" s="16"/>
      <c r="ADY806" s="16"/>
      <c r="ADZ806" s="16"/>
      <c r="AEA806" s="16"/>
      <c r="AEB806" s="16"/>
      <c r="AEC806" s="16"/>
      <c r="AED806" s="16"/>
      <c r="AEE806" s="16"/>
      <c r="AEF806" s="16"/>
      <c r="AEG806" s="16"/>
      <c r="AEH806" s="16"/>
      <c r="AEI806" s="16"/>
      <c r="AEJ806" s="16"/>
      <c r="AEK806" s="16"/>
      <c r="AEL806" s="16"/>
      <c r="AEM806" s="16"/>
      <c r="AEN806" s="16"/>
      <c r="AEO806" s="16"/>
      <c r="AEP806" s="16"/>
      <c r="AEQ806" s="16"/>
      <c r="AER806" s="16"/>
      <c r="AES806" s="16"/>
      <c r="AET806" s="16"/>
      <c r="AEU806" s="16"/>
      <c r="AEV806" s="16"/>
      <c r="AEW806" s="16"/>
      <c r="AEX806" s="16"/>
      <c r="AEY806" s="16"/>
      <c r="AEZ806" s="16"/>
      <c r="AFA806" s="16"/>
      <c r="AFB806" s="16"/>
      <c r="AFC806" s="16"/>
      <c r="AFD806" s="16"/>
      <c r="AFE806" s="16"/>
      <c r="AFF806" s="16"/>
      <c r="AFG806" s="16"/>
      <c r="AFH806" s="16"/>
      <c r="AFI806" s="16"/>
      <c r="AFJ806" s="16"/>
      <c r="AFK806" s="16"/>
      <c r="AFL806" s="16"/>
      <c r="AFM806" s="16"/>
      <c r="AFN806" s="16"/>
      <c r="AFO806" s="16"/>
      <c r="AFP806" s="16"/>
      <c r="AFQ806" s="16"/>
      <c r="AFR806" s="16"/>
      <c r="AFS806" s="16"/>
      <c r="AFT806" s="16"/>
      <c r="AFU806" s="16"/>
      <c r="AFV806" s="16"/>
      <c r="AFW806" s="16"/>
      <c r="AFX806" s="16"/>
      <c r="AFY806" s="16"/>
      <c r="AFZ806" s="16"/>
      <c r="AGA806" s="16"/>
      <c r="AGB806" s="16"/>
      <c r="AGC806" s="16"/>
      <c r="AGD806" s="16"/>
      <c r="AGE806" s="16"/>
      <c r="AGF806" s="16"/>
      <c r="AGG806" s="16"/>
      <c r="AGH806" s="16"/>
      <c r="AGI806" s="16"/>
      <c r="AGJ806" s="16"/>
    </row>
    <row r="807" spans="1:868">
      <c r="A807" s="151" t="s">
        <v>121</v>
      </c>
      <c r="B807" s="34" t="s">
        <v>346</v>
      </c>
      <c r="C807" s="40" t="s">
        <v>139</v>
      </c>
      <c r="D807" s="34" t="s">
        <v>95</v>
      </c>
      <c r="E807" s="257">
        <v>0.12292818474177457</v>
      </c>
      <c r="F807" s="232">
        <v>1</v>
      </c>
      <c r="G807" s="40"/>
      <c r="H807" s="29">
        <v>2</v>
      </c>
      <c r="I807" s="9">
        <v>2</v>
      </c>
      <c r="J807" s="9">
        <v>2</v>
      </c>
      <c r="K807" s="9">
        <v>2</v>
      </c>
      <c r="L807" s="9">
        <v>1</v>
      </c>
      <c r="M807" s="9">
        <v>2</v>
      </c>
      <c r="N807" s="185">
        <f t="shared" si="51"/>
        <v>0.38795788889711302</v>
      </c>
      <c r="O807" s="159">
        <f t="shared" si="52"/>
        <v>0.38795788889711302</v>
      </c>
      <c r="P807" s="63"/>
    </row>
    <row r="808" spans="1:868">
      <c r="A808" s="151" t="s">
        <v>121</v>
      </c>
      <c r="B808" s="34" t="s">
        <v>346</v>
      </c>
      <c r="C808" s="40" t="s">
        <v>139</v>
      </c>
      <c r="D808" s="34" t="s">
        <v>99</v>
      </c>
      <c r="E808" s="257">
        <v>0.72436500470366871</v>
      </c>
      <c r="F808" s="232">
        <v>1</v>
      </c>
      <c r="G808" s="40"/>
      <c r="H808" s="29">
        <v>2</v>
      </c>
      <c r="I808" s="9">
        <v>2</v>
      </c>
      <c r="J808" s="9">
        <v>2</v>
      </c>
      <c r="K808" s="9">
        <v>2</v>
      </c>
      <c r="L808" s="9">
        <v>1</v>
      </c>
      <c r="M808" s="9">
        <v>2</v>
      </c>
      <c r="N808" s="185">
        <f t="shared" si="51"/>
        <v>0.38795788889711302</v>
      </c>
      <c r="O808" s="159">
        <f t="shared" si="52"/>
        <v>0.38795788889711302</v>
      </c>
      <c r="P808" s="63"/>
    </row>
    <row r="809" spans="1:868">
      <c r="A809" s="151" t="s">
        <v>121</v>
      </c>
      <c r="B809" s="34" t="s">
        <v>348</v>
      </c>
      <c r="C809" s="40" t="s">
        <v>139</v>
      </c>
      <c r="D809" s="34" t="s">
        <v>85</v>
      </c>
      <c r="E809" s="257">
        <v>0</v>
      </c>
      <c r="F809" s="232">
        <v>1</v>
      </c>
      <c r="G809" s="40"/>
      <c r="H809" s="29"/>
      <c r="I809" s="9"/>
      <c r="J809" s="9"/>
      <c r="K809" s="9"/>
      <c r="L809" s="9"/>
      <c r="M809" s="9"/>
      <c r="N809" s="185" t="str">
        <f t="shared" si="51"/>
        <v/>
      </c>
      <c r="O809" s="159" t="str">
        <f t="shared" si="52"/>
        <v/>
      </c>
      <c r="P809" s="63"/>
    </row>
    <row r="810" spans="1:868">
      <c r="A810" s="151" t="s">
        <v>121</v>
      </c>
      <c r="B810" s="34" t="s">
        <v>348</v>
      </c>
      <c r="C810" s="40" t="s">
        <v>139</v>
      </c>
      <c r="D810" s="34" t="s">
        <v>86</v>
      </c>
      <c r="E810" s="257">
        <v>0</v>
      </c>
      <c r="F810" s="232">
        <v>1</v>
      </c>
      <c r="G810" s="40"/>
      <c r="H810" s="29"/>
      <c r="I810" s="9"/>
      <c r="J810" s="9"/>
      <c r="K810" s="9"/>
      <c r="L810" s="9"/>
      <c r="M810" s="9"/>
      <c r="N810" s="185" t="str">
        <f t="shared" si="51"/>
        <v/>
      </c>
      <c r="O810" s="159" t="str">
        <f t="shared" si="52"/>
        <v/>
      </c>
      <c r="P810" s="63"/>
    </row>
    <row r="811" spans="1:868">
      <c r="A811" s="151" t="s">
        <v>121</v>
      </c>
      <c r="B811" s="34" t="s">
        <v>348</v>
      </c>
      <c r="C811" s="40" t="s">
        <v>139</v>
      </c>
      <c r="D811" s="34" t="s">
        <v>87</v>
      </c>
      <c r="E811" s="257">
        <v>0.16934867262931416</v>
      </c>
      <c r="F811" s="232">
        <v>1</v>
      </c>
      <c r="G811" s="40"/>
      <c r="H811" s="29">
        <v>2</v>
      </c>
      <c r="I811" s="9">
        <v>2</v>
      </c>
      <c r="J811" s="9">
        <v>2</v>
      </c>
      <c r="K811" s="9">
        <v>2</v>
      </c>
      <c r="L811" s="9">
        <v>1</v>
      </c>
      <c r="M811" s="9">
        <v>2</v>
      </c>
      <c r="N811" s="185">
        <f t="shared" si="51"/>
        <v>0.38795788889711302</v>
      </c>
      <c r="O811" s="159">
        <f t="shared" si="52"/>
        <v>0.38795788889711302</v>
      </c>
      <c r="P811" s="63"/>
    </row>
    <row r="812" spans="1:868">
      <c r="A812" s="151" t="s">
        <v>121</v>
      </c>
      <c r="B812" s="34" t="s">
        <v>348</v>
      </c>
      <c r="C812" s="40" t="s">
        <v>139</v>
      </c>
      <c r="D812" s="34" t="s">
        <v>88</v>
      </c>
      <c r="E812" s="257">
        <v>0</v>
      </c>
      <c r="F812" s="232">
        <v>1</v>
      </c>
      <c r="G812" s="40"/>
      <c r="H812" s="29"/>
      <c r="I812" s="9"/>
      <c r="J812" s="9"/>
      <c r="K812" s="9"/>
      <c r="L812" s="9"/>
      <c r="M812" s="9"/>
      <c r="N812" s="185" t="str">
        <f t="shared" si="51"/>
        <v/>
      </c>
      <c r="O812" s="159" t="str">
        <f t="shared" si="52"/>
        <v/>
      </c>
      <c r="P812" s="63"/>
    </row>
    <row r="813" spans="1:868">
      <c r="A813" s="151" t="s">
        <v>121</v>
      </c>
      <c r="B813" s="34" t="s">
        <v>348</v>
      </c>
      <c r="C813" s="40" t="s">
        <v>139</v>
      </c>
      <c r="D813" s="34" t="s">
        <v>89</v>
      </c>
      <c r="E813" s="257">
        <v>0</v>
      </c>
      <c r="F813" s="232">
        <v>1</v>
      </c>
      <c r="G813" s="40"/>
      <c r="H813" s="29"/>
      <c r="I813" s="9"/>
      <c r="J813" s="9"/>
      <c r="K813" s="9"/>
      <c r="L813" s="9"/>
      <c r="M813" s="9"/>
      <c r="N813" s="185" t="str">
        <f t="shared" si="51"/>
        <v/>
      </c>
      <c r="O813" s="159" t="str">
        <f t="shared" si="52"/>
        <v/>
      </c>
      <c r="P813" s="63"/>
    </row>
    <row r="814" spans="1:868">
      <c r="A814" s="151" t="s">
        <v>121</v>
      </c>
      <c r="B814" s="34" t="s">
        <v>348</v>
      </c>
      <c r="C814" s="40" t="s">
        <v>139</v>
      </c>
      <c r="D814" s="34" t="s">
        <v>90</v>
      </c>
      <c r="E814" s="257">
        <v>0</v>
      </c>
      <c r="F814" s="232">
        <v>1</v>
      </c>
      <c r="G814" s="40"/>
      <c r="H814" s="29"/>
      <c r="I814" s="9"/>
      <c r="J814" s="9"/>
      <c r="K814" s="9"/>
      <c r="L814" s="9"/>
      <c r="M814" s="9"/>
      <c r="N814" s="185" t="str">
        <f t="shared" si="51"/>
        <v/>
      </c>
      <c r="O814" s="159" t="str">
        <f t="shared" si="52"/>
        <v/>
      </c>
      <c r="P814" s="63"/>
    </row>
    <row r="815" spans="1:868" s="210" customFormat="1" ht="15.75" thickBot="1">
      <c r="A815" s="151" t="s">
        <v>121</v>
      </c>
      <c r="B815" s="34" t="s">
        <v>348</v>
      </c>
      <c r="C815" s="40" t="s">
        <v>139</v>
      </c>
      <c r="D815" s="34" t="s">
        <v>91</v>
      </c>
      <c r="E815" s="257">
        <v>0.17788403171430972</v>
      </c>
      <c r="F815" s="232">
        <v>1</v>
      </c>
      <c r="G815" s="40"/>
      <c r="H815" s="29">
        <v>2</v>
      </c>
      <c r="I815" s="9">
        <v>2</v>
      </c>
      <c r="J815" s="9">
        <v>2</v>
      </c>
      <c r="K815" s="9">
        <v>2</v>
      </c>
      <c r="L815" s="9">
        <v>1</v>
      </c>
      <c r="M815" s="9">
        <v>2</v>
      </c>
      <c r="N815" s="185">
        <f t="shared" si="51"/>
        <v>0.38795788889711302</v>
      </c>
      <c r="O815" s="159">
        <f t="shared" si="52"/>
        <v>0.38795788889711302</v>
      </c>
      <c r="P815" s="63"/>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c r="DW815" s="16"/>
      <c r="DX815" s="16"/>
      <c r="DY815" s="16"/>
      <c r="DZ815" s="16"/>
      <c r="EA815" s="16"/>
      <c r="EB815" s="16"/>
      <c r="EC815" s="16"/>
      <c r="ED815" s="16"/>
      <c r="EE815" s="16"/>
      <c r="EF815" s="16"/>
      <c r="EG815" s="16"/>
      <c r="EH815" s="16"/>
      <c r="EI815" s="16"/>
      <c r="EJ815" s="16"/>
      <c r="EK815" s="16"/>
      <c r="EL815" s="16"/>
      <c r="EM815" s="16"/>
      <c r="EN815" s="16"/>
      <c r="EO815" s="16"/>
      <c r="EP815" s="16"/>
      <c r="EQ815" s="16"/>
      <c r="ER815" s="16"/>
      <c r="ES815" s="16"/>
      <c r="ET815" s="16"/>
      <c r="EU815" s="16"/>
      <c r="EV815" s="16"/>
      <c r="EW815" s="16"/>
      <c r="EX815" s="16"/>
      <c r="EY815" s="16"/>
      <c r="EZ815" s="16"/>
      <c r="FA815" s="16"/>
      <c r="FB815" s="16"/>
      <c r="FC815" s="16"/>
      <c r="FD815" s="16"/>
      <c r="FE815" s="16"/>
      <c r="FF815" s="16"/>
      <c r="FG815" s="16"/>
      <c r="FH815" s="16"/>
      <c r="FI815" s="16"/>
      <c r="FJ815" s="16"/>
      <c r="FK815" s="16"/>
      <c r="FL815" s="16"/>
      <c r="FM815" s="16"/>
      <c r="FN815" s="16"/>
      <c r="FO815" s="16"/>
      <c r="FP815" s="16"/>
      <c r="FQ815" s="16"/>
      <c r="FR815" s="16"/>
      <c r="FS815" s="16"/>
      <c r="FT815" s="16"/>
      <c r="FU815" s="16"/>
      <c r="FV815" s="16"/>
      <c r="FW815" s="16"/>
      <c r="FX815" s="16"/>
      <c r="FY815" s="16"/>
      <c r="FZ815" s="16"/>
      <c r="GA815" s="16"/>
      <c r="GB815" s="16"/>
      <c r="GC815" s="16"/>
      <c r="GD815" s="16"/>
      <c r="GE815" s="16"/>
      <c r="GF815" s="16"/>
      <c r="GG815" s="16"/>
      <c r="GH815" s="16"/>
      <c r="GI815" s="16"/>
      <c r="GJ815" s="16"/>
      <c r="GK815" s="16"/>
      <c r="GL815" s="16"/>
      <c r="GM815" s="16"/>
      <c r="GN815" s="16"/>
      <c r="GO815" s="16"/>
      <c r="GP815" s="16"/>
      <c r="GQ815" s="16"/>
      <c r="GR815" s="16"/>
      <c r="GS815" s="16"/>
      <c r="GT815" s="16"/>
      <c r="GU815" s="16"/>
      <c r="GV815" s="16"/>
      <c r="GW815" s="16"/>
      <c r="GX815" s="16"/>
      <c r="GY815" s="16"/>
      <c r="GZ815" s="16"/>
      <c r="HA815" s="16"/>
      <c r="HB815" s="16"/>
      <c r="HC815" s="16"/>
      <c r="HD815" s="16"/>
      <c r="HE815" s="16"/>
      <c r="HF815" s="16"/>
      <c r="HG815" s="16"/>
      <c r="HH815" s="16"/>
      <c r="HI815" s="16"/>
      <c r="HJ815" s="16"/>
      <c r="HK815" s="16"/>
      <c r="HL815" s="16"/>
      <c r="HM815" s="16"/>
      <c r="HN815" s="16"/>
      <c r="HO815" s="16"/>
      <c r="HP815" s="16"/>
      <c r="HQ815" s="16"/>
      <c r="HR815" s="16"/>
      <c r="HS815" s="16"/>
      <c r="HT815" s="16"/>
      <c r="HU815" s="16"/>
      <c r="HV815" s="16"/>
      <c r="HW815" s="16"/>
      <c r="HX815" s="16"/>
      <c r="HY815" s="16"/>
      <c r="HZ815" s="16"/>
      <c r="IA815" s="16"/>
      <c r="IB815" s="16"/>
      <c r="IC815" s="16"/>
      <c r="ID815" s="16"/>
      <c r="IE815" s="16"/>
      <c r="IF815" s="16"/>
      <c r="IG815" s="16"/>
      <c r="IH815" s="16"/>
      <c r="II815" s="16"/>
      <c r="IJ815" s="16"/>
      <c r="IK815" s="16"/>
      <c r="IL815" s="16"/>
      <c r="IM815" s="16"/>
      <c r="IN815" s="16"/>
      <c r="IO815" s="16"/>
      <c r="IP815" s="16"/>
      <c r="IQ815" s="16"/>
      <c r="IR815" s="16"/>
      <c r="IS815" s="16"/>
      <c r="IT815" s="16"/>
      <c r="IU815" s="16"/>
      <c r="IV815" s="16"/>
      <c r="IW815" s="16"/>
      <c r="IX815" s="16"/>
      <c r="IY815" s="16"/>
      <c r="IZ815" s="16"/>
      <c r="JA815" s="16"/>
      <c r="JB815" s="16"/>
      <c r="JC815" s="16"/>
      <c r="JD815" s="16"/>
      <c r="JE815" s="16"/>
      <c r="JF815" s="16"/>
      <c r="JG815" s="16"/>
      <c r="JH815" s="16"/>
      <c r="JI815" s="16"/>
      <c r="JJ815" s="16"/>
      <c r="JK815" s="16"/>
      <c r="JL815" s="16"/>
      <c r="JM815" s="16"/>
      <c r="JN815" s="16"/>
      <c r="JO815" s="16"/>
      <c r="JP815" s="16"/>
      <c r="JQ815" s="16"/>
      <c r="JR815" s="16"/>
      <c r="JS815" s="16"/>
      <c r="JT815" s="16"/>
      <c r="JU815" s="16"/>
      <c r="JV815" s="16"/>
      <c r="JW815" s="16"/>
      <c r="JX815" s="16"/>
      <c r="JY815" s="16"/>
      <c r="JZ815" s="16"/>
      <c r="KA815" s="16"/>
      <c r="KB815" s="16"/>
      <c r="KC815" s="16"/>
      <c r="KD815" s="16"/>
      <c r="KE815" s="16"/>
      <c r="KF815" s="16"/>
      <c r="KG815" s="16"/>
      <c r="KH815" s="16"/>
      <c r="KI815" s="16"/>
      <c r="KJ815" s="16"/>
      <c r="KK815" s="16"/>
      <c r="KL815" s="16"/>
      <c r="KM815" s="16"/>
      <c r="KN815" s="16"/>
      <c r="KO815" s="16"/>
      <c r="KP815" s="16"/>
      <c r="KQ815" s="16"/>
      <c r="KR815" s="16"/>
      <c r="KS815" s="16"/>
      <c r="KT815" s="16"/>
      <c r="KU815" s="16"/>
      <c r="KV815" s="16"/>
      <c r="KW815" s="16"/>
      <c r="KX815" s="16"/>
      <c r="KY815" s="16"/>
      <c r="KZ815" s="16"/>
      <c r="LA815" s="16"/>
      <c r="LB815" s="16"/>
      <c r="LC815" s="16"/>
      <c r="LD815" s="16"/>
      <c r="LE815" s="16"/>
      <c r="LF815" s="16"/>
      <c r="LG815" s="16"/>
      <c r="LH815" s="16"/>
      <c r="LI815" s="16"/>
      <c r="LJ815" s="16"/>
      <c r="LK815" s="16"/>
      <c r="LL815" s="16"/>
      <c r="LM815" s="16"/>
      <c r="LN815" s="16"/>
      <c r="LO815" s="16"/>
      <c r="LP815" s="16"/>
      <c r="LQ815" s="16"/>
      <c r="LR815" s="16"/>
      <c r="LS815" s="16"/>
      <c r="LT815" s="16"/>
      <c r="LU815" s="16"/>
      <c r="LV815" s="16"/>
      <c r="LW815" s="16"/>
      <c r="LX815" s="16"/>
      <c r="LY815" s="16"/>
      <c r="LZ815" s="16"/>
      <c r="MA815" s="16"/>
      <c r="MB815" s="16"/>
      <c r="MC815" s="16"/>
      <c r="MD815" s="16"/>
      <c r="ME815" s="16"/>
      <c r="MF815" s="16"/>
      <c r="MG815" s="16"/>
      <c r="MH815" s="16"/>
      <c r="MI815" s="16"/>
      <c r="MJ815" s="16"/>
      <c r="MK815" s="16"/>
      <c r="ML815" s="16"/>
      <c r="MM815" s="16"/>
      <c r="MN815" s="16"/>
      <c r="MO815" s="16"/>
      <c r="MP815" s="16"/>
      <c r="MQ815" s="16"/>
      <c r="MR815" s="16"/>
      <c r="MS815" s="16"/>
      <c r="MT815" s="16"/>
      <c r="MU815" s="16"/>
      <c r="MV815" s="16"/>
      <c r="MW815" s="16"/>
      <c r="MX815" s="16"/>
      <c r="MY815" s="16"/>
      <c r="MZ815" s="16"/>
      <c r="NA815" s="16"/>
      <c r="NB815" s="16"/>
      <c r="NC815" s="16"/>
      <c r="ND815" s="16"/>
      <c r="NE815" s="16"/>
      <c r="NF815" s="16"/>
      <c r="NG815" s="16"/>
      <c r="NH815" s="16"/>
      <c r="NI815" s="16"/>
      <c r="NJ815" s="16"/>
      <c r="NK815" s="16"/>
      <c r="NL815" s="16"/>
      <c r="NM815" s="16"/>
      <c r="NN815" s="16"/>
      <c r="NO815" s="16"/>
      <c r="NP815" s="16"/>
      <c r="NQ815" s="16"/>
      <c r="NR815" s="16"/>
      <c r="NS815" s="16"/>
      <c r="NT815" s="16"/>
      <c r="NU815" s="16"/>
      <c r="NV815" s="16"/>
      <c r="NW815" s="16"/>
      <c r="NX815" s="16"/>
      <c r="NY815" s="16"/>
      <c r="NZ815" s="16"/>
      <c r="OA815" s="16"/>
      <c r="OB815" s="16"/>
      <c r="OC815" s="16"/>
      <c r="OD815" s="16"/>
      <c r="OE815" s="16"/>
      <c r="OF815" s="16"/>
      <c r="OG815" s="16"/>
      <c r="OH815" s="16"/>
      <c r="OI815" s="16"/>
      <c r="OJ815" s="16"/>
      <c r="OK815" s="16"/>
      <c r="OL815" s="16"/>
      <c r="OM815" s="16"/>
      <c r="ON815" s="16"/>
      <c r="OO815" s="16"/>
      <c r="OP815" s="16"/>
      <c r="OQ815" s="16"/>
      <c r="OR815" s="16"/>
      <c r="OS815" s="16"/>
      <c r="OT815" s="16"/>
      <c r="OU815" s="16"/>
      <c r="OV815" s="16"/>
      <c r="OW815" s="16"/>
      <c r="OX815" s="16"/>
      <c r="OY815" s="16"/>
      <c r="OZ815" s="16"/>
      <c r="PA815" s="16"/>
      <c r="PB815" s="16"/>
      <c r="PC815" s="16"/>
      <c r="PD815" s="16"/>
      <c r="PE815" s="16"/>
      <c r="PF815" s="16"/>
      <c r="PG815" s="16"/>
      <c r="PH815" s="16"/>
      <c r="PI815" s="16"/>
      <c r="PJ815" s="16"/>
      <c r="PK815" s="16"/>
      <c r="PL815" s="16"/>
      <c r="PM815" s="16"/>
      <c r="PN815" s="16"/>
      <c r="PO815" s="16"/>
      <c r="PP815" s="16"/>
      <c r="PQ815" s="16"/>
      <c r="PR815" s="16"/>
      <c r="PS815" s="16"/>
      <c r="PT815" s="16"/>
      <c r="PU815" s="16"/>
      <c r="PV815" s="16"/>
      <c r="PW815" s="16"/>
      <c r="PX815" s="16"/>
      <c r="PY815" s="16"/>
      <c r="PZ815" s="16"/>
      <c r="QA815" s="16"/>
      <c r="QB815" s="16"/>
      <c r="QC815" s="16"/>
      <c r="QD815" s="16"/>
      <c r="QE815" s="16"/>
      <c r="QF815" s="16"/>
      <c r="QG815" s="16"/>
      <c r="QH815" s="16"/>
      <c r="QI815" s="16"/>
      <c r="QJ815" s="16"/>
      <c r="QK815" s="16"/>
      <c r="QL815" s="16"/>
      <c r="QM815" s="16"/>
      <c r="QN815" s="16"/>
      <c r="QO815" s="16"/>
      <c r="QP815" s="16"/>
      <c r="QQ815" s="16"/>
      <c r="QR815" s="16"/>
      <c r="QS815" s="16"/>
      <c r="QT815" s="16"/>
      <c r="QU815" s="16"/>
      <c r="QV815" s="16"/>
      <c r="QW815" s="16"/>
      <c r="QX815" s="16"/>
      <c r="QY815" s="16"/>
      <c r="QZ815" s="16"/>
      <c r="RA815" s="16"/>
      <c r="RB815" s="16"/>
      <c r="RC815" s="16"/>
      <c r="RD815" s="16"/>
      <c r="RE815" s="16"/>
      <c r="RF815" s="16"/>
      <c r="RG815" s="16"/>
      <c r="RH815" s="16"/>
      <c r="RI815" s="16"/>
      <c r="RJ815" s="16"/>
      <c r="RK815" s="16"/>
      <c r="RL815" s="16"/>
      <c r="RM815" s="16"/>
      <c r="RN815" s="16"/>
      <c r="RO815" s="16"/>
      <c r="RP815" s="16"/>
      <c r="RQ815" s="16"/>
      <c r="RR815" s="16"/>
      <c r="RS815" s="16"/>
      <c r="RT815" s="16"/>
      <c r="RU815" s="16"/>
      <c r="RV815" s="16"/>
      <c r="RW815" s="16"/>
      <c r="RX815" s="16"/>
      <c r="RY815" s="16"/>
      <c r="RZ815" s="16"/>
      <c r="SA815" s="16"/>
      <c r="SB815" s="16"/>
      <c r="SC815" s="16"/>
      <c r="SD815" s="16"/>
      <c r="SE815" s="16"/>
      <c r="SF815" s="16"/>
      <c r="SG815" s="16"/>
      <c r="SH815" s="16"/>
      <c r="SI815" s="16"/>
      <c r="SJ815" s="16"/>
      <c r="SK815" s="16"/>
      <c r="SL815" s="16"/>
      <c r="SM815" s="16"/>
      <c r="SN815" s="16"/>
      <c r="SO815" s="16"/>
      <c r="SP815" s="16"/>
      <c r="SQ815" s="16"/>
      <c r="SR815" s="16"/>
      <c r="SS815" s="16"/>
      <c r="ST815" s="16"/>
      <c r="SU815" s="16"/>
      <c r="SV815" s="16"/>
      <c r="SW815" s="16"/>
      <c r="SX815" s="16"/>
      <c r="SY815" s="16"/>
      <c r="SZ815" s="16"/>
      <c r="TA815" s="16"/>
      <c r="TB815" s="16"/>
      <c r="TC815" s="16"/>
      <c r="TD815" s="16"/>
      <c r="TE815" s="16"/>
      <c r="TF815" s="16"/>
      <c r="TG815" s="16"/>
      <c r="TH815" s="16"/>
      <c r="TI815" s="16"/>
      <c r="TJ815" s="16"/>
      <c r="TK815" s="16"/>
      <c r="TL815" s="16"/>
      <c r="TM815" s="16"/>
      <c r="TN815" s="16"/>
      <c r="TO815" s="16"/>
      <c r="TP815" s="16"/>
      <c r="TQ815" s="16"/>
      <c r="TR815" s="16"/>
      <c r="TS815" s="16"/>
      <c r="TT815" s="16"/>
      <c r="TU815" s="16"/>
      <c r="TV815" s="16"/>
      <c r="TW815" s="16"/>
      <c r="TX815" s="16"/>
      <c r="TY815" s="16"/>
      <c r="TZ815" s="16"/>
      <c r="UA815" s="16"/>
      <c r="UB815" s="16"/>
      <c r="UC815" s="16"/>
      <c r="UD815" s="16"/>
      <c r="UE815" s="16"/>
      <c r="UF815" s="16"/>
      <c r="UG815" s="16"/>
      <c r="UH815" s="16"/>
      <c r="UI815" s="16"/>
      <c r="UJ815" s="16"/>
      <c r="UK815" s="16"/>
      <c r="UL815" s="16"/>
      <c r="UM815" s="16"/>
      <c r="UN815" s="16"/>
      <c r="UO815" s="16"/>
      <c r="UP815" s="16"/>
      <c r="UQ815" s="16"/>
      <c r="UR815" s="16"/>
      <c r="US815" s="16"/>
      <c r="UT815" s="16"/>
      <c r="UU815" s="16"/>
      <c r="UV815" s="16"/>
      <c r="UW815" s="16"/>
      <c r="UX815" s="16"/>
      <c r="UY815" s="16"/>
      <c r="UZ815" s="16"/>
      <c r="VA815" s="16"/>
      <c r="VB815" s="16"/>
      <c r="VC815" s="16"/>
      <c r="VD815" s="16"/>
      <c r="VE815" s="16"/>
      <c r="VF815" s="16"/>
      <c r="VG815" s="16"/>
      <c r="VH815" s="16"/>
      <c r="VI815" s="16"/>
      <c r="VJ815" s="16"/>
      <c r="VK815" s="16"/>
      <c r="VL815" s="16"/>
      <c r="VM815" s="16"/>
      <c r="VN815" s="16"/>
      <c r="VO815" s="16"/>
      <c r="VP815" s="16"/>
      <c r="VQ815" s="16"/>
      <c r="VR815" s="16"/>
      <c r="VS815" s="16"/>
      <c r="VT815" s="16"/>
      <c r="VU815" s="16"/>
      <c r="VV815" s="16"/>
      <c r="VW815" s="16"/>
      <c r="VX815" s="16"/>
      <c r="VY815" s="16"/>
      <c r="VZ815" s="16"/>
      <c r="WA815" s="16"/>
      <c r="WB815" s="16"/>
      <c r="WC815" s="16"/>
      <c r="WD815" s="16"/>
      <c r="WE815" s="16"/>
      <c r="WF815" s="16"/>
      <c r="WG815" s="16"/>
      <c r="WH815" s="16"/>
      <c r="WI815" s="16"/>
      <c r="WJ815" s="16"/>
      <c r="WK815" s="16"/>
      <c r="WL815" s="16"/>
      <c r="WM815" s="16"/>
      <c r="WN815" s="16"/>
      <c r="WO815" s="16"/>
      <c r="WP815" s="16"/>
      <c r="WQ815" s="16"/>
      <c r="WR815" s="16"/>
      <c r="WS815" s="16"/>
      <c r="WT815" s="16"/>
      <c r="WU815" s="16"/>
      <c r="WV815" s="16"/>
      <c r="WW815" s="16"/>
      <c r="WX815" s="16"/>
      <c r="WY815" s="16"/>
      <c r="WZ815" s="16"/>
      <c r="XA815" s="16"/>
      <c r="XB815" s="16"/>
      <c r="XC815" s="16"/>
      <c r="XD815" s="16"/>
      <c r="XE815" s="16"/>
      <c r="XF815" s="16"/>
      <c r="XG815" s="16"/>
      <c r="XH815" s="16"/>
      <c r="XI815" s="16"/>
      <c r="XJ815" s="16"/>
      <c r="XK815" s="16"/>
      <c r="XL815" s="16"/>
      <c r="XM815" s="16"/>
      <c r="XN815" s="16"/>
      <c r="XO815" s="16"/>
      <c r="XP815" s="16"/>
      <c r="XQ815" s="16"/>
      <c r="XR815" s="16"/>
      <c r="XS815" s="16"/>
      <c r="XT815" s="16"/>
      <c r="XU815" s="16"/>
      <c r="XV815" s="16"/>
      <c r="XW815" s="16"/>
      <c r="XX815" s="16"/>
      <c r="XY815" s="16"/>
      <c r="XZ815" s="16"/>
      <c r="YA815" s="16"/>
      <c r="YB815" s="16"/>
      <c r="YC815" s="16"/>
      <c r="YD815" s="16"/>
      <c r="YE815" s="16"/>
      <c r="YF815" s="16"/>
      <c r="YG815" s="16"/>
      <c r="YH815" s="16"/>
      <c r="YI815" s="16"/>
      <c r="YJ815" s="16"/>
      <c r="YK815" s="16"/>
      <c r="YL815" s="16"/>
      <c r="YM815" s="16"/>
      <c r="YN815" s="16"/>
      <c r="YO815" s="16"/>
      <c r="YP815" s="16"/>
      <c r="YQ815" s="16"/>
      <c r="YR815" s="16"/>
      <c r="YS815" s="16"/>
      <c r="YT815" s="16"/>
      <c r="YU815" s="16"/>
      <c r="YV815" s="16"/>
      <c r="YW815" s="16"/>
      <c r="YX815" s="16"/>
      <c r="YY815" s="16"/>
      <c r="YZ815" s="16"/>
      <c r="ZA815" s="16"/>
      <c r="ZB815" s="16"/>
      <c r="ZC815" s="16"/>
      <c r="ZD815" s="16"/>
      <c r="ZE815" s="16"/>
      <c r="ZF815" s="16"/>
      <c r="ZG815" s="16"/>
      <c r="ZH815" s="16"/>
      <c r="ZI815" s="16"/>
      <c r="ZJ815" s="16"/>
      <c r="ZK815" s="16"/>
      <c r="ZL815" s="16"/>
      <c r="ZM815" s="16"/>
      <c r="ZN815" s="16"/>
      <c r="ZO815" s="16"/>
      <c r="ZP815" s="16"/>
      <c r="ZQ815" s="16"/>
      <c r="ZR815" s="16"/>
      <c r="ZS815" s="16"/>
      <c r="ZT815" s="16"/>
      <c r="ZU815" s="16"/>
      <c r="ZV815" s="16"/>
      <c r="ZW815" s="16"/>
      <c r="ZX815" s="16"/>
      <c r="ZY815" s="16"/>
      <c r="ZZ815" s="16"/>
      <c r="AAA815" s="16"/>
      <c r="AAB815" s="16"/>
      <c r="AAC815" s="16"/>
      <c r="AAD815" s="16"/>
      <c r="AAE815" s="16"/>
      <c r="AAF815" s="16"/>
      <c r="AAG815" s="16"/>
      <c r="AAH815" s="16"/>
      <c r="AAI815" s="16"/>
      <c r="AAJ815" s="16"/>
      <c r="AAK815" s="16"/>
      <c r="AAL815" s="16"/>
      <c r="AAM815" s="16"/>
      <c r="AAN815" s="16"/>
      <c r="AAO815" s="16"/>
      <c r="AAP815" s="16"/>
      <c r="AAQ815" s="16"/>
      <c r="AAR815" s="16"/>
      <c r="AAS815" s="16"/>
      <c r="AAT815" s="16"/>
      <c r="AAU815" s="16"/>
      <c r="AAV815" s="16"/>
      <c r="AAW815" s="16"/>
      <c r="AAX815" s="16"/>
      <c r="AAY815" s="16"/>
      <c r="AAZ815" s="16"/>
      <c r="ABA815" s="16"/>
      <c r="ABB815" s="16"/>
      <c r="ABC815" s="16"/>
      <c r="ABD815" s="16"/>
      <c r="ABE815" s="16"/>
      <c r="ABF815" s="16"/>
      <c r="ABG815" s="16"/>
      <c r="ABH815" s="16"/>
      <c r="ABI815" s="16"/>
      <c r="ABJ815" s="16"/>
      <c r="ABK815" s="16"/>
      <c r="ABL815" s="16"/>
      <c r="ABM815" s="16"/>
      <c r="ABN815" s="16"/>
      <c r="ABO815" s="16"/>
      <c r="ABP815" s="16"/>
      <c r="ABQ815" s="16"/>
      <c r="ABR815" s="16"/>
      <c r="ABS815" s="16"/>
      <c r="ABT815" s="16"/>
      <c r="ABU815" s="16"/>
      <c r="ABV815" s="16"/>
      <c r="ABW815" s="16"/>
      <c r="ABX815" s="16"/>
      <c r="ABY815" s="16"/>
      <c r="ABZ815" s="16"/>
      <c r="ACA815" s="16"/>
      <c r="ACB815" s="16"/>
      <c r="ACC815" s="16"/>
      <c r="ACD815" s="16"/>
      <c r="ACE815" s="16"/>
      <c r="ACF815" s="16"/>
      <c r="ACG815" s="16"/>
      <c r="ACH815" s="16"/>
      <c r="ACI815" s="16"/>
      <c r="ACJ815" s="16"/>
      <c r="ACK815" s="16"/>
      <c r="ACL815" s="16"/>
      <c r="ACM815" s="16"/>
      <c r="ACN815" s="16"/>
      <c r="ACO815" s="16"/>
      <c r="ACP815" s="16"/>
      <c r="ACQ815" s="16"/>
      <c r="ACR815" s="16"/>
      <c r="ACS815" s="16"/>
      <c r="ACT815" s="16"/>
      <c r="ACU815" s="16"/>
      <c r="ACV815" s="16"/>
      <c r="ACW815" s="16"/>
      <c r="ACX815" s="16"/>
      <c r="ACY815" s="16"/>
      <c r="ACZ815" s="16"/>
      <c r="ADA815" s="16"/>
      <c r="ADB815" s="16"/>
      <c r="ADC815" s="16"/>
      <c r="ADD815" s="16"/>
      <c r="ADE815" s="16"/>
      <c r="ADF815" s="16"/>
      <c r="ADG815" s="16"/>
      <c r="ADH815" s="16"/>
      <c r="ADI815" s="16"/>
      <c r="ADJ815" s="16"/>
      <c r="ADK815" s="16"/>
      <c r="ADL815" s="16"/>
      <c r="ADM815" s="16"/>
      <c r="ADN815" s="16"/>
      <c r="ADO815" s="16"/>
      <c r="ADP815" s="16"/>
      <c r="ADQ815" s="16"/>
      <c r="ADR815" s="16"/>
      <c r="ADS815" s="16"/>
      <c r="ADT815" s="16"/>
      <c r="ADU815" s="16"/>
      <c r="ADV815" s="16"/>
      <c r="ADW815" s="16"/>
      <c r="ADX815" s="16"/>
      <c r="ADY815" s="16"/>
      <c r="ADZ815" s="16"/>
      <c r="AEA815" s="16"/>
      <c r="AEB815" s="16"/>
      <c r="AEC815" s="16"/>
      <c r="AED815" s="16"/>
      <c r="AEE815" s="16"/>
      <c r="AEF815" s="16"/>
      <c r="AEG815" s="16"/>
      <c r="AEH815" s="16"/>
      <c r="AEI815" s="16"/>
      <c r="AEJ815" s="16"/>
      <c r="AEK815" s="16"/>
      <c r="AEL815" s="16"/>
      <c r="AEM815" s="16"/>
      <c r="AEN815" s="16"/>
      <c r="AEO815" s="16"/>
      <c r="AEP815" s="16"/>
      <c r="AEQ815" s="16"/>
      <c r="AER815" s="16"/>
      <c r="AES815" s="16"/>
      <c r="AET815" s="16"/>
      <c r="AEU815" s="16"/>
      <c r="AEV815" s="16"/>
      <c r="AEW815" s="16"/>
      <c r="AEX815" s="16"/>
      <c r="AEY815" s="16"/>
      <c r="AEZ815" s="16"/>
      <c r="AFA815" s="16"/>
      <c r="AFB815" s="16"/>
      <c r="AFC815" s="16"/>
      <c r="AFD815" s="16"/>
      <c r="AFE815" s="16"/>
      <c r="AFF815" s="16"/>
      <c r="AFG815" s="16"/>
      <c r="AFH815" s="16"/>
      <c r="AFI815" s="16"/>
      <c r="AFJ815" s="16"/>
      <c r="AFK815" s="16"/>
      <c r="AFL815" s="16"/>
      <c r="AFM815" s="16"/>
      <c r="AFN815" s="16"/>
      <c r="AFO815" s="16"/>
      <c r="AFP815" s="16"/>
      <c r="AFQ815" s="16"/>
      <c r="AFR815" s="16"/>
      <c r="AFS815" s="16"/>
      <c r="AFT815" s="16"/>
      <c r="AFU815" s="16"/>
      <c r="AFV815" s="16"/>
      <c r="AFW815" s="16"/>
      <c r="AFX815" s="16"/>
      <c r="AFY815" s="16"/>
      <c r="AFZ815" s="16"/>
      <c r="AGA815" s="16"/>
      <c r="AGB815" s="16"/>
      <c r="AGC815" s="16"/>
      <c r="AGD815" s="16"/>
      <c r="AGE815" s="16"/>
      <c r="AGF815" s="16"/>
      <c r="AGG815" s="16"/>
      <c r="AGH815" s="16"/>
      <c r="AGI815" s="16"/>
      <c r="AGJ815" s="16"/>
    </row>
    <row r="816" spans="1:868" s="833" customFormat="1">
      <c r="A816" s="151" t="s">
        <v>121</v>
      </c>
      <c r="B816" s="34" t="s">
        <v>348</v>
      </c>
      <c r="C816" s="40" t="s">
        <v>139</v>
      </c>
      <c r="D816" s="34" t="s">
        <v>95</v>
      </c>
      <c r="E816" s="257">
        <v>0.13697999666323399</v>
      </c>
      <c r="F816" s="232">
        <v>1</v>
      </c>
      <c r="G816" s="40"/>
      <c r="H816" s="29">
        <v>2</v>
      </c>
      <c r="I816" s="9">
        <v>2</v>
      </c>
      <c r="J816" s="9">
        <v>2</v>
      </c>
      <c r="K816" s="9">
        <v>2</v>
      </c>
      <c r="L816" s="9">
        <v>1</v>
      </c>
      <c r="M816" s="9">
        <v>2</v>
      </c>
      <c r="N816" s="185">
        <f t="shared" si="51"/>
        <v>0.38795788889711302</v>
      </c>
      <c r="O816" s="159">
        <f t="shared" si="52"/>
        <v>0.38795788889711302</v>
      </c>
      <c r="P816" s="63"/>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c r="JS816" s="16"/>
      <c r="JT816" s="16"/>
      <c r="JU816" s="16"/>
      <c r="JV816" s="16"/>
      <c r="JW816" s="16"/>
      <c r="JX816" s="16"/>
      <c r="JY816" s="16"/>
      <c r="JZ816" s="16"/>
      <c r="KA816" s="16"/>
      <c r="KB816" s="16"/>
      <c r="KC816" s="16"/>
      <c r="KD816" s="16"/>
      <c r="KE816" s="16"/>
      <c r="KF816" s="16"/>
      <c r="KG816" s="16"/>
      <c r="KH816" s="16"/>
      <c r="KI816" s="16"/>
      <c r="KJ816" s="16"/>
      <c r="KK816" s="16"/>
      <c r="KL816" s="16"/>
      <c r="KM816" s="16"/>
      <c r="KN816" s="16"/>
      <c r="KO816" s="16"/>
      <c r="KP816" s="16"/>
      <c r="KQ816" s="16"/>
      <c r="KR816" s="16"/>
      <c r="KS816" s="16"/>
      <c r="KT816" s="16"/>
      <c r="KU816" s="16"/>
      <c r="KV816" s="16"/>
      <c r="KW816" s="16"/>
      <c r="KX816" s="16"/>
      <c r="KY816" s="16"/>
      <c r="KZ816" s="16"/>
      <c r="LA816" s="16"/>
      <c r="LB816" s="16"/>
      <c r="LC816" s="16"/>
      <c r="LD816" s="16"/>
      <c r="LE816" s="16"/>
      <c r="LF816" s="16"/>
      <c r="LG816" s="16"/>
      <c r="LH816" s="16"/>
      <c r="LI816" s="16"/>
      <c r="LJ816" s="16"/>
      <c r="LK816" s="16"/>
      <c r="LL816" s="16"/>
      <c r="LM816" s="16"/>
      <c r="LN816" s="16"/>
      <c r="LO816" s="16"/>
      <c r="LP816" s="16"/>
      <c r="LQ816" s="16"/>
      <c r="LR816" s="16"/>
      <c r="LS816" s="16"/>
      <c r="LT816" s="16"/>
      <c r="LU816" s="16"/>
      <c r="LV816" s="16"/>
      <c r="LW816" s="16"/>
      <c r="LX816" s="16"/>
      <c r="LY816" s="16"/>
      <c r="LZ816" s="16"/>
      <c r="MA816" s="16"/>
      <c r="MB816" s="16"/>
      <c r="MC816" s="16"/>
      <c r="MD816" s="16"/>
      <c r="ME816" s="16"/>
      <c r="MF816" s="16"/>
      <c r="MG816" s="16"/>
      <c r="MH816" s="16"/>
      <c r="MI816" s="16"/>
      <c r="MJ816" s="16"/>
      <c r="MK816" s="16"/>
      <c r="ML816" s="16"/>
      <c r="MM816" s="16"/>
      <c r="MN816" s="16"/>
      <c r="MO816" s="16"/>
      <c r="MP816" s="16"/>
      <c r="MQ816" s="16"/>
      <c r="MR816" s="16"/>
      <c r="MS816" s="16"/>
      <c r="MT816" s="16"/>
      <c r="MU816" s="16"/>
      <c r="MV816" s="16"/>
      <c r="MW816" s="16"/>
      <c r="MX816" s="16"/>
      <c r="MY816" s="16"/>
      <c r="MZ816" s="16"/>
      <c r="NA816" s="16"/>
      <c r="NB816" s="16"/>
      <c r="NC816" s="16"/>
      <c r="ND816" s="16"/>
      <c r="NE816" s="16"/>
      <c r="NF816" s="16"/>
      <c r="NG816" s="16"/>
      <c r="NH816" s="16"/>
      <c r="NI816" s="16"/>
      <c r="NJ816" s="16"/>
      <c r="NK816" s="16"/>
      <c r="NL816" s="16"/>
      <c r="NM816" s="16"/>
      <c r="NN816" s="16"/>
      <c r="NO816" s="16"/>
      <c r="NP816" s="16"/>
      <c r="NQ816" s="16"/>
      <c r="NR816" s="16"/>
      <c r="NS816" s="16"/>
      <c r="NT816" s="16"/>
      <c r="NU816" s="16"/>
      <c r="NV816" s="16"/>
      <c r="NW816" s="16"/>
      <c r="NX816" s="16"/>
      <c r="NY816" s="16"/>
      <c r="NZ816" s="16"/>
      <c r="OA816" s="16"/>
      <c r="OB816" s="16"/>
      <c r="OC816" s="16"/>
      <c r="OD816" s="16"/>
      <c r="OE816" s="16"/>
      <c r="OF816" s="16"/>
      <c r="OG816" s="16"/>
      <c r="OH816" s="16"/>
      <c r="OI816" s="16"/>
      <c r="OJ816" s="16"/>
      <c r="OK816" s="16"/>
      <c r="OL816" s="16"/>
      <c r="OM816" s="16"/>
      <c r="ON816" s="16"/>
      <c r="OO816" s="16"/>
      <c r="OP816" s="16"/>
      <c r="OQ816" s="16"/>
      <c r="OR816" s="16"/>
      <c r="OS816" s="16"/>
      <c r="OT816" s="16"/>
      <c r="OU816" s="16"/>
      <c r="OV816" s="16"/>
      <c r="OW816" s="16"/>
      <c r="OX816" s="16"/>
      <c r="OY816" s="16"/>
      <c r="OZ816" s="16"/>
      <c r="PA816" s="16"/>
      <c r="PB816" s="16"/>
      <c r="PC816" s="16"/>
      <c r="PD816" s="16"/>
      <c r="PE816" s="16"/>
      <c r="PF816" s="16"/>
      <c r="PG816" s="16"/>
      <c r="PH816" s="16"/>
      <c r="PI816" s="16"/>
      <c r="PJ816" s="16"/>
      <c r="PK816" s="16"/>
      <c r="PL816" s="16"/>
      <c r="PM816" s="16"/>
      <c r="PN816" s="16"/>
      <c r="PO816" s="16"/>
      <c r="PP816" s="16"/>
      <c r="PQ816" s="16"/>
      <c r="PR816" s="16"/>
      <c r="PS816" s="16"/>
      <c r="PT816" s="16"/>
      <c r="PU816" s="16"/>
      <c r="PV816" s="16"/>
      <c r="PW816" s="16"/>
      <c r="PX816" s="16"/>
      <c r="PY816" s="16"/>
      <c r="PZ816" s="16"/>
      <c r="QA816" s="16"/>
      <c r="QB816" s="16"/>
      <c r="QC816" s="16"/>
      <c r="QD816" s="16"/>
      <c r="QE816" s="16"/>
      <c r="QF816" s="16"/>
      <c r="QG816" s="16"/>
      <c r="QH816" s="16"/>
      <c r="QI816" s="16"/>
      <c r="QJ816" s="16"/>
      <c r="QK816" s="16"/>
      <c r="QL816" s="16"/>
      <c r="QM816" s="16"/>
      <c r="QN816" s="16"/>
      <c r="QO816" s="16"/>
      <c r="QP816" s="16"/>
      <c r="QQ816" s="16"/>
      <c r="QR816" s="16"/>
      <c r="QS816" s="16"/>
      <c r="QT816" s="16"/>
      <c r="QU816" s="16"/>
      <c r="QV816" s="16"/>
      <c r="QW816" s="16"/>
      <c r="QX816" s="16"/>
      <c r="QY816" s="16"/>
      <c r="QZ816" s="16"/>
      <c r="RA816" s="16"/>
      <c r="RB816" s="16"/>
      <c r="RC816" s="16"/>
      <c r="RD816" s="16"/>
      <c r="RE816" s="16"/>
      <c r="RF816" s="16"/>
      <c r="RG816" s="16"/>
      <c r="RH816" s="16"/>
      <c r="RI816" s="16"/>
      <c r="RJ816" s="16"/>
      <c r="RK816" s="16"/>
      <c r="RL816" s="16"/>
      <c r="RM816" s="16"/>
      <c r="RN816" s="16"/>
      <c r="RO816" s="16"/>
      <c r="RP816" s="16"/>
      <c r="RQ816" s="16"/>
      <c r="RR816" s="16"/>
      <c r="RS816" s="16"/>
      <c r="RT816" s="16"/>
      <c r="RU816" s="16"/>
      <c r="RV816" s="16"/>
      <c r="RW816" s="16"/>
      <c r="RX816" s="16"/>
      <c r="RY816" s="16"/>
      <c r="RZ816" s="16"/>
      <c r="SA816" s="16"/>
      <c r="SB816" s="16"/>
      <c r="SC816" s="16"/>
      <c r="SD816" s="16"/>
      <c r="SE816" s="16"/>
      <c r="SF816" s="16"/>
      <c r="SG816" s="16"/>
      <c r="SH816" s="16"/>
      <c r="SI816" s="16"/>
      <c r="SJ816" s="16"/>
      <c r="SK816" s="16"/>
      <c r="SL816" s="16"/>
      <c r="SM816" s="16"/>
      <c r="SN816" s="16"/>
      <c r="SO816" s="16"/>
      <c r="SP816" s="16"/>
      <c r="SQ816" s="16"/>
      <c r="SR816" s="16"/>
      <c r="SS816" s="16"/>
      <c r="ST816" s="16"/>
      <c r="SU816" s="16"/>
      <c r="SV816" s="16"/>
      <c r="SW816" s="16"/>
      <c r="SX816" s="16"/>
      <c r="SY816" s="16"/>
      <c r="SZ816" s="16"/>
      <c r="TA816" s="16"/>
      <c r="TB816" s="16"/>
      <c r="TC816" s="16"/>
      <c r="TD816" s="16"/>
      <c r="TE816" s="16"/>
      <c r="TF816" s="16"/>
      <c r="TG816" s="16"/>
      <c r="TH816" s="16"/>
      <c r="TI816" s="16"/>
      <c r="TJ816" s="16"/>
      <c r="TK816" s="16"/>
      <c r="TL816" s="16"/>
      <c r="TM816" s="16"/>
      <c r="TN816" s="16"/>
      <c r="TO816" s="16"/>
      <c r="TP816" s="16"/>
      <c r="TQ816" s="16"/>
      <c r="TR816" s="16"/>
      <c r="TS816" s="16"/>
      <c r="TT816" s="16"/>
      <c r="TU816" s="16"/>
      <c r="TV816" s="16"/>
      <c r="TW816" s="16"/>
      <c r="TX816" s="16"/>
      <c r="TY816" s="16"/>
      <c r="TZ816" s="16"/>
      <c r="UA816" s="16"/>
      <c r="UB816" s="16"/>
      <c r="UC816" s="16"/>
      <c r="UD816" s="16"/>
      <c r="UE816" s="16"/>
      <c r="UF816" s="16"/>
      <c r="UG816" s="16"/>
      <c r="UH816" s="16"/>
      <c r="UI816" s="16"/>
      <c r="UJ816" s="16"/>
      <c r="UK816" s="16"/>
      <c r="UL816" s="16"/>
      <c r="UM816" s="16"/>
      <c r="UN816" s="16"/>
      <c r="UO816" s="16"/>
      <c r="UP816" s="16"/>
      <c r="UQ816" s="16"/>
      <c r="UR816" s="16"/>
      <c r="US816" s="16"/>
      <c r="UT816" s="16"/>
      <c r="UU816" s="16"/>
      <c r="UV816" s="16"/>
      <c r="UW816" s="16"/>
      <c r="UX816" s="16"/>
      <c r="UY816" s="16"/>
      <c r="UZ816" s="16"/>
      <c r="VA816" s="16"/>
      <c r="VB816" s="16"/>
      <c r="VC816" s="16"/>
      <c r="VD816" s="16"/>
      <c r="VE816" s="16"/>
      <c r="VF816" s="16"/>
      <c r="VG816" s="16"/>
      <c r="VH816" s="16"/>
      <c r="VI816" s="16"/>
      <c r="VJ816" s="16"/>
      <c r="VK816" s="16"/>
      <c r="VL816" s="16"/>
      <c r="VM816" s="16"/>
      <c r="VN816" s="16"/>
      <c r="VO816" s="16"/>
      <c r="VP816" s="16"/>
      <c r="VQ816" s="16"/>
      <c r="VR816" s="16"/>
      <c r="VS816" s="16"/>
      <c r="VT816" s="16"/>
      <c r="VU816" s="16"/>
      <c r="VV816" s="16"/>
      <c r="VW816" s="16"/>
      <c r="VX816" s="16"/>
      <c r="VY816" s="16"/>
      <c r="VZ816" s="16"/>
      <c r="WA816" s="16"/>
      <c r="WB816" s="16"/>
      <c r="WC816" s="16"/>
      <c r="WD816" s="16"/>
      <c r="WE816" s="16"/>
      <c r="WF816" s="16"/>
      <c r="WG816" s="16"/>
      <c r="WH816" s="16"/>
      <c r="WI816" s="16"/>
      <c r="WJ816" s="16"/>
      <c r="WK816" s="16"/>
      <c r="WL816" s="16"/>
      <c r="WM816" s="16"/>
      <c r="WN816" s="16"/>
      <c r="WO816" s="16"/>
      <c r="WP816" s="16"/>
      <c r="WQ816" s="16"/>
      <c r="WR816" s="16"/>
      <c r="WS816" s="16"/>
      <c r="WT816" s="16"/>
      <c r="WU816" s="16"/>
      <c r="WV816" s="16"/>
      <c r="WW816" s="16"/>
      <c r="WX816" s="16"/>
      <c r="WY816" s="16"/>
      <c r="WZ816" s="16"/>
      <c r="XA816" s="16"/>
      <c r="XB816" s="16"/>
      <c r="XC816" s="16"/>
      <c r="XD816" s="16"/>
      <c r="XE816" s="16"/>
      <c r="XF816" s="16"/>
      <c r="XG816" s="16"/>
      <c r="XH816" s="16"/>
      <c r="XI816" s="16"/>
      <c r="XJ816" s="16"/>
      <c r="XK816" s="16"/>
      <c r="XL816" s="16"/>
      <c r="XM816" s="16"/>
      <c r="XN816" s="16"/>
      <c r="XO816" s="16"/>
      <c r="XP816" s="16"/>
      <c r="XQ816" s="16"/>
      <c r="XR816" s="16"/>
      <c r="XS816" s="16"/>
      <c r="XT816" s="16"/>
      <c r="XU816" s="16"/>
      <c r="XV816" s="16"/>
      <c r="XW816" s="16"/>
      <c r="XX816" s="16"/>
      <c r="XY816" s="16"/>
      <c r="XZ816" s="16"/>
      <c r="YA816" s="16"/>
      <c r="YB816" s="16"/>
      <c r="YC816" s="16"/>
      <c r="YD816" s="16"/>
      <c r="YE816" s="16"/>
      <c r="YF816" s="16"/>
      <c r="YG816" s="16"/>
      <c r="YH816" s="16"/>
      <c r="YI816" s="16"/>
      <c r="YJ816" s="16"/>
      <c r="YK816" s="16"/>
      <c r="YL816" s="16"/>
      <c r="YM816" s="16"/>
      <c r="YN816" s="16"/>
      <c r="YO816" s="16"/>
      <c r="YP816" s="16"/>
      <c r="YQ816" s="16"/>
      <c r="YR816" s="16"/>
      <c r="YS816" s="16"/>
      <c r="YT816" s="16"/>
      <c r="YU816" s="16"/>
      <c r="YV816" s="16"/>
      <c r="YW816" s="16"/>
      <c r="YX816" s="16"/>
      <c r="YY816" s="16"/>
      <c r="YZ816" s="16"/>
      <c r="ZA816" s="16"/>
      <c r="ZB816" s="16"/>
      <c r="ZC816" s="16"/>
      <c r="ZD816" s="16"/>
      <c r="ZE816" s="16"/>
      <c r="ZF816" s="16"/>
      <c r="ZG816" s="16"/>
      <c r="ZH816" s="16"/>
      <c r="ZI816" s="16"/>
      <c r="ZJ816" s="16"/>
      <c r="ZK816" s="16"/>
      <c r="ZL816" s="16"/>
      <c r="ZM816" s="16"/>
      <c r="ZN816" s="16"/>
      <c r="ZO816" s="16"/>
      <c r="ZP816" s="16"/>
      <c r="ZQ816" s="16"/>
      <c r="ZR816" s="16"/>
      <c r="ZS816" s="16"/>
      <c r="ZT816" s="16"/>
      <c r="ZU816" s="16"/>
      <c r="ZV816" s="16"/>
      <c r="ZW816" s="16"/>
      <c r="ZX816" s="16"/>
      <c r="ZY816" s="16"/>
      <c r="ZZ816" s="16"/>
      <c r="AAA816" s="16"/>
      <c r="AAB816" s="16"/>
      <c r="AAC816" s="16"/>
      <c r="AAD816" s="16"/>
      <c r="AAE816" s="16"/>
      <c r="AAF816" s="16"/>
      <c r="AAG816" s="16"/>
      <c r="AAH816" s="16"/>
      <c r="AAI816" s="16"/>
      <c r="AAJ816" s="16"/>
      <c r="AAK816" s="16"/>
      <c r="AAL816" s="16"/>
      <c r="AAM816" s="16"/>
      <c r="AAN816" s="16"/>
      <c r="AAO816" s="16"/>
      <c r="AAP816" s="16"/>
      <c r="AAQ816" s="16"/>
      <c r="AAR816" s="16"/>
      <c r="AAS816" s="16"/>
      <c r="AAT816" s="16"/>
      <c r="AAU816" s="16"/>
      <c r="AAV816" s="16"/>
      <c r="AAW816" s="16"/>
      <c r="AAX816" s="16"/>
      <c r="AAY816" s="16"/>
      <c r="AAZ816" s="16"/>
      <c r="ABA816" s="16"/>
      <c r="ABB816" s="16"/>
      <c r="ABC816" s="16"/>
      <c r="ABD816" s="16"/>
      <c r="ABE816" s="16"/>
      <c r="ABF816" s="16"/>
      <c r="ABG816" s="16"/>
      <c r="ABH816" s="16"/>
      <c r="ABI816" s="16"/>
      <c r="ABJ816" s="16"/>
      <c r="ABK816" s="16"/>
      <c r="ABL816" s="16"/>
      <c r="ABM816" s="16"/>
      <c r="ABN816" s="16"/>
      <c r="ABO816" s="16"/>
      <c r="ABP816" s="16"/>
      <c r="ABQ816" s="16"/>
      <c r="ABR816" s="16"/>
      <c r="ABS816" s="16"/>
      <c r="ABT816" s="16"/>
      <c r="ABU816" s="16"/>
      <c r="ABV816" s="16"/>
      <c r="ABW816" s="16"/>
      <c r="ABX816" s="16"/>
      <c r="ABY816" s="16"/>
      <c r="ABZ816" s="16"/>
      <c r="ACA816" s="16"/>
      <c r="ACB816" s="16"/>
      <c r="ACC816" s="16"/>
      <c r="ACD816" s="16"/>
      <c r="ACE816" s="16"/>
      <c r="ACF816" s="16"/>
      <c r="ACG816" s="16"/>
      <c r="ACH816" s="16"/>
      <c r="ACI816" s="16"/>
      <c r="ACJ816" s="16"/>
      <c r="ACK816" s="16"/>
      <c r="ACL816" s="16"/>
      <c r="ACM816" s="16"/>
      <c r="ACN816" s="16"/>
      <c r="ACO816" s="16"/>
      <c r="ACP816" s="16"/>
      <c r="ACQ816" s="16"/>
      <c r="ACR816" s="16"/>
      <c r="ACS816" s="16"/>
      <c r="ACT816" s="16"/>
      <c r="ACU816" s="16"/>
      <c r="ACV816" s="16"/>
      <c r="ACW816" s="16"/>
      <c r="ACX816" s="16"/>
      <c r="ACY816" s="16"/>
      <c r="ACZ816" s="16"/>
      <c r="ADA816" s="16"/>
      <c r="ADB816" s="16"/>
      <c r="ADC816" s="16"/>
      <c r="ADD816" s="16"/>
      <c r="ADE816" s="16"/>
      <c r="ADF816" s="16"/>
      <c r="ADG816" s="16"/>
      <c r="ADH816" s="16"/>
      <c r="ADI816" s="16"/>
      <c r="ADJ816" s="16"/>
      <c r="ADK816" s="16"/>
      <c r="ADL816" s="16"/>
      <c r="ADM816" s="16"/>
      <c r="ADN816" s="16"/>
      <c r="ADO816" s="16"/>
      <c r="ADP816" s="16"/>
      <c r="ADQ816" s="16"/>
      <c r="ADR816" s="16"/>
      <c r="ADS816" s="16"/>
      <c r="ADT816" s="16"/>
      <c r="ADU816" s="16"/>
      <c r="ADV816" s="16"/>
      <c r="ADW816" s="16"/>
      <c r="ADX816" s="16"/>
      <c r="ADY816" s="16"/>
      <c r="ADZ816" s="16"/>
      <c r="AEA816" s="16"/>
      <c r="AEB816" s="16"/>
      <c r="AEC816" s="16"/>
      <c r="AED816" s="16"/>
      <c r="AEE816" s="16"/>
      <c r="AEF816" s="16"/>
      <c r="AEG816" s="16"/>
      <c r="AEH816" s="16"/>
      <c r="AEI816" s="16"/>
      <c r="AEJ816" s="16"/>
      <c r="AEK816" s="16"/>
      <c r="AEL816" s="16"/>
      <c r="AEM816" s="16"/>
      <c r="AEN816" s="16"/>
      <c r="AEO816" s="16"/>
      <c r="AEP816" s="16"/>
      <c r="AEQ816" s="16"/>
      <c r="AER816" s="16"/>
      <c r="AES816" s="16"/>
      <c r="AET816" s="16"/>
      <c r="AEU816" s="16"/>
      <c r="AEV816" s="16"/>
      <c r="AEW816" s="16"/>
      <c r="AEX816" s="16"/>
      <c r="AEY816" s="16"/>
      <c r="AEZ816" s="16"/>
      <c r="AFA816" s="16"/>
      <c r="AFB816" s="16"/>
      <c r="AFC816" s="16"/>
      <c r="AFD816" s="16"/>
      <c r="AFE816" s="16"/>
      <c r="AFF816" s="16"/>
      <c r="AFG816" s="16"/>
      <c r="AFH816" s="16"/>
      <c r="AFI816" s="16"/>
      <c r="AFJ816" s="16"/>
      <c r="AFK816" s="16"/>
      <c r="AFL816" s="16"/>
      <c r="AFM816" s="16"/>
      <c r="AFN816" s="16"/>
      <c r="AFO816" s="16"/>
      <c r="AFP816" s="16"/>
      <c r="AFQ816" s="16"/>
      <c r="AFR816" s="16"/>
      <c r="AFS816" s="16"/>
      <c r="AFT816" s="16"/>
      <c r="AFU816" s="16"/>
      <c r="AFV816" s="16"/>
      <c r="AFW816" s="16"/>
      <c r="AFX816" s="16"/>
      <c r="AFY816" s="16"/>
      <c r="AFZ816" s="16"/>
      <c r="AGA816" s="16"/>
      <c r="AGB816" s="16"/>
      <c r="AGC816" s="16"/>
      <c r="AGD816" s="16"/>
      <c r="AGE816" s="16"/>
      <c r="AGF816" s="16"/>
      <c r="AGG816" s="16"/>
      <c r="AGH816" s="16"/>
      <c r="AGI816" s="16"/>
      <c r="AGJ816" s="16"/>
    </row>
    <row r="817" spans="1:868">
      <c r="A817" s="151" t="s">
        <v>121</v>
      </c>
      <c r="B817" s="34" t="s">
        <v>348</v>
      </c>
      <c r="C817" s="40" t="s">
        <v>139</v>
      </c>
      <c r="D817" s="34" t="s">
        <v>99</v>
      </c>
      <c r="E817" s="257">
        <v>0</v>
      </c>
      <c r="F817" s="232">
        <v>1</v>
      </c>
      <c r="G817" s="40"/>
      <c r="H817" s="29"/>
      <c r="I817" s="9"/>
      <c r="J817" s="9"/>
      <c r="K817" s="9"/>
      <c r="L817" s="9"/>
      <c r="M817" s="9"/>
      <c r="N817" s="185" t="str">
        <f t="shared" si="51"/>
        <v/>
      </c>
      <c r="O817" s="159" t="str">
        <f t="shared" si="52"/>
        <v/>
      </c>
      <c r="P817" s="63"/>
    </row>
    <row r="818" spans="1:868">
      <c r="A818" s="151" t="s">
        <v>121</v>
      </c>
      <c r="B818" s="34" t="s">
        <v>238</v>
      </c>
      <c r="C818" s="40" t="s">
        <v>139</v>
      </c>
      <c r="D818" s="34" t="s">
        <v>85</v>
      </c>
      <c r="E818" s="257">
        <v>0</v>
      </c>
      <c r="F818" s="232">
        <v>1</v>
      </c>
      <c r="G818" s="40"/>
      <c r="H818" s="29"/>
      <c r="I818" s="9"/>
      <c r="J818" s="9"/>
      <c r="K818" s="9"/>
      <c r="L818" s="9"/>
      <c r="M818" s="9"/>
      <c r="N818" s="185" t="str">
        <f t="shared" si="51"/>
        <v/>
      </c>
      <c r="O818" s="159" t="str">
        <f t="shared" si="52"/>
        <v/>
      </c>
      <c r="P818" s="63"/>
    </row>
    <row r="819" spans="1:868">
      <c r="A819" s="151" t="s">
        <v>121</v>
      </c>
      <c r="B819" s="34" t="s">
        <v>238</v>
      </c>
      <c r="C819" s="40" t="s">
        <v>139</v>
      </c>
      <c r="D819" s="34" t="s">
        <v>86</v>
      </c>
      <c r="E819" s="257">
        <v>0</v>
      </c>
      <c r="F819" s="232">
        <v>1</v>
      </c>
      <c r="G819" s="40"/>
      <c r="H819" s="29"/>
      <c r="I819" s="9"/>
      <c r="J819" s="9"/>
      <c r="K819" s="9"/>
      <c r="L819" s="9"/>
      <c r="M819" s="9"/>
      <c r="N819" s="185" t="str">
        <f t="shared" si="51"/>
        <v/>
      </c>
      <c r="O819" s="159" t="str">
        <f t="shared" si="52"/>
        <v/>
      </c>
      <c r="P819" s="63"/>
    </row>
    <row r="820" spans="1:868">
      <c r="A820" s="151" t="s">
        <v>121</v>
      </c>
      <c r="B820" s="34" t="s">
        <v>238</v>
      </c>
      <c r="C820" s="40" t="s">
        <v>139</v>
      </c>
      <c r="D820" s="34" t="s">
        <v>87</v>
      </c>
      <c r="E820" s="257">
        <v>0.13862266398762429</v>
      </c>
      <c r="F820" s="232">
        <v>1</v>
      </c>
      <c r="G820" s="40"/>
      <c r="H820" s="29">
        <v>2</v>
      </c>
      <c r="I820" s="9">
        <v>2</v>
      </c>
      <c r="J820" s="9">
        <v>2</v>
      </c>
      <c r="K820" s="9">
        <v>2</v>
      </c>
      <c r="L820" s="9">
        <v>1</v>
      </c>
      <c r="M820" s="9">
        <v>2</v>
      </c>
      <c r="N820" s="185">
        <f t="shared" si="51"/>
        <v>0.38795788889711302</v>
      </c>
      <c r="O820" s="159">
        <f t="shared" si="52"/>
        <v>0.38795788889711302</v>
      </c>
      <c r="P820" s="63"/>
    </row>
    <row r="821" spans="1:868">
      <c r="A821" s="151" t="s">
        <v>121</v>
      </c>
      <c r="B821" s="34" t="s">
        <v>238</v>
      </c>
      <c r="C821" s="40" t="s">
        <v>139</v>
      </c>
      <c r="D821" s="34" t="s">
        <v>88</v>
      </c>
      <c r="E821" s="257">
        <v>0</v>
      </c>
      <c r="F821" s="232">
        <v>1</v>
      </c>
      <c r="G821" s="40"/>
      <c r="H821" s="29"/>
      <c r="I821" s="9"/>
      <c r="J821" s="9"/>
      <c r="K821" s="9"/>
      <c r="L821" s="9"/>
      <c r="M821" s="9"/>
      <c r="N821" s="185" t="str">
        <f t="shared" si="51"/>
        <v/>
      </c>
      <c r="O821" s="159" t="str">
        <f t="shared" si="52"/>
        <v/>
      </c>
      <c r="P821" s="63"/>
    </row>
    <row r="822" spans="1:868">
      <c r="A822" s="151" t="s">
        <v>121</v>
      </c>
      <c r="B822" s="34" t="s">
        <v>238</v>
      </c>
      <c r="C822" s="40" t="s">
        <v>139</v>
      </c>
      <c r="D822" s="34" t="s">
        <v>89</v>
      </c>
      <c r="E822" s="257">
        <v>0</v>
      </c>
      <c r="F822" s="232">
        <v>1</v>
      </c>
      <c r="G822" s="40"/>
      <c r="H822" s="29"/>
      <c r="I822" s="9"/>
      <c r="J822" s="9"/>
      <c r="K822" s="9"/>
      <c r="L822" s="9"/>
      <c r="M822" s="9"/>
      <c r="N822" s="185" t="str">
        <f t="shared" si="51"/>
        <v/>
      </c>
      <c r="O822" s="159" t="str">
        <f t="shared" si="52"/>
        <v/>
      </c>
      <c r="P822" s="63"/>
    </row>
    <row r="823" spans="1:868">
      <c r="A823" s="151" t="s">
        <v>121</v>
      </c>
      <c r="B823" s="34" t="s">
        <v>238</v>
      </c>
      <c r="C823" s="40" t="s">
        <v>139</v>
      </c>
      <c r="D823" s="34" t="s">
        <v>90</v>
      </c>
      <c r="E823" s="257">
        <v>0</v>
      </c>
      <c r="F823" s="232">
        <v>1</v>
      </c>
      <c r="G823" s="40"/>
      <c r="H823" s="29"/>
      <c r="I823" s="9"/>
      <c r="J823" s="9"/>
      <c r="K823" s="9"/>
      <c r="L823" s="9"/>
      <c r="M823" s="9"/>
      <c r="N823" s="185" t="str">
        <f t="shared" si="51"/>
        <v/>
      </c>
      <c r="O823" s="159" t="str">
        <f t="shared" si="52"/>
        <v/>
      </c>
      <c r="P823" s="63"/>
    </row>
    <row r="824" spans="1:868" ht="15.75" thickBot="1">
      <c r="A824" s="151" t="s">
        <v>400</v>
      </c>
      <c r="B824" s="34" t="s">
        <v>287</v>
      </c>
      <c r="C824" s="40" t="s">
        <v>139</v>
      </c>
      <c r="D824" s="34" t="s">
        <v>139</v>
      </c>
      <c r="E824" s="257">
        <v>0</v>
      </c>
      <c r="F824" s="232">
        <v>2</v>
      </c>
      <c r="G824" s="40" t="s">
        <v>157</v>
      </c>
      <c r="H824" s="29"/>
      <c r="I824" s="9"/>
      <c r="J824" s="9"/>
      <c r="K824" s="9"/>
      <c r="L824" s="9"/>
      <c r="M824" s="9"/>
      <c r="N824" s="185" t="str">
        <f t="shared" si="51"/>
        <v/>
      </c>
      <c r="O824" s="159" t="str">
        <f t="shared" si="52"/>
        <v/>
      </c>
      <c r="P824" s="63"/>
    </row>
    <row r="825" spans="1:868" s="833" customFormat="1">
      <c r="A825" s="151" t="s">
        <v>121</v>
      </c>
      <c r="B825" s="34" t="s">
        <v>238</v>
      </c>
      <c r="C825" s="40" t="s">
        <v>139</v>
      </c>
      <c r="D825" s="34" t="s">
        <v>91</v>
      </c>
      <c r="E825" s="257">
        <v>0.14560939849272989</v>
      </c>
      <c r="F825" s="232">
        <v>1</v>
      </c>
      <c r="G825" s="40"/>
      <c r="H825" s="29">
        <v>2</v>
      </c>
      <c r="I825" s="9">
        <v>2</v>
      </c>
      <c r="J825" s="9">
        <v>2</v>
      </c>
      <c r="K825" s="9">
        <v>2</v>
      </c>
      <c r="L825" s="9">
        <v>1</v>
      </c>
      <c r="M825" s="9">
        <v>2</v>
      </c>
      <c r="N825" s="185">
        <f t="shared" ref="N825:N842" si="53">IF( OR( ISBLANK(H825),ISBLANK(J825), ISBLANK(K825), ISBLANK(L825), ISBLANK(M825) ), "", 1.5*SQRT(   EXP(2.21*(H825-1)) + EXP(2.21*(J825-1)) + EXP(2.21*(K825-1)) + EXP(2.21*(L825-1)) + EXP(2.21*M825)   )/100*2.45 )</f>
        <v>0.38795788889711302</v>
      </c>
      <c r="O825" s="159">
        <f t="shared" ref="O825:O842" si="54">IF( OR( ISBLANK(I825),ISBLANK(J825), ISBLANK(K825), ISBLANK(L825), ISBLANK(M825) ), "", 1.5*SQRT( EXP(2.21*(I825-1)) + EXP(2.21*(J825-1)) + EXP(2.21*(K825-1)) + EXP(2.21*(L825-1)) + EXP(2.21*M825)   )/100*2.45 )</f>
        <v>0.38795788889711302</v>
      </c>
      <c r="P825" s="63"/>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c r="CI825" s="16"/>
      <c r="CJ825" s="16"/>
      <c r="CK825" s="16"/>
      <c r="CL825" s="16"/>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c r="DP825" s="16"/>
      <c r="DQ825" s="16"/>
      <c r="DR825" s="16"/>
      <c r="DS825" s="16"/>
      <c r="DT825" s="16"/>
      <c r="DU825" s="16"/>
      <c r="DV825" s="16"/>
      <c r="DW825" s="16"/>
      <c r="DX825" s="16"/>
      <c r="DY825" s="16"/>
      <c r="DZ825" s="16"/>
      <c r="EA825" s="16"/>
      <c r="EB825" s="16"/>
      <c r="EC825" s="16"/>
      <c r="ED825" s="16"/>
      <c r="EE825" s="16"/>
      <c r="EF825" s="16"/>
      <c r="EG825" s="16"/>
      <c r="EH825" s="16"/>
      <c r="EI825" s="16"/>
      <c r="EJ825" s="16"/>
      <c r="EK825" s="16"/>
      <c r="EL825" s="16"/>
      <c r="EM825" s="16"/>
      <c r="EN825" s="16"/>
      <c r="EO825" s="16"/>
      <c r="EP825" s="16"/>
      <c r="EQ825" s="16"/>
      <c r="ER825" s="16"/>
      <c r="ES825" s="16"/>
      <c r="ET825" s="16"/>
      <c r="EU825" s="16"/>
      <c r="EV825" s="16"/>
      <c r="EW825" s="16"/>
      <c r="EX825" s="16"/>
      <c r="EY825" s="16"/>
      <c r="EZ825" s="16"/>
      <c r="FA825" s="16"/>
      <c r="FB825" s="16"/>
      <c r="FC825" s="16"/>
      <c r="FD825" s="16"/>
      <c r="FE825" s="16"/>
      <c r="FF825" s="16"/>
      <c r="FG825" s="16"/>
      <c r="FH825" s="16"/>
      <c r="FI825" s="16"/>
      <c r="FJ825" s="16"/>
      <c r="FK825" s="16"/>
      <c r="FL825" s="16"/>
      <c r="FM825" s="16"/>
      <c r="FN825" s="16"/>
      <c r="FO825" s="16"/>
      <c r="FP825" s="16"/>
      <c r="FQ825" s="16"/>
      <c r="FR825" s="16"/>
      <c r="FS825" s="16"/>
      <c r="FT825" s="16"/>
      <c r="FU825" s="16"/>
      <c r="FV825" s="16"/>
      <c r="FW825" s="16"/>
      <c r="FX825" s="16"/>
      <c r="FY825" s="16"/>
      <c r="FZ825" s="16"/>
      <c r="GA825" s="16"/>
      <c r="GB825" s="16"/>
      <c r="GC825" s="16"/>
      <c r="GD825" s="16"/>
      <c r="GE825" s="16"/>
      <c r="GF825" s="16"/>
      <c r="GG825" s="16"/>
      <c r="GH825" s="16"/>
      <c r="GI825" s="16"/>
      <c r="GJ825" s="16"/>
      <c r="GK825" s="16"/>
      <c r="GL825" s="16"/>
      <c r="GM825" s="16"/>
      <c r="GN825" s="16"/>
      <c r="GO825" s="16"/>
      <c r="GP825" s="16"/>
      <c r="GQ825" s="16"/>
      <c r="GR825" s="16"/>
      <c r="GS825" s="16"/>
      <c r="GT825" s="16"/>
      <c r="GU825" s="16"/>
      <c r="GV825" s="16"/>
      <c r="GW825" s="16"/>
      <c r="GX825" s="16"/>
      <c r="GY825" s="16"/>
      <c r="GZ825" s="16"/>
      <c r="HA825" s="16"/>
      <c r="HB825" s="16"/>
      <c r="HC825" s="16"/>
      <c r="HD825" s="16"/>
      <c r="HE825" s="16"/>
      <c r="HF825" s="16"/>
      <c r="HG825" s="16"/>
      <c r="HH825" s="16"/>
      <c r="HI825" s="16"/>
      <c r="HJ825" s="16"/>
      <c r="HK825" s="16"/>
      <c r="HL825" s="16"/>
      <c r="HM825" s="16"/>
      <c r="HN825" s="16"/>
      <c r="HO825" s="16"/>
      <c r="HP825" s="16"/>
      <c r="HQ825" s="16"/>
      <c r="HR825" s="16"/>
      <c r="HS825" s="16"/>
      <c r="HT825" s="16"/>
      <c r="HU825" s="16"/>
      <c r="HV825" s="16"/>
      <c r="HW825" s="16"/>
      <c r="HX825" s="16"/>
      <c r="HY825" s="16"/>
      <c r="HZ825" s="16"/>
      <c r="IA825" s="16"/>
      <c r="IB825" s="16"/>
      <c r="IC825" s="16"/>
      <c r="ID825" s="16"/>
      <c r="IE825" s="16"/>
      <c r="IF825" s="16"/>
      <c r="IG825" s="16"/>
      <c r="IH825" s="16"/>
      <c r="II825" s="16"/>
      <c r="IJ825" s="16"/>
      <c r="IK825" s="16"/>
      <c r="IL825" s="16"/>
      <c r="IM825" s="16"/>
      <c r="IN825" s="16"/>
      <c r="IO825" s="16"/>
      <c r="IP825" s="16"/>
      <c r="IQ825" s="16"/>
      <c r="IR825" s="16"/>
      <c r="IS825" s="16"/>
      <c r="IT825" s="16"/>
      <c r="IU825" s="16"/>
      <c r="IV825" s="16"/>
      <c r="IW825" s="16"/>
      <c r="IX825" s="16"/>
      <c r="IY825" s="16"/>
      <c r="IZ825" s="16"/>
      <c r="JA825" s="16"/>
      <c r="JB825" s="16"/>
      <c r="JC825" s="16"/>
      <c r="JD825" s="16"/>
      <c r="JE825" s="16"/>
      <c r="JF825" s="16"/>
      <c r="JG825" s="16"/>
      <c r="JH825" s="16"/>
      <c r="JI825" s="16"/>
      <c r="JJ825" s="16"/>
      <c r="JK825" s="16"/>
      <c r="JL825" s="16"/>
      <c r="JM825" s="16"/>
      <c r="JN825" s="16"/>
      <c r="JO825" s="16"/>
      <c r="JP825" s="16"/>
      <c r="JQ825" s="16"/>
      <c r="JR825" s="16"/>
      <c r="JS825" s="16"/>
      <c r="JT825" s="16"/>
      <c r="JU825" s="16"/>
      <c r="JV825" s="16"/>
      <c r="JW825" s="16"/>
      <c r="JX825" s="16"/>
      <c r="JY825" s="16"/>
      <c r="JZ825" s="16"/>
      <c r="KA825" s="16"/>
      <c r="KB825" s="16"/>
      <c r="KC825" s="16"/>
      <c r="KD825" s="16"/>
      <c r="KE825" s="16"/>
      <c r="KF825" s="16"/>
      <c r="KG825" s="16"/>
      <c r="KH825" s="16"/>
      <c r="KI825" s="16"/>
      <c r="KJ825" s="16"/>
      <c r="KK825" s="16"/>
      <c r="KL825" s="16"/>
      <c r="KM825" s="16"/>
      <c r="KN825" s="16"/>
      <c r="KO825" s="16"/>
      <c r="KP825" s="16"/>
      <c r="KQ825" s="16"/>
      <c r="KR825" s="16"/>
      <c r="KS825" s="16"/>
      <c r="KT825" s="16"/>
      <c r="KU825" s="16"/>
      <c r="KV825" s="16"/>
      <c r="KW825" s="16"/>
      <c r="KX825" s="16"/>
      <c r="KY825" s="16"/>
      <c r="KZ825" s="16"/>
      <c r="LA825" s="16"/>
      <c r="LB825" s="16"/>
      <c r="LC825" s="16"/>
      <c r="LD825" s="16"/>
      <c r="LE825" s="16"/>
      <c r="LF825" s="16"/>
      <c r="LG825" s="16"/>
      <c r="LH825" s="16"/>
      <c r="LI825" s="16"/>
      <c r="LJ825" s="16"/>
      <c r="LK825" s="16"/>
      <c r="LL825" s="16"/>
      <c r="LM825" s="16"/>
      <c r="LN825" s="16"/>
      <c r="LO825" s="16"/>
      <c r="LP825" s="16"/>
      <c r="LQ825" s="16"/>
      <c r="LR825" s="16"/>
      <c r="LS825" s="16"/>
      <c r="LT825" s="16"/>
      <c r="LU825" s="16"/>
      <c r="LV825" s="16"/>
      <c r="LW825" s="16"/>
      <c r="LX825" s="16"/>
      <c r="LY825" s="16"/>
      <c r="LZ825" s="16"/>
      <c r="MA825" s="16"/>
      <c r="MB825" s="16"/>
      <c r="MC825" s="16"/>
      <c r="MD825" s="16"/>
      <c r="ME825" s="16"/>
      <c r="MF825" s="16"/>
      <c r="MG825" s="16"/>
      <c r="MH825" s="16"/>
      <c r="MI825" s="16"/>
      <c r="MJ825" s="16"/>
      <c r="MK825" s="16"/>
      <c r="ML825" s="16"/>
      <c r="MM825" s="16"/>
      <c r="MN825" s="16"/>
      <c r="MO825" s="16"/>
      <c r="MP825" s="16"/>
      <c r="MQ825" s="16"/>
      <c r="MR825" s="16"/>
      <c r="MS825" s="16"/>
      <c r="MT825" s="16"/>
      <c r="MU825" s="16"/>
      <c r="MV825" s="16"/>
      <c r="MW825" s="16"/>
      <c r="MX825" s="16"/>
      <c r="MY825" s="16"/>
      <c r="MZ825" s="16"/>
      <c r="NA825" s="16"/>
      <c r="NB825" s="16"/>
      <c r="NC825" s="16"/>
      <c r="ND825" s="16"/>
      <c r="NE825" s="16"/>
      <c r="NF825" s="16"/>
      <c r="NG825" s="16"/>
      <c r="NH825" s="16"/>
      <c r="NI825" s="16"/>
      <c r="NJ825" s="16"/>
      <c r="NK825" s="16"/>
      <c r="NL825" s="16"/>
      <c r="NM825" s="16"/>
      <c r="NN825" s="16"/>
      <c r="NO825" s="16"/>
      <c r="NP825" s="16"/>
      <c r="NQ825" s="16"/>
      <c r="NR825" s="16"/>
      <c r="NS825" s="16"/>
      <c r="NT825" s="16"/>
      <c r="NU825" s="16"/>
      <c r="NV825" s="16"/>
      <c r="NW825" s="16"/>
      <c r="NX825" s="16"/>
      <c r="NY825" s="16"/>
      <c r="NZ825" s="16"/>
      <c r="OA825" s="16"/>
      <c r="OB825" s="16"/>
      <c r="OC825" s="16"/>
      <c r="OD825" s="16"/>
      <c r="OE825" s="16"/>
      <c r="OF825" s="16"/>
      <c r="OG825" s="16"/>
      <c r="OH825" s="16"/>
      <c r="OI825" s="16"/>
      <c r="OJ825" s="16"/>
      <c r="OK825" s="16"/>
      <c r="OL825" s="16"/>
      <c r="OM825" s="16"/>
      <c r="ON825" s="16"/>
      <c r="OO825" s="16"/>
      <c r="OP825" s="16"/>
      <c r="OQ825" s="16"/>
      <c r="OR825" s="16"/>
      <c r="OS825" s="16"/>
      <c r="OT825" s="16"/>
      <c r="OU825" s="16"/>
      <c r="OV825" s="16"/>
      <c r="OW825" s="16"/>
      <c r="OX825" s="16"/>
      <c r="OY825" s="16"/>
      <c r="OZ825" s="16"/>
      <c r="PA825" s="16"/>
      <c r="PB825" s="16"/>
      <c r="PC825" s="16"/>
      <c r="PD825" s="16"/>
      <c r="PE825" s="16"/>
      <c r="PF825" s="16"/>
      <c r="PG825" s="16"/>
      <c r="PH825" s="16"/>
      <c r="PI825" s="16"/>
      <c r="PJ825" s="16"/>
      <c r="PK825" s="16"/>
      <c r="PL825" s="16"/>
      <c r="PM825" s="16"/>
      <c r="PN825" s="16"/>
      <c r="PO825" s="16"/>
      <c r="PP825" s="16"/>
      <c r="PQ825" s="16"/>
      <c r="PR825" s="16"/>
      <c r="PS825" s="16"/>
      <c r="PT825" s="16"/>
      <c r="PU825" s="16"/>
      <c r="PV825" s="16"/>
      <c r="PW825" s="16"/>
      <c r="PX825" s="16"/>
      <c r="PY825" s="16"/>
      <c r="PZ825" s="16"/>
      <c r="QA825" s="16"/>
      <c r="QB825" s="16"/>
      <c r="QC825" s="16"/>
      <c r="QD825" s="16"/>
      <c r="QE825" s="16"/>
      <c r="QF825" s="16"/>
      <c r="QG825" s="16"/>
      <c r="QH825" s="16"/>
      <c r="QI825" s="16"/>
      <c r="QJ825" s="16"/>
      <c r="QK825" s="16"/>
      <c r="QL825" s="16"/>
      <c r="QM825" s="16"/>
      <c r="QN825" s="16"/>
      <c r="QO825" s="16"/>
      <c r="QP825" s="16"/>
      <c r="QQ825" s="16"/>
      <c r="QR825" s="16"/>
      <c r="QS825" s="16"/>
      <c r="QT825" s="16"/>
      <c r="QU825" s="16"/>
      <c r="QV825" s="16"/>
      <c r="QW825" s="16"/>
      <c r="QX825" s="16"/>
      <c r="QY825" s="16"/>
      <c r="QZ825" s="16"/>
      <c r="RA825" s="16"/>
      <c r="RB825" s="16"/>
      <c r="RC825" s="16"/>
      <c r="RD825" s="16"/>
      <c r="RE825" s="16"/>
      <c r="RF825" s="16"/>
      <c r="RG825" s="16"/>
      <c r="RH825" s="16"/>
      <c r="RI825" s="16"/>
      <c r="RJ825" s="16"/>
      <c r="RK825" s="16"/>
      <c r="RL825" s="16"/>
      <c r="RM825" s="16"/>
      <c r="RN825" s="16"/>
      <c r="RO825" s="16"/>
      <c r="RP825" s="16"/>
      <c r="RQ825" s="16"/>
      <c r="RR825" s="16"/>
      <c r="RS825" s="16"/>
      <c r="RT825" s="16"/>
      <c r="RU825" s="16"/>
      <c r="RV825" s="16"/>
      <c r="RW825" s="16"/>
      <c r="RX825" s="16"/>
      <c r="RY825" s="16"/>
      <c r="RZ825" s="16"/>
      <c r="SA825" s="16"/>
      <c r="SB825" s="16"/>
      <c r="SC825" s="16"/>
      <c r="SD825" s="16"/>
      <c r="SE825" s="16"/>
      <c r="SF825" s="16"/>
      <c r="SG825" s="16"/>
      <c r="SH825" s="16"/>
      <c r="SI825" s="16"/>
      <c r="SJ825" s="16"/>
      <c r="SK825" s="16"/>
      <c r="SL825" s="16"/>
      <c r="SM825" s="16"/>
      <c r="SN825" s="16"/>
      <c r="SO825" s="16"/>
      <c r="SP825" s="16"/>
      <c r="SQ825" s="16"/>
      <c r="SR825" s="16"/>
      <c r="SS825" s="16"/>
      <c r="ST825" s="16"/>
      <c r="SU825" s="16"/>
      <c r="SV825" s="16"/>
      <c r="SW825" s="16"/>
      <c r="SX825" s="16"/>
      <c r="SY825" s="16"/>
      <c r="SZ825" s="16"/>
      <c r="TA825" s="16"/>
      <c r="TB825" s="16"/>
      <c r="TC825" s="16"/>
      <c r="TD825" s="16"/>
      <c r="TE825" s="16"/>
      <c r="TF825" s="16"/>
      <c r="TG825" s="16"/>
      <c r="TH825" s="16"/>
      <c r="TI825" s="16"/>
      <c r="TJ825" s="16"/>
      <c r="TK825" s="16"/>
      <c r="TL825" s="16"/>
      <c r="TM825" s="16"/>
      <c r="TN825" s="16"/>
      <c r="TO825" s="16"/>
      <c r="TP825" s="16"/>
      <c r="TQ825" s="16"/>
      <c r="TR825" s="16"/>
      <c r="TS825" s="16"/>
      <c r="TT825" s="16"/>
      <c r="TU825" s="16"/>
      <c r="TV825" s="16"/>
      <c r="TW825" s="16"/>
      <c r="TX825" s="16"/>
      <c r="TY825" s="16"/>
      <c r="TZ825" s="16"/>
      <c r="UA825" s="16"/>
      <c r="UB825" s="16"/>
      <c r="UC825" s="16"/>
      <c r="UD825" s="16"/>
      <c r="UE825" s="16"/>
      <c r="UF825" s="16"/>
      <c r="UG825" s="16"/>
      <c r="UH825" s="16"/>
      <c r="UI825" s="16"/>
      <c r="UJ825" s="16"/>
      <c r="UK825" s="16"/>
      <c r="UL825" s="16"/>
      <c r="UM825" s="16"/>
      <c r="UN825" s="16"/>
      <c r="UO825" s="16"/>
      <c r="UP825" s="16"/>
      <c r="UQ825" s="16"/>
      <c r="UR825" s="16"/>
      <c r="US825" s="16"/>
      <c r="UT825" s="16"/>
      <c r="UU825" s="16"/>
      <c r="UV825" s="16"/>
      <c r="UW825" s="16"/>
      <c r="UX825" s="16"/>
      <c r="UY825" s="16"/>
      <c r="UZ825" s="16"/>
      <c r="VA825" s="16"/>
      <c r="VB825" s="16"/>
      <c r="VC825" s="16"/>
      <c r="VD825" s="16"/>
      <c r="VE825" s="16"/>
      <c r="VF825" s="16"/>
      <c r="VG825" s="16"/>
      <c r="VH825" s="16"/>
      <c r="VI825" s="16"/>
      <c r="VJ825" s="16"/>
      <c r="VK825" s="16"/>
      <c r="VL825" s="16"/>
      <c r="VM825" s="16"/>
      <c r="VN825" s="16"/>
      <c r="VO825" s="16"/>
      <c r="VP825" s="16"/>
      <c r="VQ825" s="16"/>
      <c r="VR825" s="16"/>
      <c r="VS825" s="16"/>
      <c r="VT825" s="16"/>
      <c r="VU825" s="16"/>
      <c r="VV825" s="16"/>
      <c r="VW825" s="16"/>
      <c r="VX825" s="16"/>
      <c r="VY825" s="16"/>
      <c r="VZ825" s="16"/>
      <c r="WA825" s="16"/>
      <c r="WB825" s="16"/>
      <c r="WC825" s="16"/>
      <c r="WD825" s="16"/>
      <c r="WE825" s="16"/>
      <c r="WF825" s="16"/>
      <c r="WG825" s="16"/>
      <c r="WH825" s="16"/>
      <c r="WI825" s="16"/>
      <c r="WJ825" s="16"/>
      <c r="WK825" s="16"/>
      <c r="WL825" s="16"/>
      <c r="WM825" s="16"/>
      <c r="WN825" s="16"/>
      <c r="WO825" s="16"/>
      <c r="WP825" s="16"/>
      <c r="WQ825" s="16"/>
      <c r="WR825" s="16"/>
      <c r="WS825" s="16"/>
      <c r="WT825" s="16"/>
      <c r="WU825" s="16"/>
      <c r="WV825" s="16"/>
      <c r="WW825" s="16"/>
      <c r="WX825" s="16"/>
      <c r="WY825" s="16"/>
      <c r="WZ825" s="16"/>
      <c r="XA825" s="16"/>
      <c r="XB825" s="16"/>
      <c r="XC825" s="16"/>
      <c r="XD825" s="16"/>
      <c r="XE825" s="16"/>
      <c r="XF825" s="16"/>
      <c r="XG825" s="16"/>
      <c r="XH825" s="16"/>
      <c r="XI825" s="16"/>
      <c r="XJ825" s="16"/>
      <c r="XK825" s="16"/>
      <c r="XL825" s="16"/>
      <c r="XM825" s="16"/>
      <c r="XN825" s="16"/>
      <c r="XO825" s="16"/>
      <c r="XP825" s="16"/>
      <c r="XQ825" s="16"/>
      <c r="XR825" s="16"/>
      <c r="XS825" s="16"/>
      <c r="XT825" s="16"/>
      <c r="XU825" s="16"/>
      <c r="XV825" s="16"/>
      <c r="XW825" s="16"/>
      <c r="XX825" s="16"/>
      <c r="XY825" s="16"/>
      <c r="XZ825" s="16"/>
      <c r="YA825" s="16"/>
      <c r="YB825" s="16"/>
      <c r="YC825" s="16"/>
      <c r="YD825" s="16"/>
      <c r="YE825" s="16"/>
      <c r="YF825" s="16"/>
      <c r="YG825" s="16"/>
      <c r="YH825" s="16"/>
      <c r="YI825" s="16"/>
      <c r="YJ825" s="16"/>
      <c r="YK825" s="16"/>
      <c r="YL825" s="16"/>
      <c r="YM825" s="16"/>
      <c r="YN825" s="16"/>
      <c r="YO825" s="16"/>
      <c r="YP825" s="16"/>
      <c r="YQ825" s="16"/>
      <c r="YR825" s="16"/>
      <c r="YS825" s="16"/>
      <c r="YT825" s="16"/>
      <c r="YU825" s="16"/>
      <c r="YV825" s="16"/>
      <c r="YW825" s="16"/>
      <c r="YX825" s="16"/>
      <c r="YY825" s="16"/>
      <c r="YZ825" s="16"/>
      <c r="ZA825" s="16"/>
      <c r="ZB825" s="16"/>
      <c r="ZC825" s="16"/>
      <c r="ZD825" s="16"/>
      <c r="ZE825" s="16"/>
      <c r="ZF825" s="16"/>
      <c r="ZG825" s="16"/>
      <c r="ZH825" s="16"/>
      <c r="ZI825" s="16"/>
      <c r="ZJ825" s="16"/>
      <c r="ZK825" s="16"/>
      <c r="ZL825" s="16"/>
      <c r="ZM825" s="16"/>
      <c r="ZN825" s="16"/>
      <c r="ZO825" s="16"/>
      <c r="ZP825" s="16"/>
      <c r="ZQ825" s="16"/>
      <c r="ZR825" s="16"/>
      <c r="ZS825" s="16"/>
      <c r="ZT825" s="16"/>
      <c r="ZU825" s="16"/>
      <c r="ZV825" s="16"/>
      <c r="ZW825" s="16"/>
      <c r="ZX825" s="16"/>
      <c r="ZY825" s="16"/>
      <c r="ZZ825" s="16"/>
      <c r="AAA825" s="16"/>
      <c r="AAB825" s="16"/>
      <c r="AAC825" s="16"/>
      <c r="AAD825" s="16"/>
      <c r="AAE825" s="16"/>
      <c r="AAF825" s="16"/>
      <c r="AAG825" s="16"/>
      <c r="AAH825" s="16"/>
      <c r="AAI825" s="16"/>
      <c r="AAJ825" s="16"/>
      <c r="AAK825" s="16"/>
      <c r="AAL825" s="16"/>
      <c r="AAM825" s="16"/>
      <c r="AAN825" s="16"/>
      <c r="AAO825" s="16"/>
      <c r="AAP825" s="16"/>
      <c r="AAQ825" s="16"/>
      <c r="AAR825" s="16"/>
      <c r="AAS825" s="16"/>
      <c r="AAT825" s="16"/>
      <c r="AAU825" s="16"/>
      <c r="AAV825" s="16"/>
      <c r="AAW825" s="16"/>
      <c r="AAX825" s="16"/>
      <c r="AAY825" s="16"/>
      <c r="AAZ825" s="16"/>
      <c r="ABA825" s="16"/>
      <c r="ABB825" s="16"/>
      <c r="ABC825" s="16"/>
      <c r="ABD825" s="16"/>
      <c r="ABE825" s="16"/>
      <c r="ABF825" s="16"/>
      <c r="ABG825" s="16"/>
      <c r="ABH825" s="16"/>
      <c r="ABI825" s="16"/>
      <c r="ABJ825" s="16"/>
      <c r="ABK825" s="16"/>
      <c r="ABL825" s="16"/>
      <c r="ABM825" s="16"/>
      <c r="ABN825" s="16"/>
      <c r="ABO825" s="16"/>
      <c r="ABP825" s="16"/>
      <c r="ABQ825" s="16"/>
      <c r="ABR825" s="16"/>
      <c r="ABS825" s="16"/>
      <c r="ABT825" s="16"/>
      <c r="ABU825" s="16"/>
      <c r="ABV825" s="16"/>
      <c r="ABW825" s="16"/>
      <c r="ABX825" s="16"/>
      <c r="ABY825" s="16"/>
      <c r="ABZ825" s="16"/>
      <c r="ACA825" s="16"/>
      <c r="ACB825" s="16"/>
      <c r="ACC825" s="16"/>
      <c r="ACD825" s="16"/>
      <c r="ACE825" s="16"/>
      <c r="ACF825" s="16"/>
      <c r="ACG825" s="16"/>
      <c r="ACH825" s="16"/>
      <c r="ACI825" s="16"/>
      <c r="ACJ825" s="16"/>
      <c r="ACK825" s="16"/>
      <c r="ACL825" s="16"/>
      <c r="ACM825" s="16"/>
      <c r="ACN825" s="16"/>
      <c r="ACO825" s="16"/>
      <c r="ACP825" s="16"/>
      <c r="ACQ825" s="16"/>
      <c r="ACR825" s="16"/>
      <c r="ACS825" s="16"/>
      <c r="ACT825" s="16"/>
      <c r="ACU825" s="16"/>
      <c r="ACV825" s="16"/>
      <c r="ACW825" s="16"/>
      <c r="ACX825" s="16"/>
      <c r="ACY825" s="16"/>
      <c r="ACZ825" s="16"/>
      <c r="ADA825" s="16"/>
      <c r="ADB825" s="16"/>
      <c r="ADC825" s="16"/>
      <c r="ADD825" s="16"/>
      <c r="ADE825" s="16"/>
      <c r="ADF825" s="16"/>
      <c r="ADG825" s="16"/>
      <c r="ADH825" s="16"/>
      <c r="ADI825" s="16"/>
      <c r="ADJ825" s="16"/>
      <c r="ADK825" s="16"/>
      <c r="ADL825" s="16"/>
      <c r="ADM825" s="16"/>
      <c r="ADN825" s="16"/>
      <c r="ADO825" s="16"/>
      <c r="ADP825" s="16"/>
      <c r="ADQ825" s="16"/>
      <c r="ADR825" s="16"/>
      <c r="ADS825" s="16"/>
      <c r="ADT825" s="16"/>
      <c r="ADU825" s="16"/>
      <c r="ADV825" s="16"/>
      <c r="ADW825" s="16"/>
      <c r="ADX825" s="16"/>
      <c r="ADY825" s="16"/>
      <c r="ADZ825" s="16"/>
      <c r="AEA825" s="16"/>
      <c r="AEB825" s="16"/>
      <c r="AEC825" s="16"/>
      <c r="AED825" s="16"/>
      <c r="AEE825" s="16"/>
      <c r="AEF825" s="16"/>
      <c r="AEG825" s="16"/>
      <c r="AEH825" s="16"/>
      <c r="AEI825" s="16"/>
      <c r="AEJ825" s="16"/>
      <c r="AEK825" s="16"/>
      <c r="AEL825" s="16"/>
      <c r="AEM825" s="16"/>
      <c r="AEN825" s="16"/>
      <c r="AEO825" s="16"/>
      <c r="AEP825" s="16"/>
      <c r="AEQ825" s="16"/>
      <c r="AER825" s="16"/>
      <c r="AES825" s="16"/>
      <c r="AET825" s="16"/>
      <c r="AEU825" s="16"/>
      <c r="AEV825" s="16"/>
      <c r="AEW825" s="16"/>
      <c r="AEX825" s="16"/>
      <c r="AEY825" s="16"/>
      <c r="AEZ825" s="16"/>
      <c r="AFA825" s="16"/>
      <c r="AFB825" s="16"/>
      <c r="AFC825" s="16"/>
      <c r="AFD825" s="16"/>
      <c r="AFE825" s="16"/>
      <c r="AFF825" s="16"/>
      <c r="AFG825" s="16"/>
      <c r="AFH825" s="16"/>
      <c r="AFI825" s="16"/>
      <c r="AFJ825" s="16"/>
      <c r="AFK825" s="16"/>
      <c r="AFL825" s="16"/>
      <c r="AFM825" s="16"/>
      <c r="AFN825" s="16"/>
      <c r="AFO825" s="16"/>
      <c r="AFP825" s="16"/>
      <c r="AFQ825" s="16"/>
      <c r="AFR825" s="16"/>
      <c r="AFS825" s="16"/>
      <c r="AFT825" s="16"/>
      <c r="AFU825" s="16"/>
      <c r="AFV825" s="16"/>
      <c r="AFW825" s="16"/>
      <c r="AFX825" s="16"/>
      <c r="AFY825" s="16"/>
      <c r="AFZ825" s="16"/>
      <c r="AGA825" s="16"/>
      <c r="AGB825" s="16"/>
      <c r="AGC825" s="16"/>
      <c r="AGD825" s="16"/>
      <c r="AGE825" s="16"/>
      <c r="AGF825" s="16"/>
      <c r="AGG825" s="16"/>
      <c r="AGH825" s="16"/>
      <c r="AGI825" s="16"/>
      <c r="AGJ825" s="16"/>
    </row>
    <row r="826" spans="1:868">
      <c r="A826" s="151" t="s">
        <v>121</v>
      </c>
      <c r="B826" s="34" t="s">
        <v>238</v>
      </c>
      <c r="C826" s="40" t="s">
        <v>139</v>
      </c>
      <c r="D826" s="34" t="s">
        <v>95</v>
      </c>
      <c r="E826" s="257">
        <v>0.11212684313172752</v>
      </c>
      <c r="F826" s="232">
        <v>1</v>
      </c>
      <c r="G826" s="40"/>
      <c r="H826" s="29">
        <v>2</v>
      </c>
      <c r="I826" s="9">
        <v>2</v>
      </c>
      <c r="J826" s="9">
        <v>2</v>
      </c>
      <c r="K826" s="9">
        <v>2</v>
      </c>
      <c r="L826" s="9">
        <v>1</v>
      </c>
      <c r="M826" s="9">
        <v>2</v>
      </c>
      <c r="N826" s="185">
        <f t="shared" si="53"/>
        <v>0.38795788889711302</v>
      </c>
      <c r="O826" s="159">
        <f t="shared" si="54"/>
        <v>0.38795788889711302</v>
      </c>
      <c r="P826" s="63"/>
    </row>
    <row r="827" spans="1:868">
      <c r="A827" s="151" t="s">
        <v>121</v>
      </c>
      <c r="B827" s="34" t="s">
        <v>238</v>
      </c>
      <c r="C827" s="40" t="s">
        <v>139</v>
      </c>
      <c r="D827" s="34" t="s">
        <v>99</v>
      </c>
      <c r="E827" s="257">
        <v>0</v>
      </c>
      <c r="F827" s="232">
        <v>1</v>
      </c>
      <c r="G827" s="40"/>
      <c r="H827" s="29"/>
      <c r="I827" s="9"/>
      <c r="J827" s="9"/>
      <c r="K827" s="9"/>
      <c r="L827" s="9"/>
      <c r="M827" s="9"/>
      <c r="N827" s="185" t="str">
        <f t="shared" si="53"/>
        <v/>
      </c>
      <c r="O827" s="159" t="str">
        <f t="shared" si="54"/>
        <v/>
      </c>
      <c r="P827" s="63"/>
    </row>
    <row r="828" spans="1:868">
      <c r="A828" s="151" t="s">
        <v>121</v>
      </c>
      <c r="B828" s="34" t="s">
        <v>355</v>
      </c>
      <c r="C828" s="40" t="s">
        <v>139</v>
      </c>
      <c r="D828" s="34" t="s">
        <v>85</v>
      </c>
      <c r="E828" s="257">
        <v>0</v>
      </c>
      <c r="F828" s="232">
        <v>1</v>
      </c>
      <c r="G828" s="40"/>
      <c r="H828" s="29"/>
      <c r="I828" s="9"/>
      <c r="J828" s="9"/>
      <c r="K828" s="9"/>
      <c r="L828" s="9"/>
      <c r="M828" s="9"/>
      <c r="N828" s="185" t="str">
        <f t="shared" si="53"/>
        <v/>
      </c>
      <c r="O828" s="159" t="str">
        <f t="shared" si="54"/>
        <v/>
      </c>
      <c r="P828" s="63"/>
    </row>
    <row r="829" spans="1:868">
      <c r="A829" s="151" t="s">
        <v>121</v>
      </c>
      <c r="B829" s="34" t="s">
        <v>355</v>
      </c>
      <c r="C829" s="40" t="s">
        <v>139</v>
      </c>
      <c r="D829" s="34" t="s">
        <v>86</v>
      </c>
      <c r="E829" s="257">
        <v>0</v>
      </c>
      <c r="F829" s="232">
        <v>1</v>
      </c>
      <c r="G829" s="40"/>
      <c r="H829" s="29"/>
      <c r="I829" s="9"/>
      <c r="J829" s="9"/>
      <c r="K829" s="9"/>
      <c r="L829" s="9"/>
      <c r="M829" s="9"/>
      <c r="N829" s="185" t="str">
        <f t="shared" si="53"/>
        <v/>
      </c>
      <c r="O829" s="159" t="str">
        <f t="shared" si="54"/>
        <v/>
      </c>
      <c r="P829" s="63"/>
    </row>
    <row r="830" spans="1:868" s="210" customFormat="1" ht="15.75" thickBot="1">
      <c r="A830" s="151" t="s">
        <v>121</v>
      </c>
      <c r="B830" s="34" t="s">
        <v>355</v>
      </c>
      <c r="C830" s="40" t="s">
        <v>139</v>
      </c>
      <c r="D830" s="34" t="s">
        <v>87</v>
      </c>
      <c r="E830" s="257">
        <v>0.23131990255872262</v>
      </c>
      <c r="F830" s="232">
        <v>1</v>
      </c>
      <c r="G830" s="40"/>
      <c r="H830" s="29">
        <v>3</v>
      </c>
      <c r="I830" s="9">
        <v>3</v>
      </c>
      <c r="J830" s="9">
        <v>2</v>
      </c>
      <c r="K830" s="9">
        <v>2</v>
      </c>
      <c r="L830" s="9">
        <v>1</v>
      </c>
      <c r="M830" s="9">
        <v>2</v>
      </c>
      <c r="N830" s="185">
        <f t="shared" si="53"/>
        <v>0.50042652380814845</v>
      </c>
      <c r="O830" s="159">
        <f t="shared" si="54"/>
        <v>0.50042652380814845</v>
      </c>
      <c r="P830" s="63"/>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c r="JS830" s="16"/>
      <c r="JT830" s="16"/>
      <c r="JU830" s="16"/>
      <c r="JV830" s="16"/>
      <c r="JW830" s="16"/>
      <c r="JX830" s="16"/>
      <c r="JY830" s="16"/>
      <c r="JZ830" s="16"/>
      <c r="KA830" s="16"/>
      <c r="KB830" s="16"/>
      <c r="KC830" s="16"/>
      <c r="KD830" s="16"/>
      <c r="KE830" s="16"/>
      <c r="KF830" s="16"/>
      <c r="KG830" s="16"/>
      <c r="KH830" s="16"/>
      <c r="KI830" s="16"/>
      <c r="KJ830" s="16"/>
      <c r="KK830" s="16"/>
      <c r="KL830" s="16"/>
      <c r="KM830" s="16"/>
      <c r="KN830" s="16"/>
      <c r="KO830" s="16"/>
      <c r="KP830" s="16"/>
      <c r="KQ830" s="16"/>
      <c r="KR830" s="16"/>
      <c r="KS830" s="16"/>
      <c r="KT830" s="16"/>
      <c r="KU830" s="16"/>
      <c r="KV830" s="16"/>
      <c r="KW830" s="16"/>
      <c r="KX830" s="16"/>
      <c r="KY830" s="16"/>
      <c r="KZ830" s="16"/>
      <c r="LA830" s="16"/>
      <c r="LB830" s="16"/>
      <c r="LC830" s="16"/>
      <c r="LD830" s="16"/>
      <c r="LE830" s="16"/>
      <c r="LF830" s="16"/>
      <c r="LG830" s="16"/>
      <c r="LH830" s="16"/>
      <c r="LI830" s="16"/>
      <c r="LJ830" s="16"/>
      <c r="LK830" s="16"/>
      <c r="LL830" s="16"/>
      <c r="LM830" s="16"/>
      <c r="LN830" s="16"/>
      <c r="LO830" s="16"/>
      <c r="LP830" s="16"/>
      <c r="LQ830" s="16"/>
      <c r="LR830" s="16"/>
      <c r="LS830" s="16"/>
      <c r="LT830" s="16"/>
      <c r="LU830" s="16"/>
      <c r="LV830" s="16"/>
      <c r="LW830" s="16"/>
      <c r="LX830" s="16"/>
      <c r="LY830" s="16"/>
      <c r="LZ830" s="16"/>
      <c r="MA830" s="16"/>
      <c r="MB830" s="16"/>
      <c r="MC830" s="16"/>
      <c r="MD830" s="16"/>
      <c r="ME830" s="16"/>
      <c r="MF830" s="16"/>
      <c r="MG830" s="16"/>
      <c r="MH830" s="16"/>
      <c r="MI830" s="16"/>
      <c r="MJ830" s="16"/>
      <c r="MK830" s="16"/>
      <c r="ML830" s="16"/>
      <c r="MM830" s="16"/>
      <c r="MN830" s="16"/>
      <c r="MO830" s="16"/>
      <c r="MP830" s="16"/>
      <c r="MQ830" s="16"/>
      <c r="MR830" s="16"/>
      <c r="MS830" s="16"/>
      <c r="MT830" s="16"/>
      <c r="MU830" s="16"/>
      <c r="MV830" s="16"/>
      <c r="MW830" s="16"/>
      <c r="MX830" s="16"/>
      <c r="MY830" s="16"/>
      <c r="MZ830" s="16"/>
      <c r="NA830" s="16"/>
      <c r="NB830" s="16"/>
      <c r="NC830" s="16"/>
      <c r="ND830" s="16"/>
      <c r="NE830" s="16"/>
      <c r="NF830" s="16"/>
      <c r="NG830" s="16"/>
      <c r="NH830" s="16"/>
      <c r="NI830" s="16"/>
      <c r="NJ830" s="16"/>
      <c r="NK830" s="16"/>
      <c r="NL830" s="16"/>
      <c r="NM830" s="16"/>
      <c r="NN830" s="16"/>
      <c r="NO830" s="16"/>
      <c r="NP830" s="16"/>
      <c r="NQ830" s="16"/>
      <c r="NR830" s="16"/>
      <c r="NS830" s="16"/>
      <c r="NT830" s="16"/>
      <c r="NU830" s="16"/>
      <c r="NV830" s="16"/>
      <c r="NW830" s="16"/>
      <c r="NX830" s="16"/>
      <c r="NY830" s="16"/>
      <c r="NZ830" s="16"/>
      <c r="OA830" s="16"/>
      <c r="OB830" s="16"/>
      <c r="OC830" s="16"/>
      <c r="OD830" s="16"/>
      <c r="OE830" s="16"/>
      <c r="OF830" s="16"/>
      <c r="OG830" s="16"/>
      <c r="OH830" s="16"/>
      <c r="OI830" s="16"/>
      <c r="OJ830" s="16"/>
      <c r="OK830" s="16"/>
      <c r="OL830" s="16"/>
      <c r="OM830" s="16"/>
      <c r="ON830" s="16"/>
      <c r="OO830" s="16"/>
      <c r="OP830" s="16"/>
      <c r="OQ830" s="16"/>
      <c r="OR830" s="16"/>
      <c r="OS830" s="16"/>
      <c r="OT830" s="16"/>
      <c r="OU830" s="16"/>
      <c r="OV830" s="16"/>
      <c r="OW830" s="16"/>
      <c r="OX830" s="16"/>
      <c r="OY830" s="16"/>
      <c r="OZ830" s="16"/>
      <c r="PA830" s="16"/>
      <c r="PB830" s="16"/>
      <c r="PC830" s="16"/>
      <c r="PD830" s="16"/>
      <c r="PE830" s="16"/>
      <c r="PF830" s="16"/>
      <c r="PG830" s="16"/>
      <c r="PH830" s="16"/>
      <c r="PI830" s="16"/>
      <c r="PJ830" s="16"/>
      <c r="PK830" s="16"/>
      <c r="PL830" s="16"/>
      <c r="PM830" s="16"/>
      <c r="PN830" s="16"/>
      <c r="PO830" s="16"/>
      <c r="PP830" s="16"/>
      <c r="PQ830" s="16"/>
      <c r="PR830" s="16"/>
      <c r="PS830" s="16"/>
      <c r="PT830" s="16"/>
      <c r="PU830" s="16"/>
      <c r="PV830" s="16"/>
      <c r="PW830" s="16"/>
      <c r="PX830" s="16"/>
      <c r="PY830" s="16"/>
      <c r="PZ830" s="16"/>
      <c r="QA830" s="16"/>
      <c r="QB830" s="16"/>
      <c r="QC830" s="16"/>
      <c r="QD830" s="16"/>
      <c r="QE830" s="16"/>
      <c r="QF830" s="16"/>
      <c r="QG830" s="16"/>
      <c r="QH830" s="16"/>
      <c r="QI830" s="16"/>
      <c r="QJ830" s="16"/>
      <c r="QK830" s="16"/>
      <c r="QL830" s="16"/>
      <c r="QM830" s="16"/>
      <c r="QN830" s="16"/>
      <c r="QO830" s="16"/>
      <c r="QP830" s="16"/>
      <c r="QQ830" s="16"/>
      <c r="QR830" s="16"/>
      <c r="QS830" s="16"/>
      <c r="QT830" s="16"/>
      <c r="QU830" s="16"/>
      <c r="QV830" s="16"/>
      <c r="QW830" s="16"/>
      <c r="QX830" s="16"/>
      <c r="QY830" s="16"/>
      <c r="QZ830" s="16"/>
      <c r="RA830" s="16"/>
      <c r="RB830" s="16"/>
      <c r="RC830" s="16"/>
      <c r="RD830" s="16"/>
      <c r="RE830" s="16"/>
      <c r="RF830" s="16"/>
      <c r="RG830" s="16"/>
      <c r="RH830" s="16"/>
      <c r="RI830" s="16"/>
      <c r="RJ830" s="16"/>
      <c r="RK830" s="16"/>
      <c r="RL830" s="16"/>
      <c r="RM830" s="16"/>
      <c r="RN830" s="16"/>
      <c r="RO830" s="16"/>
      <c r="RP830" s="16"/>
      <c r="RQ830" s="16"/>
      <c r="RR830" s="16"/>
      <c r="RS830" s="16"/>
      <c r="RT830" s="16"/>
      <c r="RU830" s="16"/>
      <c r="RV830" s="16"/>
      <c r="RW830" s="16"/>
      <c r="RX830" s="16"/>
      <c r="RY830" s="16"/>
      <c r="RZ830" s="16"/>
      <c r="SA830" s="16"/>
      <c r="SB830" s="16"/>
      <c r="SC830" s="16"/>
      <c r="SD830" s="16"/>
      <c r="SE830" s="16"/>
      <c r="SF830" s="16"/>
      <c r="SG830" s="16"/>
      <c r="SH830" s="16"/>
      <c r="SI830" s="16"/>
      <c r="SJ830" s="16"/>
      <c r="SK830" s="16"/>
      <c r="SL830" s="16"/>
      <c r="SM830" s="16"/>
      <c r="SN830" s="16"/>
      <c r="SO830" s="16"/>
      <c r="SP830" s="16"/>
      <c r="SQ830" s="16"/>
      <c r="SR830" s="16"/>
      <c r="SS830" s="16"/>
      <c r="ST830" s="16"/>
      <c r="SU830" s="16"/>
      <c r="SV830" s="16"/>
      <c r="SW830" s="16"/>
      <c r="SX830" s="16"/>
      <c r="SY830" s="16"/>
      <c r="SZ830" s="16"/>
      <c r="TA830" s="16"/>
      <c r="TB830" s="16"/>
      <c r="TC830" s="16"/>
      <c r="TD830" s="16"/>
      <c r="TE830" s="16"/>
      <c r="TF830" s="16"/>
      <c r="TG830" s="16"/>
      <c r="TH830" s="16"/>
      <c r="TI830" s="16"/>
      <c r="TJ830" s="16"/>
      <c r="TK830" s="16"/>
      <c r="TL830" s="16"/>
      <c r="TM830" s="16"/>
      <c r="TN830" s="16"/>
      <c r="TO830" s="16"/>
      <c r="TP830" s="16"/>
      <c r="TQ830" s="16"/>
      <c r="TR830" s="16"/>
      <c r="TS830" s="16"/>
      <c r="TT830" s="16"/>
      <c r="TU830" s="16"/>
      <c r="TV830" s="16"/>
      <c r="TW830" s="16"/>
      <c r="TX830" s="16"/>
      <c r="TY830" s="16"/>
      <c r="TZ830" s="16"/>
      <c r="UA830" s="16"/>
      <c r="UB830" s="16"/>
      <c r="UC830" s="16"/>
      <c r="UD830" s="16"/>
      <c r="UE830" s="16"/>
      <c r="UF830" s="16"/>
      <c r="UG830" s="16"/>
      <c r="UH830" s="16"/>
      <c r="UI830" s="16"/>
      <c r="UJ830" s="16"/>
      <c r="UK830" s="16"/>
      <c r="UL830" s="16"/>
      <c r="UM830" s="16"/>
      <c r="UN830" s="16"/>
      <c r="UO830" s="16"/>
      <c r="UP830" s="16"/>
      <c r="UQ830" s="16"/>
      <c r="UR830" s="16"/>
      <c r="US830" s="16"/>
      <c r="UT830" s="16"/>
      <c r="UU830" s="16"/>
      <c r="UV830" s="16"/>
      <c r="UW830" s="16"/>
      <c r="UX830" s="16"/>
      <c r="UY830" s="16"/>
      <c r="UZ830" s="16"/>
      <c r="VA830" s="16"/>
      <c r="VB830" s="16"/>
      <c r="VC830" s="16"/>
      <c r="VD830" s="16"/>
      <c r="VE830" s="16"/>
      <c r="VF830" s="16"/>
      <c r="VG830" s="16"/>
      <c r="VH830" s="16"/>
      <c r="VI830" s="16"/>
      <c r="VJ830" s="16"/>
      <c r="VK830" s="16"/>
      <c r="VL830" s="16"/>
      <c r="VM830" s="16"/>
      <c r="VN830" s="16"/>
      <c r="VO830" s="16"/>
      <c r="VP830" s="16"/>
      <c r="VQ830" s="16"/>
      <c r="VR830" s="16"/>
      <c r="VS830" s="16"/>
      <c r="VT830" s="16"/>
      <c r="VU830" s="16"/>
      <c r="VV830" s="16"/>
      <c r="VW830" s="16"/>
      <c r="VX830" s="16"/>
      <c r="VY830" s="16"/>
      <c r="VZ830" s="16"/>
      <c r="WA830" s="16"/>
      <c r="WB830" s="16"/>
      <c r="WC830" s="16"/>
      <c r="WD830" s="16"/>
      <c r="WE830" s="16"/>
      <c r="WF830" s="16"/>
      <c r="WG830" s="16"/>
      <c r="WH830" s="16"/>
      <c r="WI830" s="16"/>
      <c r="WJ830" s="16"/>
      <c r="WK830" s="16"/>
      <c r="WL830" s="16"/>
      <c r="WM830" s="16"/>
      <c r="WN830" s="16"/>
      <c r="WO830" s="16"/>
      <c r="WP830" s="16"/>
      <c r="WQ830" s="16"/>
      <c r="WR830" s="16"/>
      <c r="WS830" s="16"/>
      <c r="WT830" s="16"/>
      <c r="WU830" s="16"/>
      <c r="WV830" s="16"/>
      <c r="WW830" s="16"/>
      <c r="WX830" s="16"/>
      <c r="WY830" s="16"/>
      <c r="WZ830" s="16"/>
      <c r="XA830" s="16"/>
      <c r="XB830" s="16"/>
      <c r="XC830" s="16"/>
      <c r="XD830" s="16"/>
      <c r="XE830" s="16"/>
      <c r="XF830" s="16"/>
      <c r="XG830" s="16"/>
      <c r="XH830" s="16"/>
      <c r="XI830" s="16"/>
      <c r="XJ830" s="16"/>
      <c r="XK830" s="16"/>
      <c r="XL830" s="16"/>
      <c r="XM830" s="16"/>
      <c r="XN830" s="16"/>
      <c r="XO830" s="16"/>
      <c r="XP830" s="16"/>
      <c r="XQ830" s="16"/>
      <c r="XR830" s="16"/>
      <c r="XS830" s="16"/>
      <c r="XT830" s="16"/>
      <c r="XU830" s="16"/>
      <c r="XV830" s="16"/>
      <c r="XW830" s="16"/>
      <c r="XX830" s="16"/>
      <c r="XY830" s="16"/>
      <c r="XZ830" s="16"/>
      <c r="YA830" s="16"/>
      <c r="YB830" s="16"/>
      <c r="YC830" s="16"/>
      <c r="YD830" s="16"/>
      <c r="YE830" s="16"/>
      <c r="YF830" s="16"/>
      <c r="YG830" s="16"/>
      <c r="YH830" s="16"/>
      <c r="YI830" s="16"/>
      <c r="YJ830" s="16"/>
      <c r="YK830" s="16"/>
      <c r="YL830" s="16"/>
      <c r="YM830" s="16"/>
      <c r="YN830" s="16"/>
      <c r="YO830" s="16"/>
      <c r="YP830" s="16"/>
      <c r="YQ830" s="16"/>
      <c r="YR830" s="16"/>
      <c r="YS830" s="16"/>
      <c r="YT830" s="16"/>
      <c r="YU830" s="16"/>
      <c r="YV830" s="16"/>
      <c r="YW830" s="16"/>
      <c r="YX830" s="16"/>
      <c r="YY830" s="16"/>
      <c r="YZ830" s="16"/>
      <c r="ZA830" s="16"/>
      <c r="ZB830" s="16"/>
      <c r="ZC830" s="16"/>
      <c r="ZD830" s="16"/>
      <c r="ZE830" s="16"/>
      <c r="ZF830" s="16"/>
      <c r="ZG830" s="16"/>
      <c r="ZH830" s="16"/>
      <c r="ZI830" s="16"/>
      <c r="ZJ830" s="16"/>
      <c r="ZK830" s="16"/>
      <c r="ZL830" s="16"/>
      <c r="ZM830" s="16"/>
      <c r="ZN830" s="16"/>
      <c r="ZO830" s="16"/>
      <c r="ZP830" s="16"/>
      <c r="ZQ830" s="16"/>
      <c r="ZR830" s="16"/>
      <c r="ZS830" s="16"/>
      <c r="ZT830" s="16"/>
      <c r="ZU830" s="16"/>
      <c r="ZV830" s="16"/>
      <c r="ZW830" s="16"/>
      <c r="ZX830" s="16"/>
      <c r="ZY830" s="16"/>
      <c r="ZZ830" s="16"/>
      <c r="AAA830" s="16"/>
      <c r="AAB830" s="16"/>
      <c r="AAC830" s="16"/>
      <c r="AAD830" s="16"/>
      <c r="AAE830" s="16"/>
      <c r="AAF830" s="16"/>
      <c r="AAG830" s="16"/>
      <c r="AAH830" s="16"/>
      <c r="AAI830" s="16"/>
      <c r="AAJ830" s="16"/>
      <c r="AAK830" s="16"/>
      <c r="AAL830" s="16"/>
      <c r="AAM830" s="16"/>
      <c r="AAN830" s="16"/>
      <c r="AAO830" s="16"/>
      <c r="AAP830" s="16"/>
      <c r="AAQ830" s="16"/>
      <c r="AAR830" s="16"/>
      <c r="AAS830" s="16"/>
      <c r="AAT830" s="16"/>
      <c r="AAU830" s="16"/>
      <c r="AAV830" s="16"/>
      <c r="AAW830" s="16"/>
      <c r="AAX830" s="16"/>
      <c r="AAY830" s="16"/>
      <c r="AAZ830" s="16"/>
      <c r="ABA830" s="16"/>
      <c r="ABB830" s="16"/>
      <c r="ABC830" s="16"/>
      <c r="ABD830" s="16"/>
      <c r="ABE830" s="16"/>
      <c r="ABF830" s="16"/>
      <c r="ABG830" s="16"/>
      <c r="ABH830" s="16"/>
      <c r="ABI830" s="16"/>
      <c r="ABJ830" s="16"/>
      <c r="ABK830" s="16"/>
      <c r="ABL830" s="16"/>
      <c r="ABM830" s="16"/>
      <c r="ABN830" s="16"/>
      <c r="ABO830" s="16"/>
      <c r="ABP830" s="16"/>
      <c r="ABQ830" s="16"/>
      <c r="ABR830" s="16"/>
      <c r="ABS830" s="16"/>
      <c r="ABT830" s="16"/>
      <c r="ABU830" s="16"/>
      <c r="ABV830" s="16"/>
      <c r="ABW830" s="16"/>
      <c r="ABX830" s="16"/>
      <c r="ABY830" s="16"/>
      <c r="ABZ830" s="16"/>
      <c r="ACA830" s="16"/>
      <c r="ACB830" s="16"/>
      <c r="ACC830" s="16"/>
      <c r="ACD830" s="16"/>
      <c r="ACE830" s="16"/>
      <c r="ACF830" s="16"/>
      <c r="ACG830" s="16"/>
      <c r="ACH830" s="16"/>
      <c r="ACI830" s="16"/>
      <c r="ACJ830" s="16"/>
      <c r="ACK830" s="16"/>
      <c r="ACL830" s="16"/>
      <c r="ACM830" s="16"/>
      <c r="ACN830" s="16"/>
      <c r="ACO830" s="16"/>
      <c r="ACP830" s="16"/>
      <c r="ACQ830" s="16"/>
      <c r="ACR830" s="16"/>
      <c r="ACS830" s="16"/>
      <c r="ACT830" s="16"/>
      <c r="ACU830" s="16"/>
      <c r="ACV830" s="16"/>
      <c r="ACW830" s="16"/>
      <c r="ACX830" s="16"/>
      <c r="ACY830" s="16"/>
      <c r="ACZ830" s="16"/>
      <c r="ADA830" s="16"/>
      <c r="ADB830" s="16"/>
      <c r="ADC830" s="16"/>
      <c r="ADD830" s="16"/>
      <c r="ADE830" s="16"/>
      <c r="ADF830" s="16"/>
      <c r="ADG830" s="16"/>
      <c r="ADH830" s="16"/>
      <c r="ADI830" s="16"/>
      <c r="ADJ830" s="16"/>
      <c r="ADK830" s="16"/>
      <c r="ADL830" s="16"/>
      <c r="ADM830" s="16"/>
      <c r="ADN830" s="16"/>
      <c r="ADO830" s="16"/>
      <c r="ADP830" s="16"/>
      <c r="ADQ830" s="16"/>
      <c r="ADR830" s="16"/>
      <c r="ADS830" s="16"/>
      <c r="ADT830" s="16"/>
      <c r="ADU830" s="16"/>
      <c r="ADV830" s="16"/>
      <c r="ADW830" s="16"/>
      <c r="ADX830" s="16"/>
      <c r="ADY830" s="16"/>
      <c r="ADZ830" s="16"/>
      <c r="AEA830" s="16"/>
      <c r="AEB830" s="16"/>
      <c r="AEC830" s="16"/>
      <c r="AED830" s="16"/>
      <c r="AEE830" s="16"/>
      <c r="AEF830" s="16"/>
      <c r="AEG830" s="16"/>
      <c r="AEH830" s="16"/>
      <c r="AEI830" s="16"/>
      <c r="AEJ830" s="16"/>
      <c r="AEK830" s="16"/>
      <c r="AEL830" s="16"/>
      <c r="AEM830" s="16"/>
      <c r="AEN830" s="16"/>
      <c r="AEO830" s="16"/>
      <c r="AEP830" s="16"/>
      <c r="AEQ830" s="16"/>
      <c r="AER830" s="16"/>
      <c r="AES830" s="16"/>
      <c r="AET830" s="16"/>
      <c r="AEU830" s="16"/>
      <c r="AEV830" s="16"/>
      <c r="AEW830" s="16"/>
      <c r="AEX830" s="16"/>
      <c r="AEY830" s="16"/>
      <c r="AEZ830" s="16"/>
      <c r="AFA830" s="16"/>
      <c r="AFB830" s="16"/>
      <c r="AFC830" s="16"/>
      <c r="AFD830" s="16"/>
      <c r="AFE830" s="16"/>
      <c r="AFF830" s="16"/>
      <c r="AFG830" s="16"/>
      <c r="AFH830" s="16"/>
      <c r="AFI830" s="16"/>
      <c r="AFJ830" s="16"/>
      <c r="AFK830" s="16"/>
      <c r="AFL830" s="16"/>
      <c r="AFM830" s="16"/>
      <c r="AFN830" s="16"/>
      <c r="AFO830" s="16"/>
      <c r="AFP830" s="16"/>
      <c r="AFQ830" s="16"/>
      <c r="AFR830" s="16"/>
      <c r="AFS830" s="16"/>
      <c r="AFT830" s="16"/>
      <c r="AFU830" s="16"/>
      <c r="AFV830" s="16"/>
      <c r="AFW830" s="16"/>
      <c r="AFX830" s="16"/>
      <c r="AFY830" s="16"/>
      <c r="AFZ830" s="16"/>
      <c r="AGA830" s="16"/>
      <c r="AGB830" s="16"/>
      <c r="AGC830" s="16"/>
      <c r="AGD830" s="16"/>
      <c r="AGE830" s="16"/>
      <c r="AGF830" s="16"/>
      <c r="AGG830" s="16"/>
      <c r="AGH830" s="16"/>
      <c r="AGI830" s="16"/>
      <c r="AGJ830" s="16"/>
    </row>
    <row r="831" spans="1:868" s="833" customFormat="1">
      <c r="A831" s="151" t="s">
        <v>121</v>
      </c>
      <c r="B831" s="34" t="s">
        <v>355</v>
      </c>
      <c r="C831" s="40" t="s">
        <v>139</v>
      </c>
      <c r="D831" s="34" t="s">
        <v>88</v>
      </c>
      <c r="E831" s="257">
        <v>0</v>
      </c>
      <c r="F831" s="232">
        <v>1</v>
      </c>
      <c r="G831" s="40"/>
      <c r="H831" s="29"/>
      <c r="I831" s="9"/>
      <c r="J831" s="9"/>
      <c r="K831" s="9"/>
      <c r="L831" s="9"/>
      <c r="M831" s="9"/>
      <c r="N831" s="185" t="str">
        <f t="shared" si="53"/>
        <v/>
      </c>
      <c r="O831" s="159" t="str">
        <f t="shared" si="54"/>
        <v/>
      </c>
      <c r="P831" s="63"/>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c r="CI831" s="16"/>
      <c r="CJ831" s="16"/>
      <c r="CK831" s="16"/>
      <c r="CL831" s="16"/>
      <c r="CM831" s="16"/>
      <c r="CN831" s="16"/>
      <c r="CO831" s="16"/>
      <c r="CP831" s="16"/>
      <c r="CQ831" s="16"/>
      <c r="CR831" s="16"/>
      <c r="CS831" s="16"/>
      <c r="CT831" s="16"/>
      <c r="CU831" s="16"/>
      <c r="CV831" s="16"/>
      <c r="CW831" s="16"/>
      <c r="CX831" s="16"/>
      <c r="CY831" s="16"/>
      <c r="CZ831" s="16"/>
      <c r="DA831" s="16"/>
      <c r="DB831" s="16"/>
      <c r="DC831" s="16"/>
      <c r="DD831" s="16"/>
      <c r="DE831" s="16"/>
      <c r="DF831" s="16"/>
      <c r="DG831" s="16"/>
      <c r="DH831" s="16"/>
      <c r="DI831" s="16"/>
      <c r="DJ831" s="16"/>
      <c r="DK831" s="16"/>
      <c r="DL831" s="16"/>
      <c r="DM831" s="16"/>
      <c r="DN831" s="16"/>
      <c r="DO831" s="16"/>
      <c r="DP831" s="16"/>
      <c r="DQ831" s="16"/>
      <c r="DR831" s="16"/>
      <c r="DS831" s="16"/>
      <c r="DT831" s="16"/>
      <c r="DU831" s="16"/>
      <c r="DV831" s="16"/>
      <c r="DW831" s="16"/>
      <c r="DX831" s="16"/>
      <c r="DY831" s="16"/>
      <c r="DZ831" s="16"/>
      <c r="EA831" s="16"/>
      <c r="EB831" s="16"/>
      <c r="EC831" s="16"/>
      <c r="ED831" s="16"/>
      <c r="EE831" s="16"/>
      <c r="EF831" s="16"/>
      <c r="EG831" s="16"/>
      <c r="EH831" s="16"/>
      <c r="EI831" s="16"/>
      <c r="EJ831" s="16"/>
      <c r="EK831" s="16"/>
      <c r="EL831" s="16"/>
      <c r="EM831" s="16"/>
      <c r="EN831" s="16"/>
      <c r="EO831" s="16"/>
      <c r="EP831" s="16"/>
      <c r="EQ831" s="16"/>
      <c r="ER831" s="16"/>
      <c r="ES831" s="16"/>
      <c r="ET831" s="16"/>
      <c r="EU831" s="16"/>
      <c r="EV831" s="16"/>
      <c r="EW831" s="16"/>
      <c r="EX831" s="16"/>
      <c r="EY831" s="16"/>
      <c r="EZ831" s="16"/>
      <c r="FA831" s="16"/>
      <c r="FB831" s="16"/>
      <c r="FC831" s="16"/>
      <c r="FD831" s="16"/>
      <c r="FE831" s="16"/>
      <c r="FF831" s="16"/>
      <c r="FG831" s="16"/>
      <c r="FH831" s="16"/>
      <c r="FI831" s="16"/>
      <c r="FJ831" s="16"/>
      <c r="FK831" s="16"/>
      <c r="FL831" s="16"/>
      <c r="FM831" s="16"/>
      <c r="FN831" s="16"/>
      <c r="FO831" s="16"/>
      <c r="FP831" s="16"/>
      <c r="FQ831" s="16"/>
      <c r="FR831" s="16"/>
      <c r="FS831" s="16"/>
      <c r="FT831" s="16"/>
      <c r="FU831" s="16"/>
      <c r="FV831" s="16"/>
      <c r="FW831" s="16"/>
      <c r="FX831" s="16"/>
      <c r="FY831" s="16"/>
      <c r="FZ831" s="16"/>
      <c r="GA831" s="16"/>
      <c r="GB831" s="16"/>
      <c r="GC831" s="16"/>
      <c r="GD831" s="16"/>
      <c r="GE831" s="16"/>
      <c r="GF831" s="16"/>
      <c r="GG831" s="16"/>
      <c r="GH831" s="16"/>
      <c r="GI831" s="16"/>
      <c r="GJ831" s="16"/>
      <c r="GK831" s="16"/>
      <c r="GL831" s="16"/>
      <c r="GM831" s="16"/>
      <c r="GN831" s="16"/>
      <c r="GO831" s="16"/>
      <c r="GP831" s="16"/>
      <c r="GQ831" s="16"/>
      <c r="GR831" s="16"/>
      <c r="GS831" s="16"/>
      <c r="GT831" s="16"/>
      <c r="GU831" s="16"/>
      <c r="GV831" s="16"/>
      <c r="GW831" s="16"/>
      <c r="GX831" s="16"/>
      <c r="GY831" s="16"/>
      <c r="GZ831" s="16"/>
      <c r="HA831" s="16"/>
      <c r="HB831" s="16"/>
      <c r="HC831" s="16"/>
      <c r="HD831" s="16"/>
      <c r="HE831" s="16"/>
      <c r="HF831" s="16"/>
      <c r="HG831" s="16"/>
      <c r="HH831" s="16"/>
      <c r="HI831" s="16"/>
      <c r="HJ831" s="16"/>
      <c r="HK831" s="16"/>
      <c r="HL831" s="16"/>
      <c r="HM831" s="16"/>
      <c r="HN831" s="16"/>
      <c r="HO831" s="16"/>
      <c r="HP831" s="16"/>
      <c r="HQ831" s="16"/>
      <c r="HR831" s="16"/>
      <c r="HS831" s="16"/>
      <c r="HT831" s="16"/>
      <c r="HU831" s="16"/>
      <c r="HV831" s="16"/>
      <c r="HW831" s="16"/>
      <c r="HX831" s="16"/>
      <c r="HY831" s="16"/>
      <c r="HZ831" s="16"/>
      <c r="IA831" s="16"/>
      <c r="IB831" s="16"/>
      <c r="IC831" s="16"/>
      <c r="ID831" s="16"/>
      <c r="IE831" s="16"/>
      <c r="IF831" s="16"/>
      <c r="IG831" s="16"/>
      <c r="IH831" s="16"/>
      <c r="II831" s="16"/>
      <c r="IJ831" s="16"/>
      <c r="IK831" s="16"/>
      <c r="IL831" s="16"/>
      <c r="IM831" s="16"/>
      <c r="IN831" s="16"/>
      <c r="IO831" s="16"/>
      <c r="IP831" s="16"/>
      <c r="IQ831" s="16"/>
      <c r="IR831" s="16"/>
      <c r="IS831" s="16"/>
      <c r="IT831" s="16"/>
      <c r="IU831" s="16"/>
      <c r="IV831" s="16"/>
      <c r="IW831" s="16"/>
      <c r="IX831" s="16"/>
      <c r="IY831" s="16"/>
      <c r="IZ831" s="16"/>
      <c r="JA831" s="16"/>
      <c r="JB831" s="16"/>
      <c r="JC831" s="16"/>
      <c r="JD831" s="16"/>
      <c r="JE831" s="16"/>
      <c r="JF831" s="16"/>
      <c r="JG831" s="16"/>
      <c r="JH831" s="16"/>
      <c r="JI831" s="16"/>
      <c r="JJ831" s="16"/>
      <c r="JK831" s="16"/>
      <c r="JL831" s="16"/>
      <c r="JM831" s="16"/>
      <c r="JN831" s="16"/>
      <c r="JO831" s="16"/>
      <c r="JP831" s="16"/>
      <c r="JQ831" s="16"/>
      <c r="JR831" s="16"/>
      <c r="JS831" s="16"/>
      <c r="JT831" s="16"/>
      <c r="JU831" s="16"/>
      <c r="JV831" s="16"/>
      <c r="JW831" s="16"/>
      <c r="JX831" s="16"/>
      <c r="JY831" s="16"/>
      <c r="JZ831" s="16"/>
      <c r="KA831" s="16"/>
      <c r="KB831" s="16"/>
      <c r="KC831" s="16"/>
      <c r="KD831" s="16"/>
      <c r="KE831" s="16"/>
      <c r="KF831" s="16"/>
      <c r="KG831" s="16"/>
      <c r="KH831" s="16"/>
      <c r="KI831" s="16"/>
      <c r="KJ831" s="16"/>
      <c r="KK831" s="16"/>
      <c r="KL831" s="16"/>
      <c r="KM831" s="16"/>
      <c r="KN831" s="16"/>
      <c r="KO831" s="16"/>
      <c r="KP831" s="16"/>
      <c r="KQ831" s="16"/>
      <c r="KR831" s="16"/>
      <c r="KS831" s="16"/>
      <c r="KT831" s="16"/>
      <c r="KU831" s="16"/>
      <c r="KV831" s="16"/>
      <c r="KW831" s="16"/>
      <c r="KX831" s="16"/>
      <c r="KY831" s="16"/>
      <c r="KZ831" s="16"/>
      <c r="LA831" s="16"/>
      <c r="LB831" s="16"/>
      <c r="LC831" s="16"/>
      <c r="LD831" s="16"/>
      <c r="LE831" s="16"/>
      <c r="LF831" s="16"/>
      <c r="LG831" s="16"/>
      <c r="LH831" s="16"/>
      <c r="LI831" s="16"/>
      <c r="LJ831" s="16"/>
      <c r="LK831" s="16"/>
      <c r="LL831" s="16"/>
      <c r="LM831" s="16"/>
      <c r="LN831" s="16"/>
      <c r="LO831" s="16"/>
      <c r="LP831" s="16"/>
      <c r="LQ831" s="16"/>
      <c r="LR831" s="16"/>
      <c r="LS831" s="16"/>
      <c r="LT831" s="16"/>
      <c r="LU831" s="16"/>
      <c r="LV831" s="16"/>
      <c r="LW831" s="16"/>
      <c r="LX831" s="16"/>
      <c r="LY831" s="16"/>
      <c r="LZ831" s="16"/>
      <c r="MA831" s="16"/>
      <c r="MB831" s="16"/>
      <c r="MC831" s="16"/>
      <c r="MD831" s="16"/>
      <c r="ME831" s="16"/>
      <c r="MF831" s="16"/>
      <c r="MG831" s="16"/>
      <c r="MH831" s="16"/>
      <c r="MI831" s="16"/>
      <c r="MJ831" s="16"/>
      <c r="MK831" s="16"/>
      <c r="ML831" s="16"/>
      <c r="MM831" s="16"/>
      <c r="MN831" s="16"/>
      <c r="MO831" s="16"/>
      <c r="MP831" s="16"/>
      <c r="MQ831" s="16"/>
      <c r="MR831" s="16"/>
      <c r="MS831" s="16"/>
      <c r="MT831" s="16"/>
      <c r="MU831" s="16"/>
      <c r="MV831" s="16"/>
      <c r="MW831" s="16"/>
      <c r="MX831" s="16"/>
      <c r="MY831" s="16"/>
      <c r="MZ831" s="16"/>
      <c r="NA831" s="16"/>
      <c r="NB831" s="16"/>
      <c r="NC831" s="16"/>
      <c r="ND831" s="16"/>
      <c r="NE831" s="16"/>
      <c r="NF831" s="16"/>
      <c r="NG831" s="16"/>
      <c r="NH831" s="16"/>
      <c r="NI831" s="16"/>
      <c r="NJ831" s="16"/>
      <c r="NK831" s="16"/>
      <c r="NL831" s="16"/>
      <c r="NM831" s="16"/>
      <c r="NN831" s="16"/>
      <c r="NO831" s="16"/>
      <c r="NP831" s="16"/>
      <c r="NQ831" s="16"/>
      <c r="NR831" s="16"/>
      <c r="NS831" s="16"/>
      <c r="NT831" s="16"/>
      <c r="NU831" s="16"/>
      <c r="NV831" s="16"/>
      <c r="NW831" s="16"/>
      <c r="NX831" s="16"/>
      <c r="NY831" s="16"/>
      <c r="NZ831" s="16"/>
      <c r="OA831" s="16"/>
      <c r="OB831" s="16"/>
      <c r="OC831" s="16"/>
      <c r="OD831" s="16"/>
      <c r="OE831" s="16"/>
      <c r="OF831" s="16"/>
      <c r="OG831" s="16"/>
      <c r="OH831" s="16"/>
      <c r="OI831" s="16"/>
      <c r="OJ831" s="16"/>
      <c r="OK831" s="16"/>
      <c r="OL831" s="16"/>
      <c r="OM831" s="16"/>
      <c r="ON831" s="16"/>
      <c r="OO831" s="16"/>
      <c r="OP831" s="16"/>
      <c r="OQ831" s="16"/>
      <c r="OR831" s="16"/>
      <c r="OS831" s="16"/>
      <c r="OT831" s="16"/>
      <c r="OU831" s="16"/>
      <c r="OV831" s="16"/>
      <c r="OW831" s="16"/>
      <c r="OX831" s="16"/>
      <c r="OY831" s="16"/>
      <c r="OZ831" s="16"/>
      <c r="PA831" s="16"/>
      <c r="PB831" s="16"/>
      <c r="PC831" s="16"/>
      <c r="PD831" s="16"/>
      <c r="PE831" s="16"/>
      <c r="PF831" s="16"/>
      <c r="PG831" s="16"/>
      <c r="PH831" s="16"/>
      <c r="PI831" s="16"/>
      <c r="PJ831" s="16"/>
      <c r="PK831" s="16"/>
      <c r="PL831" s="16"/>
      <c r="PM831" s="16"/>
      <c r="PN831" s="16"/>
      <c r="PO831" s="16"/>
      <c r="PP831" s="16"/>
      <c r="PQ831" s="16"/>
      <c r="PR831" s="16"/>
      <c r="PS831" s="16"/>
      <c r="PT831" s="16"/>
      <c r="PU831" s="16"/>
      <c r="PV831" s="16"/>
      <c r="PW831" s="16"/>
      <c r="PX831" s="16"/>
      <c r="PY831" s="16"/>
      <c r="PZ831" s="16"/>
      <c r="QA831" s="16"/>
      <c r="QB831" s="16"/>
      <c r="QC831" s="16"/>
      <c r="QD831" s="16"/>
      <c r="QE831" s="16"/>
      <c r="QF831" s="16"/>
      <c r="QG831" s="16"/>
      <c r="QH831" s="16"/>
      <c r="QI831" s="16"/>
      <c r="QJ831" s="16"/>
      <c r="QK831" s="16"/>
      <c r="QL831" s="16"/>
      <c r="QM831" s="16"/>
      <c r="QN831" s="16"/>
      <c r="QO831" s="16"/>
      <c r="QP831" s="16"/>
      <c r="QQ831" s="16"/>
      <c r="QR831" s="16"/>
      <c r="QS831" s="16"/>
      <c r="QT831" s="16"/>
      <c r="QU831" s="16"/>
      <c r="QV831" s="16"/>
      <c r="QW831" s="16"/>
      <c r="QX831" s="16"/>
      <c r="QY831" s="16"/>
      <c r="QZ831" s="16"/>
      <c r="RA831" s="16"/>
      <c r="RB831" s="16"/>
      <c r="RC831" s="16"/>
      <c r="RD831" s="16"/>
      <c r="RE831" s="16"/>
      <c r="RF831" s="16"/>
      <c r="RG831" s="16"/>
      <c r="RH831" s="16"/>
      <c r="RI831" s="16"/>
      <c r="RJ831" s="16"/>
      <c r="RK831" s="16"/>
      <c r="RL831" s="16"/>
      <c r="RM831" s="16"/>
      <c r="RN831" s="16"/>
      <c r="RO831" s="16"/>
      <c r="RP831" s="16"/>
      <c r="RQ831" s="16"/>
      <c r="RR831" s="16"/>
      <c r="RS831" s="16"/>
      <c r="RT831" s="16"/>
      <c r="RU831" s="16"/>
      <c r="RV831" s="16"/>
      <c r="RW831" s="16"/>
      <c r="RX831" s="16"/>
      <c r="RY831" s="16"/>
      <c r="RZ831" s="16"/>
      <c r="SA831" s="16"/>
      <c r="SB831" s="16"/>
      <c r="SC831" s="16"/>
      <c r="SD831" s="16"/>
      <c r="SE831" s="16"/>
      <c r="SF831" s="16"/>
      <c r="SG831" s="16"/>
      <c r="SH831" s="16"/>
      <c r="SI831" s="16"/>
      <c r="SJ831" s="16"/>
      <c r="SK831" s="16"/>
      <c r="SL831" s="16"/>
      <c r="SM831" s="16"/>
      <c r="SN831" s="16"/>
      <c r="SO831" s="16"/>
      <c r="SP831" s="16"/>
      <c r="SQ831" s="16"/>
      <c r="SR831" s="16"/>
      <c r="SS831" s="16"/>
      <c r="ST831" s="16"/>
      <c r="SU831" s="16"/>
      <c r="SV831" s="16"/>
      <c r="SW831" s="16"/>
      <c r="SX831" s="16"/>
      <c r="SY831" s="16"/>
      <c r="SZ831" s="16"/>
      <c r="TA831" s="16"/>
      <c r="TB831" s="16"/>
      <c r="TC831" s="16"/>
      <c r="TD831" s="16"/>
      <c r="TE831" s="16"/>
      <c r="TF831" s="16"/>
      <c r="TG831" s="16"/>
      <c r="TH831" s="16"/>
      <c r="TI831" s="16"/>
      <c r="TJ831" s="16"/>
      <c r="TK831" s="16"/>
      <c r="TL831" s="16"/>
      <c r="TM831" s="16"/>
      <c r="TN831" s="16"/>
      <c r="TO831" s="16"/>
      <c r="TP831" s="16"/>
      <c r="TQ831" s="16"/>
      <c r="TR831" s="16"/>
      <c r="TS831" s="16"/>
      <c r="TT831" s="16"/>
      <c r="TU831" s="16"/>
      <c r="TV831" s="16"/>
      <c r="TW831" s="16"/>
      <c r="TX831" s="16"/>
      <c r="TY831" s="16"/>
      <c r="TZ831" s="16"/>
      <c r="UA831" s="16"/>
      <c r="UB831" s="16"/>
      <c r="UC831" s="16"/>
      <c r="UD831" s="16"/>
      <c r="UE831" s="16"/>
      <c r="UF831" s="16"/>
      <c r="UG831" s="16"/>
      <c r="UH831" s="16"/>
      <c r="UI831" s="16"/>
      <c r="UJ831" s="16"/>
      <c r="UK831" s="16"/>
      <c r="UL831" s="16"/>
      <c r="UM831" s="16"/>
      <c r="UN831" s="16"/>
      <c r="UO831" s="16"/>
      <c r="UP831" s="16"/>
      <c r="UQ831" s="16"/>
      <c r="UR831" s="16"/>
      <c r="US831" s="16"/>
      <c r="UT831" s="16"/>
      <c r="UU831" s="16"/>
      <c r="UV831" s="16"/>
      <c r="UW831" s="16"/>
      <c r="UX831" s="16"/>
      <c r="UY831" s="16"/>
      <c r="UZ831" s="16"/>
      <c r="VA831" s="16"/>
      <c r="VB831" s="16"/>
      <c r="VC831" s="16"/>
      <c r="VD831" s="16"/>
      <c r="VE831" s="16"/>
      <c r="VF831" s="16"/>
      <c r="VG831" s="16"/>
      <c r="VH831" s="16"/>
      <c r="VI831" s="16"/>
      <c r="VJ831" s="16"/>
      <c r="VK831" s="16"/>
      <c r="VL831" s="16"/>
      <c r="VM831" s="16"/>
      <c r="VN831" s="16"/>
      <c r="VO831" s="16"/>
      <c r="VP831" s="16"/>
      <c r="VQ831" s="16"/>
      <c r="VR831" s="16"/>
      <c r="VS831" s="16"/>
      <c r="VT831" s="16"/>
      <c r="VU831" s="16"/>
      <c r="VV831" s="16"/>
      <c r="VW831" s="16"/>
      <c r="VX831" s="16"/>
      <c r="VY831" s="16"/>
      <c r="VZ831" s="16"/>
      <c r="WA831" s="16"/>
      <c r="WB831" s="16"/>
      <c r="WC831" s="16"/>
      <c r="WD831" s="16"/>
      <c r="WE831" s="16"/>
      <c r="WF831" s="16"/>
      <c r="WG831" s="16"/>
      <c r="WH831" s="16"/>
      <c r="WI831" s="16"/>
      <c r="WJ831" s="16"/>
      <c r="WK831" s="16"/>
      <c r="WL831" s="16"/>
      <c r="WM831" s="16"/>
      <c r="WN831" s="16"/>
      <c r="WO831" s="16"/>
      <c r="WP831" s="16"/>
      <c r="WQ831" s="16"/>
      <c r="WR831" s="16"/>
      <c r="WS831" s="16"/>
      <c r="WT831" s="16"/>
      <c r="WU831" s="16"/>
      <c r="WV831" s="16"/>
      <c r="WW831" s="16"/>
      <c r="WX831" s="16"/>
      <c r="WY831" s="16"/>
      <c r="WZ831" s="16"/>
      <c r="XA831" s="16"/>
      <c r="XB831" s="16"/>
      <c r="XC831" s="16"/>
      <c r="XD831" s="16"/>
      <c r="XE831" s="16"/>
      <c r="XF831" s="16"/>
      <c r="XG831" s="16"/>
      <c r="XH831" s="16"/>
      <c r="XI831" s="16"/>
      <c r="XJ831" s="16"/>
      <c r="XK831" s="16"/>
      <c r="XL831" s="16"/>
      <c r="XM831" s="16"/>
      <c r="XN831" s="16"/>
      <c r="XO831" s="16"/>
      <c r="XP831" s="16"/>
      <c r="XQ831" s="16"/>
      <c r="XR831" s="16"/>
      <c r="XS831" s="16"/>
      <c r="XT831" s="16"/>
      <c r="XU831" s="16"/>
      <c r="XV831" s="16"/>
      <c r="XW831" s="16"/>
      <c r="XX831" s="16"/>
      <c r="XY831" s="16"/>
      <c r="XZ831" s="16"/>
      <c r="YA831" s="16"/>
      <c r="YB831" s="16"/>
      <c r="YC831" s="16"/>
      <c r="YD831" s="16"/>
      <c r="YE831" s="16"/>
      <c r="YF831" s="16"/>
      <c r="YG831" s="16"/>
      <c r="YH831" s="16"/>
      <c r="YI831" s="16"/>
      <c r="YJ831" s="16"/>
      <c r="YK831" s="16"/>
      <c r="YL831" s="16"/>
      <c r="YM831" s="16"/>
      <c r="YN831" s="16"/>
      <c r="YO831" s="16"/>
      <c r="YP831" s="16"/>
      <c r="YQ831" s="16"/>
      <c r="YR831" s="16"/>
      <c r="YS831" s="16"/>
      <c r="YT831" s="16"/>
      <c r="YU831" s="16"/>
      <c r="YV831" s="16"/>
      <c r="YW831" s="16"/>
      <c r="YX831" s="16"/>
      <c r="YY831" s="16"/>
      <c r="YZ831" s="16"/>
      <c r="ZA831" s="16"/>
      <c r="ZB831" s="16"/>
      <c r="ZC831" s="16"/>
      <c r="ZD831" s="16"/>
      <c r="ZE831" s="16"/>
      <c r="ZF831" s="16"/>
      <c r="ZG831" s="16"/>
      <c r="ZH831" s="16"/>
      <c r="ZI831" s="16"/>
      <c r="ZJ831" s="16"/>
      <c r="ZK831" s="16"/>
      <c r="ZL831" s="16"/>
      <c r="ZM831" s="16"/>
      <c r="ZN831" s="16"/>
      <c r="ZO831" s="16"/>
      <c r="ZP831" s="16"/>
      <c r="ZQ831" s="16"/>
      <c r="ZR831" s="16"/>
      <c r="ZS831" s="16"/>
      <c r="ZT831" s="16"/>
      <c r="ZU831" s="16"/>
      <c r="ZV831" s="16"/>
      <c r="ZW831" s="16"/>
      <c r="ZX831" s="16"/>
      <c r="ZY831" s="16"/>
      <c r="ZZ831" s="16"/>
      <c r="AAA831" s="16"/>
      <c r="AAB831" s="16"/>
      <c r="AAC831" s="16"/>
      <c r="AAD831" s="16"/>
      <c r="AAE831" s="16"/>
      <c r="AAF831" s="16"/>
      <c r="AAG831" s="16"/>
      <c r="AAH831" s="16"/>
      <c r="AAI831" s="16"/>
      <c r="AAJ831" s="16"/>
      <c r="AAK831" s="16"/>
      <c r="AAL831" s="16"/>
      <c r="AAM831" s="16"/>
      <c r="AAN831" s="16"/>
      <c r="AAO831" s="16"/>
      <c r="AAP831" s="16"/>
      <c r="AAQ831" s="16"/>
      <c r="AAR831" s="16"/>
      <c r="AAS831" s="16"/>
      <c r="AAT831" s="16"/>
      <c r="AAU831" s="16"/>
      <c r="AAV831" s="16"/>
      <c r="AAW831" s="16"/>
      <c r="AAX831" s="16"/>
      <c r="AAY831" s="16"/>
      <c r="AAZ831" s="16"/>
      <c r="ABA831" s="16"/>
      <c r="ABB831" s="16"/>
      <c r="ABC831" s="16"/>
      <c r="ABD831" s="16"/>
      <c r="ABE831" s="16"/>
      <c r="ABF831" s="16"/>
      <c r="ABG831" s="16"/>
      <c r="ABH831" s="16"/>
      <c r="ABI831" s="16"/>
      <c r="ABJ831" s="16"/>
      <c r="ABK831" s="16"/>
      <c r="ABL831" s="16"/>
      <c r="ABM831" s="16"/>
      <c r="ABN831" s="16"/>
      <c r="ABO831" s="16"/>
      <c r="ABP831" s="16"/>
      <c r="ABQ831" s="16"/>
      <c r="ABR831" s="16"/>
      <c r="ABS831" s="16"/>
      <c r="ABT831" s="16"/>
      <c r="ABU831" s="16"/>
      <c r="ABV831" s="16"/>
      <c r="ABW831" s="16"/>
      <c r="ABX831" s="16"/>
      <c r="ABY831" s="16"/>
      <c r="ABZ831" s="16"/>
      <c r="ACA831" s="16"/>
      <c r="ACB831" s="16"/>
      <c r="ACC831" s="16"/>
      <c r="ACD831" s="16"/>
      <c r="ACE831" s="16"/>
      <c r="ACF831" s="16"/>
      <c r="ACG831" s="16"/>
      <c r="ACH831" s="16"/>
      <c r="ACI831" s="16"/>
      <c r="ACJ831" s="16"/>
      <c r="ACK831" s="16"/>
      <c r="ACL831" s="16"/>
      <c r="ACM831" s="16"/>
      <c r="ACN831" s="16"/>
      <c r="ACO831" s="16"/>
      <c r="ACP831" s="16"/>
      <c r="ACQ831" s="16"/>
      <c r="ACR831" s="16"/>
      <c r="ACS831" s="16"/>
      <c r="ACT831" s="16"/>
      <c r="ACU831" s="16"/>
      <c r="ACV831" s="16"/>
      <c r="ACW831" s="16"/>
      <c r="ACX831" s="16"/>
      <c r="ACY831" s="16"/>
      <c r="ACZ831" s="16"/>
      <c r="ADA831" s="16"/>
      <c r="ADB831" s="16"/>
      <c r="ADC831" s="16"/>
      <c r="ADD831" s="16"/>
      <c r="ADE831" s="16"/>
      <c r="ADF831" s="16"/>
      <c r="ADG831" s="16"/>
      <c r="ADH831" s="16"/>
      <c r="ADI831" s="16"/>
      <c r="ADJ831" s="16"/>
      <c r="ADK831" s="16"/>
      <c r="ADL831" s="16"/>
      <c r="ADM831" s="16"/>
      <c r="ADN831" s="16"/>
      <c r="ADO831" s="16"/>
      <c r="ADP831" s="16"/>
      <c r="ADQ831" s="16"/>
      <c r="ADR831" s="16"/>
      <c r="ADS831" s="16"/>
      <c r="ADT831" s="16"/>
      <c r="ADU831" s="16"/>
      <c r="ADV831" s="16"/>
      <c r="ADW831" s="16"/>
      <c r="ADX831" s="16"/>
      <c r="ADY831" s="16"/>
      <c r="ADZ831" s="16"/>
      <c r="AEA831" s="16"/>
      <c r="AEB831" s="16"/>
      <c r="AEC831" s="16"/>
      <c r="AED831" s="16"/>
      <c r="AEE831" s="16"/>
      <c r="AEF831" s="16"/>
      <c r="AEG831" s="16"/>
      <c r="AEH831" s="16"/>
      <c r="AEI831" s="16"/>
      <c r="AEJ831" s="16"/>
      <c r="AEK831" s="16"/>
      <c r="AEL831" s="16"/>
      <c r="AEM831" s="16"/>
      <c r="AEN831" s="16"/>
      <c r="AEO831" s="16"/>
      <c r="AEP831" s="16"/>
      <c r="AEQ831" s="16"/>
      <c r="AER831" s="16"/>
      <c r="AES831" s="16"/>
      <c r="AET831" s="16"/>
      <c r="AEU831" s="16"/>
      <c r="AEV831" s="16"/>
      <c r="AEW831" s="16"/>
      <c r="AEX831" s="16"/>
      <c r="AEY831" s="16"/>
      <c r="AEZ831" s="16"/>
      <c r="AFA831" s="16"/>
      <c r="AFB831" s="16"/>
      <c r="AFC831" s="16"/>
      <c r="AFD831" s="16"/>
      <c r="AFE831" s="16"/>
      <c r="AFF831" s="16"/>
      <c r="AFG831" s="16"/>
      <c r="AFH831" s="16"/>
      <c r="AFI831" s="16"/>
      <c r="AFJ831" s="16"/>
      <c r="AFK831" s="16"/>
      <c r="AFL831" s="16"/>
      <c r="AFM831" s="16"/>
      <c r="AFN831" s="16"/>
      <c r="AFO831" s="16"/>
      <c r="AFP831" s="16"/>
      <c r="AFQ831" s="16"/>
      <c r="AFR831" s="16"/>
      <c r="AFS831" s="16"/>
      <c r="AFT831" s="16"/>
      <c r="AFU831" s="16"/>
      <c r="AFV831" s="16"/>
      <c r="AFW831" s="16"/>
      <c r="AFX831" s="16"/>
      <c r="AFY831" s="16"/>
      <c r="AFZ831" s="16"/>
      <c r="AGA831" s="16"/>
      <c r="AGB831" s="16"/>
      <c r="AGC831" s="16"/>
      <c r="AGD831" s="16"/>
      <c r="AGE831" s="16"/>
      <c r="AGF831" s="16"/>
      <c r="AGG831" s="16"/>
      <c r="AGH831" s="16"/>
      <c r="AGI831" s="16"/>
      <c r="AGJ831" s="16"/>
    </row>
    <row r="832" spans="1:868">
      <c r="A832" s="151" t="s">
        <v>121</v>
      </c>
      <c r="B832" s="34" t="s">
        <v>355</v>
      </c>
      <c r="C832" s="40" t="s">
        <v>139</v>
      </c>
      <c r="D832" s="34" t="s">
        <v>89</v>
      </c>
      <c r="E832" s="257">
        <v>0</v>
      </c>
      <c r="F832" s="232">
        <v>1</v>
      </c>
      <c r="G832" s="40"/>
      <c r="H832" s="29"/>
      <c r="I832" s="9"/>
      <c r="J832" s="9"/>
      <c r="K832" s="9"/>
      <c r="L832" s="9"/>
      <c r="M832" s="9"/>
      <c r="N832" s="185" t="str">
        <f t="shared" si="53"/>
        <v/>
      </c>
      <c r="O832" s="159" t="str">
        <f t="shared" si="54"/>
        <v/>
      </c>
      <c r="P832" s="63"/>
    </row>
    <row r="833" spans="1:868">
      <c r="A833" s="151" t="s">
        <v>121</v>
      </c>
      <c r="B833" s="34" t="s">
        <v>355</v>
      </c>
      <c r="C833" s="40" t="s">
        <v>139</v>
      </c>
      <c r="D833" s="34" t="s">
        <v>90</v>
      </c>
      <c r="E833" s="257">
        <v>0</v>
      </c>
      <c r="F833" s="232">
        <v>1</v>
      </c>
      <c r="G833" s="40"/>
      <c r="H833" s="29"/>
      <c r="I833" s="9"/>
      <c r="J833" s="9"/>
      <c r="K833" s="9"/>
      <c r="L833" s="9"/>
      <c r="M833" s="9"/>
      <c r="N833" s="185" t="str">
        <f t="shared" si="53"/>
        <v/>
      </c>
      <c r="O833" s="159" t="str">
        <f t="shared" si="54"/>
        <v/>
      </c>
      <c r="P833" s="63"/>
    </row>
    <row r="834" spans="1:868">
      <c r="A834" s="289" t="s">
        <v>422</v>
      </c>
      <c r="B834" s="55" t="s">
        <v>350</v>
      </c>
      <c r="C834" s="262" t="s">
        <v>139</v>
      </c>
      <c r="D834" s="55" t="s">
        <v>139</v>
      </c>
      <c r="E834" s="257" t="s">
        <v>150</v>
      </c>
      <c r="F834" s="232">
        <v>1</v>
      </c>
      <c r="G834" s="262"/>
      <c r="H834" s="29"/>
      <c r="I834" s="9"/>
      <c r="J834" s="9"/>
      <c r="K834" s="9"/>
      <c r="L834" s="9"/>
      <c r="M834" s="9"/>
      <c r="N834" s="185" t="str">
        <f t="shared" si="53"/>
        <v/>
      </c>
      <c r="O834" s="159" t="str">
        <f t="shared" si="54"/>
        <v/>
      </c>
      <c r="P834" s="63"/>
    </row>
    <row r="835" spans="1:868">
      <c r="A835" s="289" t="s">
        <v>422</v>
      </c>
      <c r="B835" s="55" t="s">
        <v>360</v>
      </c>
      <c r="C835" s="262" t="s">
        <v>139</v>
      </c>
      <c r="D835" s="55" t="s">
        <v>139</v>
      </c>
      <c r="E835" s="257">
        <v>1.0400000000000001E-2</v>
      </c>
      <c r="F835" s="232">
        <v>2</v>
      </c>
      <c r="G835" s="257" t="s">
        <v>163</v>
      </c>
      <c r="H835" s="29">
        <v>2</v>
      </c>
      <c r="I835" s="9">
        <v>2</v>
      </c>
      <c r="J835" s="9">
        <v>1</v>
      </c>
      <c r="K835" s="9">
        <v>1</v>
      </c>
      <c r="L835" s="9">
        <v>1</v>
      </c>
      <c r="M835" s="9">
        <v>3</v>
      </c>
      <c r="N835" s="185">
        <f t="shared" si="53"/>
        <v>1.0195048044558224</v>
      </c>
      <c r="O835" s="159">
        <f t="shared" si="54"/>
        <v>1.0195048044558224</v>
      </c>
      <c r="P835" s="63" t="s">
        <v>423</v>
      </c>
    </row>
    <row r="836" spans="1:868" s="210" customFormat="1" ht="15.75" thickBot="1">
      <c r="A836" s="289" t="s">
        <v>422</v>
      </c>
      <c r="B836" s="55" t="s">
        <v>360</v>
      </c>
      <c r="C836" s="262" t="s">
        <v>139</v>
      </c>
      <c r="D836" s="55" t="s">
        <v>139</v>
      </c>
      <c r="E836" s="257">
        <v>1.8599999999999998E-2</v>
      </c>
      <c r="F836" s="232">
        <v>2</v>
      </c>
      <c r="G836" s="257" t="s">
        <v>163</v>
      </c>
      <c r="H836" s="29">
        <v>2</v>
      </c>
      <c r="I836" s="9">
        <v>2</v>
      </c>
      <c r="J836" s="9">
        <v>1</v>
      </c>
      <c r="K836" s="9">
        <v>1</v>
      </c>
      <c r="L836" s="9">
        <v>1</v>
      </c>
      <c r="M836" s="9">
        <v>3</v>
      </c>
      <c r="N836" s="185">
        <f t="shared" si="53"/>
        <v>1.0195048044558224</v>
      </c>
      <c r="O836" s="159">
        <f t="shared" si="54"/>
        <v>1.0195048044558224</v>
      </c>
      <c r="P836" s="63" t="s">
        <v>424</v>
      </c>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c r="CX836" s="16"/>
      <c r="CY836" s="16"/>
      <c r="CZ836" s="16"/>
      <c r="DA836" s="16"/>
      <c r="DB836" s="16"/>
      <c r="DC836" s="16"/>
      <c r="DD836" s="16"/>
      <c r="DE836" s="16"/>
      <c r="DF836" s="16"/>
      <c r="DG836" s="16"/>
      <c r="DH836" s="16"/>
      <c r="DI836" s="16"/>
      <c r="DJ836" s="16"/>
      <c r="DK836" s="16"/>
      <c r="DL836" s="16"/>
      <c r="DM836" s="16"/>
      <c r="DN836" s="16"/>
      <c r="DO836" s="16"/>
      <c r="DP836" s="16"/>
      <c r="DQ836" s="16"/>
      <c r="DR836" s="16"/>
      <c r="DS836" s="16"/>
      <c r="DT836" s="16"/>
      <c r="DU836" s="16"/>
      <c r="DV836" s="16"/>
      <c r="DW836" s="16"/>
      <c r="DX836" s="16"/>
      <c r="DY836" s="16"/>
      <c r="DZ836" s="16"/>
      <c r="EA836" s="16"/>
      <c r="EB836" s="16"/>
      <c r="EC836" s="16"/>
      <c r="ED836" s="16"/>
      <c r="EE836" s="16"/>
      <c r="EF836" s="16"/>
      <c r="EG836" s="16"/>
      <c r="EH836" s="16"/>
      <c r="EI836" s="16"/>
      <c r="EJ836" s="16"/>
      <c r="EK836" s="16"/>
      <c r="EL836" s="16"/>
      <c r="EM836" s="16"/>
      <c r="EN836" s="16"/>
      <c r="EO836" s="16"/>
      <c r="EP836" s="16"/>
      <c r="EQ836" s="16"/>
      <c r="ER836" s="16"/>
      <c r="ES836" s="16"/>
      <c r="ET836" s="16"/>
      <c r="EU836" s="16"/>
      <c r="EV836" s="16"/>
      <c r="EW836" s="16"/>
      <c r="EX836" s="16"/>
      <c r="EY836" s="16"/>
      <c r="EZ836" s="16"/>
      <c r="FA836" s="16"/>
      <c r="FB836" s="16"/>
      <c r="FC836" s="16"/>
      <c r="FD836" s="16"/>
      <c r="FE836" s="16"/>
      <c r="FF836" s="16"/>
      <c r="FG836" s="16"/>
      <c r="FH836" s="16"/>
      <c r="FI836" s="16"/>
      <c r="FJ836" s="16"/>
      <c r="FK836" s="16"/>
      <c r="FL836" s="16"/>
      <c r="FM836" s="16"/>
      <c r="FN836" s="16"/>
      <c r="FO836" s="16"/>
      <c r="FP836" s="16"/>
      <c r="FQ836" s="16"/>
      <c r="FR836" s="16"/>
      <c r="FS836" s="16"/>
      <c r="FT836" s="16"/>
      <c r="FU836" s="16"/>
      <c r="FV836" s="16"/>
      <c r="FW836" s="16"/>
      <c r="FX836" s="16"/>
      <c r="FY836" s="16"/>
      <c r="FZ836" s="16"/>
      <c r="GA836" s="16"/>
      <c r="GB836" s="16"/>
      <c r="GC836" s="16"/>
      <c r="GD836" s="16"/>
      <c r="GE836" s="16"/>
      <c r="GF836" s="16"/>
      <c r="GG836" s="16"/>
      <c r="GH836" s="16"/>
      <c r="GI836" s="16"/>
      <c r="GJ836" s="16"/>
      <c r="GK836" s="16"/>
      <c r="GL836" s="16"/>
      <c r="GM836" s="16"/>
      <c r="GN836" s="16"/>
      <c r="GO836" s="16"/>
      <c r="GP836" s="16"/>
      <c r="GQ836" s="16"/>
      <c r="GR836" s="16"/>
      <c r="GS836" s="16"/>
      <c r="GT836" s="16"/>
      <c r="GU836" s="16"/>
      <c r="GV836" s="16"/>
      <c r="GW836" s="16"/>
      <c r="GX836" s="16"/>
      <c r="GY836" s="16"/>
      <c r="GZ836" s="16"/>
      <c r="HA836" s="16"/>
      <c r="HB836" s="16"/>
      <c r="HC836" s="16"/>
      <c r="HD836" s="16"/>
      <c r="HE836" s="16"/>
      <c r="HF836" s="16"/>
      <c r="HG836" s="16"/>
      <c r="HH836" s="16"/>
      <c r="HI836" s="16"/>
      <c r="HJ836" s="16"/>
      <c r="HK836" s="16"/>
      <c r="HL836" s="16"/>
      <c r="HM836" s="16"/>
      <c r="HN836" s="16"/>
      <c r="HO836" s="16"/>
      <c r="HP836" s="16"/>
      <c r="HQ836" s="16"/>
      <c r="HR836" s="16"/>
      <c r="HS836" s="16"/>
      <c r="HT836" s="16"/>
      <c r="HU836" s="16"/>
      <c r="HV836" s="16"/>
      <c r="HW836" s="16"/>
      <c r="HX836" s="16"/>
      <c r="HY836" s="16"/>
      <c r="HZ836" s="16"/>
      <c r="IA836" s="16"/>
      <c r="IB836" s="16"/>
      <c r="IC836" s="16"/>
      <c r="ID836" s="16"/>
      <c r="IE836" s="16"/>
      <c r="IF836" s="16"/>
      <c r="IG836" s="16"/>
      <c r="IH836" s="16"/>
      <c r="II836" s="16"/>
      <c r="IJ836" s="16"/>
      <c r="IK836" s="16"/>
      <c r="IL836" s="16"/>
      <c r="IM836" s="16"/>
      <c r="IN836" s="16"/>
      <c r="IO836" s="16"/>
      <c r="IP836" s="16"/>
      <c r="IQ836" s="16"/>
      <c r="IR836" s="16"/>
      <c r="IS836" s="16"/>
      <c r="IT836" s="16"/>
      <c r="IU836" s="16"/>
      <c r="IV836" s="16"/>
      <c r="IW836" s="16"/>
      <c r="IX836" s="16"/>
      <c r="IY836" s="16"/>
      <c r="IZ836" s="16"/>
      <c r="JA836" s="16"/>
      <c r="JB836" s="16"/>
      <c r="JC836" s="16"/>
      <c r="JD836" s="16"/>
      <c r="JE836" s="16"/>
      <c r="JF836" s="16"/>
      <c r="JG836" s="16"/>
      <c r="JH836" s="16"/>
      <c r="JI836" s="16"/>
      <c r="JJ836" s="16"/>
      <c r="JK836" s="16"/>
      <c r="JL836" s="16"/>
      <c r="JM836" s="16"/>
      <c r="JN836" s="16"/>
      <c r="JO836" s="16"/>
      <c r="JP836" s="16"/>
      <c r="JQ836" s="16"/>
      <c r="JR836" s="16"/>
      <c r="JS836" s="16"/>
      <c r="JT836" s="16"/>
      <c r="JU836" s="16"/>
      <c r="JV836" s="16"/>
      <c r="JW836" s="16"/>
      <c r="JX836" s="16"/>
      <c r="JY836" s="16"/>
      <c r="JZ836" s="16"/>
      <c r="KA836" s="16"/>
      <c r="KB836" s="16"/>
      <c r="KC836" s="16"/>
      <c r="KD836" s="16"/>
      <c r="KE836" s="16"/>
      <c r="KF836" s="16"/>
      <c r="KG836" s="16"/>
      <c r="KH836" s="16"/>
      <c r="KI836" s="16"/>
      <c r="KJ836" s="16"/>
      <c r="KK836" s="16"/>
      <c r="KL836" s="16"/>
      <c r="KM836" s="16"/>
      <c r="KN836" s="16"/>
      <c r="KO836" s="16"/>
      <c r="KP836" s="16"/>
      <c r="KQ836" s="16"/>
      <c r="KR836" s="16"/>
      <c r="KS836" s="16"/>
      <c r="KT836" s="16"/>
      <c r="KU836" s="16"/>
      <c r="KV836" s="16"/>
      <c r="KW836" s="16"/>
      <c r="KX836" s="16"/>
      <c r="KY836" s="16"/>
      <c r="KZ836" s="16"/>
      <c r="LA836" s="16"/>
      <c r="LB836" s="16"/>
      <c r="LC836" s="16"/>
      <c r="LD836" s="16"/>
      <c r="LE836" s="16"/>
      <c r="LF836" s="16"/>
      <c r="LG836" s="16"/>
      <c r="LH836" s="16"/>
      <c r="LI836" s="16"/>
      <c r="LJ836" s="16"/>
      <c r="LK836" s="16"/>
      <c r="LL836" s="16"/>
      <c r="LM836" s="16"/>
      <c r="LN836" s="16"/>
      <c r="LO836" s="16"/>
      <c r="LP836" s="16"/>
      <c r="LQ836" s="16"/>
      <c r="LR836" s="16"/>
      <c r="LS836" s="16"/>
      <c r="LT836" s="16"/>
      <c r="LU836" s="16"/>
      <c r="LV836" s="16"/>
      <c r="LW836" s="16"/>
      <c r="LX836" s="16"/>
      <c r="LY836" s="16"/>
      <c r="LZ836" s="16"/>
      <c r="MA836" s="16"/>
      <c r="MB836" s="16"/>
      <c r="MC836" s="16"/>
      <c r="MD836" s="16"/>
      <c r="ME836" s="16"/>
      <c r="MF836" s="16"/>
      <c r="MG836" s="16"/>
      <c r="MH836" s="16"/>
      <c r="MI836" s="16"/>
      <c r="MJ836" s="16"/>
      <c r="MK836" s="16"/>
      <c r="ML836" s="16"/>
      <c r="MM836" s="16"/>
      <c r="MN836" s="16"/>
      <c r="MO836" s="16"/>
      <c r="MP836" s="16"/>
      <c r="MQ836" s="16"/>
      <c r="MR836" s="16"/>
      <c r="MS836" s="16"/>
      <c r="MT836" s="16"/>
      <c r="MU836" s="16"/>
      <c r="MV836" s="16"/>
      <c r="MW836" s="16"/>
      <c r="MX836" s="16"/>
      <c r="MY836" s="16"/>
      <c r="MZ836" s="16"/>
      <c r="NA836" s="16"/>
      <c r="NB836" s="16"/>
      <c r="NC836" s="16"/>
      <c r="ND836" s="16"/>
      <c r="NE836" s="16"/>
      <c r="NF836" s="16"/>
      <c r="NG836" s="16"/>
      <c r="NH836" s="16"/>
      <c r="NI836" s="16"/>
      <c r="NJ836" s="16"/>
      <c r="NK836" s="16"/>
      <c r="NL836" s="16"/>
      <c r="NM836" s="16"/>
      <c r="NN836" s="16"/>
      <c r="NO836" s="16"/>
      <c r="NP836" s="16"/>
      <c r="NQ836" s="16"/>
      <c r="NR836" s="16"/>
      <c r="NS836" s="16"/>
      <c r="NT836" s="16"/>
      <c r="NU836" s="16"/>
      <c r="NV836" s="16"/>
      <c r="NW836" s="16"/>
      <c r="NX836" s="16"/>
      <c r="NY836" s="16"/>
      <c r="NZ836" s="16"/>
      <c r="OA836" s="16"/>
      <c r="OB836" s="16"/>
      <c r="OC836" s="16"/>
      <c r="OD836" s="16"/>
      <c r="OE836" s="16"/>
      <c r="OF836" s="16"/>
      <c r="OG836" s="16"/>
      <c r="OH836" s="16"/>
      <c r="OI836" s="16"/>
      <c r="OJ836" s="16"/>
      <c r="OK836" s="16"/>
      <c r="OL836" s="16"/>
      <c r="OM836" s="16"/>
      <c r="ON836" s="16"/>
      <c r="OO836" s="16"/>
      <c r="OP836" s="16"/>
      <c r="OQ836" s="16"/>
      <c r="OR836" s="16"/>
      <c r="OS836" s="16"/>
      <c r="OT836" s="16"/>
      <c r="OU836" s="16"/>
      <c r="OV836" s="16"/>
      <c r="OW836" s="16"/>
      <c r="OX836" s="16"/>
      <c r="OY836" s="16"/>
      <c r="OZ836" s="16"/>
      <c r="PA836" s="16"/>
      <c r="PB836" s="16"/>
      <c r="PC836" s="16"/>
      <c r="PD836" s="16"/>
      <c r="PE836" s="16"/>
      <c r="PF836" s="16"/>
      <c r="PG836" s="16"/>
      <c r="PH836" s="16"/>
      <c r="PI836" s="16"/>
      <c r="PJ836" s="16"/>
      <c r="PK836" s="16"/>
      <c r="PL836" s="16"/>
      <c r="PM836" s="16"/>
      <c r="PN836" s="16"/>
      <c r="PO836" s="16"/>
      <c r="PP836" s="16"/>
      <c r="PQ836" s="16"/>
      <c r="PR836" s="16"/>
      <c r="PS836" s="16"/>
      <c r="PT836" s="16"/>
      <c r="PU836" s="16"/>
      <c r="PV836" s="16"/>
      <c r="PW836" s="16"/>
      <c r="PX836" s="16"/>
      <c r="PY836" s="16"/>
      <c r="PZ836" s="16"/>
      <c r="QA836" s="16"/>
      <c r="QB836" s="16"/>
      <c r="QC836" s="16"/>
      <c r="QD836" s="16"/>
      <c r="QE836" s="16"/>
      <c r="QF836" s="16"/>
      <c r="QG836" s="16"/>
      <c r="QH836" s="16"/>
      <c r="QI836" s="16"/>
      <c r="QJ836" s="16"/>
      <c r="QK836" s="16"/>
      <c r="QL836" s="16"/>
      <c r="QM836" s="16"/>
      <c r="QN836" s="16"/>
      <c r="QO836" s="16"/>
      <c r="QP836" s="16"/>
      <c r="QQ836" s="16"/>
      <c r="QR836" s="16"/>
      <c r="QS836" s="16"/>
      <c r="QT836" s="16"/>
      <c r="QU836" s="16"/>
      <c r="QV836" s="16"/>
      <c r="QW836" s="16"/>
      <c r="QX836" s="16"/>
      <c r="QY836" s="16"/>
      <c r="QZ836" s="16"/>
      <c r="RA836" s="16"/>
      <c r="RB836" s="16"/>
      <c r="RC836" s="16"/>
      <c r="RD836" s="16"/>
      <c r="RE836" s="16"/>
      <c r="RF836" s="16"/>
      <c r="RG836" s="16"/>
      <c r="RH836" s="16"/>
      <c r="RI836" s="16"/>
      <c r="RJ836" s="16"/>
      <c r="RK836" s="16"/>
      <c r="RL836" s="16"/>
      <c r="RM836" s="16"/>
      <c r="RN836" s="16"/>
      <c r="RO836" s="16"/>
      <c r="RP836" s="16"/>
      <c r="RQ836" s="16"/>
      <c r="RR836" s="16"/>
      <c r="RS836" s="16"/>
      <c r="RT836" s="16"/>
      <c r="RU836" s="16"/>
      <c r="RV836" s="16"/>
      <c r="RW836" s="16"/>
      <c r="RX836" s="16"/>
      <c r="RY836" s="16"/>
      <c r="RZ836" s="16"/>
      <c r="SA836" s="16"/>
      <c r="SB836" s="16"/>
      <c r="SC836" s="16"/>
      <c r="SD836" s="16"/>
      <c r="SE836" s="16"/>
      <c r="SF836" s="16"/>
      <c r="SG836" s="16"/>
      <c r="SH836" s="16"/>
      <c r="SI836" s="16"/>
      <c r="SJ836" s="16"/>
      <c r="SK836" s="16"/>
      <c r="SL836" s="16"/>
      <c r="SM836" s="16"/>
      <c r="SN836" s="16"/>
      <c r="SO836" s="16"/>
      <c r="SP836" s="16"/>
      <c r="SQ836" s="16"/>
      <c r="SR836" s="16"/>
      <c r="SS836" s="16"/>
      <c r="ST836" s="16"/>
      <c r="SU836" s="16"/>
      <c r="SV836" s="16"/>
      <c r="SW836" s="16"/>
      <c r="SX836" s="16"/>
      <c r="SY836" s="16"/>
      <c r="SZ836" s="16"/>
      <c r="TA836" s="16"/>
      <c r="TB836" s="16"/>
      <c r="TC836" s="16"/>
      <c r="TD836" s="16"/>
      <c r="TE836" s="16"/>
      <c r="TF836" s="16"/>
      <c r="TG836" s="16"/>
      <c r="TH836" s="16"/>
      <c r="TI836" s="16"/>
      <c r="TJ836" s="16"/>
      <c r="TK836" s="16"/>
      <c r="TL836" s="16"/>
      <c r="TM836" s="16"/>
      <c r="TN836" s="16"/>
      <c r="TO836" s="16"/>
      <c r="TP836" s="16"/>
      <c r="TQ836" s="16"/>
      <c r="TR836" s="16"/>
      <c r="TS836" s="16"/>
      <c r="TT836" s="16"/>
      <c r="TU836" s="16"/>
      <c r="TV836" s="16"/>
      <c r="TW836" s="16"/>
      <c r="TX836" s="16"/>
      <c r="TY836" s="16"/>
      <c r="TZ836" s="16"/>
      <c r="UA836" s="16"/>
      <c r="UB836" s="16"/>
      <c r="UC836" s="16"/>
      <c r="UD836" s="16"/>
      <c r="UE836" s="16"/>
      <c r="UF836" s="16"/>
      <c r="UG836" s="16"/>
      <c r="UH836" s="16"/>
      <c r="UI836" s="16"/>
      <c r="UJ836" s="16"/>
      <c r="UK836" s="16"/>
      <c r="UL836" s="16"/>
      <c r="UM836" s="16"/>
      <c r="UN836" s="16"/>
      <c r="UO836" s="16"/>
      <c r="UP836" s="16"/>
      <c r="UQ836" s="16"/>
      <c r="UR836" s="16"/>
      <c r="US836" s="16"/>
      <c r="UT836" s="16"/>
      <c r="UU836" s="16"/>
      <c r="UV836" s="16"/>
      <c r="UW836" s="16"/>
      <c r="UX836" s="16"/>
      <c r="UY836" s="16"/>
      <c r="UZ836" s="16"/>
      <c r="VA836" s="16"/>
      <c r="VB836" s="16"/>
      <c r="VC836" s="16"/>
      <c r="VD836" s="16"/>
      <c r="VE836" s="16"/>
      <c r="VF836" s="16"/>
      <c r="VG836" s="16"/>
      <c r="VH836" s="16"/>
      <c r="VI836" s="16"/>
      <c r="VJ836" s="16"/>
      <c r="VK836" s="16"/>
      <c r="VL836" s="16"/>
      <c r="VM836" s="16"/>
      <c r="VN836" s="16"/>
      <c r="VO836" s="16"/>
      <c r="VP836" s="16"/>
      <c r="VQ836" s="16"/>
      <c r="VR836" s="16"/>
      <c r="VS836" s="16"/>
      <c r="VT836" s="16"/>
      <c r="VU836" s="16"/>
      <c r="VV836" s="16"/>
      <c r="VW836" s="16"/>
      <c r="VX836" s="16"/>
      <c r="VY836" s="16"/>
      <c r="VZ836" s="16"/>
      <c r="WA836" s="16"/>
      <c r="WB836" s="16"/>
      <c r="WC836" s="16"/>
      <c r="WD836" s="16"/>
      <c r="WE836" s="16"/>
      <c r="WF836" s="16"/>
      <c r="WG836" s="16"/>
      <c r="WH836" s="16"/>
      <c r="WI836" s="16"/>
      <c r="WJ836" s="16"/>
      <c r="WK836" s="16"/>
      <c r="WL836" s="16"/>
      <c r="WM836" s="16"/>
      <c r="WN836" s="16"/>
      <c r="WO836" s="16"/>
      <c r="WP836" s="16"/>
      <c r="WQ836" s="16"/>
      <c r="WR836" s="16"/>
      <c r="WS836" s="16"/>
      <c r="WT836" s="16"/>
      <c r="WU836" s="16"/>
      <c r="WV836" s="16"/>
      <c r="WW836" s="16"/>
      <c r="WX836" s="16"/>
      <c r="WY836" s="16"/>
      <c r="WZ836" s="16"/>
      <c r="XA836" s="16"/>
      <c r="XB836" s="16"/>
      <c r="XC836" s="16"/>
      <c r="XD836" s="16"/>
      <c r="XE836" s="16"/>
      <c r="XF836" s="16"/>
      <c r="XG836" s="16"/>
      <c r="XH836" s="16"/>
      <c r="XI836" s="16"/>
      <c r="XJ836" s="16"/>
      <c r="XK836" s="16"/>
      <c r="XL836" s="16"/>
      <c r="XM836" s="16"/>
      <c r="XN836" s="16"/>
      <c r="XO836" s="16"/>
      <c r="XP836" s="16"/>
      <c r="XQ836" s="16"/>
      <c r="XR836" s="16"/>
      <c r="XS836" s="16"/>
      <c r="XT836" s="16"/>
      <c r="XU836" s="16"/>
      <c r="XV836" s="16"/>
      <c r="XW836" s="16"/>
      <c r="XX836" s="16"/>
      <c r="XY836" s="16"/>
      <c r="XZ836" s="16"/>
      <c r="YA836" s="16"/>
      <c r="YB836" s="16"/>
      <c r="YC836" s="16"/>
      <c r="YD836" s="16"/>
      <c r="YE836" s="16"/>
      <c r="YF836" s="16"/>
      <c r="YG836" s="16"/>
      <c r="YH836" s="16"/>
      <c r="YI836" s="16"/>
      <c r="YJ836" s="16"/>
      <c r="YK836" s="16"/>
      <c r="YL836" s="16"/>
      <c r="YM836" s="16"/>
      <c r="YN836" s="16"/>
      <c r="YO836" s="16"/>
      <c r="YP836" s="16"/>
      <c r="YQ836" s="16"/>
      <c r="YR836" s="16"/>
      <c r="YS836" s="16"/>
      <c r="YT836" s="16"/>
      <c r="YU836" s="16"/>
      <c r="YV836" s="16"/>
      <c r="YW836" s="16"/>
      <c r="YX836" s="16"/>
      <c r="YY836" s="16"/>
      <c r="YZ836" s="16"/>
      <c r="ZA836" s="16"/>
      <c r="ZB836" s="16"/>
      <c r="ZC836" s="16"/>
      <c r="ZD836" s="16"/>
      <c r="ZE836" s="16"/>
      <c r="ZF836" s="16"/>
      <c r="ZG836" s="16"/>
      <c r="ZH836" s="16"/>
      <c r="ZI836" s="16"/>
      <c r="ZJ836" s="16"/>
      <c r="ZK836" s="16"/>
      <c r="ZL836" s="16"/>
      <c r="ZM836" s="16"/>
      <c r="ZN836" s="16"/>
      <c r="ZO836" s="16"/>
      <c r="ZP836" s="16"/>
      <c r="ZQ836" s="16"/>
      <c r="ZR836" s="16"/>
      <c r="ZS836" s="16"/>
      <c r="ZT836" s="16"/>
      <c r="ZU836" s="16"/>
      <c r="ZV836" s="16"/>
      <c r="ZW836" s="16"/>
      <c r="ZX836" s="16"/>
      <c r="ZY836" s="16"/>
      <c r="ZZ836" s="16"/>
      <c r="AAA836" s="16"/>
      <c r="AAB836" s="16"/>
      <c r="AAC836" s="16"/>
      <c r="AAD836" s="16"/>
      <c r="AAE836" s="16"/>
      <c r="AAF836" s="16"/>
      <c r="AAG836" s="16"/>
      <c r="AAH836" s="16"/>
      <c r="AAI836" s="16"/>
      <c r="AAJ836" s="16"/>
      <c r="AAK836" s="16"/>
      <c r="AAL836" s="16"/>
      <c r="AAM836" s="16"/>
      <c r="AAN836" s="16"/>
      <c r="AAO836" s="16"/>
      <c r="AAP836" s="16"/>
      <c r="AAQ836" s="16"/>
      <c r="AAR836" s="16"/>
      <c r="AAS836" s="16"/>
      <c r="AAT836" s="16"/>
      <c r="AAU836" s="16"/>
      <c r="AAV836" s="16"/>
      <c r="AAW836" s="16"/>
      <c r="AAX836" s="16"/>
      <c r="AAY836" s="16"/>
      <c r="AAZ836" s="16"/>
      <c r="ABA836" s="16"/>
      <c r="ABB836" s="16"/>
      <c r="ABC836" s="16"/>
      <c r="ABD836" s="16"/>
      <c r="ABE836" s="16"/>
      <c r="ABF836" s="16"/>
      <c r="ABG836" s="16"/>
      <c r="ABH836" s="16"/>
      <c r="ABI836" s="16"/>
      <c r="ABJ836" s="16"/>
      <c r="ABK836" s="16"/>
      <c r="ABL836" s="16"/>
      <c r="ABM836" s="16"/>
      <c r="ABN836" s="16"/>
      <c r="ABO836" s="16"/>
      <c r="ABP836" s="16"/>
      <c r="ABQ836" s="16"/>
      <c r="ABR836" s="16"/>
      <c r="ABS836" s="16"/>
      <c r="ABT836" s="16"/>
      <c r="ABU836" s="16"/>
      <c r="ABV836" s="16"/>
      <c r="ABW836" s="16"/>
      <c r="ABX836" s="16"/>
      <c r="ABY836" s="16"/>
      <c r="ABZ836" s="16"/>
      <c r="ACA836" s="16"/>
      <c r="ACB836" s="16"/>
      <c r="ACC836" s="16"/>
      <c r="ACD836" s="16"/>
      <c r="ACE836" s="16"/>
      <c r="ACF836" s="16"/>
      <c r="ACG836" s="16"/>
      <c r="ACH836" s="16"/>
      <c r="ACI836" s="16"/>
      <c r="ACJ836" s="16"/>
      <c r="ACK836" s="16"/>
      <c r="ACL836" s="16"/>
      <c r="ACM836" s="16"/>
      <c r="ACN836" s="16"/>
      <c r="ACO836" s="16"/>
      <c r="ACP836" s="16"/>
      <c r="ACQ836" s="16"/>
      <c r="ACR836" s="16"/>
      <c r="ACS836" s="16"/>
      <c r="ACT836" s="16"/>
      <c r="ACU836" s="16"/>
      <c r="ACV836" s="16"/>
      <c r="ACW836" s="16"/>
      <c r="ACX836" s="16"/>
      <c r="ACY836" s="16"/>
      <c r="ACZ836" s="16"/>
      <c r="ADA836" s="16"/>
      <c r="ADB836" s="16"/>
      <c r="ADC836" s="16"/>
      <c r="ADD836" s="16"/>
      <c r="ADE836" s="16"/>
      <c r="ADF836" s="16"/>
      <c r="ADG836" s="16"/>
      <c r="ADH836" s="16"/>
      <c r="ADI836" s="16"/>
      <c r="ADJ836" s="16"/>
      <c r="ADK836" s="16"/>
      <c r="ADL836" s="16"/>
      <c r="ADM836" s="16"/>
      <c r="ADN836" s="16"/>
      <c r="ADO836" s="16"/>
      <c r="ADP836" s="16"/>
      <c r="ADQ836" s="16"/>
      <c r="ADR836" s="16"/>
      <c r="ADS836" s="16"/>
      <c r="ADT836" s="16"/>
      <c r="ADU836" s="16"/>
      <c r="ADV836" s="16"/>
      <c r="ADW836" s="16"/>
      <c r="ADX836" s="16"/>
      <c r="ADY836" s="16"/>
      <c r="ADZ836" s="16"/>
      <c r="AEA836" s="16"/>
      <c r="AEB836" s="16"/>
      <c r="AEC836" s="16"/>
      <c r="AED836" s="16"/>
      <c r="AEE836" s="16"/>
      <c r="AEF836" s="16"/>
      <c r="AEG836" s="16"/>
      <c r="AEH836" s="16"/>
      <c r="AEI836" s="16"/>
      <c r="AEJ836" s="16"/>
      <c r="AEK836" s="16"/>
      <c r="AEL836" s="16"/>
      <c r="AEM836" s="16"/>
      <c r="AEN836" s="16"/>
      <c r="AEO836" s="16"/>
      <c r="AEP836" s="16"/>
      <c r="AEQ836" s="16"/>
      <c r="AER836" s="16"/>
      <c r="AES836" s="16"/>
      <c r="AET836" s="16"/>
      <c r="AEU836" s="16"/>
      <c r="AEV836" s="16"/>
      <c r="AEW836" s="16"/>
      <c r="AEX836" s="16"/>
      <c r="AEY836" s="16"/>
      <c r="AEZ836" s="16"/>
      <c r="AFA836" s="16"/>
      <c r="AFB836" s="16"/>
      <c r="AFC836" s="16"/>
      <c r="AFD836" s="16"/>
      <c r="AFE836" s="16"/>
      <c r="AFF836" s="16"/>
      <c r="AFG836" s="16"/>
      <c r="AFH836" s="16"/>
      <c r="AFI836" s="16"/>
      <c r="AFJ836" s="16"/>
      <c r="AFK836" s="16"/>
      <c r="AFL836" s="16"/>
      <c r="AFM836" s="16"/>
      <c r="AFN836" s="16"/>
      <c r="AFO836" s="16"/>
      <c r="AFP836" s="16"/>
      <c r="AFQ836" s="16"/>
      <c r="AFR836" s="16"/>
      <c r="AFS836" s="16"/>
      <c r="AFT836" s="16"/>
      <c r="AFU836" s="16"/>
      <c r="AFV836" s="16"/>
      <c r="AFW836" s="16"/>
      <c r="AFX836" s="16"/>
      <c r="AFY836" s="16"/>
      <c r="AFZ836" s="16"/>
      <c r="AGA836" s="16"/>
      <c r="AGB836" s="16"/>
      <c r="AGC836" s="16"/>
      <c r="AGD836" s="16"/>
      <c r="AGE836" s="16"/>
      <c r="AGF836" s="16"/>
      <c r="AGG836" s="16"/>
      <c r="AGH836" s="16"/>
      <c r="AGI836" s="16"/>
      <c r="AGJ836" s="16"/>
    </row>
    <row r="837" spans="1:868">
      <c r="A837" s="151" t="s">
        <v>121</v>
      </c>
      <c r="B837" s="34" t="s">
        <v>355</v>
      </c>
      <c r="C837" s="40" t="s">
        <v>139</v>
      </c>
      <c r="D837" s="34" t="s">
        <v>91</v>
      </c>
      <c r="E837" s="257">
        <v>0.30372334961384378</v>
      </c>
      <c r="F837" s="232">
        <v>1</v>
      </c>
      <c r="G837" s="40"/>
      <c r="H837" s="29">
        <v>3</v>
      </c>
      <c r="I837" s="9">
        <v>3</v>
      </c>
      <c r="J837" s="9">
        <v>2</v>
      </c>
      <c r="K837" s="9">
        <v>2</v>
      </c>
      <c r="L837" s="9">
        <v>1</v>
      </c>
      <c r="M837" s="9">
        <v>2</v>
      </c>
      <c r="N837" s="185">
        <f t="shared" si="53"/>
        <v>0.50042652380814845</v>
      </c>
      <c r="O837" s="159">
        <f t="shared" si="54"/>
        <v>0.50042652380814845</v>
      </c>
      <c r="P837" s="63"/>
    </row>
    <row r="838" spans="1:868">
      <c r="A838" s="151" t="s">
        <v>121</v>
      </c>
      <c r="B838" s="34" t="s">
        <v>355</v>
      </c>
      <c r="C838" s="40" t="s">
        <v>139</v>
      </c>
      <c r="D838" s="34" t="s">
        <v>95</v>
      </c>
      <c r="E838" s="257">
        <v>0.46776568999142792</v>
      </c>
      <c r="F838" s="232">
        <v>1</v>
      </c>
      <c r="G838" s="40"/>
      <c r="H838" s="29">
        <v>3</v>
      </c>
      <c r="I838" s="9">
        <v>3</v>
      </c>
      <c r="J838" s="9">
        <v>2</v>
      </c>
      <c r="K838" s="9">
        <v>2</v>
      </c>
      <c r="L838" s="9">
        <v>1</v>
      </c>
      <c r="M838" s="9">
        <v>2</v>
      </c>
      <c r="N838" s="185">
        <f t="shared" si="53"/>
        <v>0.50042652380814845</v>
      </c>
      <c r="O838" s="159">
        <f t="shared" si="54"/>
        <v>0.50042652380814845</v>
      </c>
      <c r="P838" s="63"/>
    </row>
    <row r="839" spans="1:868">
      <c r="A839" s="151" t="s">
        <v>256</v>
      </c>
      <c r="B839" s="34" t="s">
        <v>267</v>
      </c>
      <c r="C839" s="40" t="s">
        <v>182</v>
      </c>
      <c r="D839" s="69" t="s">
        <v>95</v>
      </c>
      <c r="E839" s="848">
        <v>0.2368318376902068</v>
      </c>
      <c r="F839" s="34">
        <v>1</v>
      </c>
      <c r="G839" s="339" t="s">
        <v>126</v>
      </c>
      <c r="H839" s="29"/>
      <c r="I839" s="9">
        <v>1</v>
      </c>
      <c r="J839" s="9">
        <v>1</v>
      </c>
      <c r="K839" s="9">
        <v>1</v>
      </c>
      <c r="L839" s="9">
        <v>2</v>
      </c>
      <c r="M839" s="9">
        <v>2</v>
      </c>
      <c r="N839" s="185" t="str">
        <f t="shared" si="53"/>
        <v/>
      </c>
      <c r="O839" s="159">
        <f t="shared" si="54"/>
        <v>0.35859414261160716</v>
      </c>
      <c r="P839" s="63"/>
    </row>
    <row r="840" spans="1:868">
      <c r="A840" s="151" t="s">
        <v>256</v>
      </c>
      <c r="B840" s="34" t="s">
        <v>267</v>
      </c>
      <c r="C840" s="40" t="s">
        <v>182</v>
      </c>
      <c r="D840" s="69" t="s">
        <v>93</v>
      </c>
      <c r="E840" s="848">
        <v>0.16604287172507659</v>
      </c>
      <c r="F840" s="34">
        <v>1</v>
      </c>
      <c r="G840" s="339" t="s">
        <v>126</v>
      </c>
      <c r="H840" s="29"/>
      <c r="I840" s="9">
        <v>1</v>
      </c>
      <c r="J840" s="9">
        <v>1</v>
      </c>
      <c r="K840" s="9">
        <v>1</v>
      </c>
      <c r="L840" s="9">
        <v>2</v>
      </c>
      <c r="M840" s="9">
        <v>2</v>
      </c>
      <c r="N840" s="185" t="str">
        <f t="shared" ref="N840" si="55">IF( OR( ISBLANK(H840),ISBLANK(J840), ISBLANK(K840), ISBLANK(L840), ISBLANK(M840) ), "", 1.5*SQRT(   EXP(2.21*(H840-1)) + EXP(2.21*(J840-1)) + EXP(2.21*(K840-1)) + EXP(2.21*(L840-1)) + EXP(2.21*M840)   )/100*2.45 )</f>
        <v/>
      </c>
      <c r="O840" s="159">
        <f t="shared" ref="O840" si="56">IF( OR( ISBLANK(I840),ISBLANK(J840), ISBLANK(K840), ISBLANK(L840), ISBLANK(M840) ), "", 1.5*SQRT( EXP(2.21*(I840-1)) + EXP(2.21*(J840-1)) + EXP(2.21*(K840-1)) + EXP(2.21*(L840-1)) + EXP(2.21*M840)   )/100*2.45 )</f>
        <v>0.35859414261160716</v>
      </c>
      <c r="P840" s="63"/>
    </row>
    <row r="841" spans="1:868">
      <c r="A841" s="151" t="s">
        <v>256</v>
      </c>
      <c r="B841" s="34" t="s">
        <v>267</v>
      </c>
      <c r="C841" s="40" t="s">
        <v>182</v>
      </c>
      <c r="D841" s="69" t="s">
        <v>98</v>
      </c>
      <c r="E841" s="848">
        <v>0.34568127636163581</v>
      </c>
      <c r="F841" s="34">
        <v>1</v>
      </c>
      <c r="G841" s="339" t="s">
        <v>126</v>
      </c>
      <c r="H841" s="29"/>
      <c r="I841" s="9">
        <v>1</v>
      </c>
      <c r="J841" s="9">
        <v>1</v>
      </c>
      <c r="K841" s="9">
        <v>1</v>
      </c>
      <c r="L841" s="9">
        <v>2</v>
      </c>
      <c r="M841" s="9">
        <v>2</v>
      </c>
      <c r="N841" s="185" t="str">
        <f t="shared" si="53"/>
        <v/>
      </c>
      <c r="O841" s="159">
        <f t="shared" si="54"/>
        <v>0.35859414261160716</v>
      </c>
      <c r="P841" s="63"/>
    </row>
    <row r="842" spans="1:868" s="210" customFormat="1" ht="15.75" thickBot="1">
      <c r="A842" s="151" t="s">
        <v>398</v>
      </c>
      <c r="B842" s="34" t="s">
        <v>231</v>
      </c>
      <c r="C842" s="40" t="s">
        <v>139</v>
      </c>
      <c r="D842" s="34" t="s">
        <v>139</v>
      </c>
      <c r="E842" s="262">
        <v>0.05</v>
      </c>
      <c r="F842" s="232">
        <v>2</v>
      </c>
      <c r="G842" s="40" t="s">
        <v>276</v>
      </c>
      <c r="H842" s="29">
        <v>1</v>
      </c>
      <c r="I842" s="9">
        <v>2</v>
      </c>
      <c r="J842" s="9">
        <v>1</v>
      </c>
      <c r="K842" s="9">
        <v>1</v>
      </c>
      <c r="L842" s="9">
        <v>2</v>
      </c>
      <c r="M842" s="9">
        <v>3</v>
      </c>
      <c r="N842" s="185">
        <f t="shared" si="53"/>
        <v>1.0195048044558224</v>
      </c>
      <c r="O842" s="159">
        <f t="shared" si="54"/>
        <v>1.0248662490928169</v>
      </c>
      <c r="P842" s="838"/>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c r="CX842" s="16"/>
      <c r="CY842" s="16"/>
      <c r="CZ842" s="16"/>
      <c r="DA842" s="16"/>
      <c r="DB842" s="16"/>
      <c r="DC842" s="16"/>
      <c r="DD842" s="16"/>
      <c r="DE842" s="16"/>
      <c r="DF842" s="16"/>
      <c r="DG842" s="16"/>
      <c r="DH842" s="16"/>
      <c r="DI842" s="16"/>
      <c r="DJ842" s="16"/>
      <c r="DK842" s="16"/>
      <c r="DL842" s="16"/>
      <c r="DM842" s="16"/>
      <c r="DN842" s="16"/>
      <c r="DO842" s="16"/>
      <c r="DP842" s="16"/>
      <c r="DQ842" s="16"/>
      <c r="DR842" s="16"/>
      <c r="DS842" s="16"/>
      <c r="DT842" s="16"/>
      <c r="DU842" s="16"/>
      <c r="DV842" s="16"/>
      <c r="DW842" s="16"/>
      <c r="DX842" s="16"/>
      <c r="DY842" s="16"/>
      <c r="DZ842" s="16"/>
      <c r="EA842" s="16"/>
      <c r="EB842" s="16"/>
      <c r="EC842" s="16"/>
      <c r="ED842" s="16"/>
      <c r="EE842" s="16"/>
      <c r="EF842" s="16"/>
      <c r="EG842" s="16"/>
      <c r="EH842" s="16"/>
      <c r="EI842" s="16"/>
      <c r="EJ842" s="16"/>
      <c r="EK842" s="16"/>
      <c r="EL842" s="16"/>
      <c r="EM842" s="16"/>
      <c r="EN842" s="16"/>
      <c r="EO842" s="16"/>
      <c r="EP842" s="16"/>
      <c r="EQ842" s="16"/>
      <c r="ER842" s="16"/>
      <c r="ES842" s="16"/>
      <c r="ET842" s="16"/>
      <c r="EU842" s="16"/>
      <c r="EV842" s="16"/>
      <c r="EW842" s="16"/>
      <c r="EX842" s="16"/>
      <c r="EY842" s="16"/>
      <c r="EZ842" s="16"/>
      <c r="FA842" s="16"/>
      <c r="FB842" s="16"/>
      <c r="FC842" s="16"/>
      <c r="FD842" s="16"/>
      <c r="FE842" s="16"/>
      <c r="FF842" s="16"/>
      <c r="FG842" s="16"/>
      <c r="FH842" s="16"/>
      <c r="FI842" s="16"/>
      <c r="FJ842" s="16"/>
      <c r="FK842" s="16"/>
      <c r="FL842" s="16"/>
      <c r="FM842" s="16"/>
      <c r="FN842" s="16"/>
      <c r="FO842" s="16"/>
      <c r="FP842" s="16"/>
      <c r="FQ842" s="16"/>
      <c r="FR842" s="16"/>
      <c r="FS842" s="16"/>
      <c r="FT842" s="16"/>
      <c r="FU842" s="16"/>
      <c r="FV842" s="16"/>
      <c r="FW842" s="16"/>
      <c r="FX842" s="16"/>
      <c r="FY842" s="16"/>
      <c r="FZ842" s="16"/>
      <c r="GA842" s="16"/>
      <c r="GB842" s="16"/>
      <c r="GC842" s="16"/>
      <c r="GD842" s="16"/>
      <c r="GE842" s="16"/>
      <c r="GF842" s="16"/>
      <c r="GG842" s="16"/>
      <c r="GH842" s="16"/>
      <c r="GI842" s="16"/>
      <c r="GJ842" s="16"/>
      <c r="GK842" s="16"/>
      <c r="GL842" s="16"/>
      <c r="GM842" s="16"/>
      <c r="GN842" s="16"/>
      <c r="GO842" s="16"/>
      <c r="GP842" s="16"/>
      <c r="GQ842" s="16"/>
      <c r="GR842" s="16"/>
      <c r="GS842" s="16"/>
      <c r="GT842" s="16"/>
      <c r="GU842" s="16"/>
      <c r="GV842" s="16"/>
      <c r="GW842" s="16"/>
      <c r="GX842" s="16"/>
      <c r="GY842" s="16"/>
      <c r="GZ842" s="16"/>
      <c r="HA842" s="16"/>
      <c r="HB842" s="16"/>
      <c r="HC842" s="16"/>
      <c r="HD842" s="16"/>
      <c r="HE842" s="16"/>
      <c r="HF842" s="16"/>
      <c r="HG842" s="16"/>
      <c r="HH842" s="16"/>
      <c r="HI842" s="16"/>
      <c r="HJ842" s="16"/>
      <c r="HK842" s="16"/>
      <c r="HL842" s="16"/>
      <c r="HM842" s="16"/>
      <c r="HN842" s="16"/>
      <c r="HO842" s="16"/>
      <c r="HP842" s="16"/>
      <c r="HQ842" s="16"/>
      <c r="HR842" s="16"/>
      <c r="HS842" s="16"/>
      <c r="HT842" s="16"/>
      <c r="HU842" s="16"/>
      <c r="HV842" s="16"/>
      <c r="HW842" s="16"/>
      <c r="HX842" s="16"/>
      <c r="HY842" s="16"/>
      <c r="HZ842" s="16"/>
      <c r="IA842" s="16"/>
      <c r="IB842" s="16"/>
      <c r="IC842" s="16"/>
      <c r="ID842" s="16"/>
      <c r="IE842" s="16"/>
      <c r="IF842" s="16"/>
      <c r="IG842" s="16"/>
      <c r="IH842" s="16"/>
      <c r="II842" s="16"/>
      <c r="IJ842" s="16"/>
      <c r="IK842" s="16"/>
      <c r="IL842" s="16"/>
      <c r="IM842" s="16"/>
      <c r="IN842" s="16"/>
      <c r="IO842" s="16"/>
      <c r="IP842" s="16"/>
      <c r="IQ842" s="16"/>
      <c r="IR842" s="16"/>
      <c r="IS842" s="16"/>
      <c r="IT842" s="16"/>
      <c r="IU842" s="16"/>
      <c r="IV842" s="16"/>
      <c r="IW842" s="16"/>
      <c r="IX842" s="16"/>
      <c r="IY842" s="16"/>
      <c r="IZ842" s="16"/>
      <c r="JA842" s="16"/>
      <c r="JB842" s="16"/>
      <c r="JC842" s="16"/>
      <c r="JD842" s="16"/>
      <c r="JE842" s="16"/>
      <c r="JF842" s="16"/>
      <c r="JG842" s="16"/>
      <c r="JH842" s="16"/>
      <c r="JI842" s="16"/>
      <c r="JJ842" s="16"/>
      <c r="JK842" s="16"/>
      <c r="JL842" s="16"/>
      <c r="JM842" s="16"/>
      <c r="JN842" s="16"/>
      <c r="JO842" s="16"/>
      <c r="JP842" s="16"/>
      <c r="JQ842" s="16"/>
      <c r="JR842" s="16"/>
      <c r="JS842" s="16"/>
      <c r="JT842" s="16"/>
      <c r="JU842" s="16"/>
      <c r="JV842" s="16"/>
      <c r="JW842" s="16"/>
      <c r="JX842" s="16"/>
      <c r="JY842" s="16"/>
      <c r="JZ842" s="16"/>
      <c r="KA842" s="16"/>
      <c r="KB842" s="16"/>
      <c r="KC842" s="16"/>
      <c r="KD842" s="16"/>
      <c r="KE842" s="16"/>
      <c r="KF842" s="16"/>
      <c r="KG842" s="16"/>
      <c r="KH842" s="16"/>
      <c r="KI842" s="16"/>
      <c r="KJ842" s="16"/>
      <c r="KK842" s="16"/>
      <c r="KL842" s="16"/>
      <c r="KM842" s="16"/>
      <c r="KN842" s="16"/>
      <c r="KO842" s="16"/>
      <c r="KP842" s="16"/>
      <c r="KQ842" s="16"/>
      <c r="KR842" s="16"/>
      <c r="KS842" s="16"/>
      <c r="KT842" s="16"/>
      <c r="KU842" s="16"/>
      <c r="KV842" s="16"/>
      <c r="KW842" s="16"/>
      <c r="KX842" s="16"/>
      <c r="KY842" s="16"/>
      <c r="KZ842" s="16"/>
      <c r="LA842" s="16"/>
      <c r="LB842" s="16"/>
      <c r="LC842" s="16"/>
      <c r="LD842" s="16"/>
      <c r="LE842" s="16"/>
      <c r="LF842" s="16"/>
      <c r="LG842" s="16"/>
      <c r="LH842" s="16"/>
      <c r="LI842" s="16"/>
      <c r="LJ842" s="16"/>
      <c r="LK842" s="16"/>
      <c r="LL842" s="16"/>
      <c r="LM842" s="16"/>
      <c r="LN842" s="16"/>
      <c r="LO842" s="16"/>
      <c r="LP842" s="16"/>
      <c r="LQ842" s="16"/>
      <c r="LR842" s="16"/>
      <c r="LS842" s="16"/>
      <c r="LT842" s="16"/>
      <c r="LU842" s="16"/>
      <c r="LV842" s="16"/>
      <c r="LW842" s="16"/>
      <c r="LX842" s="16"/>
      <c r="LY842" s="16"/>
      <c r="LZ842" s="16"/>
      <c r="MA842" s="16"/>
      <c r="MB842" s="16"/>
      <c r="MC842" s="16"/>
      <c r="MD842" s="16"/>
      <c r="ME842" s="16"/>
      <c r="MF842" s="16"/>
      <c r="MG842" s="16"/>
      <c r="MH842" s="16"/>
      <c r="MI842" s="16"/>
      <c r="MJ842" s="16"/>
      <c r="MK842" s="16"/>
      <c r="ML842" s="16"/>
      <c r="MM842" s="16"/>
      <c r="MN842" s="16"/>
      <c r="MO842" s="16"/>
      <c r="MP842" s="16"/>
      <c r="MQ842" s="16"/>
      <c r="MR842" s="16"/>
      <c r="MS842" s="16"/>
      <c r="MT842" s="16"/>
      <c r="MU842" s="16"/>
      <c r="MV842" s="16"/>
      <c r="MW842" s="16"/>
      <c r="MX842" s="16"/>
      <c r="MY842" s="16"/>
      <c r="MZ842" s="16"/>
      <c r="NA842" s="16"/>
      <c r="NB842" s="16"/>
      <c r="NC842" s="16"/>
      <c r="ND842" s="16"/>
      <c r="NE842" s="16"/>
      <c r="NF842" s="16"/>
      <c r="NG842" s="16"/>
      <c r="NH842" s="16"/>
      <c r="NI842" s="16"/>
      <c r="NJ842" s="16"/>
      <c r="NK842" s="16"/>
      <c r="NL842" s="16"/>
      <c r="NM842" s="16"/>
      <c r="NN842" s="16"/>
      <c r="NO842" s="16"/>
      <c r="NP842" s="16"/>
      <c r="NQ842" s="16"/>
      <c r="NR842" s="16"/>
      <c r="NS842" s="16"/>
      <c r="NT842" s="16"/>
      <c r="NU842" s="16"/>
      <c r="NV842" s="16"/>
      <c r="NW842" s="16"/>
      <c r="NX842" s="16"/>
      <c r="NY842" s="16"/>
      <c r="NZ842" s="16"/>
      <c r="OA842" s="16"/>
      <c r="OB842" s="16"/>
      <c r="OC842" s="16"/>
      <c r="OD842" s="16"/>
      <c r="OE842" s="16"/>
      <c r="OF842" s="16"/>
      <c r="OG842" s="16"/>
      <c r="OH842" s="16"/>
      <c r="OI842" s="16"/>
      <c r="OJ842" s="16"/>
      <c r="OK842" s="16"/>
      <c r="OL842" s="16"/>
      <c r="OM842" s="16"/>
      <c r="ON842" s="16"/>
      <c r="OO842" s="16"/>
      <c r="OP842" s="16"/>
      <c r="OQ842" s="16"/>
      <c r="OR842" s="16"/>
      <c r="OS842" s="16"/>
      <c r="OT842" s="16"/>
      <c r="OU842" s="16"/>
      <c r="OV842" s="16"/>
      <c r="OW842" s="16"/>
      <c r="OX842" s="16"/>
      <c r="OY842" s="16"/>
      <c r="OZ842" s="16"/>
      <c r="PA842" s="16"/>
      <c r="PB842" s="16"/>
      <c r="PC842" s="16"/>
      <c r="PD842" s="16"/>
      <c r="PE842" s="16"/>
      <c r="PF842" s="16"/>
      <c r="PG842" s="16"/>
      <c r="PH842" s="16"/>
      <c r="PI842" s="16"/>
      <c r="PJ842" s="16"/>
      <c r="PK842" s="16"/>
      <c r="PL842" s="16"/>
      <c r="PM842" s="16"/>
      <c r="PN842" s="16"/>
      <c r="PO842" s="16"/>
      <c r="PP842" s="16"/>
      <c r="PQ842" s="16"/>
      <c r="PR842" s="16"/>
      <c r="PS842" s="16"/>
      <c r="PT842" s="16"/>
      <c r="PU842" s="16"/>
      <c r="PV842" s="16"/>
      <c r="PW842" s="16"/>
      <c r="PX842" s="16"/>
      <c r="PY842" s="16"/>
      <c r="PZ842" s="16"/>
      <c r="QA842" s="16"/>
      <c r="QB842" s="16"/>
      <c r="QC842" s="16"/>
      <c r="QD842" s="16"/>
      <c r="QE842" s="16"/>
      <c r="QF842" s="16"/>
      <c r="QG842" s="16"/>
      <c r="QH842" s="16"/>
      <c r="QI842" s="16"/>
      <c r="QJ842" s="16"/>
      <c r="QK842" s="16"/>
      <c r="QL842" s="16"/>
      <c r="QM842" s="16"/>
      <c r="QN842" s="16"/>
      <c r="QO842" s="16"/>
      <c r="QP842" s="16"/>
      <c r="QQ842" s="16"/>
      <c r="QR842" s="16"/>
      <c r="QS842" s="16"/>
      <c r="QT842" s="16"/>
      <c r="QU842" s="16"/>
      <c r="QV842" s="16"/>
      <c r="QW842" s="16"/>
      <c r="QX842" s="16"/>
      <c r="QY842" s="16"/>
      <c r="QZ842" s="16"/>
      <c r="RA842" s="16"/>
      <c r="RB842" s="16"/>
      <c r="RC842" s="16"/>
      <c r="RD842" s="16"/>
      <c r="RE842" s="16"/>
      <c r="RF842" s="16"/>
      <c r="RG842" s="16"/>
      <c r="RH842" s="16"/>
      <c r="RI842" s="16"/>
      <c r="RJ842" s="16"/>
      <c r="RK842" s="16"/>
      <c r="RL842" s="16"/>
      <c r="RM842" s="16"/>
      <c r="RN842" s="16"/>
      <c r="RO842" s="16"/>
      <c r="RP842" s="16"/>
      <c r="RQ842" s="16"/>
      <c r="RR842" s="16"/>
      <c r="RS842" s="16"/>
      <c r="RT842" s="16"/>
      <c r="RU842" s="16"/>
      <c r="RV842" s="16"/>
      <c r="RW842" s="16"/>
      <c r="RX842" s="16"/>
      <c r="RY842" s="16"/>
      <c r="RZ842" s="16"/>
      <c r="SA842" s="16"/>
      <c r="SB842" s="16"/>
      <c r="SC842" s="16"/>
      <c r="SD842" s="16"/>
      <c r="SE842" s="16"/>
      <c r="SF842" s="16"/>
      <c r="SG842" s="16"/>
      <c r="SH842" s="16"/>
      <c r="SI842" s="16"/>
      <c r="SJ842" s="16"/>
      <c r="SK842" s="16"/>
      <c r="SL842" s="16"/>
      <c r="SM842" s="16"/>
      <c r="SN842" s="16"/>
      <c r="SO842" s="16"/>
      <c r="SP842" s="16"/>
      <c r="SQ842" s="16"/>
      <c r="SR842" s="16"/>
      <c r="SS842" s="16"/>
      <c r="ST842" s="16"/>
      <c r="SU842" s="16"/>
      <c r="SV842" s="16"/>
      <c r="SW842" s="16"/>
      <c r="SX842" s="16"/>
      <c r="SY842" s="16"/>
      <c r="SZ842" s="16"/>
      <c r="TA842" s="16"/>
      <c r="TB842" s="16"/>
      <c r="TC842" s="16"/>
      <c r="TD842" s="16"/>
      <c r="TE842" s="16"/>
      <c r="TF842" s="16"/>
      <c r="TG842" s="16"/>
      <c r="TH842" s="16"/>
      <c r="TI842" s="16"/>
      <c r="TJ842" s="16"/>
      <c r="TK842" s="16"/>
      <c r="TL842" s="16"/>
      <c r="TM842" s="16"/>
      <c r="TN842" s="16"/>
      <c r="TO842" s="16"/>
      <c r="TP842" s="16"/>
      <c r="TQ842" s="16"/>
      <c r="TR842" s="16"/>
      <c r="TS842" s="16"/>
      <c r="TT842" s="16"/>
      <c r="TU842" s="16"/>
      <c r="TV842" s="16"/>
      <c r="TW842" s="16"/>
      <c r="TX842" s="16"/>
      <c r="TY842" s="16"/>
      <c r="TZ842" s="16"/>
      <c r="UA842" s="16"/>
      <c r="UB842" s="16"/>
      <c r="UC842" s="16"/>
      <c r="UD842" s="16"/>
      <c r="UE842" s="16"/>
      <c r="UF842" s="16"/>
      <c r="UG842" s="16"/>
      <c r="UH842" s="16"/>
      <c r="UI842" s="16"/>
      <c r="UJ842" s="16"/>
      <c r="UK842" s="16"/>
      <c r="UL842" s="16"/>
      <c r="UM842" s="16"/>
      <c r="UN842" s="16"/>
      <c r="UO842" s="16"/>
      <c r="UP842" s="16"/>
      <c r="UQ842" s="16"/>
      <c r="UR842" s="16"/>
      <c r="US842" s="16"/>
      <c r="UT842" s="16"/>
      <c r="UU842" s="16"/>
      <c r="UV842" s="16"/>
      <c r="UW842" s="16"/>
      <c r="UX842" s="16"/>
      <c r="UY842" s="16"/>
      <c r="UZ842" s="16"/>
      <c r="VA842" s="16"/>
      <c r="VB842" s="16"/>
      <c r="VC842" s="16"/>
      <c r="VD842" s="16"/>
      <c r="VE842" s="16"/>
      <c r="VF842" s="16"/>
      <c r="VG842" s="16"/>
      <c r="VH842" s="16"/>
      <c r="VI842" s="16"/>
      <c r="VJ842" s="16"/>
      <c r="VK842" s="16"/>
      <c r="VL842" s="16"/>
      <c r="VM842" s="16"/>
      <c r="VN842" s="16"/>
      <c r="VO842" s="16"/>
      <c r="VP842" s="16"/>
      <c r="VQ842" s="16"/>
      <c r="VR842" s="16"/>
      <c r="VS842" s="16"/>
      <c r="VT842" s="16"/>
      <c r="VU842" s="16"/>
      <c r="VV842" s="16"/>
      <c r="VW842" s="16"/>
      <c r="VX842" s="16"/>
      <c r="VY842" s="16"/>
      <c r="VZ842" s="16"/>
      <c r="WA842" s="16"/>
      <c r="WB842" s="16"/>
      <c r="WC842" s="16"/>
      <c r="WD842" s="16"/>
      <c r="WE842" s="16"/>
      <c r="WF842" s="16"/>
      <c r="WG842" s="16"/>
      <c r="WH842" s="16"/>
      <c r="WI842" s="16"/>
      <c r="WJ842" s="16"/>
      <c r="WK842" s="16"/>
      <c r="WL842" s="16"/>
      <c r="WM842" s="16"/>
      <c r="WN842" s="16"/>
      <c r="WO842" s="16"/>
      <c r="WP842" s="16"/>
      <c r="WQ842" s="16"/>
      <c r="WR842" s="16"/>
      <c r="WS842" s="16"/>
      <c r="WT842" s="16"/>
      <c r="WU842" s="16"/>
      <c r="WV842" s="16"/>
      <c r="WW842" s="16"/>
      <c r="WX842" s="16"/>
      <c r="WY842" s="16"/>
      <c r="WZ842" s="16"/>
      <c r="XA842" s="16"/>
      <c r="XB842" s="16"/>
      <c r="XC842" s="16"/>
      <c r="XD842" s="16"/>
      <c r="XE842" s="16"/>
      <c r="XF842" s="16"/>
      <c r="XG842" s="16"/>
      <c r="XH842" s="16"/>
      <c r="XI842" s="16"/>
      <c r="XJ842" s="16"/>
      <c r="XK842" s="16"/>
      <c r="XL842" s="16"/>
      <c r="XM842" s="16"/>
      <c r="XN842" s="16"/>
      <c r="XO842" s="16"/>
      <c r="XP842" s="16"/>
      <c r="XQ842" s="16"/>
      <c r="XR842" s="16"/>
      <c r="XS842" s="16"/>
      <c r="XT842" s="16"/>
      <c r="XU842" s="16"/>
      <c r="XV842" s="16"/>
      <c r="XW842" s="16"/>
      <c r="XX842" s="16"/>
      <c r="XY842" s="16"/>
      <c r="XZ842" s="16"/>
      <c r="YA842" s="16"/>
      <c r="YB842" s="16"/>
      <c r="YC842" s="16"/>
      <c r="YD842" s="16"/>
      <c r="YE842" s="16"/>
      <c r="YF842" s="16"/>
      <c r="YG842" s="16"/>
      <c r="YH842" s="16"/>
      <c r="YI842" s="16"/>
      <c r="YJ842" s="16"/>
      <c r="YK842" s="16"/>
      <c r="YL842" s="16"/>
      <c r="YM842" s="16"/>
      <c r="YN842" s="16"/>
      <c r="YO842" s="16"/>
      <c r="YP842" s="16"/>
      <c r="YQ842" s="16"/>
      <c r="YR842" s="16"/>
      <c r="YS842" s="16"/>
      <c r="YT842" s="16"/>
      <c r="YU842" s="16"/>
      <c r="YV842" s="16"/>
      <c r="YW842" s="16"/>
      <c r="YX842" s="16"/>
      <c r="YY842" s="16"/>
      <c r="YZ842" s="16"/>
      <c r="ZA842" s="16"/>
      <c r="ZB842" s="16"/>
      <c r="ZC842" s="16"/>
      <c r="ZD842" s="16"/>
      <c r="ZE842" s="16"/>
      <c r="ZF842" s="16"/>
      <c r="ZG842" s="16"/>
      <c r="ZH842" s="16"/>
      <c r="ZI842" s="16"/>
      <c r="ZJ842" s="16"/>
      <c r="ZK842" s="16"/>
      <c r="ZL842" s="16"/>
      <c r="ZM842" s="16"/>
      <c r="ZN842" s="16"/>
      <c r="ZO842" s="16"/>
      <c r="ZP842" s="16"/>
      <c r="ZQ842" s="16"/>
      <c r="ZR842" s="16"/>
      <c r="ZS842" s="16"/>
      <c r="ZT842" s="16"/>
      <c r="ZU842" s="16"/>
      <c r="ZV842" s="16"/>
      <c r="ZW842" s="16"/>
      <c r="ZX842" s="16"/>
      <c r="ZY842" s="16"/>
      <c r="ZZ842" s="16"/>
      <c r="AAA842" s="16"/>
      <c r="AAB842" s="16"/>
      <c r="AAC842" s="16"/>
      <c r="AAD842" s="16"/>
      <c r="AAE842" s="16"/>
      <c r="AAF842" s="16"/>
      <c r="AAG842" s="16"/>
      <c r="AAH842" s="16"/>
      <c r="AAI842" s="16"/>
      <c r="AAJ842" s="16"/>
      <c r="AAK842" s="16"/>
      <c r="AAL842" s="16"/>
      <c r="AAM842" s="16"/>
      <c r="AAN842" s="16"/>
      <c r="AAO842" s="16"/>
      <c r="AAP842" s="16"/>
      <c r="AAQ842" s="16"/>
      <c r="AAR842" s="16"/>
      <c r="AAS842" s="16"/>
      <c r="AAT842" s="16"/>
      <c r="AAU842" s="16"/>
      <c r="AAV842" s="16"/>
      <c r="AAW842" s="16"/>
      <c r="AAX842" s="16"/>
      <c r="AAY842" s="16"/>
      <c r="AAZ842" s="16"/>
      <c r="ABA842" s="16"/>
      <c r="ABB842" s="16"/>
      <c r="ABC842" s="16"/>
      <c r="ABD842" s="16"/>
      <c r="ABE842" s="16"/>
      <c r="ABF842" s="16"/>
      <c r="ABG842" s="16"/>
      <c r="ABH842" s="16"/>
      <c r="ABI842" s="16"/>
      <c r="ABJ842" s="16"/>
      <c r="ABK842" s="16"/>
      <c r="ABL842" s="16"/>
      <c r="ABM842" s="16"/>
      <c r="ABN842" s="16"/>
      <c r="ABO842" s="16"/>
      <c r="ABP842" s="16"/>
      <c r="ABQ842" s="16"/>
      <c r="ABR842" s="16"/>
      <c r="ABS842" s="16"/>
      <c r="ABT842" s="16"/>
      <c r="ABU842" s="16"/>
      <c r="ABV842" s="16"/>
      <c r="ABW842" s="16"/>
      <c r="ABX842" s="16"/>
      <c r="ABY842" s="16"/>
      <c r="ABZ842" s="16"/>
      <c r="ACA842" s="16"/>
      <c r="ACB842" s="16"/>
      <c r="ACC842" s="16"/>
      <c r="ACD842" s="16"/>
      <c r="ACE842" s="16"/>
      <c r="ACF842" s="16"/>
      <c r="ACG842" s="16"/>
      <c r="ACH842" s="16"/>
      <c r="ACI842" s="16"/>
      <c r="ACJ842" s="16"/>
      <c r="ACK842" s="16"/>
      <c r="ACL842" s="16"/>
      <c r="ACM842" s="16"/>
      <c r="ACN842" s="16"/>
      <c r="ACO842" s="16"/>
      <c r="ACP842" s="16"/>
      <c r="ACQ842" s="16"/>
      <c r="ACR842" s="16"/>
      <c r="ACS842" s="16"/>
      <c r="ACT842" s="16"/>
      <c r="ACU842" s="16"/>
      <c r="ACV842" s="16"/>
      <c r="ACW842" s="16"/>
      <c r="ACX842" s="16"/>
      <c r="ACY842" s="16"/>
      <c r="ACZ842" s="16"/>
      <c r="ADA842" s="16"/>
      <c r="ADB842" s="16"/>
      <c r="ADC842" s="16"/>
      <c r="ADD842" s="16"/>
      <c r="ADE842" s="16"/>
      <c r="ADF842" s="16"/>
      <c r="ADG842" s="16"/>
      <c r="ADH842" s="16"/>
      <c r="ADI842" s="16"/>
      <c r="ADJ842" s="16"/>
      <c r="ADK842" s="16"/>
      <c r="ADL842" s="16"/>
      <c r="ADM842" s="16"/>
      <c r="ADN842" s="16"/>
      <c r="ADO842" s="16"/>
      <c r="ADP842" s="16"/>
      <c r="ADQ842" s="16"/>
      <c r="ADR842" s="16"/>
      <c r="ADS842" s="16"/>
      <c r="ADT842" s="16"/>
      <c r="ADU842" s="16"/>
      <c r="ADV842" s="16"/>
      <c r="ADW842" s="16"/>
      <c r="ADX842" s="16"/>
      <c r="ADY842" s="16"/>
      <c r="ADZ842" s="16"/>
      <c r="AEA842" s="16"/>
      <c r="AEB842" s="16"/>
      <c r="AEC842" s="16"/>
      <c r="AED842" s="16"/>
      <c r="AEE842" s="16"/>
      <c r="AEF842" s="16"/>
      <c r="AEG842" s="16"/>
      <c r="AEH842" s="16"/>
      <c r="AEI842" s="16"/>
      <c r="AEJ842" s="16"/>
      <c r="AEK842" s="16"/>
      <c r="AEL842" s="16"/>
      <c r="AEM842" s="16"/>
      <c r="AEN842" s="16"/>
      <c r="AEO842" s="16"/>
      <c r="AEP842" s="16"/>
      <c r="AEQ842" s="16"/>
      <c r="AER842" s="16"/>
      <c r="AES842" s="16"/>
      <c r="AET842" s="16"/>
      <c r="AEU842" s="16"/>
      <c r="AEV842" s="16"/>
      <c r="AEW842" s="16"/>
      <c r="AEX842" s="16"/>
      <c r="AEY842" s="16"/>
      <c r="AEZ842" s="16"/>
      <c r="AFA842" s="16"/>
      <c r="AFB842" s="16"/>
      <c r="AFC842" s="16"/>
      <c r="AFD842" s="16"/>
      <c r="AFE842" s="16"/>
      <c r="AFF842" s="16"/>
      <c r="AFG842" s="16"/>
      <c r="AFH842" s="16"/>
      <c r="AFI842" s="16"/>
      <c r="AFJ842" s="16"/>
      <c r="AFK842" s="16"/>
      <c r="AFL842" s="16"/>
      <c r="AFM842" s="16"/>
      <c r="AFN842" s="16"/>
      <c r="AFO842" s="16"/>
      <c r="AFP842" s="16"/>
      <c r="AFQ842" s="16"/>
      <c r="AFR842" s="16"/>
      <c r="AFS842" s="16"/>
      <c r="AFT842" s="16"/>
      <c r="AFU842" s="16"/>
      <c r="AFV842" s="16"/>
      <c r="AFW842" s="16"/>
      <c r="AFX842" s="16"/>
      <c r="AFY842" s="16"/>
      <c r="AFZ842" s="16"/>
      <c r="AGA842" s="16"/>
      <c r="AGB842" s="16"/>
      <c r="AGC842" s="16"/>
      <c r="AGD842" s="16"/>
      <c r="AGE842" s="16"/>
      <c r="AGF842" s="16"/>
      <c r="AGG842" s="16"/>
      <c r="AGH842" s="16"/>
      <c r="AGI842" s="16"/>
      <c r="AGJ842" s="16"/>
    </row>
    <row r="843" spans="1:868">
      <c r="A843" s="289" t="s">
        <v>239</v>
      </c>
      <c r="B843" s="55" t="s">
        <v>363</v>
      </c>
      <c r="C843" s="262" t="s">
        <v>139</v>
      </c>
      <c r="D843" s="55" t="s">
        <v>139</v>
      </c>
      <c r="E843" s="257">
        <v>0.16500000000000001</v>
      </c>
      <c r="F843" s="232">
        <v>2</v>
      </c>
      <c r="G843" s="262" t="s">
        <v>427</v>
      </c>
      <c r="H843" s="29">
        <v>2</v>
      </c>
      <c r="I843" s="9">
        <v>2</v>
      </c>
      <c r="J843" s="9">
        <v>2</v>
      </c>
      <c r="K843" s="9">
        <v>1</v>
      </c>
      <c r="L843" s="9">
        <v>1</v>
      </c>
      <c r="M843" s="9">
        <v>2</v>
      </c>
      <c r="N843" s="185">
        <f t="shared" ref="N843:N856" si="57">IF( OR( ISBLANK(H843),ISBLANK(J843), ISBLANK(K843), ISBLANK(L843), ISBLANK(M843) ), "", 1.5*SQRT(   EXP(2.21*(H843-1)) + EXP(2.21*(J843-1)) + EXP(2.21*(K843-1)) + EXP(2.21*(L843-1)) + EXP(2.21*M843)   )/100*2.45 )</f>
        <v>0.37356464144298934</v>
      </c>
      <c r="O843" s="159">
        <f t="shared" ref="O843:O856" si="58">IF( OR( ISBLANK(I843),ISBLANK(J843), ISBLANK(K843), ISBLANK(L843), ISBLANK(M843) ), "", 1.5*SQRT( EXP(2.21*(I843-1)) + EXP(2.21*(J843-1)) + EXP(2.21*(K843-1)) + EXP(2.21*(L843-1)) + EXP(2.21*M843)   )/100*2.45 )</f>
        <v>0.37356464144298934</v>
      </c>
      <c r="P843" s="63"/>
    </row>
    <row r="844" spans="1:868" s="210" customFormat="1" ht="15.75" thickBot="1">
      <c r="A844" s="289" t="s">
        <v>239</v>
      </c>
      <c r="B844" s="55" t="s">
        <v>363</v>
      </c>
      <c r="C844" s="262" t="s">
        <v>139</v>
      </c>
      <c r="D844" s="55" t="s">
        <v>139</v>
      </c>
      <c r="E844" s="257">
        <v>0.52500000000000002</v>
      </c>
      <c r="F844" s="232">
        <v>2</v>
      </c>
      <c r="G844" s="262" t="s">
        <v>427</v>
      </c>
      <c r="H844" s="29">
        <v>2</v>
      </c>
      <c r="I844" s="9">
        <v>2</v>
      </c>
      <c r="J844" s="9">
        <v>2</v>
      </c>
      <c r="K844" s="9">
        <v>1</v>
      </c>
      <c r="L844" s="9">
        <v>1</v>
      </c>
      <c r="M844" s="9">
        <v>2</v>
      </c>
      <c r="N844" s="185">
        <f t="shared" si="57"/>
        <v>0.37356464144298934</v>
      </c>
      <c r="O844" s="159">
        <f t="shared" si="58"/>
        <v>0.37356464144298934</v>
      </c>
      <c r="P844" s="63"/>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c r="CX844" s="16"/>
      <c r="CY844" s="16"/>
      <c r="CZ844" s="16"/>
      <c r="DA844" s="16"/>
      <c r="DB844" s="16"/>
      <c r="DC844" s="16"/>
      <c r="DD844" s="16"/>
      <c r="DE844" s="16"/>
      <c r="DF844" s="16"/>
      <c r="DG844" s="16"/>
      <c r="DH844" s="16"/>
      <c r="DI844" s="16"/>
      <c r="DJ844" s="16"/>
      <c r="DK844" s="16"/>
      <c r="DL844" s="16"/>
      <c r="DM844" s="16"/>
      <c r="DN844" s="16"/>
      <c r="DO844" s="16"/>
      <c r="DP844" s="16"/>
      <c r="DQ844" s="16"/>
      <c r="DR844" s="16"/>
      <c r="DS844" s="16"/>
      <c r="DT844" s="16"/>
      <c r="DU844" s="16"/>
      <c r="DV844" s="16"/>
      <c r="DW844" s="16"/>
      <c r="DX844" s="16"/>
      <c r="DY844" s="16"/>
      <c r="DZ844" s="16"/>
      <c r="EA844" s="16"/>
      <c r="EB844" s="16"/>
      <c r="EC844" s="16"/>
      <c r="ED844" s="16"/>
      <c r="EE844" s="16"/>
      <c r="EF844" s="16"/>
      <c r="EG844" s="16"/>
      <c r="EH844" s="16"/>
      <c r="EI844" s="16"/>
      <c r="EJ844" s="16"/>
      <c r="EK844" s="16"/>
      <c r="EL844" s="16"/>
      <c r="EM844" s="16"/>
      <c r="EN844" s="16"/>
      <c r="EO844" s="16"/>
      <c r="EP844" s="16"/>
      <c r="EQ844" s="16"/>
      <c r="ER844" s="16"/>
      <c r="ES844" s="16"/>
      <c r="ET844" s="16"/>
      <c r="EU844" s="16"/>
      <c r="EV844" s="16"/>
      <c r="EW844" s="16"/>
      <c r="EX844" s="16"/>
      <c r="EY844" s="16"/>
      <c r="EZ844" s="16"/>
      <c r="FA844" s="16"/>
      <c r="FB844" s="16"/>
      <c r="FC844" s="16"/>
      <c r="FD844" s="16"/>
      <c r="FE844" s="16"/>
      <c r="FF844" s="16"/>
      <c r="FG844" s="16"/>
      <c r="FH844" s="16"/>
      <c r="FI844" s="16"/>
      <c r="FJ844" s="16"/>
      <c r="FK844" s="16"/>
      <c r="FL844" s="16"/>
      <c r="FM844" s="16"/>
      <c r="FN844" s="16"/>
      <c r="FO844" s="16"/>
      <c r="FP844" s="16"/>
      <c r="FQ844" s="16"/>
      <c r="FR844" s="16"/>
      <c r="FS844" s="16"/>
      <c r="FT844" s="16"/>
      <c r="FU844" s="16"/>
      <c r="FV844" s="16"/>
      <c r="FW844" s="16"/>
      <c r="FX844" s="16"/>
      <c r="FY844" s="16"/>
      <c r="FZ844" s="16"/>
      <c r="GA844" s="16"/>
      <c r="GB844" s="16"/>
      <c r="GC844" s="16"/>
      <c r="GD844" s="16"/>
      <c r="GE844" s="16"/>
      <c r="GF844" s="16"/>
      <c r="GG844" s="16"/>
      <c r="GH844" s="16"/>
      <c r="GI844" s="16"/>
      <c r="GJ844" s="16"/>
      <c r="GK844" s="16"/>
      <c r="GL844" s="16"/>
      <c r="GM844" s="16"/>
      <c r="GN844" s="16"/>
      <c r="GO844" s="16"/>
      <c r="GP844" s="16"/>
      <c r="GQ844" s="16"/>
      <c r="GR844" s="16"/>
      <c r="GS844" s="16"/>
      <c r="GT844" s="16"/>
      <c r="GU844" s="16"/>
      <c r="GV844" s="16"/>
      <c r="GW844" s="16"/>
      <c r="GX844" s="16"/>
      <c r="GY844" s="16"/>
      <c r="GZ844" s="16"/>
      <c r="HA844" s="16"/>
      <c r="HB844" s="16"/>
      <c r="HC844" s="16"/>
      <c r="HD844" s="16"/>
      <c r="HE844" s="16"/>
      <c r="HF844" s="16"/>
      <c r="HG844" s="16"/>
      <c r="HH844" s="16"/>
      <c r="HI844" s="16"/>
      <c r="HJ844" s="16"/>
      <c r="HK844" s="16"/>
      <c r="HL844" s="16"/>
      <c r="HM844" s="16"/>
      <c r="HN844" s="16"/>
      <c r="HO844" s="16"/>
      <c r="HP844" s="16"/>
      <c r="HQ844" s="16"/>
      <c r="HR844" s="16"/>
      <c r="HS844" s="16"/>
      <c r="HT844" s="16"/>
      <c r="HU844" s="16"/>
      <c r="HV844" s="16"/>
      <c r="HW844" s="16"/>
      <c r="HX844" s="16"/>
      <c r="HY844" s="16"/>
      <c r="HZ844" s="16"/>
      <c r="IA844" s="16"/>
      <c r="IB844" s="16"/>
      <c r="IC844" s="16"/>
      <c r="ID844" s="16"/>
      <c r="IE844" s="16"/>
      <c r="IF844" s="16"/>
      <c r="IG844" s="16"/>
      <c r="IH844" s="16"/>
      <c r="II844" s="16"/>
      <c r="IJ844" s="16"/>
      <c r="IK844" s="16"/>
      <c r="IL844" s="16"/>
      <c r="IM844" s="16"/>
      <c r="IN844" s="16"/>
      <c r="IO844" s="16"/>
      <c r="IP844" s="16"/>
      <c r="IQ844" s="16"/>
      <c r="IR844" s="16"/>
      <c r="IS844" s="16"/>
      <c r="IT844" s="16"/>
      <c r="IU844" s="16"/>
      <c r="IV844" s="16"/>
      <c r="IW844" s="16"/>
      <c r="IX844" s="16"/>
      <c r="IY844" s="16"/>
      <c r="IZ844" s="16"/>
      <c r="JA844" s="16"/>
      <c r="JB844" s="16"/>
      <c r="JC844" s="16"/>
      <c r="JD844" s="16"/>
      <c r="JE844" s="16"/>
      <c r="JF844" s="16"/>
      <c r="JG844" s="16"/>
      <c r="JH844" s="16"/>
      <c r="JI844" s="16"/>
      <c r="JJ844" s="16"/>
      <c r="JK844" s="16"/>
      <c r="JL844" s="16"/>
      <c r="JM844" s="16"/>
      <c r="JN844" s="16"/>
      <c r="JO844" s="16"/>
      <c r="JP844" s="16"/>
      <c r="JQ844" s="16"/>
      <c r="JR844" s="16"/>
      <c r="JS844" s="16"/>
      <c r="JT844" s="16"/>
      <c r="JU844" s="16"/>
      <c r="JV844" s="16"/>
      <c r="JW844" s="16"/>
      <c r="JX844" s="16"/>
      <c r="JY844" s="16"/>
      <c r="JZ844" s="16"/>
      <c r="KA844" s="16"/>
      <c r="KB844" s="16"/>
      <c r="KC844" s="16"/>
      <c r="KD844" s="16"/>
      <c r="KE844" s="16"/>
      <c r="KF844" s="16"/>
      <c r="KG844" s="16"/>
      <c r="KH844" s="16"/>
      <c r="KI844" s="16"/>
      <c r="KJ844" s="16"/>
      <c r="KK844" s="16"/>
      <c r="KL844" s="16"/>
      <c r="KM844" s="16"/>
      <c r="KN844" s="16"/>
      <c r="KO844" s="16"/>
      <c r="KP844" s="16"/>
      <c r="KQ844" s="16"/>
      <c r="KR844" s="16"/>
      <c r="KS844" s="16"/>
      <c r="KT844" s="16"/>
      <c r="KU844" s="16"/>
      <c r="KV844" s="16"/>
      <c r="KW844" s="16"/>
      <c r="KX844" s="16"/>
      <c r="KY844" s="16"/>
      <c r="KZ844" s="16"/>
      <c r="LA844" s="16"/>
      <c r="LB844" s="16"/>
      <c r="LC844" s="16"/>
      <c r="LD844" s="16"/>
      <c r="LE844" s="16"/>
      <c r="LF844" s="16"/>
      <c r="LG844" s="16"/>
      <c r="LH844" s="16"/>
      <c r="LI844" s="16"/>
      <c r="LJ844" s="16"/>
      <c r="LK844" s="16"/>
      <c r="LL844" s="16"/>
      <c r="LM844" s="16"/>
      <c r="LN844" s="16"/>
      <c r="LO844" s="16"/>
      <c r="LP844" s="16"/>
      <c r="LQ844" s="16"/>
      <c r="LR844" s="16"/>
      <c r="LS844" s="16"/>
      <c r="LT844" s="16"/>
      <c r="LU844" s="16"/>
      <c r="LV844" s="16"/>
      <c r="LW844" s="16"/>
      <c r="LX844" s="16"/>
      <c r="LY844" s="16"/>
      <c r="LZ844" s="16"/>
      <c r="MA844" s="16"/>
      <c r="MB844" s="16"/>
      <c r="MC844" s="16"/>
      <c r="MD844" s="16"/>
      <c r="ME844" s="16"/>
      <c r="MF844" s="16"/>
      <c r="MG844" s="16"/>
      <c r="MH844" s="16"/>
      <c r="MI844" s="16"/>
      <c r="MJ844" s="16"/>
      <c r="MK844" s="16"/>
      <c r="ML844" s="16"/>
      <c r="MM844" s="16"/>
      <c r="MN844" s="16"/>
      <c r="MO844" s="16"/>
      <c r="MP844" s="16"/>
      <c r="MQ844" s="16"/>
      <c r="MR844" s="16"/>
      <c r="MS844" s="16"/>
      <c r="MT844" s="16"/>
      <c r="MU844" s="16"/>
      <c r="MV844" s="16"/>
      <c r="MW844" s="16"/>
      <c r="MX844" s="16"/>
      <c r="MY844" s="16"/>
      <c r="MZ844" s="16"/>
      <c r="NA844" s="16"/>
      <c r="NB844" s="16"/>
      <c r="NC844" s="16"/>
      <c r="ND844" s="16"/>
      <c r="NE844" s="16"/>
      <c r="NF844" s="16"/>
      <c r="NG844" s="16"/>
      <c r="NH844" s="16"/>
      <c r="NI844" s="16"/>
      <c r="NJ844" s="16"/>
      <c r="NK844" s="16"/>
      <c r="NL844" s="16"/>
      <c r="NM844" s="16"/>
      <c r="NN844" s="16"/>
      <c r="NO844" s="16"/>
      <c r="NP844" s="16"/>
      <c r="NQ844" s="16"/>
      <c r="NR844" s="16"/>
      <c r="NS844" s="16"/>
      <c r="NT844" s="16"/>
      <c r="NU844" s="16"/>
      <c r="NV844" s="16"/>
      <c r="NW844" s="16"/>
      <c r="NX844" s="16"/>
      <c r="NY844" s="16"/>
      <c r="NZ844" s="16"/>
      <c r="OA844" s="16"/>
      <c r="OB844" s="16"/>
      <c r="OC844" s="16"/>
      <c r="OD844" s="16"/>
      <c r="OE844" s="16"/>
      <c r="OF844" s="16"/>
      <c r="OG844" s="16"/>
      <c r="OH844" s="16"/>
      <c r="OI844" s="16"/>
      <c r="OJ844" s="16"/>
      <c r="OK844" s="16"/>
      <c r="OL844" s="16"/>
      <c r="OM844" s="16"/>
      <c r="ON844" s="16"/>
      <c r="OO844" s="16"/>
      <c r="OP844" s="16"/>
      <c r="OQ844" s="16"/>
      <c r="OR844" s="16"/>
      <c r="OS844" s="16"/>
      <c r="OT844" s="16"/>
      <c r="OU844" s="16"/>
      <c r="OV844" s="16"/>
      <c r="OW844" s="16"/>
      <c r="OX844" s="16"/>
      <c r="OY844" s="16"/>
      <c r="OZ844" s="16"/>
      <c r="PA844" s="16"/>
      <c r="PB844" s="16"/>
      <c r="PC844" s="16"/>
      <c r="PD844" s="16"/>
      <c r="PE844" s="16"/>
      <c r="PF844" s="16"/>
      <c r="PG844" s="16"/>
      <c r="PH844" s="16"/>
      <c r="PI844" s="16"/>
      <c r="PJ844" s="16"/>
      <c r="PK844" s="16"/>
      <c r="PL844" s="16"/>
      <c r="PM844" s="16"/>
      <c r="PN844" s="16"/>
      <c r="PO844" s="16"/>
      <c r="PP844" s="16"/>
      <c r="PQ844" s="16"/>
      <c r="PR844" s="16"/>
      <c r="PS844" s="16"/>
      <c r="PT844" s="16"/>
      <c r="PU844" s="16"/>
      <c r="PV844" s="16"/>
      <c r="PW844" s="16"/>
      <c r="PX844" s="16"/>
      <c r="PY844" s="16"/>
      <c r="PZ844" s="16"/>
      <c r="QA844" s="16"/>
      <c r="QB844" s="16"/>
      <c r="QC844" s="16"/>
      <c r="QD844" s="16"/>
      <c r="QE844" s="16"/>
      <c r="QF844" s="16"/>
      <c r="QG844" s="16"/>
      <c r="QH844" s="16"/>
      <c r="QI844" s="16"/>
      <c r="QJ844" s="16"/>
      <c r="QK844" s="16"/>
      <c r="QL844" s="16"/>
      <c r="QM844" s="16"/>
      <c r="QN844" s="16"/>
      <c r="QO844" s="16"/>
      <c r="QP844" s="16"/>
      <c r="QQ844" s="16"/>
      <c r="QR844" s="16"/>
      <c r="QS844" s="16"/>
      <c r="QT844" s="16"/>
      <c r="QU844" s="16"/>
      <c r="QV844" s="16"/>
      <c r="QW844" s="16"/>
      <c r="QX844" s="16"/>
      <c r="QY844" s="16"/>
      <c r="QZ844" s="16"/>
      <c r="RA844" s="16"/>
      <c r="RB844" s="16"/>
      <c r="RC844" s="16"/>
      <c r="RD844" s="16"/>
      <c r="RE844" s="16"/>
      <c r="RF844" s="16"/>
      <c r="RG844" s="16"/>
      <c r="RH844" s="16"/>
      <c r="RI844" s="16"/>
      <c r="RJ844" s="16"/>
      <c r="RK844" s="16"/>
      <c r="RL844" s="16"/>
      <c r="RM844" s="16"/>
      <c r="RN844" s="16"/>
      <c r="RO844" s="16"/>
      <c r="RP844" s="16"/>
      <c r="RQ844" s="16"/>
      <c r="RR844" s="16"/>
      <c r="RS844" s="16"/>
      <c r="RT844" s="16"/>
      <c r="RU844" s="16"/>
      <c r="RV844" s="16"/>
      <c r="RW844" s="16"/>
      <c r="RX844" s="16"/>
      <c r="RY844" s="16"/>
      <c r="RZ844" s="16"/>
      <c r="SA844" s="16"/>
      <c r="SB844" s="16"/>
      <c r="SC844" s="16"/>
      <c r="SD844" s="16"/>
      <c r="SE844" s="16"/>
      <c r="SF844" s="16"/>
      <c r="SG844" s="16"/>
      <c r="SH844" s="16"/>
      <c r="SI844" s="16"/>
      <c r="SJ844" s="16"/>
      <c r="SK844" s="16"/>
      <c r="SL844" s="16"/>
      <c r="SM844" s="16"/>
      <c r="SN844" s="16"/>
      <c r="SO844" s="16"/>
      <c r="SP844" s="16"/>
      <c r="SQ844" s="16"/>
      <c r="SR844" s="16"/>
      <c r="SS844" s="16"/>
      <c r="ST844" s="16"/>
      <c r="SU844" s="16"/>
      <c r="SV844" s="16"/>
      <c r="SW844" s="16"/>
      <c r="SX844" s="16"/>
      <c r="SY844" s="16"/>
      <c r="SZ844" s="16"/>
      <c r="TA844" s="16"/>
      <c r="TB844" s="16"/>
      <c r="TC844" s="16"/>
      <c r="TD844" s="16"/>
      <c r="TE844" s="16"/>
      <c r="TF844" s="16"/>
      <c r="TG844" s="16"/>
      <c r="TH844" s="16"/>
      <c r="TI844" s="16"/>
      <c r="TJ844" s="16"/>
      <c r="TK844" s="16"/>
      <c r="TL844" s="16"/>
      <c r="TM844" s="16"/>
      <c r="TN844" s="16"/>
      <c r="TO844" s="16"/>
      <c r="TP844" s="16"/>
      <c r="TQ844" s="16"/>
      <c r="TR844" s="16"/>
      <c r="TS844" s="16"/>
      <c r="TT844" s="16"/>
      <c r="TU844" s="16"/>
      <c r="TV844" s="16"/>
      <c r="TW844" s="16"/>
      <c r="TX844" s="16"/>
      <c r="TY844" s="16"/>
      <c r="TZ844" s="16"/>
      <c r="UA844" s="16"/>
      <c r="UB844" s="16"/>
      <c r="UC844" s="16"/>
      <c r="UD844" s="16"/>
      <c r="UE844" s="16"/>
      <c r="UF844" s="16"/>
      <c r="UG844" s="16"/>
      <c r="UH844" s="16"/>
      <c r="UI844" s="16"/>
      <c r="UJ844" s="16"/>
      <c r="UK844" s="16"/>
      <c r="UL844" s="16"/>
      <c r="UM844" s="16"/>
      <c r="UN844" s="16"/>
      <c r="UO844" s="16"/>
      <c r="UP844" s="16"/>
      <c r="UQ844" s="16"/>
      <c r="UR844" s="16"/>
      <c r="US844" s="16"/>
      <c r="UT844" s="16"/>
      <c r="UU844" s="16"/>
      <c r="UV844" s="16"/>
      <c r="UW844" s="16"/>
      <c r="UX844" s="16"/>
      <c r="UY844" s="16"/>
      <c r="UZ844" s="16"/>
      <c r="VA844" s="16"/>
      <c r="VB844" s="16"/>
      <c r="VC844" s="16"/>
      <c r="VD844" s="16"/>
      <c r="VE844" s="16"/>
      <c r="VF844" s="16"/>
      <c r="VG844" s="16"/>
      <c r="VH844" s="16"/>
      <c r="VI844" s="16"/>
      <c r="VJ844" s="16"/>
      <c r="VK844" s="16"/>
      <c r="VL844" s="16"/>
      <c r="VM844" s="16"/>
      <c r="VN844" s="16"/>
      <c r="VO844" s="16"/>
      <c r="VP844" s="16"/>
      <c r="VQ844" s="16"/>
      <c r="VR844" s="16"/>
      <c r="VS844" s="16"/>
      <c r="VT844" s="16"/>
      <c r="VU844" s="16"/>
      <c r="VV844" s="16"/>
      <c r="VW844" s="16"/>
      <c r="VX844" s="16"/>
      <c r="VY844" s="16"/>
      <c r="VZ844" s="16"/>
      <c r="WA844" s="16"/>
      <c r="WB844" s="16"/>
      <c r="WC844" s="16"/>
      <c r="WD844" s="16"/>
      <c r="WE844" s="16"/>
      <c r="WF844" s="16"/>
      <c r="WG844" s="16"/>
      <c r="WH844" s="16"/>
      <c r="WI844" s="16"/>
      <c r="WJ844" s="16"/>
      <c r="WK844" s="16"/>
      <c r="WL844" s="16"/>
      <c r="WM844" s="16"/>
      <c r="WN844" s="16"/>
      <c r="WO844" s="16"/>
      <c r="WP844" s="16"/>
      <c r="WQ844" s="16"/>
      <c r="WR844" s="16"/>
      <c r="WS844" s="16"/>
      <c r="WT844" s="16"/>
      <c r="WU844" s="16"/>
      <c r="WV844" s="16"/>
      <c r="WW844" s="16"/>
      <c r="WX844" s="16"/>
      <c r="WY844" s="16"/>
      <c r="WZ844" s="16"/>
      <c r="XA844" s="16"/>
      <c r="XB844" s="16"/>
      <c r="XC844" s="16"/>
      <c r="XD844" s="16"/>
      <c r="XE844" s="16"/>
      <c r="XF844" s="16"/>
      <c r="XG844" s="16"/>
      <c r="XH844" s="16"/>
      <c r="XI844" s="16"/>
      <c r="XJ844" s="16"/>
      <c r="XK844" s="16"/>
      <c r="XL844" s="16"/>
      <c r="XM844" s="16"/>
      <c r="XN844" s="16"/>
      <c r="XO844" s="16"/>
      <c r="XP844" s="16"/>
      <c r="XQ844" s="16"/>
      <c r="XR844" s="16"/>
      <c r="XS844" s="16"/>
      <c r="XT844" s="16"/>
      <c r="XU844" s="16"/>
      <c r="XV844" s="16"/>
      <c r="XW844" s="16"/>
      <c r="XX844" s="16"/>
      <c r="XY844" s="16"/>
      <c r="XZ844" s="16"/>
      <c r="YA844" s="16"/>
      <c r="YB844" s="16"/>
      <c r="YC844" s="16"/>
      <c r="YD844" s="16"/>
      <c r="YE844" s="16"/>
      <c r="YF844" s="16"/>
      <c r="YG844" s="16"/>
      <c r="YH844" s="16"/>
      <c r="YI844" s="16"/>
      <c r="YJ844" s="16"/>
      <c r="YK844" s="16"/>
      <c r="YL844" s="16"/>
      <c r="YM844" s="16"/>
      <c r="YN844" s="16"/>
      <c r="YO844" s="16"/>
      <c r="YP844" s="16"/>
      <c r="YQ844" s="16"/>
      <c r="YR844" s="16"/>
      <c r="YS844" s="16"/>
      <c r="YT844" s="16"/>
      <c r="YU844" s="16"/>
      <c r="YV844" s="16"/>
      <c r="YW844" s="16"/>
      <c r="YX844" s="16"/>
      <c r="YY844" s="16"/>
      <c r="YZ844" s="16"/>
      <c r="ZA844" s="16"/>
      <c r="ZB844" s="16"/>
      <c r="ZC844" s="16"/>
      <c r="ZD844" s="16"/>
      <c r="ZE844" s="16"/>
      <c r="ZF844" s="16"/>
      <c r="ZG844" s="16"/>
      <c r="ZH844" s="16"/>
      <c r="ZI844" s="16"/>
      <c r="ZJ844" s="16"/>
      <c r="ZK844" s="16"/>
      <c r="ZL844" s="16"/>
      <c r="ZM844" s="16"/>
      <c r="ZN844" s="16"/>
      <c r="ZO844" s="16"/>
      <c r="ZP844" s="16"/>
      <c r="ZQ844" s="16"/>
      <c r="ZR844" s="16"/>
      <c r="ZS844" s="16"/>
      <c r="ZT844" s="16"/>
      <c r="ZU844" s="16"/>
      <c r="ZV844" s="16"/>
      <c r="ZW844" s="16"/>
      <c r="ZX844" s="16"/>
      <c r="ZY844" s="16"/>
      <c r="ZZ844" s="16"/>
      <c r="AAA844" s="16"/>
      <c r="AAB844" s="16"/>
      <c r="AAC844" s="16"/>
      <c r="AAD844" s="16"/>
      <c r="AAE844" s="16"/>
      <c r="AAF844" s="16"/>
      <c r="AAG844" s="16"/>
      <c r="AAH844" s="16"/>
      <c r="AAI844" s="16"/>
      <c r="AAJ844" s="16"/>
      <c r="AAK844" s="16"/>
      <c r="AAL844" s="16"/>
      <c r="AAM844" s="16"/>
      <c r="AAN844" s="16"/>
      <c r="AAO844" s="16"/>
      <c r="AAP844" s="16"/>
      <c r="AAQ844" s="16"/>
      <c r="AAR844" s="16"/>
      <c r="AAS844" s="16"/>
      <c r="AAT844" s="16"/>
      <c r="AAU844" s="16"/>
      <c r="AAV844" s="16"/>
      <c r="AAW844" s="16"/>
      <c r="AAX844" s="16"/>
      <c r="AAY844" s="16"/>
      <c r="AAZ844" s="16"/>
      <c r="ABA844" s="16"/>
      <c r="ABB844" s="16"/>
      <c r="ABC844" s="16"/>
      <c r="ABD844" s="16"/>
      <c r="ABE844" s="16"/>
      <c r="ABF844" s="16"/>
      <c r="ABG844" s="16"/>
      <c r="ABH844" s="16"/>
      <c r="ABI844" s="16"/>
      <c r="ABJ844" s="16"/>
      <c r="ABK844" s="16"/>
      <c r="ABL844" s="16"/>
      <c r="ABM844" s="16"/>
      <c r="ABN844" s="16"/>
      <c r="ABO844" s="16"/>
      <c r="ABP844" s="16"/>
      <c r="ABQ844" s="16"/>
      <c r="ABR844" s="16"/>
      <c r="ABS844" s="16"/>
      <c r="ABT844" s="16"/>
      <c r="ABU844" s="16"/>
      <c r="ABV844" s="16"/>
      <c r="ABW844" s="16"/>
      <c r="ABX844" s="16"/>
      <c r="ABY844" s="16"/>
      <c r="ABZ844" s="16"/>
      <c r="ACA844" s="16"/>
      <c r="ACB844" s="16"/>
      <c r="ACC844" s="16"/>
      <c r="ACD844" s="16"/>
      <c r="ACE844" s="16"/>
      <c r="ACF844" s="16"/>
      <c r="ACG844" s="16"/>
      <c r="ACH844" s="16"/>
      <c r="ACI844" s="16"/>
      <c r="ACJ844" s="16"/>
      <c r="ACK844" s="16"/>
      <c r="ACL844" s="16"/>
      <c r="ACM844" s="16"/>
      <c r="ACN844" s="16"/>
      <c r="ACO844" s="16"/>
      <c r="ACP844" s="16"/>
      <c r="ACQ844" s="16"/>
      <c r="ACR844" s="16"/>
      <c r="ACS844" s="16"/>
      <c r="ACT844" s="16"/>
      <c r="ACU844" s="16"/>
      <c r="ACV844" s="16"/>
      <c r="ACW844" s="16"/>
      <c r="ACX844" s="16"/>
      <c r="ACY844" s="16"/>
      <c r="ACZ844" s="16"/>
      <c r="ADA844" s="16"/>
      <c r="ADB844" s="16"/>
      <c r="ADC844" s="16"/>
      <c r="ADD844" s="16"/>
      <c r="ADE844" s="16"/>
      <c r="ADF844" s="16"/>
      <c r="ADG844" s="16"/>
      <c r="ADH844" s="16"/>
      <c r="ADI844" s="16"/>
      <c r="ADJ844" s="16"/>
      <c r="ADK844" s="16"/>
      <c r="ADL844" s="16"/>
      <c r="ADM844" s="16"/>
      <c r="ADN844" s="16"/>
      <c r="ADO844" s="16"/>
      <c r="ADP844" s="16"/>
      <c r="ADQ844" s="16"/>
      <c r="ADR844" s="16"/>
      <c r="ADS844" s="16"/>
      <c r="ADT844" s="16"/>
      <c r="ADU844" s="16"/>
      <c r="ADV844" s="16"/>
      <c r="ADW844" s="16"/>
      <c r="ADX844" s="16"/>
      <c r="ADY844" s="16"/>
      <c r="ADZ844" s="16"/>
      <c r="AEA844" s="16"/>
      <c r="AEB844" s="16"/>
      <c r="AEC844" s="16"/>
      <c r="AED844" s="16"/>
      <c r="AEE844" s="16"/>
      <c r="AEF844" s="16"/>
      <c r="AEG844" s="16"/>
      <c r="AEH844" s="16"/>
      <c r="AEI844" s="16"/>
      <c r="AEJ844" s="16"/>
      <c r="AEK844" s="16"/>
      <c r="AEL844" s="16"/>
      <c r="AEM844" s="16"/>
      <c r="AEN844" s="16"/>
      <c r="AEO844" s="16"/>
      <c r="AEP844" s="16"/>
      <c r="AEQ844" s="16"/>
      <c r="AER844" s="16"/>
      <c r="AES844" s="16"/>
      <c r="AET844" s="16"/>
      <c r="AEU844" s="16"/>
      <c r="AEV844" s="16"/>
      <c r="AEW844" s="16"/>
      <c r="AEX844" s="16"/>
      <c r="AEY844" s="16"/>
      <c r="AEZ844" s="16"/>
      <c r="AFA844" s="16"/>
      <c r="AFB844" s="16"/>
      <c r="AFC844" s="16"/>
      <c r="AFD844" s="16"/>
      <c r="AFE844" s="16"/>
      <c r="AFF844" s="16"/>
      <c r="AFG844" s="16"/>
      <c r="AFH844" s="16"/>
      <c r="AFI844" s="16"/>
      <c r="AFJ844" s="16"/>
      <c r="AFK844" s="16"/>
      <c r="AFL844" s="16"/>
      <c r="AFM844" s="16"/>
      <c r="AFN844" s="16"/>
      <c r="AFO844" s="16"/>
      <c r="AFP844" s="16"/>
      <c r="AFQ844" s="16"/>
      <c r="AFR844" s="16"/>
      <c r="AFS844" s="16"/>
      <c r="AFT844" s="16"/>
      <c r="AFU844" s="16"/>
      <c r="AFV844" s="16"/>
      <c r="AFW844" s="16"/>
      <c r="AFX844" s="16"/>
      <c r="AFY844" s="16"/>
      <c r="AFZ844" s="16"/>
      <c r="AGA844" s="16"/>
      <c r="AGB844" s="16"/>
      <c r="AGC844" s="16"/>
      <c r="AGD844" s="16"/>
      <c r="AGE844" s="16"/>
      <c r="AGF844" s="16"/>
      <c r="AGG844" s="16"/>
      <c r="AGH844" s="16"/>
      <c r="AGI844" s="16"/>
      <c r="AGJ844" s="16"/>
    </row>
    <row r="845" spans="1:868">
      <c r="A845" s="289" t="s">
        <v>240</v>
      </c>
      <c r="B845" s="55" t="s">
        <v>363</v>
      </c>
      <c r="C845" s="262" t="s">
        <v>139</v>
      </c>
      <c r="D845" s="55" t="s">
        <v>139</v>
      </c>
      <c r="E845" s="257">
        <v>6.5000000000000002E-2</v>
      </c>
      <c r="F845" s="232">
        <v>2</v>
      </c>
      <c r="G845" s="262" t="s">
        <v>427</v>
      </c>
      <c r="H845" s="29">
        <v>2</v>
      </c>
      <c r="I845" s="9">
        <v>2</v>
      </c>
      <c r="J845" s="9">
        <v>2</v>
      </c>
      <c r="K845" s="9">
        <v>1</v>
      </c>
      <c r="L845" s="9">
        <v>1</v>
      </c>
      <c r="M845" s="9">
        <v>2</v>
      </c>
      <c r="N845" s="185">
        <f t="shared" si="57"/>
        <v>0.37356464144298934</v>
      </c>
      <c r="O845" s="159">
        <f t="shared" si="58"/>
        <v>0.37356464144298934</v>
      </c>
      <c r="P845" s="63"/>
    </row>
    <row r="846" spans="1:868">
      <c r="A846" s="289" t="s">
        <v>241</v>
      </c>
      <c r="B846" s="55" t="s">
        <v>363</v>
      </c>
      <c r="C846" s="262" t="s">
        <v>139</v>
      </c>
      <c r="D846" s="55" t="s">
        <v>139</v>
      </c>
      <c r="E846" s="257">
        <v>0.91400000000000003</v>
      </c>
      <c r="F846" s="232">
        <v>2</v>
      </c>
      <c r="G846" s="262" t="s">
        <v>427</v>
      </c>
      <c r="H846" s="29">
        <v>2</v>
      </c>
      <c r="I846" s="9"/>
      <c r="J846" s="9">
        <v>2</v>
      </c>
      <c r="K846" s="9">
        <v>1</v>
      </c>
      <c r="L846" s="9">
        <v>1</v>
      </c>
      <c r="M846" s="9">
        <v>2</v>
      </c>
      <c r="N846" s="185">
        <f t="shared" si="57"/>
        <v>0.37356464144298934</v>
      </c>
      <c r="O846" s="159" t="str">
        <f t="shared" si="58"/>
        <v/>
      </c>
      <c r="P846" s="63"/>
    </row>
    <row r="847" spans="1:868">
      <c r="A847" s="289" t="s">
        <v>337</v>
      </c>
      <c r="B847" s="55" t="s">
        <v>363</v>
      </c>
      <c r="C847" s="262" t="s">
        <v>139</v>
      </c>
      <c r="D847" s="55" t="s">
        <v>139</v>
      </c>
      <c r="E847" s="257">
        <v>6.5000000000000002E-2</v>
      </c>
      <c r="F847" s="232">
        <v>1</v>
      </c>
      <c r="G847" s="262" t="s">
        <v>427</v>
      </c>
      <c r="H847" s="29">
        <v>2</v>
      </c>
      <c r="I847" s="9">
        <v>2</v>
      </c>
      <c r="J847" s="9">
        <v>2</v>
      </c>
      <c r="K847" s="9">
        <v>2</v>
      </c>
      <c r="L847" s="9">
        <v>2</v>
      </c>
      <c r="M847" s="9">
        <v>2</v>
      </c>
      <c r="N847" s="185">
        <f t="shared" si="57"/>
        <v>0.40183591897512122</v>
      </c>
      <c r="O847" s="159">
        <f t="shared" si="58"/>
        <v>0.40183591897512122</v>
      </c>
      <c r="P847" s="63"/>
    </row>
    <row r="848" spans="1:868">
      <c r="A848" s="289" t="s">
        <v>337</v>
      </c>
      <c r="B848" s="55" t="s">
        <v>363</v>
      </c>
      <c r="C848" s="262" t="s">
        <v>139</v>
      </c>
      <c r="D848" s="55" t="s">
        <v>139</v>
      </c>
      <c r="E848" s="257">
        <v>0.46</v>
      </c>
      <c r="F848" s="232">
        <v>1</v>
      </c>
      <c r="G848" s="262" t="s">
        <v>428</v>
      </c>
      <c r="H848" s="29">
        <v>2</v>
      </c>
      <c r="I848" s="9">
        <v>2</v>
      </c>
      <c r="J848" s="9">
        <v>2</v>
      </c>
      <c r="K848" s="9">
        <v>2</v>
      </c>
      <c r="L848" s="9">
        <v>2</v>
      </c>
      <c r="M848" s="9">
        <v>2</v>
      </c>
      <c r="N848" s="185">
        <f t="shared" si="57"/>
        <v>0.40183591897512122</v>
      </c>
      <c r="O848" s="159">
        <f t="shared" si="58"/>
        <v>0.40183591897512122</v>
      </c>
      <c r="P848" s="63"/>
    </row>
    <row r="849" spans="1:16">
      <c r="A849" s="151" t="s">
        <v>227</v>
      </c>
      <c r="B849" s="34" t="s">
        <v>232</v>
      </c>
      <c r="C849" s="40" t="s">
        <v>139</v>
      </c>
      <c r="D849" s="34" t="s">
        <v>139</v>
      </c>
      <c r="E849" s="257" t="s">
        <v>150</v>
      </c>
      <c r="F849" s="232">
        <v>1</v>
      </c>
      <c r="G849" s="40"/>
      <c r="H849" s="29"/>
      <c r="I849" s="9"/>
      <c r="J849" s="9"/>
      <c r="K849" s="9"/>
      <c r="L849" s="9"/>
      <c r="M849" s="9"/>
      <c r="N849" s="185" t="str">
        <f t="shared" si="57"/>
        <v/>
      </c>
      <c r="O849" s="159" t="str">
        <f t="shared" si="58"/>
        <v/>
      </c>
      <c r="P849" s="63"/>
    </row>
    <row r="850" spans="1:16">
      <c r="A850" s="151" t="s">
        <v>304</v>
      </c>
      <c r="B850" s="34" t="s">
        <v>232</v>
      </c>
      <c r="C850" s="40" t="s">
        <v>139</v>
      </c>
      <c r="D850" s="34" t="s">
        <v>139</v>
      </c>
      <c r="E850" s="257">
        <v>0.151</v>
      </c>
      <c r="F850" s="232">
        <v>2</v>
      </c>
      <c r="G850" s="40" t="s">
        <v>429</v>
      </c>
      <c r="H850" s="29">
        <v>3</v>
      </c>
      <c r="I850" s="9"/>
      <c r="J850" s="9">
        <v>2</v>
      </c>
      <c r="K850" s="9">
        <v>3</v>
      </c>
      <c r="L850" s="9">
        <v>3</v>
      </c>
      <c r="M850" s="9">
        <v>1</v>
      </c>
      <c r="N850" s="185">
        <f t="shared" si="57"/>
        <v>0.60108474454521421</v>
      </c>
      <c r="O850" s="159" t="str">
        <f t="shared" si="58"/>
        <v/>
      </c>
      <c r="P850" s="63" t="s">
        <v>430</v>
      </c>
    </row>
    <row r="851" spans="1:16">
      <c r="A851" s="151" t="s">
        <v>312</v>
      </c>
      <c r="B851" s="34" t="s">
        <v>232</v>
      </c>
      <c r="C851" s="515" t="s">
        <v>139</v>
      </c>
      <c r="D851" s="37" t="s">
        <v>139</v>
      </c>
      <c r="E851" s="308">
        <v>0.08</v>
      </c>
      <c r="F851" s="37">
        <v>1</v>
      </c>
      <c r="G851" s="40" t="s">
        <v>353</v>
      </c>
      <c r="H851" s="29">
        <v>2</v>
      </c>
      <c r="I851" s="9">
        <v>2</v>
      </c>
      <c r="J851" s="9">
        <v>1</v>
      </c>
      <c r="K851" s="9">
        <v>1</v>
      </c>
      <c r="L851" s="9">
        <v>1</v>
      </c>
      <c r="M851" s="9">
        <v>1</v>
      </c>
      <c r="N851" s="185">
        <f t="shared" si="57"/>
        <v>0.16933510251023262</v>
      </c>
      <c r="O851" s="159">
        <f t="shared" si="58"/>
        <v>0.16933510251023262</v>
      </c>
      <c r="P851" s="63"/>
    </row>
    <row r="852" spans="1:16">
      <c r="A852" s="151" t="s">
        <v>268</v>
      </c>
      <c r="B852" s="34" t="s">
        <v>232</v>
      </c>
      <c r="C852" s="40" t="s">
        <v>139</v>
      </c>
      <c r="D852" s="34" t="s">
        <v>139</v>
      </c>
      <c r="E852" s="257" t="s">
        <v>150</v>
      </c>
      <c r="F852" s="232">
        <v>1</v>
      </c>
      <c r="G852" s="40"/>
      <c r="H852" s="29"/>
      <c r="I852" s="9"/>
      <c r="J852" s="9"/>
      <c r="K852" s="9"/>
      <c r="L852" s="9"/>
      <c r="M852" s="9"/>
      <c r="N852" s="185" t="str">
        <f t="shared" si="57"/>
        <v/>
      </c>
      <c r="O852" s="159" t="str">
        <f t="shared" si="58"/>
        <v/>
      </c>
      <c r="P852" s="63"/>
    </row>
    <row r="853" spans="1:16">
      <c r="A853" s="151" t="s">
        <v>314</v>
      </c>
      <c r="B853" s="34" t="s">
        <v>232</v>
      </c>
      <c r="C853" s="40" t="s">
        <v>139</v>
      </c>
      <c r="D853" s="34" t="s">
        <v>139</v>
      </c>
      <c r="E853" s="257" t="s">
        <v>150</v>
      </c>
      <c r="F853" s="232">
        <v>1</v>
      </c>
      <c r="G853" s="40"/>
      <c r="H853" s="29"/>
      <c r="I853" s="9"/>
      <c r="J853" s="9"/>
      <c r="K853" s="9"/>
      <c r="L853" s="9"/>
      <c r="M853" s="9"/>
      <c r="N853" s="185" t="str">
        <f t="shared" si="57"/>
        <v/>
      </c>
      <c r="O853" s="159" t="str">
        <f t="shared" si="58"/>
        <v/>
      </c>
      <c r="P853" s="63"/>
    </row>
    <row r="854" spans="1:16">
      <c r="A854" s="151" t="s">
        <v>338</v>
      </c>
      <c r="B854" s="34" t="s">
        <v>232</v>
      </c>
      <c r="C854" s="40" t="s">
        <v>139</v>
      </c>
      <c r="D854" s="34" t="s">
        <v>139</v>
      </c>
      <c r="E854" s="257" t="s">
        <v>150</v>
      </c>
      <c r="F854" s="232">
        <v>1</v>
      </c>
      <c r="G854" s="40"/>
      <c r="H854" s="29"/>
      <c r="I854" s="9"/>
      <c r="J854" s="9"/>
      <c r="K854" s="9"/>
      <c r="L854" s="9"/>
      <c r="M854" s="9"/>
      <c r="N854" s="185" t="str">
        <f t="shared" si="57"/>
        <v/>
      </c>
      <c r="O854" s="159" t="str">
        <f t="shared" si="58"/>
        <v/>
      </c>
      <c r="P854" s="63"/>
    </row>
    <row r="855" spans="1:16">
      <c r="A855" s="151" t="s">
        <v>398</v>
      </c>
      <c r="B855" s="34" t="s">
        <v>231</v>
      </c>
      <c r="C855" s="40" t="s">
        <v>139</v>
      </c>
      <c r="D855" s="34" t="s">
        <v>139</v>
      </c>
      <c r="E855" s="262">
        <v>0.1</v>
      </c>
      <c r="F855" s="232">
        <v>2</v>
      </c>
      <c r="G855" s="852" t="s">
        <v>277</v>
      </c>
      <c r="H855" s="29">
        <v>1</v>
      </c>
      <c r="I855" s="9">
        <v>2</v>
      </c>
      <c r="J855" s="9">
        <v>2</v>
      </c>
      <c r="K855" s="9">
        <v>1</v>
      </c>
      <c r="L855" s="9">
        <v>2</v>
      </c>
      <c r="M855" s="9">
        <v>3</v>
      </c>
      <c r="N855" s="185">
        <f t="shared" si="57"/>
        <v>1.0248662490928169</v>
      </c>
      <c r="O855" s="159">
        <f t="shared" si="58"/>
        <v>1.0301997916669636</v>
      </c>
      <c r="P855" s="838"/>
    </row>
    <row r="856" spans="1:16">
      <c r="A856" s="151" t="s">
        <v>398</v>
      </c>
      <c r="B856" s="34" t="s">
        <v>378</v>
      </c>
      <c r="C856" s="40" t="s">
        <v>139</v>
      </c>
      <c r="D856" s="34" t="s">
        <v>139</v>
      </c>
      <c r="E856" s="262">
        <v>0.4</v>
      </c>
      <c r="F856" s="232">
        <v>1</v>
      </c>
      <c r="G856" s="40" t="s">
        <v>379</v>
      </c>
      <c r="H856" s="29">
        <v>1</v>
      </c>
      <c r="I856" s="9">
        <v>3</v>
      </c>
      <c r="J856" s="9">
        <v>2</v>
      </c>
      <c r="K856" s="9">
        <v>1</v>
      </c>
      <c r="L856" s="9">
        <v>1</v>
      </c>
      <c r="M856" s="9">
        <v>2</v>
      </c>
      <c r="N856" s="185">
        <f t="shared" si="57"/>
        <v>0.35859414261160716</v>
      </c>
      <c r="O856" s="159">
        <f t="shared" si="58"/>
        <v>0.48935255543384243</v>
      </c>
      <c r="P856" s="838"/>
    </row>
    <row r="857" spans="1:16">
      <c r="A857" s="151" t="s">
        <v>354</v>
      </c>
      <c r="B857" s="34" t="s">
        <v>232</v>
      </c>
      <c r="C857" s="40" t="s">
        <v>139</v>
      </c>
      <c r="D857" s="34" t="s">
        <v>139</v>
      </c>
      <c r="E857" s="257" t="s">
        <v>150</v>
      </c>
      <c r="F857" s="232">
        <v>1</v>
      </c>
      <c r="G857" s="40"/>
      <c r="H857" s="29"/>
      <c r="I857" s="9"/>
      <c r="J857" s="9"/>
      <c r="K857" s="9"/>
      <c r="L857" s="9"/>
      <c r="M857" s="9"/>
      <c r="N857" s="185" t="str">
        <f t="shared" ref="N857:N862" si="59">IF( OR( ISBLANK(H857),ISBLANK(J857), ISBLANK(K857), ISBLANK(L857), ISBLANK(M857) ), "", 1.5*SQRT(   EXP(2.21*(H857-1)) + EXP(2.21*(J857-1)) + EXP(2.21*(K857-1)) + EXP(2.21*(L857-1)) + EXP(2.21*M857)   )/100*2.45 )</f>
        <v/>
      </c>
      <c r="O857" s="159" t="str">
        <f t="shared" ref="O857:O862" si="60">IF( OR( ISBLANK(I857),ISBLANK(J857), ISBLANK(K857), ISBLANK(L857), ISBLANK(M857) ), "", 1.5*SQRT( EXP(2.21*(I857-1)) + EXP(2.21*(J857-1)) + EXP(2.21*(K857-1)) + EXP(2.21*(L857-1)) + EXP(2.21*M857)   )/100*2.45 )</f>
        <v/>
      </c>
      <c r="P857" s="63"/>
    </row>
    <row r="858" spans="1:16">
      <c r="A858" s="151" t="s">
        <v>121</v>
      </c>
      <c r="B858" s="34" t="s">
        <v>355</v>
      </c>
      <c r="C858" s="40" t="s">
        <v>139</v>
      </c>
      <c r="D858" s="34" t="s">
        <v>99</v>
      </c>
      <c r="E858" s="257">
        <v>0.27563499529633112</v>
      </c>
      <c r="F858" s="232">
        <v>1</v>
      </c>
      <c r="G858" s="40"/>
      <c r="H858" s="29">
        <v>3</v>
      </c>
      <c r="I858" s="9">
        <v>3</v>
      </c>
      <c r="J858" s="9">
        <v>2</v>
      </c>
      <c r="K858" s="9">
        <v>2</v>
      </c>
      <c r="L858" s="9">
        <v>1</v>
      </c>
      <c r="M858" s="9">
        <v>2</v>
      </c>
      <c r="N858" s="185">
        <f t="shared" si="59"/>
        <v>0.50042652380814845</v>
      </c>
      <c r="O858" s="159">
        <f t="shared" si="60"/>
        <v>0.50042652380814845</v>
      </c>
      <c r="P858" s="63"/>
    </row>
    <row r="859" spans="1:16">
      <c r="A859" s="289" t="s">
        <v>234</v>
      </c>
      <c r="B859" s="55" t="s">
        <v>232</v>
      </c>
      <c r="C859" s="262" t="s">
        <v>139</v>
      </c>
      <c r="D859" s="55" t="s">
        <v>139</v>
      </c>
      <c r="E859" s="257">
        <v>1.7569999999999999E-2</v>
      </c>
      <c r="F859" s="232">
        <v>2</v>
      </c>
      <c r="G859" s="262" t="s">
        <v>168</v>
      </c>
      <c r="H859" s="29">
        <v>2</v>
      </c>
      <c r="I859" s="9">
        <v>2</v>
      </c>
      <c r="J859" s="9">
        <v>3</v>
      </c>
      <c r="K859" s="9">
        <v>1</v>
      </c>
      <c r="L859" s="9">
        <v>1</v>
      </c>
      <c r="M859" s="9">
        <v>1</v>
      </c>
      <c r="N859" s="185">
        <f t="shared" si="59"/>
        <v>0.37356464144298934</v>
      </c>
      <c r="O859" s="159">
        <f t="shared" si="60"/>
        <v>0.37356464144298934</v>
      </c>
      <c r="P859" s="63"/>
    </row>
    <row r="860" spans="1:16">
      <c r="A860" s="289" t="s">
        <v>360</v>
      </c>
      <c r="B860" s="55" t="s">
        <v>232</v>
      </c>
      <c r="C860" s="262" t="s">
        <v>139</v>
      </c>
      <c r="D860" s="55" t="s">
        <v>139</v>
      </c>
      <c r="E860" s="257" t="s">
        <v>150</v>
      </c>
      <c r="F860" s="232">
        <v>1</v>
      </c>
      <c r="G860" s="262" t="s">
        <v>163</v>
      </c>
      <c r="H860" s="29">
        <v>2</v>
      </c>
      <c r="I860" s="9">
        <v>2</v>
      </c>
      <c r="J860" s="9">
        <v>1</v>
      </c>
      <c r="K860" s="9">
        <v>1</v>
      </c>
      <c r="L860" s="9">
        <v>1</v>
      </c>
      <c r="M860" s="9">
        <v>3</v>
      </c>
      <c r="N860" s="185">
        <f t="shared" si="59"/>
        <v>1.0195048044558224</v>
      </c>
      <c r="O860" s="159">
        <f t="shared" si="60"/>
        <v>1.0195048044558224</v>
      </c>
      <c r="P860" s="63"/>
    </row>
    <row r="861" spans="1:16">
      <c r="A861" s="151" t="s">
        <v>256</v>
      </c>
      <c r="B861" s="34" t="s">
        <v>259</v>
      </c>
      <c r="C861" s="40" t="s">
        <v>139</v>
      </c>
      <c r="D861" s="34" t="s">
        <v>139</v>
      </c>
      <c r="E861" s="257" t="s">
        <v>150</v>
      </c>
      <c r="F861" s="34">
        <v>1</v>
      </c>
      <c r="G861" s="40"/>
      <c r="H861" s="29"/>
      <c r="I861" s="9"/>
      <c r="J861" s="9"/>
      <c r="K861" s="9"/>
      <c r="L861" s="9"/>
      <c r="M861" s="9"/>
      <c r="N861" s="185" t="str">
        <f t="shared" si="59"/>
        <v/>
      </c>
      <c r="O861" s="159" t="str">
        <f t="shared" si="60"/>
        <v/>
      </c>
      <c r="P861" s="63"/>
    </row>
    <row r="862" spans="1:16">
      <c r="A862" s="151" t="s">
        <v>363</v>
      </c>
      <c r="B862" s="34" t="s">
        <v>209</v>
      </c>
      <c r="C862" s="40" t="s">
        <v>139</v>
      </c>
      <c r="D862" s="34" t="s">
        <v>139</v>
      </c>
      <c r="E862" s="257" t="s">
        <v>150</v>
      </c>
      <c r="F862" s="232">
        <v>1</v>
      </c>
      <c r="G862" s="40"/>
      <c r="H862" s="29"/>
      <c r="I862" s="9"/>
      <c r="J862" s="9"/>
      <c r="K862" s="9"/>
      <c r="L862" s="9"/>
      <c r="M862" s="9"/>
      <c r="N862" s="185" t="str">
        <f t="shared" si="59"/>
        <v/>
      </c>
      <c r="O862" s="159" t="str">
        <f t="shared" si="60"/>
        <v/>
      </c>
      <c r="P862" s="63"/>
    </row>
    <row r="863" spans="1:16">
      <c r="A863" s="151" t="s">
        <v>232</v>
      </c>
      <c r="B863" s="34" t="s">
        <v>215</v>
      </c>
      <c r="C863" s="40" t="s">
        <v>139</v>
      </c>
      <c r="D863" s="34" t="s">
        <v>139</v>
      </c>
      <c r="E863" s="257" t="s">
        <v>150</v>
      </c>
      <c r="F863" s="232">
        <v>1</v>
      </c>
      <c r="G863" s="40"/>
      <c r="H863" s="29"/>
      <c r="I863" s="9"/>
      <c r="J863" s="9"/>
      <c r="K863" s="9"/>
      <c r="L863" s="9"/>
      <c r="M863" s="9"/>
      <c r="N863" s="185" t="str">
        <f t="shared" ref="N863:N872" si="61">IF( OR( ISBLANK(H863),ISBLANK(J863), ISBLANK(K863), ISBLANK(L863), ISBLANK(M863) ), "", 1.5*SQRT(   EXP(2.21*(H863-1)) + EXP(2.21*(J863-1)) + EXP(2.21*(K863-1)) + EXP(2.21*(L863-1)) + EXP(2.21*M863)   )/100*2.45 )</f>
        <v/>
      </c>
      <c r="O863" s="159" t="str">
        <f t="shared" ref="O863:O872" si="62">IF( OR( ISBLANK(I863),ISBLANK(J863), ISBLANK(K863), ISBLANK(L863), ISBLANK(M863) ), "", 1.5*SQRT( EXP(2.21*(I863-1)) + EXP(2.21*(J863-1)) + EXP(2.21*(K863-1)) + EXP(2.21*(L863-1)) + EXP(2.21*M863)   )/100*2.45 )</f>
        <v/>
      </c>
      <c r="P863" s="63"/>
    </row>
    <row r="864" spans="1:16">
      <c r="A864" s="151" t="s">
        <v>121</v>
      </c>
      <c r="B864" s="34" t="s">
        <v>422</v>
      </c>
      <c r="C864" s="40" t="s">
        <v>139</v>
      </c>
      <c r="D864" s="34" t="s">
        <v>85</v>
      </c>
      <c r="E864" s="257">
        <v>0</v>
      </c>
      <c r="F864" s="232">
        <v>1</v>
      </c>
      <c r="G864" s="40"/>
      <c r="H864" s="29"/>
      <c r="I864" s="9"/>
      <c r="J864" s="9"/>
      <c r="K864" s="9"/>
      <c r="L864" s="9"/>
      <c r="M864" s="9"/>
      <c r="N864" s="185" t="str">
        <f t="shared" si="61"/>
        <v/>
      </c>
      <c r="O864" s="159" t="str">
        <f t="shared" si="62"/>
        <v/>
      </c>
      <c r="P864" s="63"/>
    </row>
    <row r="865" spans="1:16">
      <c r="A865" s="151" t="s">
        <v>121</v>
      </c>
      <c r="B865" s="34" t="s">
        <v>422</v>
      </c>
      <c r="C865" s="40" t="s">
        <v>139</v>
      </c>
      <c r="D865" s="34" t="s">
        <v>86</v>
      </c>
      <c r="E865" s="257">
        <v>0</v>
      </c>
      <c r="F865" s="232">
        <v>1</v>
      </c>
      <c r="G865" s="40"/>
      <c r="H865" s="29"/>
      <c r="I865" s="9"/>
      <c r="J865" s="9"/>
      <c r="K865" s="9"/>
      <c r="L865" s="9"/>
      <c r="M865" s="9"/>
      <c r="N865" s="185" t="str">
        <f t="shared" si="61"/>
        <v/>
      </c>
      <c r="O865" s="159" t="str">
        <f t="shared" si="62"/>
        <v/>
      </c>
      <c r="P865" s="63"/>
    </row>
    <row r="866" spans="1:16">
      <c r="A866" s="151" t="s">
        <v>121</v>
      </c>
      <c r="B866" s="34" t="s">
        <v>422</v>
      </c>
      <c r="C866" s="40" t="s">
        <v>139</v>
      </c>
      <c r="D866" s="34" t="s">
        <v>87</v>
      </c>
      <c r="E866" s="257">
        <v>0</v>
      </c>
      <c r="F866" s="232">
        <v>1</v>
      </c>
      <c r="G866" s="40"/>
      <c r="H866" s="29"/>
      <c r="I866" s="9"/>
      <c r="J866" s="9"/>
      <c r="K866" s="9"/>
      <c r="L866" s="9"/>
      <c r="M866" s="9"/>
      <c r="N866" s="185" t="str">
        <f t="shared" si="61"/>
        <v/>
      </c>
      <c r="O866" s="159" t="str">
        <f t="shared" si="62"/>
        <v/>
      </c>
      <c r="P866" s="63"/>
    </row>
    <row r="867" spans="1:16">
      <c r="A867" s="151" t="s">
        <v>121</v>
      </c>
      <c r="B867" s="34" t="s">
        <v>422</v>
      </c>
      <c r="C867" s="40" t="s">
        <v>139</v>
      </c>
      <c r="D867" s="34" t="s">
        <v>88</v>
      </c>
      <c r="E867" s="257">
        <v>0</v>
      </c>
      <c r="F867" s="232">
        <v>1</v>
      </c>
      <c r="G867" s="40"/>
      <c r="H867" s="29"/>
      <c r="I867" s="9"/>
      <c r="J867" s="9"/>
      <c r="K867" s="9"/>
      <c r="L867" s="9"/>
      <c r="M867" s="9"/>
      <c r="N867" s="185" t="str">
        <f t="shared" si="61"/>
        <v/>
      </c>
      <c r="O867" s="159" t="str">
        <f t="shared" si="62"/>
        <v/>
      </c>
      <c r="P867" s="63"/>
    </row>
    <row r="868" spans="1:16">
      <c r="A868" s="151" t="s">
        <v>121</v>
      </c>
      <c r="B868" s="34" t="s">
        <v>422</v>
      </c>
      <c r="C868" s="40" t="s">
        <v>139</v>
      </c>
      <c r="D868" s="34" t="s">
        <v>89</v>
      </c>
      <c r="E868" s="257">
        <v>0</v>
      </c>
      <c r="F868" s="232">
        <v>1</v>
      </c>
      <c r="G868" s="40"/>
      <c r="H868" s="29"/>
      <c r="I868" s="9"/>
      <c r="J868" s="9"/>
      <c r="K868" s="9"/>
      <c r="L868" s="9"/>
      <c r="M868" s="9"/>
      <c r="N868" s="185" t="str">
        <f t="shared" si="61"/>
        <v/>
      </c>
      <c r="O868" s="159" t="str">
        <f t="shared" si="62"/>
        <v/>
      </c>
      <c r="P868" s="63"/>
    </row>
    <row r="869" spans="1:16">
      <c r="A869" s="151" t="s">
        <v>121</v>
      </c>
      <c r="B869" s="34" t="s">
        <v>422</v>
      </c>
      <c r="C869" s="40" t="s">
        <v>139</v>
      </c>
      <c r="D869" s="34" t="s">
        <v>90</v>
      </c>
      <c r="E869" s="257">
        <v>1</v>
      </c>
      <c r="F869" s="232">
        <v>1</v>
      </c>
      <c r="G869" s="40"/>
      <c r="H869" s="29">
        <v>2</v>
      </c>
      <c r="I869" s="9">
        <v>2</v>
      </c>
      <c r="J869" s="9">
        <v>2</v>
      </c>
      <c r="K869" s="9">
        <v>2</v>
      </c>
      <c r="L869" s="9">
        <v>1</v>
      </c>
      <c r="M869" s="9">
        <v>2</v>
      </c>
      <c r="N869" s="185">
        <f t="shared" si="61"/>
        <v>0.38795788889711302</v>
      </c>
      <c r="O869" s="159">
        <f t="shared" si="62"/>
        <v>0.38795788889711302</v>
      </c>
      <c r="P869" s="63"/>
    </row>
    <row r="870" spans="1:16">
      <c r="A870" s="151" t="s">
        <v>121</v>
      </c>
      <c r="B870" s="34" t="s">
        <v>422</v>
      </c>
      <c r="C870" s="40" t="s">
        <v>139</v>
      </c>
      <c r="D870" s="34" t="s">
        <v>91</v>
      </c>
      <c r="E870" s="257">
        <v>0</v>
      </c>
      <c r="F870" s="232">
        <v>1</v>
      </c>
      <c r="G870" s="40"/>
      <c r="H870" s="29"/>
      <c r="I870" s="9"/>
      <c r="J870" s="9"/>
      <c r="K870" s="9"/>
      <c r="L870" s="9"/>
      <c r="M870" s="9"/>
      <c r="N870" s="185" t="str">
        <f t="shared" si="61"/>
        <v/>
      </c>
      <c r="O870" s="159" t="str">
        <f t="shared" si="62"/>
        <v/>
      </c>
      <c r="P870" s="63"/>
    </row>
    <row r="871" spans="1:16">
      <c r="A871" s="151" t="s">
        <v>121</v>
      </c>
      <c r="B871" s="34" t="s">
        <v>422</v>
      </c>
      <c r="C871" s="40" t="s">
        <v>139</v>
      </c>
      <c r="D871" s="34" t="s">
        <v>95</v>
      </c>
      <c r="E871" s="257">
        <v>0</v>
      </c>
      <c r="F871" s="232">
        <v>1</v>
      </c>
      <c r="G871" s="40"/>
      <c r="H871" s="29"/>
      <c r="I871" s="9"/>
      <c r="J871" s="9"/>
      <c r="K871" s="9"/>
      <c r="L871" s="9"/>
      <c r="M871" s="9"/>
      <c r="N871" s="185" t="str">
        <f t="shared" si="61"/>
        <v/>
      </c>
      <c r="O871" s="159" t="str">
        <f t="shared" si="62"/>
        <v/>
      </c>
      <c r="P871" s="63"/>
    </row>
    <row r="872" spans="1:16">
      <c r="A872" s="151" t="s">
        <v>121</v>
      </c>
      <c r="B872" s="34" t="s">
        <v>422</v>
      </c>
      <c r="C872" s="40" t="s">
        <v>139</v>
      </c>
      <c r="D872" s="34" t="s">
        <v>99</v>
      </c>
      <c r="E872" s="257">
        <v>0</v>
      </c>
      <c r="F872" s="232">
        <v>1</v>
      </c>
      <c r="G872" s="40"/>
      <c r="H872" s="29"/>
      <c r="I872" s="9"/>
      <c r="J872" s="9"/>
      <c r="K872" s="9"/>
      <c r="L872" s="9"/>
      <c r="M872" s="9"/>
      <c r="N872" s="185" t="str">
        <f t="shared" si="61"/>
        <v/>
      </c>
      <c r="O872" s="159" t="str">
        <f t="shared" si="62"/>
        <v/>
      </c>
      <c r="P872" s="63"/>
    </row>
    <row r="873" spans="1:16">
      <c r="A873" s="289" t="s">
        <v>417</v>
      </c>
      <c r="B873" s="37" t="s">
        <v>248</v>
      </c>
      <c r="C873" s="262" t="s">
        <v>139</v>
      </c>
      <c r="D873" s="55" t="s">
        <v>139</v>
      </c>
      <c r="E873" s="257" t="s">
        <v>150</v>
      </c>
      <c r="F873" s="232">
        <v>2</v>
      </c>
      <c r="G873" s="262"/>
      <c r="H873" s="29"/>
      <c r="I873" s="9"/>
      <c r="J873" s="9"/>
      <c r="K873" s="9"/>
      <c r="L873" s="9"/>
      <c r="M873" s="9"/>
      <c r="N873" s="185" t="str">
        <f t="shared" ref="N873:N879" si="63">IF( OR( ISBLANK(H873),ISBLANK(J873), ISBLANK(K873), ISBLANK(L873), ISBLANK(M873) ), "", 1.5*SQRT(   EXP(2.21*(H873-1)) + EXP(2.21*(J873-1)) + EXP(2.21*(K873-1)) + EXP(2.21*(L873-1)) + EXP(2.21*M873)   )/100*2.45 )</f>
        <v/>
      </c>
      <c r="O873" s="159" t="str">
        <f>IF( OR( ISBLANK(I873),ISBLANK(J873), ISBLANK(K873), ISBLANK(L873), ISBLANK(M873) ), "", 1.5*SQRT( EXP(2.21*(I873-1)) + EXP(2.21*(J873-1)) + EXP(2.21*(K873-1)) + EXP(2.21*(L873-1)) + EXP(2.21*M873)   )/100*2.45 )</f>
        <v/>
      </c>
      <c r="P873" s="63"/>
    </row>
    <row r="874" spans="1:16" s="16" customFormat="1">
      <c r="A874" s="335" t="s">
        <v>417</v>
      </c>
      <c r="B874" s="34" t="s">
        <v>232</v>
      </c>
      <c r="C874" s="40" t="s">
        <v>139</v>
      </c>
      <c r="D874" s="34" t="s">
        <v>139</v>
      </c>
      <c r="E874" s="848">
        <f>0.004*0.0001/100</f>
        <v>4.0000000000000002E-9</v>
      </c>
      <c r="F874" s="69">
        <v>2</v>
      </c>
      <c r="G874" s="515" t="s">
        <v>1995</v>
      </c>
      <c r="H874" s="29">
        <v>2</v>
      </c>
      <c r="I874" s="9">
        <v>1</v>
      </c>
      <c r="J874" s="9">
        <v>2</v>
      </c>
      <c r="K874" s="9">
        <v>3</v>
      </c>
      <c r="L874" s="9">
        <v>3</v>
      </c>
      <c r="M874" s="9">
        <v>2</v>
      </c>
      <c r="N874" s="185">
        <f t="shared" si="63"/>
        <v>0.60108474454521421</v>
      </c>
      <c r="O874" s="834"/>
      <c r="P874" s="841"/>
    </row>
    <row r="875" spans="1:16" s="16" customFormat="1">
      <c r="A875" s="335" t="s">
        <v>417</v>
      </c>
      <c r="B875" s="34" t="s">
        <v>232</v>
      </c>
      <c r="C875" s="40" t="s">
        <v>139</v>
      </c>
      <c r="D875" s="34" t="s">
        <v>139</v>
      </c>
      <c r="E875" s="848">
        <f>0.004*0.04/100</f>
        <v>1.6000000000000001E-6</v>
      </c>
      <c r="F875" s="69">
        <v>2</v>
      </c>
      <c r="G875" s="515" t="s">
        <v>1995</v>
      </c>
      <c r="H875" s="29">
        <v>2</v>
      </c>
      <c r="I875" s="9">
        <v>1</v>
      </c>
      <c r="J875" s="9">
        <v>2</v>
      </c>
      <c r="K875" s="9">
        <v>3</v>
      </c>
      <c r="L875" s="9">
        <v>3</v>
      </c>
      <c r="M875" s="9">
        <v>2</v>
      </c>
      <c r="N875" s="185">
        <f t="shared" si="63"/>
        <v>0.60108474454521421</v>
      </c>
      <c r="O875" s="834"/>
      <c r="P875" s="841"/>
    </row>
    <row r="876" spans="1:16" s="16" customFormat="1">
      <c r="A876" s="335" t="s">
        <v>417</v>
      </c>
      <c r="B876" s="34" t="s">
        <v>251</v>
      </c>
      <c r="C876" s="40" t="s">
        <v>139</v>
      </c>
      <c r="D876" s="34" t="s">
        <v>139</v>
      </c>
      <c r="E876" s="848">
        <f>(1-0.008)*0.0001/100</f>
        <v>9.9199999999999999E-7</v>
      </c>
      <c r="F876" s="69">
        <v>2</v>
      </c>
      <c r="G876" s="515" t="s">
        <v>1995</v>
      </c>
      <c r="H876" s="29">
        <v>2</v>
      </c>
      <c r="I876" s="9">
        <v>1</v>
      </c>
      <c r="J876" s="9">
        <v>2</v>
      </c>
      <c r="K876" s="9">
        <v>3</v>
      </c>
      <c r="L876" s="9">
        <v>3</v>
      </c>
      <c r="M876" s="9">
        <v>2</v>
      </c>
      <c r="N876" s="185">
        <f t="shared" si="63"/>
        <v>0.60108474454521421</v>
      </c>
      <c r="O876" s="834"/>
      <c r="P876" s="841"/>
    </row>
    <row r="877" spans="1:16" s="16" customFormat="1">
      <c r="A877" s="335" t="s">
        <v>417</v>
      </c>
      <c r="B877" s="34" t="s">
        <v>251</v>
      </c>
      <c r="C877" s="40" t="s">
        <v>139</v>
      </c>
      <c r="D877" s="34" t="s">
        <v>139</v>
      </c>
      <c r="E877" s="848">
        <f>(1-0.008)*0.04/100</f>
        <v>3.968E-4</v>
      </c>
      <c r="F877" s="69">
        <v>2</v>
      </c>
      <c r="G877" s="515" t="s">
        <v>1995</v>
      </c>
      <c r="H877" s="29">
        <v>2</v>
      </c>
      <c r="I877" s="9">
        <v>1</v>
      </c>
      <c r="J877" s="9">
        <v>2</v>
      </c>
      <c r="K877" s="9">
        <v>3</v>
      </c>
      <c r="L877" s="9">
        <v>3</v>
      </c>
      <c r="M877" s="9">
        <v>2</v>
      </c>
      <c r="N877" s="185">
        <f t="shared" si="63"/>
        <v>0.60108474454521421</v>
      </c>
      <c r="O877" s="834"/>
      <c r="P877" s="841"/>
    </row>
    <row r="878" spans="1:16" s="16" customFormat="1">
      <c r="A878" s="335" t="s">
        <v>417</v>
      </c>
      <c r="B878" s="34" t="s">
        <v>231</v>
      </c>
      <c r="C878" s="40" t="s">
        <v>139</v>
      </c>
      <c r="D878" s="34" t="s">
        <v>139</v>
      </c>
      <c r="E878" s="848">
        <f>0.004*0.0001/100</f>
        <v>4.0000000000000002E-9</v>
      </c>
      <c r="F878" s="69">
        <v>2</v>
      </c>
      <c r="G878" s="515" t="s">
        <v>1995</v>
      </c>
      <c r="H878" s="29">
        <v>2</v>
      </c>
      <c r="I878" s="9">
        <v>1</v>
      </c>
      <c r="J878" s="9">
        <v>2</v>
      </c>
      <c r="K878" s="9">
        <v>3</v>
      </c>
      <c r="L878" s="9">
        <v>3</v>
      </c>
      <c r="M878" s="9">
        <v>2</v>
      </c>
      <c r="N878" s="185">
        <f t="shared" si="63"/>
        <v>0.60108474454521421</v>
      </c>
      <c r="O878" s="834"/>
      <c r="P878" s="841"/>
    </row>
    <row r="879" spans="1:16" s="16" customFormat="1">
      <c r="A879" s="335" t="s">
        <v>417</v>
      </c>
      <c r="B879" s="34" t="s">
        <v>231</v>
      </c>
      <c r="C879" s="40" t="s">
        <v>139</v>
      </c>
      <c r="D879" s="34" t="s">
        <v>139</v>
      </c>
      <c r="E879" s="848">
        <f>0.004*0.04/100</f>
        <v>1.6000000000000001E-6</v>
      </c>
      <c r="F879" s="69">
        <v>2</v>
      </c>
      <c r="G879" s="515" t="s">
        <v>1995</v>
      </c>
      <c r="H879" s="29">
        <v>2</v>
      </c>
      <c r="I879" s="9">
        <v>1</v>
      </c>
      <c r="J879" s="9">
        <v>2</v>
      </c>
      <c r="K879" s="9">
        <v>3</v>
      </c>
      <c r="L879" s="9">
        <v>3</v>
      </c>
      <c r="M879" s="9">
        <v>2</v>
      </c>
      <c r="N879" s="185">
        <f t="shared" si="63"/>
        <v>0.60108474454521421</v>
      </c>
      <c r="O879" s="834"/>
      <c r="P879" s="841"/>
    </row>
    <row r="880" spans="1:16">
      <c r="A880" s="151" t="s">
        <v>256</v>
      </c>
      <c r="B880" s="34" t="s">
        <v>262</v>
      </c>
      <c r="C880" s="40" t="s">
        <v>139</v>
      </c>
      <c r="D880" s="34" t="s">
        <v>139</v>
      </c>
      <c r="E880" s="858">
        <v>9.9999999999999995E-7</v>
      </c>
      <c r="F880" s="34">
        <v>2</v>
      </c>
      <c r="G880" s="515" t="s">
        <v>1995</v>
      </c>
      <c r="H880" s="29">
        <v>2</v>
      </c>
      <c r="I880" s="9">
        <v>2</v>
      </c>
      <c r="J880" s="9">
        <v>3</v>
      </c>
      <c r="K880" s="9">
        <v>3</v>
      </c>
      <c r="L880" s="9">
        <v>3</v>
      </c>
      <c r="M880" s="9">
        <v>2</v>
      </c>
      <c r="N880" s="185">
        <f t="shared" ref="N880:N892" si="64">IF( OR( ISBLANK(H880),ISBLANK(J880), ISBLANK(K880), ISBLANK(L880), ISBLANK(M880) ), "", 1.5*SQRT(   EXP(2.21*(H880-1)) + EXP(2.21*(J880-1)) + EXP(2.21*(K880-1)) + EXP(2.21*(L880-1)) + EXP(2.21*M880)   )/100*2.45 )</f>
        <v>0.67913051197703389</v>
      </c>
      <c r="O880" s="159">
        <f t="shared" ref="O880:O911" si="65">IF( OR( ISBLANK(I880),ISBLANK(J880), ISBLANK(K880), ISBLANK(L880), ISBLANK(M880) ), "", 1.5*SQRT( EXP(2.21*(I880-1)) + EXP(2.21*(J880-1)) + EXP(2.21*(K880-1)) + EXP(2.21*(L880-1)) + EXP(2.21*M880)   )/100*2.45 )</f>
        <v>0.67913051197703389</v>
      </c>
      <c r="P880" s="842" t="s">
        <v>1993</v>
      </c>
    </row>
    <row r="881" spans="1:868">
      <c r="A881" s="151" t="s">
        <v>256</v>
      </c>
      <c r="B881" s="34" t="s">
        <v>262</v>
      </c>
      <c r="C881" s="40" t="s">
        <v>139</v>
      </c>
      <c r="D881" s="34" t="s">
        <v>139</v>
      </c>
      <c r="E881" s="851">
        <f>0.05*(1-0.088)/100</f>
        <v>4.5600000000000003E-4</v>
      </c>
      <c r="F881" s="34">
        <v>2</v>
      </c>
      <c r="G881" s="515" t="s">
        <v>1995</v>
      </c>
      <c r="H881" s="29">
        <v>2</v>
      </c>
      <c r="I881" s="9">
        <v>2</v>
      </c>
      <c r="J881" s="9">
        <v>3</v>
      </c>
      <c r="K881" s="9">
        <v>3</v>
      </c>
      <c r="L881" s="9">
        <v>3</v>
      </c>
      <c r="M881" s="9">
        <v>2</v>
      </c>
      <c r="N881" s="185">
        <f t="shared" si="64"/>
        <v>0.67913051197703389</v>
      </c>
      <c r="O881" s="159">
        <f t="shared" si="65"/>
        <v>0.67913051197703389</v>
      </c>
      <c r="P881" s="842" t="s">
        <v>1993</v>
      </c>
    </row>
    <row r="882" spans="1:868">
      <c r="A882" s="335" t="s">
        <v>256</v>
      </c>
      <c r="B882" s="69" t="s">
        <v>431</v>
      </c>
      <c r="C882" s="848" t="s">
        <v>139</v>
      </c>
      <c r="D882" s="69" t="s">
        <v>139</v>
      </c>
      <c r="E882" s="858">
        <v>9.9999999999999995E-7</v>
      </c>
      <c r="F882" s="69">
        <v>2</v>
      </c>
      <c r="G882" s="515" t="s">
        <v>1999</v>
      </c>
      <c r="H882" s="835">
        <v>2</v>
      </c>
      <c r="I882" s="310">
        <v>2</v>
      </c>
      <c r="J882" s="310">
        <v>3</v>
      </c>
      <c r="K882" s="310">
        <v>3</v>
      </c>
      <c r="L882" s="310">
        <v>3</v>
      </c>
      <c r="M882" s="310">
        <v>3</v>
      </c>
      <c r="N882" s="185">
        <f t="shared" si="64"/>
        <v>1.1713319510247036</v>
      </c>
      <c r="O882" s="159">
        <f t="shared" si="65"/>
        <v>1.1713319510247036</v>
      </c>
      <c r="P882" s="841"/>
    </row>
    <row r="883" spans="1:868">
      <c r="A883" s="335" t="s">
        <v>256</v>
      </c>
      <c r="B883" s="69" t="s">
        <v>431</v>
      </c>
      <c r="C883" s="848" t="s">
        <v>139</v>
      </c>
      <c r="D883" s="69" t="s">
        <v>139</v>
      </c>
      <c r="E883" s="851">
        <f>0.05*0.088/100</f>
        <v>4.4000000000000006E-5</v>
      </c>
      <c r="F883" s="69">
        <v>2</v>
      </c>
      <c r="G883" s="515" t="s">
        <v>1999</v>
      </c>
      <c r="H883" s="835">
        <v>2</v>
      </c>
      <c r="I883" s="310">
        <v>2</v>
      </c>
      <c r="J883" s="310">
        <v>3</v>
      </c>
      <c r="K883" s="310">
        <v>3</v>
      </c>
      <c r="L883" s="310">
        <v>3</v>
      </c>
      <c r="M883" s="310">
        <v>2</v>
      </c>
      <c r="N883" s="185">
        <f t="shared" si="64"/>
        <v>0.67913051197703389</v>
      </c>
      <c r="O883" s="159">
        <f t="shared" si="65"/>
        <v>0.67913051197703389</v>
      </c>
      <c r="P883" s="841"/>
    </row>
    <row r="884" spans="1:868">
      <c r="A884" s="151" t="s">
        <v>262</v>
      </c>
      <c r="B884" s="34" t="s">
        <v>258</v>
      </c>
      <c r="C884" s="40" t="s">
        <v>139</v>
      </c>
      <c r="D884" s="34" t="s">
        <v>139</v>
      </c>
      <c r="E884" s="257">
        <v>0.25</v>
      </c>
      <c r="F884" s="34">
        <v>2</v>
      </c>
      <c r="G884" s="515" t="s">
        <v>1996</v>
      </c>
      <c r="H884" s="29">
        <v>2</v>
      </c>
      <c r="I884" s="9">
        <v>2</v>
      </c>
      <c r="J884" s="9">
        <v>3</v>
      </c>
      <c r="K884" s="9">
        <v>3</v>
      </c>
      <c r="L884" s="9">
        <v>3</v>
      </c>
      <c r="M884" s="9">
        <v>2</v>
      </c>
      <c r="N884" s="185">
        <f t="shared" si="64"/>
        <v>0.67913051197703389</v>
      </c>
      <c r="O884" s="159">
        <f t="shared" si="65"/>
        <v>0.67913051197703389</v>
      </c>
      <c r="P884" s="63" t="s">
        <v>1994</v>
      </c>
    </row>
    <row r="885" spans="1:868">
      <c r="A885" s="151" t="s">
        <v>262</v>
      </c>
      <c r="B885" s="34" t="s">
        <v>251</v>
      </c>
      <c r="C885" s="40" t="s">
        <v>139</v>
      </c>
      <c r="D885" s="34" t="s">
        <v>139</v>
      </c>
      <c r="E885" s="257">
        <v>0.75</v>
      </c>
      <c r="F885" s="34">
        <v>2</v>
      </c>
      <c r="G885" s="515" t="s">
        <v>1996</v>
      </c>
      <c r="H885" s="29">
        <v>2</v>
      </c>
      <c r="I885" s="9">
        <v>2</v>
      </c>
      <c r="J885" s="9">
        <v>3</v>
      </c>
      <c r="K885" s="9">
        <v>3</v>
      </c>
      <c r="L885" s="9">
        <v>3</v>
      </c>
      <c r="M885" s="9">
        <v>2</v>
      </c>
      <c r="N885" s="185">
        <f t="shared" si="64"/>
        <v>0.67913051197703389</v>
      </c>
      <c r="O885" s="159">
        <f t="shared" si="65"/>
        <v>0.67913051197703389</v>
      </c>
      <c r="P885" s="63" t="s">
        <v>1994</v>
      </c>
    </row>
    <row r="886" spans="1:868">
      <c r="A886" s="151" t="s">
        <v>259</v>
      </c>
      <c r="B886" s="34" t="s">
        <v>261</v>
      </c>
      <c r="C886" s="40" t="s">
        <v>139</v>
      </c>
      <c r="D886" s="34" t="s">
        <v>139</v>
      </c>
      <c r="E886" s="851">
        <v>9.9999999999999995E-7</v>
      </c>
      <c r="F886" s="34">
        <v>2</v>
      </c>
      <c r="G886" s="515" t="s">
        <v>1995</v>
      </c>
      <c r="H886" s="29">
        <v>2</v>
      </c>
      <c r="I886" s="9">
        <v>2</v>
      </c>
      <c r="J886" s="9">
        <v>3</v>
      </c>
      <c r="K886" s="9">
        <v>3</v>
      </c>
      <c r="L886" s="9">
        <v>3</v>
      </c>
      <c r="M886" s="9">
        <v>2</v>
      </c>
      <c r="N886" s="185">
        <f t="shared" si="64"/>
        <v>0.67913051197703389</v>
      </c>
      <c r="O886" s="159">
        <f t="shared" si="65"/>
        <v>0.67913051197703389</v>
      </c>
      <c r="P886" s="842" t="s">
        <v>1993</v>
      </c>
    </row>
    <row r="887" spans="1:868">
      <c r="A887" s="151" t="s">
        <v>259</v>
      </c>
      <c r="B887" s="34" t="s">
        <v>261</v>
      </c>
      <c r="C887" s="40" t="s">
        <v>139</v>
      </c>
      <c r="D887" s="34" t="s">
        <v>139</v>
      </c>
      <c r="E887" s="851">
        <v>4.0000000000000002E-4</v>
      </c>
      <c r="F887" s="34">
        <v>2</v>
      </c>
      <c r="G887" s="515" t="s">
        <v>1995</v>
      </c>
      <c r="H887" s="29">
        <v>2</v>
      </c>
      <c r="I887" s="9">
        <v>2</v>
      </c>
      <c r="J887" s="9">
        <v>3</v>
      </c>
      <c r="K887" s="9">
        <v>3</v>
      </c>
      <c r="L887" s="9">
        <v>3</v>
      </c>
      <c r="M887" s="9">
        <v>2</v>
      </c>
      <c r="N887" s="185">
        <f t="shared" si="64"/>
        <v>0.67913051197703389</v>
      </c>
      <c r="O887" s="159">
        <f t="shared" si="65"/>
        <v>0.67913051197703389</v>
      </c>
      <c r="P887" s="842" t="s">
        <v>1993</v>
      </c>
    </row>
    <row r="888" spans="1:868">
      <c r="A888" s="151" t="s">
        <v>109</v>
      </c>
      <c r="B888" s="34" t="s">
        <v>261</v>
      </c>
      <c r="C888" s="40" t="s">
        <v>139</v>
      </c>
      <c r="D888" s="34" t="s">
        <v>139</v>
      </c>
      <c r="E888" s="851">
        <v>9.9999999999999995E-7</v>
      </c>
      <c r="F888" s="34">
        <v>2</v>
      </c>
      <c r="G888" s="515" t="s">
        <v>1995</v>
      </c>
      <c r="H888" s="29">
        <v>2</v>
      </c>
      <c r="I888" s="9">
        <v>2</v>
      </c>
      <c r="J888" s="9">
        <v>3</v>
      </c>
      <c r="K888" s="9">
        <v>3</v>
      </c>
      <c r="L888" s="9">
        <v>3</v>
      </c>
      <c r="M888" s="9">
        <v>2</v>
      </c>
      <c r="N888" s="185">
        <f t="shared" si="64"/>
        <v>0.67913051197703389</v>
      </c>
      <c r="O888" s="159">
        <f t="shared" si="65"/>
        <v>0.67913051197703389</v>
      </c>
      <c r="P888" s="63" t="s">
        <v>525</v>
      </c>
    </row>
    <row r="889" spans="1:868">
      <c r="A889" s="151" t="s">
        <v>109</v>
      </c>
      <c r="B889" s="34" t="s">
        <v>261</v>
      </c>
      <c r="C889" s="40" t="s">
        <v>139</v>
      </c>
      <c r="D889" s="34" t="s">
        <v>139</v>
      </c>
      <c r="E889" s="851">
        <v>4.0000000000000002E-4</v>
      </c>
      <c r="F889" s="34">
        <v>2</v>
      </c>
      <c r="G889" s="515" t="s">
        <v>1995</v>
      </c>
      <c r="H889" s="29">
        <v>2</v>
      </c>
      <c r="I889" s="9">
        <v>2</v>
      </c>
      <c r="J889" s="9">
        <v>3</v>
      </c>
      <c r="K889" s="9">
        <v>3</v>
      </c>
      <c r="L889" s="9">
        <v>3</v>
      </c>
      <c r="M889" s="9">
        <v>2</v>
      </c>
      <c r="N889" s="185">
        <f t="shared" si="64"/>
        <v>0.67913051197703389</v>
      </c>
      <c r="O889" s="159">
        <f t="shared" si="65"/>
        <v>0.67913051197703389</v>
      </c>
      <c r="P889" s="63" t="s">
        <v>525</v>
      </c>
    </row>
    <row r="890" spans="1:868">
      <c r="A890" s="151" t="s">
        <v>261</v>
      </c>
      <c r="B890" s="34" t="s">
        <v>254</v>
      </c>
      <c r="C890" s="40" t="s">
        <v>139</v>
      </c>
      <c r="D890" s="34" t="s">
        <v>139</v>
      </c>
      <c r="E890" s="851">
        <v>4.0000000000000001E-3</v>
      </c>
      <c r="F890" s="34">
        <v>2</v>
      </c>
      <c r="G890" s="515" t="s">
        <v>1996</v>
      </c>
      <c r="H890" s="29">
        <v>2</v>
      </c>
      <c r="I890" s="9">
        <v>2</v>
      </c>
      <c r="J890" s="9">
        <v>3</v>
      </c>
      <c r="K890" s="9">
        <v>3</v>
      </c>
      <c r="L890" s="9">
        <v>3</v>
      </c>
      <c r="M890" s="9">
        <v>2</v>
      </c>
      <c r="N890" s="185">
        <f t="shared" si="64"/>
        <v>0.67913051197703389</v>
      </c>
      <c r="O890" s="159">
        <f t="shared" si="65"/>
        <v>0.67913051197703389</v>
      </c>
      <c r="P890" s="63" t="s">
        <v>1994</v>
      </c>
    </row>
    <row r="891" spans="1:868">
      <c r="A891" s="151" t="s">
        <v>261</v>
      </c>
      <c r="B891" s="34" t="s">
        <v>251</v>
      </c>
      <c r="C891" s="40" t="s">
        <v>139</v>
      </c>
      <c r="D891" s="34" t="s">
        <v>139</v>
      </c>
      <c r="E891" s="851">
        <v>0.996</v>
      </c>
      <c r="F891" s="34">
        <v>2</v>
      </c>
      <c r="G891" s="515" t="s">
        <v>1996</v>
      </c>
      <c r="H891" s="29">
        <v>2</v>
      </c>
      <c r="I891" s="9">
        <v>2</v>
      </c>
      <c r="J891" s="9">
        <v>3</v>
      </c>
      <c r="K891" s="9">
        <v>3</v>
      </c>
      <c r="L891" s="9">
        <v>3</v>
      </c>
      <c r="M891" s="9">
        <v>2</v>
      </c>
      <c r="N891" s="185">
        <f t="shared" si="64"/>
        <v>0.67913051197703389</v>
      </c>
      <c r="O891" s="159">
        <f t="shared" si="65"/>
        <v>0.67913051197703389</v>
      </c>
      <c r="P891" s="63" t="s">
        <v>1994</v>
      </c>
    </row>
    <row r="892" spans="1:868" s="7" customFormat="1">
      <c r="A892" s="609" t="s">
        <v>118</v>
      </c>
      <c r="B892" s="59" t="s">
        <v>432</v>
      </c>
      <c r="C892" s="40" t="s">
        <v>139</v>
      </c>
      <c r="D892" s="34" t="s">
        <v>99</v>
      </c>
      <c r="E892" s="859">
        <v>0.10650572468270171</v>
      </c>
      <c r="F892" s="34">
        <v>2</v>
      </c>
      <c r="G892" s="40" t="s">
        <v>433</v>
      </c>
      <c r="H892" s="29">
        <v>1</v>
      </c>
      <c r="I892" s="9">
        <v>2</v>
      </c>
      <c r="J892" s="9">
        <v>2</v>
      </c>
      <c r="K892" s="9">
        <v>1</v>
      </c>
      <c r="L892" s="9">
        <v>1</v>
      </c>
      <c r="M892" s="9">
        <v>2</v>
      </c>
      <c r="N892" s="185">
        <f t="shared" si="64"/>
        <v>0.35859414261160716</v>
      </c>
      <c r="O892" s="159">
        <f t="shared" si="65"/>
        <v>0.37356464144298934</v>
      </c>
      <c r="P892" s="63"/>
      <c r="Q892" s="808"/>
      <c r="R892" s="808"/>
      <c r="S892" s="808"/>
      <c r="T892" s="808"/>
      <c r="U892" s="808"/>
      <c r="V892" s="808"/>
      <c r="W892" s="808"/>
      <c r="X892" s="808"/>
      <c r="Y892" s="808"/>
      <c r="Z892" s="808"/>
      <c r="AA892" s="808"/>
      <c r="AB892" s="808"/>
      <c r="AC892" s="808"/>
      <c r="AD892" s="808"/>
      <c r="AE892" s="808"/>
      <c r="AF892" s="808"/>
      <c r="AG892" s="808"/>
      <c r="AH892" s="808"/>
      <c r="AI892" s="808"/>
      <c r="AJ892" s="808"/>
      <c r="AK892" s="808"/>
      <c r="AL892" s="808"/>
      <c r="AM892" s="808"/>
      <c r="AN892" s="808"/>
      <c r="AO892" s="808"/>
      <c r="AP892" s="808"/>
      <c r="AQ892" s="808"/>
      <c r="AR892" s="808"/>
      <c r="AS892" s="808"/>
      <c r="AT892" s="808"/>
      <c r="AU892" s="808"/>
      <c r="AV892" s="808"/>
      <c r="AW892" s="808"/>
      <c r="AX892" s="808"/>
      <c r="AY892" s="808"/>
      <c r="AZ892" s="808"/>
      <c r="BA892" s="808"/>
      <c r="BB892" s="808"/>
      <c r="BC892" s="808"/>
      <c r="BD892" s="808"/>
      <c r="BE892" s="808"/>
      <c r="BF892" s="808"/>
      <c r="BG892" s="808"/>
      <c r="BH892" s="808"/>
      <c r="BI892" s="808"/>
      <c r="BJ892" s="808"/>
      <c r="BK892" s="808"/>
      <c r="BL892" s="808"/>
      <c r="BM892" s="808"/>
      <c r="BN892" s="808"/>
      <c r="BO892" s="808"/>
      <c r="BP892" s="808"/>
      <c r="BQ892" s="808"/>
      <c r="BR892" s="808"/>
      <c r="BS892" s="808"/>
      <c r="BT892" s="808"/>
      <c r="BU892" s="808"/>
      <c r="BV892" s="808"/>
      <c r="BW892" s="808"/>
      <c r="BX892" s="808"/>
      <c r="BY892" s="808"/>
      <c r="BZ892" s="808"/>
      <c r="CA892" s="808"/>
      <c r="CB892" s="808"/>
      <c r="CC892" s="808"/>
      <c r="CD892" s="808"/>
      <c r="CE892" s="808"/>
      <c r="CF892" s="808"/>
      <c r="CG892" s="808"/>
      <c r="CH892" s="808"/>
      <c r="CI892" s="808"/>
      <c r="CJ892" s="808"/>
      <c r="CK892" s="808"/>
      <c r="CL892" s="808"/>
      <c r="CM892" s="808"/>
      <c r="CN892" s="808"/>
      <c r="CO892" s="808"/>
      <c r="CP892" s="808"/>
      <c r="CQ892" s="808"/>
      <c r="CR892" s="808"/>
      <c r="CS892" s="808"/>
      <c r="CT892" s="808"/>
      <c r="CU892" s="808"/>
      <c r="CV892" s="808"/>
      <c r="CW892" s="808"/>
      <c r="CX892" s="808"/>
      <c r="CY892" s="808"/>
      <c r="CZ892" s="808"/>
      <c r="DA892" s="808"/>
      <c r="DB892" s="808"/>
      <c r="DC892" s="808"/>
      <c r="DD892" s="808"/>
      <c r="DE892" s="808"/>
      <c r="DF892" s="808"/>
      <c r="DG892" s="808"/>
      <c r="DH892" s="808"/>
      <c r="DI892" s="808"/>
      <c r="DJ892" s="808"/>
      <c r="DK892" s="808"/>
      <c r="DL892" s="808"/>
      <c r="DM892" s="808"/>
      <c r="DN892" s="808"/>
      <c r="DO892" s="808"/>
      <c r="DP892" s="808"/>
      <c r="DQ892" s="808"/>
      <c r="DR892" s="808"/>
      <c r="DS892" s="808"/>
      <c r="DT892" s="808"/>
      <c r="DU892" s="808"/>
      <c r="DV892" s="808"/>
      <c r="DW892" s="808"/>
      <c r="DX892" s="808"/>
      <c r="DY892" s="808"/>
      <c r="DZ892" s="808"/>
      <c r="EA892" s="808"/>
      <c r="EB892" s="808"/>
      <c r="EC892" s="808"/>
      <c r="ED892" s="808"/>
      <c r="EE892" s="808"/>
      <c r="EF892" s="808"/>
      <c r="EG892" s="808"/>
      <c r="EH892" s="808"/>
      <c r="EI892" s="808"/>
      <c r="EJ892" s="808"/>
      <c r="EK892" s="808"/>
      <c r="EL892" s="808"/>
      <c r="EM892" s="808"/>
      <c r="EN892" s="808"/>
      <c r="EO892" s="808"/>
      <c r="EP892" s="808"/>
      <c r="EQ892" s="808"/>
      <c r="ER892" s="808"/>
      <c r="ES892" s="808"/>
      <c r="ET892" s="808"/>
      <c r="EU892" s="808"/>
      <c r="EV892" s="808"/>
      <c r="EW892" s="808"/>
      <c r="EX892" s="808"/>
      <c r="EY892" s="808"/>
      <c r="EZ892" s="808"/>
      <c r="FA892" s="808"/>
      <c r="FB892" s="808"/>
      <c r="FC892" s="808"/>
      <c r="FD892" s="808"/>
      <c r="FE892" s="808"/>
      <c r="FF892" s="808"/>
      <c r="FG892" s="808"/>
      <c r="FH892" s="808"/>
      <c r="FI892" s="808"/>
      <c r="FJ892" s="808"/>
      <c r="FK892" s="808"/>
      <c r="FL892" s="808"/>
      <c r="FM892" s="808"/>
      <c r="FN892" s="808"/>
      <c r="FO892" s="808"/>
      <c r="FP892" s="808"/>
      <c r="FQ892" s="808"/>
      <c r="FR892" s="808"/>
      <c r="FS892" s="808"/>
      <c r="FT892" s="808"/>
      <c r="FU892" s="808"/>
      <c r="FV892" s="808"/>
      <c r="FW892" s="808"/>
      <c r="FX892" s="808"/>
      <c r="FY892" s="808"/>
      <c r="FZ892" s="808"/>
      <c r="GA892" s="808"/>
      <c r="GB892" s="808"/>
      <c r="GC892" s="808"/>
      <c r="GD892" s="808"/>
      <c r="GE892" s="808"/>
      <c r="GF892" s="808"/>
      <c r="GG892" s="808"/>
      <c r="GH892" s="808"/>
      <c r="GI892" s="808"/>
      <c r="GJ892" s="808"/>
      <c r="GK892" s="808"/>
      <c r="GL892" s="808"/>
      <c r="GM892" s="808"/>
      <c r="GN892" s="808"/>
      <c r="GO892" s="808"/>
      <c r="GP892" s="808"/>
      <c r="GQ892" s="808"/>
      <c r="GR892" s="808"/>
      <c r="GS892" s="808"/>
      <c r="GT892" s="808"/>
      <c r="GU892" s="808"/>
      <c r="GV892" s="808"/>
      <c r="GW892" s="808"/>
      <c r="GX892" s="808"/>
      <c r="GY892" s="808"/>
      <c r="GZ892" s="808"/>
      <c r="HA892" s="808"/>
      <c r="HB892" s="808"/>
      <c r="HC892" s="808"/>
      <c r="HD892" s="808"/>
      <c r="HE892" s="808"/>
      <c r="HF892" s="808"/>
      <c r="HG892" s="808"/>
      <c r="HH892" s="808"/>
      <c r="HI892" s="808"/>
      <c r="HJ892" s="808"/>
      <c r="HK892" s="808"/>
      <c r="HL892" s="808"/>
      <c r="HM892" s="808"/>
      <c r="HN892" s="808"/>
      <c r="HO892" s="808"/>
      <c r="HP892" s="808"/>
      <c r="HQ892" s="808"/>
      <c r="HR892" s="808"/>
      <c r="HS892" s="808"/>
      <c r="HT892" s="808"/>
      <c r="HU892" s="808"/>
      <c r="HV892" s="808"/>
      <c r="HW892" s="808"/>
      <c r="HX892" s="808"/>
      <c r="HY892" s="808"/>
      <c r="HZ892" s="808"/>
      <c r="IA892" s="808"/>
      <c r="IB892" s="808"/>
      <c r="IC892" s="808"/>
      <c r="ID892" s="808"/>
      <c r="IE892" s="808"/>
      <c r="IF892" s="808"/>
      <c r="IG892" s="808"/>
      <c r="IH892" s="808"/>
      <c r="II892" s="808"/>
      <c r="IJ892" s="808"/>
      <c r="IK892" s="808"/>
      <c r="IL892" s="808"/>
      <c r="IM892" s="808"/>
      <c r="IN892" s="808"/>
      <c r="IO892" s="808"/>
      <c r="IP892" s="808"/>
      <c r="IQ892" s="808"/>
      <c r="IR892" s="808"/>
      <c r="IS892" s="808"/>
      <c r="IT892" s="808"/>
      <c r="IU892" s="808"/>
      <c r="IV892" s="808"/>
      <c r="IW892" s="808"/>
      <c r="IX892" s="808"/>
      <c r="IY892" s="808"/>
      <c r="IZ892" s="808"/>
      <c r="JA892" s="808"/>
      <c r="JB892" s="808"/>
      <c r="JC892" s="808"/>
      <c r="JD892" s="808"/>
      <c r="JE892" s="808"/>
      <c r="JF892" s="808"/>
      <c r="JG892" s="808"/>
      <c r="JH892" s="808"/>
      <c r="JI892" s="808"/>
      <c r="JJ892" s="808"/>
      <c r="JK892" s="808"/>
      <c r="JL892" s="808"/>
      <c r="JM892" s="808"/>
      <c r="JN892" s="808"/>
      <c r="JO892" s="808"/>
      <c r="JP892" s="808"/>
      <c r="JQ892" s="808"/>
      <c r="JR892" s="808"/>
      <c r="JS892" s="808"/>
      <c r="JT892" s="808"/>
      <c r="JU892" s="808"/>
      <c r="JV892" s="808"/>
      <c r="JW892" s="808"/>
      <c r="JX892" s="808"/>
      <c r="JY892" s="808"/>
      <c r="JZ892" s="808"/>
      <c r="KA892" s="808"/>
      <c r="KB892" s="808"/>
      <c r="KC892" s="808"/>
      <c r="KD892" s="808"/>
      <c r="KE892" s="808"/>
      <c r="KF892" s="808"/>
      <c r="KG892" s="808"/>
      <c r="KH892" s="808"/>
      <c r="KI892" s="808"/>
      <c r="KJ892" s="808"/>
      <c r="KK892" s="808"/>
      <c r="KL892" s="808"/>
      <c r="KM892" s="808"/>
      <c r="KN892" s="808"/>
      <c r="KO892" s="808"/>
      <c r="KP892" s="808"/>
      <c r="KQ892" s="808"/>
      <c r="KR892" s="808"/>
      <c r="KS892" s="808"/>
      <c r="KT892" s="808"/>
      <c r="KU892" s="808"/>
      <c r="KV892" s="808"/>
      <c r="KW892" s="808"/>
      <c r="KX892" s="808"/>
      <c r="KY892" s="808"/>
      <c r="KZ892" s="808"/>
      <c r="LA892" s="808"/>
      <c r="LB892" s="808"/>
      <c r="LC892" s="808"/>
      <c r="LD892" s="808"/>
      <c r="LE892" s="808"/>
      <c r="LF892" s="808"/>
      <c r="LG892" s="808"/>
      <c r="LH892" s="808"/>
      <c r="LI892" s="808"/>
      <c r="LJ892" s="808"/>
      <c r="LK892" s="808"/>
      <c r="LL892" s="808"/>
      <c r="LM892" s="808"/>
      <c r="LN892" s="808"/>
      <c r="LO892" s="808"/>
      <c r="LP892" s="808"/>
      <c r="LQ892" s="808"/>
      <c r="LR892" s="808"/>
      <c r="LS892" s="808"/>
      <c r="LT892" s="808"/>
      <c r="LU892" s="808"/>
      <c r="LV892" s="808"/>
      <c r="LW892" s="808"/>
      <c r="LX892" s="808"/>
      <c r="LY892" s="808"/>
      <c r="LZ892" s="808"/>
      <c r="MA892" s="808"/>
      <c r="MB892" s="808"/>
      <c r="MC892" s="808"/>
      <c r="MD892" s="808"/>
      <c r="ME892" s="808"/>
      <c r="MF892" s="808"/>
      <c r="MG892" s="808"/>
      <c r="MH892" s="808"/>
      <c r="MI892" s="808"/>
      <c r="MJ892" s="808"/>
      <c r="MK892" s="808"/>
      <c r="ML892" s="808"/>
      <c r="MM892" s="808"/>
      <c r="MN892" s="808"/>
      <c r="MO892" s="808"/>
      <c r="MP892" s="808"/>
      <c r="MQ892" s="808"/>
      <c r="MR892" s="808"/>
      <c r="MS892" s="808"/>
      <c r="MT892" s="808"/>
      <c r="MU892" s="808"/>
      <c r="MV892" s="808"/>
      <c r="MW892" s="808"/>
      <c r="MX892" s="808"/>
      <c r="MY892" s="808"/>
      <c r="MZ892" s="808"/>
      <c r="NA892" s="808"/>
      <c r="NB892" s="808"/>
      <c r="NC892" s="808"/>
      <c r="ND892" s="808"/>
      <c r="NE892" s="808"/>
      <c r="NF892" s="808"/>
      <c r="NG892" s="808"/>
      <c r="NH892" s="808"/>
      <c r="NI892" s="808"/>
      <c r="NJ892" s="808"/>
      <c r="NK892" s="808"/>
      <c r="NL892" s="808"/>
      <c r="NM892" s="808"/>
      <c r="NN892" s="808"/>
      <c r="NO892" s="808"/>
      <c r="NP892" s="808"/>
      <c r="NQ892" s="808"/>
      <c r="NR892" s="808"/>
      <c r="NS892" s="808"/>
      <c r="NT892" s="808"/>
      <c r="NU892" s="808"/>
      <c r="NV892" s="808"/>
      <c r="NW892" s="808"/>
      <c r="NX892" s="808"/>
      <c r="NY892" s="808"/>
      <c r="NZ892" s="808"/>
      <c r="OA892" s="808"/>
      <c r="OB892" s="808"/>
      <c r="OC892" s="808"/>
      <c r="OD892" s="808"/>
      <c r="OE892" s="808"/>
      <c r="OF892" s="808"/>
      <c r="OG892" s="808"/>
      <c r="OH892" s="808"/>
      <c r="OI892" s="808"/>
      <c r="OJ892" s="808"/>
      <c r="OK892" s="808"/>
      <c r="OL892" s="808"/>
      <c r="OM892" s="808"/>
      <c r="ON892" s="808"/>
      <c r="OO892" s="808"/>
      <c r="OP892" s="808"/>
      <c r="OQ892" s="808"/>
      <c r="OR892" s="808"/>
      <c r="OS892" s="808"/>
      <c r="OT892" s="808"/>
      <c r="OU892" s="808"/>
      <c r="OV892" s="808"/>
      <c r="OW892" s="808"/>
      <c r="OX892" s="808"/>
      <c r="OY892" s="808"/>
      <c r="OZ892" s="808"/>
      <c r="PA892" s="808"/>
      <c r="PB892" s="808"/>
      <c r="PC892" s="808"/>
      <c r="PD892" s="808"/>
      <c r="PE892" s="808"/>
      <c r="PF892" s="808"/>
      <c r="PG892" s="808"/>
      <c r="PH892" s="808"/>
      <c r="PI892" s="808"/>
      <c r="PJ892" s="808"/>
      <c r="PK892" s="808"/>
      <c r="PL892" s="808"/>
      <c r="PM892" s="808"/>
      <c r="PN892" s="808"/>
      <c r="PO892" s="808"/>
      <c r="PP892" s="808"/>
      <c r="PQ892" s="808"/>
      <c r="PR892" s="808"/>
      <c r="PS892" s="808"/>
      <c r="PT892" s="808"/>
      <c r="PU892" s="808"/>
      <c r="PV892" s="808"/>
      <c r="PW892" s="808"/>
      <c r="PX892" s="808"/>
      <c r="PY892" s="808"/>
      <c r="PZ892" s="808"/>
      <c r="QA892" s="808"/>
      <c r="QB892" s="808"/>
      <c r="QC892" s="808"/>
      <c r="QD892" s="808"/>
      <c r="QE892" s="808"/>
      <c r="QF892" s="808"/>
      <c r="QG892" s="808"/>
      <c r="QH892" s="808"/>
      <c r="QI892" s="808"/>
      <c r="QJ892" s="808"/>
      <c r="QK892" s="808"/>
      <c r="QL892" s="808"/>
      <c r="QM892" s="808"/>
      <c r="QN892" s="808"/>
      <c r="QO892" s="808"/>
      <c r="QP892" s="808"/>
      <c r="QQ892" s="808"/>
      <c r="QR892" s="808"/>
      <c r="QS892" s="808"/>
      <c r="QT892" s="808"/>
      <c r="QU892" s="808"/>
      <c r="QV892" s="808"/>
      <c r="QW892" s="808"/>
      <c r="QX892" s="808"/>
      <c r="QY892" s="808"/>
      <c r="QZ892" s="808"/>
      <c r="RA892" s="808"/>
      <c r="RB892" s="808"/>
      <c r="RC892" s="808"/>
      <c r="RD892" s="808"/>
      <c r="RE892" s="808"/>
      <c r="RF892" s="808"/>
      <c r="RG892" s="808"/>
      <c r="RH892" s="808"/>
      <c r="RI892" s="808"/>
      <c r="RJ892" s="808"/>
      <c r="RK892" s="808"/>
      <c r="RL892" s="808"/>
      <c r="RM892" s="808"/>
      <c r="RN892" s="808"/>
      <c r="RO892" s="808"/>
      <c r="RP892" s="808"/>
      <c r="RQ892" s="808"/>
      <c r="RR892" s="808"/>
      <c r="RS892" s="808"/>
      <c r="RT892" s="808"/>
      <c r="RU892" s="808"/>
      <c r="RV892" s="808"/>
      <c r="RW892" s="808"/>
      <c r="RX892" s="808"/>
      <c r="RY892" s="808"/>
      <c r="RZ892" s="808"/>
      <c r="SA892" s="808"/>
      <c r="SB892" s="808"/>
      <c r="SC892" s="808"/>
      <c r="SD892" s="808"/>
      <c r="SE892" s="808"/>
      <c r="SF892" s="808"/>
      <c r="SG892" s="808"/>
      <c r="SH892" s="808"/>
      <c r="SI892" s="808"/>
      <c r="SJ892" s="808"/>
      <c r="SK892" s="808"/>
      <c r="SL892" s="808"/>
      <c r="SM892" s="808"/>
      <c r="SN892" s="808"/>
      <c r="SO892" s="808"/>
      <c r="SP892" s="808"/>
      <c r="SQ892" s="808"/>
      <c r="SR892" s="808"/>
      <c r="SS892" s="808"/>
      <c r="ST892" s="808"/>
      <c r="SU892" s="808"/>
      <c r="SV892" s="808"/>
      <c r="SW892" s="808"/>
      <c r="SX892" s="808"/>
      <c r="SY892" s="808"/>
      <c r="SZ892" s="808"/>
      <c r="TA892" s="808"/>
      <c r="TB892" s="808"/>
      <c r="TC892" s="808"/>
      <c r="TD892" s="808"/>
      <c r="TE892" s="808"/>
      <c r="TF892" s="808"/>
      <c r="TG892" s="808"/>
      <c r="TH892" s="808"/>
      <c r="TI892" s="808"/>
      <c r="TJ892" s="808"/>
      <c r="TK892" s="808"/>
      <c r="TL892" s="808"/>
      <c r="TM892" s="808"/>
      <c r="TN892" s="808"/>
      <c r="TO892" s="808"/>
      <c r="TP892" s="808"/>
      <c r="TQ892" s="808"/>
      <c r="TR892" s="808"/>
      <c r="TS892" s="808"/>
      <c r="TT892" s="808"/>
      <c r="TU892" s="808"/>
      <c r="TV892" s="808"/>
      <c r="TW892" s="808"/>
      <c r="TX892" s="808"/>
      <c r="TY892" s="808"/>
      <c r="TZ892" s="808"/>
      <c r="UA892" s="808"/>
      <c r="UB892" s="808"/>
      <c r="UC892" s="808"/>
      <c r="UD892" s="808"/>
      <c r="UE892" s="808"/>
      <c r="UF892" s="808"/>
      <c r="UG892" s="808"/>
      <c r="UH892" s="808"/>
      <c r="UI892" s="808"/>
      <c r="UJ892" s="808"/>
      <c r="UK892" s="808"/>
      <c r="UL892" s="808"/>
      <c r="UM892" s="808"/>
      <c r="UN892" s="808"/>
      <c r="UO892" s="808"/>
      <c r="UP892" s="808"/>
      <c r="UQ892" s="808"/>
      <c r="UR892" s="808"/>
      <c r="US892" s="808"/>
      <c r="UT892" s="808"/>
      <c r="UU892" s="808"/>
      <c r="UV892" s="808"/>
      <c r="UW892" s="808"/>
      <c r="UX892" s="808"/>
      <c r="UY892" s="808"/>
      <c r="UZ892" s="808"/>
      <c r="VA892" s="808"/>
      <c r="VB892" s="808"/>
      <c r="VC892" s="808"/>
      <c r="VD892" s="808"/>
      <c r="VE892" s="808"/>
      <c r="VF892" s="808"/>
      <c r="VG892" s="808"/>
      <c r="VH892" s="808"/>
      <c r="VI892" s="808"/>
      <c r="VJ892" s="808"/>
      <c r="VK892" s="808"/>
      <c r="VL892" s="808"/>
      <c r="VM892" s="808"/>
      <c r="VN892" s="808"/>
      <c r="VO892" s="808"/>
      <c r="VP892" s="808"/>
      <c r="VQ892" s="808"/>
      <c r="VR892" s="808"/>
      <c r="VS892" s="808"/>
      <c r="VT892" s="808"/>
      <c r="VU892" s="808"/>
      <c r="VV892" s="808"/>
      <c r="VW892" s="808"/>
      <c r="VX892" s="808"/>
      <c r="VY892" s="808"/>
      <c r="VZ892" s="808"/>
      <c r="WA892" s="808"/>
      <c r="WB892" s="808"/>
      <c r="WC892" s="808"/>
      <c r="WD892" s="808"/>
      <c r="WE892" s="808"/>
      <c r="WF892" s="808"/>
      <c r="WG892" s="808"/>
      <c r="WH892" s="808"/>
      <c r="WI892" s="808"/>
      <c r="WJ892" s="808"/>
      <c r="WK892" s="808"/>
      <c r="WL892" s="808"/>
      <c r="WM892" s="808"/>
      <c r="WN892" s="808"/>
      <c r="WO892" s="808"/>
      <c r="WP892" s="808"/>
      <c r="WQ892" s="808"/>
      <c r="WR892" s="808"/>
      <c r="WS892" s="808"/>
      <c r="WT892" s="808"/>
      <c r="WU892" s="808"/>
      <c r="WV892" s="808"/>
      <c r="WW892" s="808"/>
      <c r="WX892" s="808"/>
      <c r="WY892" s="808"/>
      <c r="WZ892" s="808"/>
      <c r="XA892" s="808"/>
      <c r="XB892" s="808"/>
      <c r="XC892" s="808"/>
      <c r="XD892" s="808"/>
      <c r="XE892" s="808"/>
      <c r="XF892" s="808"/>
      <c r="XG892" s="808"/>
      <c r="XH892" s="808"/>
      <c r="XI892" s="808"/>
      <c r="XJ892" s="808"/>
      <c r="XK892" s="808"/>
      <c r="XL892" s="808"/>
      <c r="XM892" s="808"/>
      <c r="XN892" s="808"/>
      <c r="XO892" s="808"/>
      <c r="XP892" s="808"/>
      <c r="XQ892" s="808"/>
      <c r="XR892" s="808"/>
      <c r="XS892" s="808"/>
      <c r="XT892" s="808"/>
      <c r="XU892" s="808"/>
      <c r="XV892" s="808"/>
      <c r="XW892" s="808"/>
      <c r="XX892" s="808"/>
      <c r="XY892" s="808"/>
      <c r="XZ892" s="808"/>
      <c r="YA892" s="808"/>
      <c r="YB892" s="808"/>
      <c r="YC892" s="808"/>
      <c r="YD892" s="808"/>
      <c r="YE892" s="808"/>
      <c r="YF892" s="808"/>
      <c r="YG892" s="808"/>
      <c r="YH892" s="808"/>
      <c r="YI892" s="808"/>
      <c r="YJ892" s="808"/>
      <c r="YK892" s="808"/>
      <c r="YL892" s="808"/>
      <c r="YM892" s="808"/>
      <c r="YN892" s="808"/>
      <c r="YO892" s="808"/>
      <c r="YP892" s="808"/>
      <c r="YQ892" s="808"/>
      <c r="YR892" s="808"/>
      <c r="YS892" s="808"/>
      <c r="YT892" s="808"/>
      <c r="YU892" s="808"/>
      <c r="YV892" s="808"/>
      <c r="YW892" s="808"/>
      <c r="YX892" s="808"/>
      <c r="YY892" s="808"/>
      <c r="YZ892" s="808"/>
      <c r="ZA892" s="808"/>
      <c r="ZB892" s="808"/>
      <c r="ZC892" s="808"/>
      <c r="ZD892" s="808"/>
      <c r="ZE892" s="808"/>
      <c r="ZF892" s="808"/>
      <c r="ZG892" s="808"/>
      <c r="ZH892" s="808"/>
      <c r="ZI892" s="808"/>
      <c r="ZJ892" s="808"/>
      <c r="ZK892" s="808"/>
      <c r="ZL892" s="808"/>
      <c r="ZM892" s="808"/>
      <c r="ZN892" s="808"/>
      <c r="ZO892" s="808"/>
      <c r="ZP892" s="808"/>
      <c r="ZQ892" s="808"/>
      <c r="ZR892" s="808"/>
      <c r="ZS892" s="808"/>
      <c r="ZT892" s="808"/>
      <c r="ZU892" s="808"/>
      <c r="ZV892" s="808"/>
      <c r="ZW892" s="808"/>
      <c r="ZX892" s="808"/>
      <c r="ZY892" s="808"/>
      <c r="ZZ892" s="808"/>
      <c r="AAA892" s="808"/>
      <c r="AAB892" s="808"/>
      <c r="AAC892" s="808"/>
      <c r="AAD892" s="808"/>
      <c r="AAE892" s="808"/>
      <c r="AAF892" s="808"/>
      <c r="AAG892" s="808"/>
      <c r="AAH892" s="808"/>
      <c r="AAI892" s="808"/>
      <c r="AAJ892" s="808"/>
      <c r="AAK892" s="808"/>
      <c r="AAL892" s="808"/>
      <c r="AAM892" s="808"/>
      <c r="AAN892" s="808"/>
      <c r="AAO892" s="808"/>
      <c r="AAP892" s="808"/>
      <c r="AAQ892" s="808"/>
      <c r="AAR892" s="808"/>
      <c r="AAS892" s="808"/>
      <c r="AAT892" s="808"/>
      <c r="AAU892" s="808"/>
      <c r="AAV892" s="808"/>
      <c r="AAW892" s="808"/>
      <c r="AAX892" s="808"/>
      <c r="AAY892" s="808"/>
      <c r="AAZ892" s="808"/>
      <c r="ABA892" s="808"/>
      <c r="ABB892" s="808"/>
      <c r="ABC892" s="808"/>
      <c r="ABD892" s="808"/>
      <c r="ABE892" s="808"/>
      <c r="ABF892" s="808"/>
      <c r="ABG892" s="808"/>
      <c r="ABH892" s="808"/>
      <c r="ABI892" s="808"/>
      <c r="ABJ892" s="808"/>
      <c r="ABK892" s="808"/>
      <c r="ABL892" s="808"/>
      <c r="ABM892" s="808"/>
      <c r="ABN892" s="808"/>
      <c r="ABO892" s="808"/>
      <c r="ABP892" s="808"/>
      <c r="ABQ892" s="808"/>
      <c r="ABR892" s="808"/>
      <c r="ABS892" s="808"/>
      <c r="ABT892" s="808"/>
      <c r="ABU892" s="808"/>
      <c r="ABV892" s="808"/>
      <c r="ABW892" s="808"/>
      <c r="ABX892" s="808"/>
      <c r="ABY892" s="808"/>
      <c r="ABZ892" s="808"/>
      <c r="ACA892" s="808"/>
      <c r="ACB892" s="808"/>
      <c r="ACC892" s="808"/>
      <c r="ACD892" s="808"/>
      <c r="ACE892" s="808"/>
      <c r="ACF892" s="808"/>
      <c r="ACG892" s="808"/>
      <c r="ACH892" s="808"/>
      <c r="ACI892" s="808"/>
      <c r="ACJ892" s="808"/>
      <c r="ACK892" s="808"/>
      <c r="ACL892" s="808"/>
      <c r="ACM892" s="808"/>
      <c r="ACN892" s="808"/>
      <c r="ACO892" s="808"/>
      <c r="ACP892" s="808"/>
      <c r="ACQ892" s="808"/>
      <c r="ACR892" s="808"/>
      <c r="ACS892" s="808"/>
      <c r="ACT892" s="808"/>
      <c r="ACU892" s="808"/>
      <c r="ACV892" s="808"/>
      <c r="ACW892" s="808"/>
      <c r="ACX892" s="808"/>
      <c r="ACY892" s="808"/>
      <c r="ACZ892" s="808"/>
      <c r="ADA892" s="808"/>
      <c r="ADB892" s="808"/>
      <c r="ADC892" s="808"/>
      <c r="ADD892" s="808"/>
      <c r="ADE892" s="808"/>
      <c r="ADF892" s="808"/>
      <c r="ADG892" s="808"/>
      <c r="ADH892" s="808"/>
      <c r="ADI892" s="808"/>
      <c r="ADJ892" s="808"/>
      <c r="ADK892" s="808"/>
      <c r="ADL892" s="808"/>
      <c r="ADM892" s="808"/>
      <c r="ADN892" s="808"/>
      <c r="ADO892" s="808"/>
      <c r="ADP892" s="808"/>
      <c r="ADQ892" s="808"/>
      <c r="ADR892" s="808"/>
      <c r="ADS892" s="808"/>
      <c r="ADT892" s="808"/>
      <c r="ADU892" s="808"/>
      <c r="ADV892" s="808"/>
      <c r="ADW892" s="808"/>
      <c r="ADX892" s="808"/>
      <c r="ADY892" s="808"/>
      <c r="ADZ892" s="808"/>
      <c r="AEA892" s="808"/>
      <c r="AEB892" s="808"/>
      <c r="AEC892" s="808"/>
      <c r="AED892" s="808"/>
      <c r="AEE892" s="808"/>
      <c r="AEF892" s="808"/>
      <c r="AEG892" s="808"/>
      <c r="AEH892" s="808"/>
      <c r="AEI892" s="808"/>
      <c r="AEJ892" s="808"/>
      <c r="AEK892" s="808"/>
      <c r="AEL892" s="808"/>
      <c r="AEM892" s="808"/>
      <c r="AEN892" s="808"/>
      <c r="AEO892" s="808"/>
      <c r="AEP892" s="808"/>
      <c r="AEQ892" s="808"/>
      <c r="AER892" s="808"/>
      <c r="AES892" s="808"/>
      <c r="AET892" s="808"/>
      <c r="AEU892" s="808"/>
      <c r="AEV892" s="808"/>
      <c r="AEW892" s="808"/>
      <c r="AEX892" s="808"/>
      <c r="AEY892" s="808"/>
      <c r="AEZ892" s="808"/>
      <c r="AFA892" s="808"/>
      <c r="AFB892" s="808"/>
      <c r="AFC892" s="808"/>
      <c r="AFD892" s="808"/>
      <c r="AFE892" s="808"/>
      <c r="AFF892" s="808"/>
      <c r="AFG892" s="808"/>
      <c r="AFH892" s="808"/>
      <c r="AFI892" s="808"/>
      <c r="AFJ892" s="808"/>
      <c r="AFK892" s="808"/>
      <c r="AFL892" s="808"/>
      <c r="AFM892" s="808"/>
      <c r="AFN892" s="808"/>
      <c r="AFO892" s="808"/>
      <c r="AFP892" s="808"/>
      <c r="AFQ892" s="808"/>
      <c r="AFR892" s="808"/>
      <c r="AFS892" s="808"/>
      <c r="AFT892" s="808"/>
      <c r="AFU892" s="808"/>
      <c r="AFV892" s="808"/>
      <c r="AFW892" s="808"/>
      <c r="AFX892" s="808"/>
      <c r="AFY892" s="808"/>
      <c r="AFZ892" s="808"/>
      <c r="AGA892" s="808"/>
      <c r="AGB892" s="808"/>
      <c r="AGC892" s="808"/>
      <c r="AGD892" s="808"/>
      <c r="AGE892" s="808"/>
      <c r="AGF892" s="808"/>
      <c r="AGG892" s="808"/>
      <c r="AGH892" s="808"/>
      <c r="AGI892" s="808"/>
      <c r="AGJ892" s="808"/>
    </row>
    <row r="893" spans="1:868" s="7" customFormat="1">
      <c r="A893" s="609" t="s">
        <v>118</v>
      </c>
      <c r="B893" s="59" t="s">
        <v>434</v>
      </c>
      <c r="C893" s="40" t="s">
        <v>139</v>
      </c>
      <c r="D893" s="34" t="s">
        <v>99</v>
      </c>
      <c r="E893" s="859" t="s">
        <v>150</v>
      </c>
      <c r="F893" s="34">
        <v>1</v>
      </c>
      <c r="G893" s="40" t="s">
        <v>433</v>
      </c>
      <c r="H893" s="29"/>
      <c r="I893" s="9"/>
      <c r="J893" s="9"/>
      <c r="K893" s="9"/>
      <c r="L893" s="9"/>
      <c r="M893" s="9"/>
      <c r="N893" s="185"/>
      <c r="O893" s="159" t="str">
        <f t="shared" si="65"/>
        <v/>
      </c>
      <c r="P893" s="63"/>
      <c r="Q893" s="808"/>
      <c r="R893" s="808"/>
      <c r="S893" s="808"/>
      <c r="T893" s="808"/>
      <c r="U893" s="808"/>
      <c r="V893" s="808"/>
      <c r="W893" s="808"/>
      <c r="X893" s="808"/>
      <c r="Y893" s="808"/>
      <c r="Z893" s="808"/>
      <c r="AA893" s="808"/>
      <c r="AB893" s="808"/>
      <c r="AC893" s="808"/>
      <c r="AD893" s="808"/>
      <c r="AE893" s="808"/>
      <c r="AF893" s="808"/>
      <c r="AG893" s="808"/>
      <c r="AH893" s="808"/>
      <c r="AI893" s="808"/>
      <c r="AJ893" s="808"/>
      <c r="AK893" s="808"/>
      <c r="AL893" s="808"/>
      <c r="AM893" s="808"/>
      <c r="AN893" s="808"/>
      <c r="AO893" s="808"/>
      <c r="AP893" s="808"/>
      <c r="AQ893" s="808"/>
      <c r="AR893" s="808"/>
      <c r="AS893" s="808"/>
      <c r="AT893" s="808"/>
      <c r="AU893" s="808"/>
      <c r="AV893" s="808"/>
      <c r="AW893" s="808"/>
      <c r="AX893" s="808"/>
      <c r="AY893" s="808"/>
      <c r="AZ893" s="808"/>
      <c r="BA893" s="808"/>
      <c r="BB893" s="808"/>
      <c r="BC893" s="808"/>
      <c r="BD893" s="808"/>
      <c r="BE893" s="808"/>
      <c r="BF893" s="808"/>
      <c r="BG893" s="808"/>
      <c r="BH893" s="808"/>
      <c r="BI893" s="808"/>
      <c r="BJ893" s="808"/>
      <c r="BK893" s="808"/>
      <c r="BL893" s="808"/>
      <c r="BM893" s="808"/>
      <c r="BN893" s="808"/>
      <c r="BO893" s="808"/>
      <c r="BP893" s="808"/>
      <c r="BQ893" s="808"/>
      <c r="BR893" s="808"/>
      <c r="BS893" s="808"/>
      <c r="BT893" s="808"/>
      <c r="BU893" s="808"/>
      <c r="BV893" s="808"/>
      <c r="BW893" s="808"/>
      <c r="BX893" s="808"/>
      <c r="BY893" s="808"/>
      <c r="BZ893" s="808"/>
      <c r="CA893" s="808"/>
      <c r="CB893" s="808"/>
      <c r="CC893" s="808"/>
      <c r="CD893" s="808"/>
      <c r="CE893" s="808"/>
      <c r="CF893" s="808"/>
      <c r="CG893" s="808"/>
      <c r="CH893" s="808"/>
      <c r="CI893" s="808"/>
      <c r="CJ893" s="808"/>
      <c r="CK893" s="808"/>
      <c r="CL893" s="808"/>
      <c r="CM893" s="808"/>
      <c r="CN893" s="808"/>
      <c r="CO893" s="808"/>
      <c r="CP893" s="808"/>
      <c r="CQ893" s="808"/>
      <c r="CR893" s="808"/>
      <c r="CS893" s="808"/>
      <c r="CT893" s="808"/>
      <c r="CU893" s="808"/>
      <c r="CV893" s="808"/>
      <c r="CW893" s="808"/>
      <c r="CX893" s="808"/>
      <c r="CY893" s="808"/>
      <c r="CZ893" s="808"/>
      <c r="DA893" s="808"/>
      <c r="DB893" s="808"/>
      <c r="DC893" s="808"/>
      <c r="DD893" s="808"/>
      <c r="DE893" s="808"/>
      <c r="DF893" s="808"/>
      <c r="DG893" s="808"/>
      <c r="DH893" s="808"/>
      <c r="DI893" s="808"/>
      <c r="DJ893" s="808"/>
      <c r="DK893" s="808"/>
      <c r="DL893" s="808"/>
      <c r="DM893" s="808"/>
      <c r="DN893" s="808"/>
      <c r="DO893" s="808"/>
      <c r="DP893" s="808"/>
      <c r="DQ893" s="808"/>
      <c r="DR893" s="808"/>
      <c r="DS893" s="808"/>
      <c r="DT893" s="808"/>
      <c r="DU893" s="808"/>
      <c r="DV893" s="808"/>
      <c r="DW893" s="808"/>
      <c r="DX893" s="808"/>
      <c r="DY893" s="808"/>
      <c r="DZ893" s="808"/>
      <c r="EA893" s="808"/>
      <c r="EB893" s="808"/>
      <c r="EC893" s="808"/>
      <c r="ED893" s="808"/>
      <c r="EE893" s="808"/>
      <c r="EF893" s="808"/>
      <c r="EG893" s="808"/>
      <c r="EH893" s="808"/>
      <c r="EI893" s="808"/>
      <c r="EJ893" s="808"/>
      <c r="EK893" s="808"/>
      <c r="EL893" s="808"/>
      <c r="EM893" s="808"/>
      <c r="EN893" s="808"/>
      <c r="EO893" s="808"/>
      <c r="EP893" s="808"/>
      <c r="EQ893" s="808"/>
      <c r="ER893" s="808"/>
      <c r="ES893" s="808"/>
      <c r="ET893" s="808"/>
      <c r="EU893" s="808"/>
      <c r="EV893" s="808"/>
      <c r="EW893" s="808"/>
      <c r="EX893" s="808"/>
      <c r="EY893" s="808"/>
      <c r="EZ893" s="808"/>
      <c r="FA893" s="808"/>
      <c r="FB893" s="808"/>
      <c r="FC893" s="808"/>
      <c r="FD893" s="808"/>
      <c r="FE893" s="808"/>
      <c r="FF893" s="808"/>
      <c r="FG893" s="808"/>
      <c r="FH893" s="808"/>
      <c r="FI893" s="808"/>
      <c r="FJ893" s="808"/>
      <c r="FK893" s="808"/>
      <c r="FL893" s="808"/>
      <c r="FM893" s="808"/>
      <c r="FN893" s="808"/>
      <c r="FO893" s="808"/>
      <c r="FP893" s="808"/>
      <c r="FQ893" s="808"/>
      <c r="FR893" s="808"/>
      <c r="FS893" s="808"/>
      <c r="FT893" s="808"/>
      <c r="FU893" s="808"/>
      <c r="FV893" s="808"/>
      <c r="FW893" s="808"/>
      <c r="FX893" s="808"/>
      <c r="FY893" s="808"/>
      <c r="FZ893" s="808"/>
      <c r="GA893" s="808"/>
      <c r="GB893" s="808"/>
      <c r="GC893" s="808"/>
      <c r="GD893" s="808"/>
      <c r="GE893" s="808"/>
      <c r="GF893" s="808"/>
      <c r="GG893" s="808"/>
      <c r="GH893" s="808"/>
      <c r="GI893" s="808"/>
      <c r="GJ893" s="808"/>
      <c r="GK893" s="808"/>
      <c r="GL893" s="808"/>
      <c r="GM893" s="808"/>
      <c r="GN893" s="808"/>
      <c r="GO893" s="808"/>
      <c r="GP893" s="808"/>
      <c r="GQ893" s="808"/>
      <c r="GR893" s="808"/>
      <c r="GS893" s="808"/>
      <c r="GT893" s="808"/>
      <c r="GU893" s="808"/>
      <c r="GV893" s="808"/>
      <c r="GW893" s="808"/>
      <c r="GX893" s="808"/>
      <c r="GY893" s="808"/>
      <c r="GZ893" s="808"/>
      <c r="HA893" s="808"/>
      <c r="HB893" s="808"/>
      <c r="HC893" s="808"/>
      <c r="HD893" s="808"/>
      <c r="HE893" s="808"/>
      <c r="HF893" s="808"/>
      <c r="HG893" s="808"/>
      <c r="HH893" s="808"/>
      <c r="HI893" s="808"/>
      <c r="HJ893" s="808"/>
      <c r="HK893" s="808"/>
      <c r="HL893" s="808"/>
      <c r="HM893" s="808"/>
      <c r="HN893" s="808"/>
      <c r="HO893" s="808"/>
      <c r="HP893" s="808"/>
      <c r="HQ893" s="808"/>
      <c r="HR893" s="808"/>
      <c r="HS893" s="808"/>
      <c r="HT893" s="808"/>
      <c r="HU893" s="808"/>
      <c r="HV893" s="808"/>
      <c r="HW893" s="808"/>
      <c r="HX893" s="808"/>
      <c r="HY893" s="808"/>
      <c r="HZ893" s="808"/>
      <c r="IA893" s="808"/>
      <c r="IB893" s="808"/>
      <c r="IC893" s="808"/>
      <c r="ID893" s="808"/>
      <c r="IE893" s="808"/>
      <c r="IF893" s="808"/>
      <c r="IG893" s="808"/>
      <c r="IH893" s="808"/>
      <c r="II893" s="808"/>
      <c r="IJ893" s="808"/>
      <c r="IK893" s="808"/>
      <c r="IL893" s="808"/>
      <c r="IM893" s="808"/>
      <c r="IN893" s="808"/>
      <c r="IO893" s="808"/>
      <c r="IP893" s="808"/>
      <c r="IQ893" s="808"/>
      <c r="IR893" s="808"/>
      <c r="IS893" s="808"/>
      <c r="IT893" s="808"/>
      <c r="IU893" s="808"/>
      <c r="IV893" s="808"/>
      <c r="IW893" s="808"/>
      <c r="IX893" s="808"/>
      <c r="IY893" s="808"/>
      <c r="IZ893" s="808"/>
      <c r="JA893" s="808"/>
      <c r="JB893" s="808"/>
      <c r="JC893" s="808"/>
      <c r="JD893" s="808"/>
      <c r="JE893" s="808"/>
      <c r="JF893" s="808"/>
      <c r="JG893" s="808"/>
      <c r="JH893" s="808"/>
      <c r="JI893" s="808"/>
      <c r="JJ893" s="808"/>
      <c r="JK893" s="808"/>
      <c r="JL893" s="808"/>
      <c r="JM893" s="808"/>
      <c r="JN893" s="808"/>
      <c r="JO893" s="808"/>
      <c r="JP893" s="808"/>
      <c r="JQ893" s="808"/>
      <c r="JR893" s="808"/>
      <c r="JS893" s="808"/>
      <c r="JT893" s="808"/>
      <c r="JU893" s="808"/>
      <c r="JV893" s="808"/>
      <c r="JW893" s="808"/>
      <c r="JX893" s="808"/>
      <c r="JY893" s="808"/>
      <c r="JZ893" s="808"/>
      <c r="KA893" s="808"/>
      <c r="KB893" s="808"/>
      <c r="KC893" s="808"/>
      <c r="KD893" s="808"/>
      <c r="KE893" s="808"/>
      <c r="KF893" s="808"/>
      <c r="KG893" s="808"/>
      <c r="KH893" s="808"/>
      <c r="KI893" s="808"/>
      <c r="KJ893" s="808"/>
      <c r="KK893" s="808"/>
      <c r="KL893" s="808"/>
      <c r="KM893" s="808"/>
      <c r="KN893" s="808"/>
      <c r="KO893" s="808"/>
      <c r="KP893" s="808"/>
      <c r="KQ893" s="808"/>
      <c r="KR893" s="808"/>
      <c r="KS893" s="808"/>
      <c r="KT893" s="808"/>
      <c r="KU893" s="808"/>
      <c r="KV893" s="808"/>
      <c r="KW893" s="808"/>
      <c r="KX893" s="808"/>
      <c r="KY893" s="808"/>
      <c r="KZ893" s="808"/>
      <c r="LA893" s="808"/>
      <c r="LB893" s="808"/>
      <c r="LC893" s="808"/>
      <c r="LD893" s="808"/>
      <c r="LE893" s="808"/>
      <c r="LF893" s="808"/>
      <c r="LG893" s="808"/>
      <c r="LH893" s="808"/>
      <c r="LI893" s="808"/>
      <c r="LJ893" s="808"/>
      <c r="LK893" s="808"/>
      <c r="LL893" s="808"/>
      <c r="LM893" s="808"/>
      <c r="LN893" s="808"/>
      <c r="LO893" s="808"/>
      <c r="LP893" s="808"/>
      <c r="LQ893" s="808"/>
      <c r="LR893" s="808"/>
      <c r="LS893" s="808"/>
      <c r="LT893" s="808"/>
      <c r="LU893" s="808"/>
      <c r="LV893" s="808"/>
      <c r="LW893" s="808"/>
      <c r="LX893" s="808"/>
      <c r="LY893" s="808"/>
      <c r="LZ893" s="808"/>
      <c r="MA893" s="808"/>
      <c r="MB893" s="808"/>
      <c r="MC893" s="808"/>
      <c r="MD893" s="808"/>
      <c r="ME893" s="808"/>
      <c r="MF893" s="808"/>
      <c r="MG893" s="808"/>
      <c r="MH893" s="808"/>
      <c r="MI893" s="808"/>
      <c r="MJ893" s="808"/>
      <c r="MK893" s="808"/>
      <c r="ML893" s="808"/>
      <c r="MM893" s="808"/>
      <c r="MN893" s="808"/>
      <c r="MO893" s="808"/>
      <c r="MP893" s="808"/>
      <c r="MQ893" s="808"/>
      <c r="MR893" s="808"/>
      <c r="MS893" s="808"/>
      <c r="MT893" s="808"/>
      <c r="MU893" s="808"/>
      <c r="MV893" s="808"/>
      <c r="MW893" s="808"/>
      <c r="MX893" s="808"/>
      <c r="MY893" s="808"/>
      <c r="MZ893" s="808"/>
      <c r="NA893" s="808"/>
      <c r="NB893" s="808"/>
      <c r="NC893" s="808"/>
      <c r="ND893" s="808"/>
      <c r="NE893" s="808"/>
      <c r="NF893" s="808"/>
      <c r="NG893" s="808"/>
      <c r="NH893" s="808"/>
      <c r="NI893" s="808"/>
      <c r="NJ893" s="808"/>
      <c r="NK893" s="808"/>
      <c r="NL893" s="808"/>
      <c r="NM893" s="808"/>
      <c r="NN893" s="808"/>
      <c r="NO893" s="808"/>
      <c r="NP893" s="808"/>
      <c r="NQ893" s="808"/>
      <c r="NR893" s="808"/>
      <c r="NS893" s="808"/>
      <c r="NT893" s="808"/>
      <c r="NU893" s="808"/>
      <c r="NV893" s="808"/>
      <c r="NW893" s="808"/>
      <c r="NX893" s="808"/>
      <c r="NY893" s="808"/>
      <c r="NZ893" s="808"/>
      <c r="OA893" s="808"/>
      <c r="OB893" s="808"/>
      <c r="OC893" s="808"/>
      <c r="OD893" s="808"/>
      <c r="OE893" s="808"/>
      <c r="OF893" s="808"/>
      <c r="OG893" s="808"/>
      <c r="OH893" s="808"/>
      <c r="OI893" s="808"/>
      <c r="OJ893" s="808"/>
      <c r="OK893" s="808"/>
      <c r="OL893" s="808"/>
      <c r="OM893" s="808"/>
      <c r="ON893" s="808"/>
      <c r="OO893" s="808"/>
      <c r="OP893" s="808"/>
      <c r="OQ893" s="808"/>
      <c r="OR893" s="808"/>
      <c r="OS893" s="808"/>
      <c r="OT893" s="808"/>
      <c r="OU893" s="808"/>
      <c r="OV893" s="808"/>
      <c r="OW893" s="808"/>
      <c r="OX893" s="808"/>
      <c r="OY893" s="808"/>
      <c r="OZ893" s="808"/>
      <c r="PA893" s="808"/>
      <c r="PB893" s="808"/>
      <c r="PC893" s="808"/>
      <c r="PD893" s="808"/>
      <c r="PE893" s="808"/>
      <c r="PF893" s="808"/>
      <c r="PG893" s="808"/>
      <c r="PH893" s="808"/>
      <c r="PI893" s="808"/>
      <c r="PJ893" s="808"/>
      <c r="PK893" s="808"/>
      <c r="PL893" s="808"/>
      <c r="PM893" s="808"/>
      <c r="PN893" s="808"/>
      <c r="PO893" s="808"/>
      <c r="PP893" s="808"/>
      <c r="PQ893" s="808"/>
      <c r="PR893" s="808"/>
      <c r="PS893" s="808"/>
      <c r="PT893" s="808"/>
      <c r="PU893" s="808"/>
      <c r="PV893" s="808"/>
      <c r="PW893" s="808"/>
      <c r="PX893" s="808"/>
      <c r="PY893" s="808"/>
      <c r="PZ893" s="808"/>
      <c r="QA893" s="808"/>
      <c r="QB893" s="808"/>
      <c r="QC893" s="808"/>
      <c r="QD893" s="808"/>
      <c r="QE893" s="808"/>
      <c r="QF893" s="808"/>
      <c r="QG893" s="808"/>
      <c r="QH893" s="808"/>
      <c r="QI893" s="808"/>
      <c r="QJ893" s="808"/>
      <c r="QK893" s="808"/>
      <c r="QL893" s="808"/>
      <c r="QM893" s="808"/>
      <c r="QN893" s="808"/>
      <c r="QO893" s="808"/>
      <c r="QP893" s="808"/>
      <c r="QQ893" s="808"/>
      <c r="QR893" s="808"/>
      <c r="QS893" s="808"/>
      <c r="QT893" s="808"/>
      <c r="QU893" s="808"/>
      <c r="QV893" s="808"/>
      <c r="QW893" s="808"/>
      <c r="QX893" s="808"/>
      <c r="QY893" s="808"/>
      <c r="QZ893" s="808"/>
      <c r="RA893" s="808"/>
      <c r="RB893" s="808"/>
      <c r="RC893" s="808"/>
      <c r="RD893" s="808"/>
      <c r="RE893" s="808"/>
      <c r="RF893" s="808"/>
      <c r="RG893" s="808"/>
      <c r="RH893" s="808"/>
      <c r="RI893" s="808"/>
      <c r="RJ893" s="808"/>
      <c r="RK893" s="808"/>
      <c r="RL893" s="808"/>
      <c r="RM893" s="808"/>
      <c r="RN893" s="808"/>
      <c r="RO893" s="808"/>
      <c r="RP893" s="808"/>
      <c r="RQ893" s="808"/>
      <c r="RR893" s="808"/>
      <c r="RS893" s="808"/>
      <c r="RT893" s="808"/>
      <c r="RU893" s="808"/>
      <c r="RV893" s="808"/>
      <c r="RW893" s="808"/>
      <c r="RX893" s="808"/>
      <c r="RY893" s="808"/>
      <c r="RZ893" s="808"/>
      <c r="SA893" s="808"/>
      <c r="SB893" s="808"/>
      <c r="SC893" s="808"/>
      <c r="SD893" s="808"/>
      <c r="SE893" s="808"/>
      <c r="SF893" s="808"/>
      <c r="SG893" s="808"/>
      <c r="SH893" s="808"/>
      <c r="SI893" s="808"/>
      <c r="SJ893" s="808"/>
      <c r="SK893" s="808"/>
      <c r="SL893" s="808"/>
      <c r="SM893" s="808"/>
      <c r="SN893" s="808"/>
      <c r="SO893" s="808"/>
      <c r="SP893" s="808"/>
      <c r="SQ893" s="808"/>
      <c r="SR893" s="808"/>
      <c r="SS893" s="808"/>
      <c r="ST893" s="808"/>
      <c r="SU893" s="808"/>
      <c r="SV893" s="808"/>
      <c r="SW893" s="808"/>
      <c r="SX893" s="808"/>
      <c r="SY893" s="808"/>
      <c r="SZ893" s="808"/>
      <c r="TA893" s="808"/>
      <c r="TB893" s="808"/>
      <c r="TC893" s="808"/>
      <c r="TD893" s="808"/>
      <c r="TE893" s="808"/>
      <c r="TF893" s="808"/>
      <c r="TG893" s="808"/>
      <c r="TH893" s="808"/>
      <c r="TI893" s="808"/>
      <c r="TJ893" s="808"/>
      <c r="TK893" s="808"/>
      <c r="TL893" s="808"/>
      <c r="TM893" s="808"/>
      <c r="TN893" s="808"/>
      <c r="TO893" s="808"/>
      <c r="TP893" s="808"/>
      <c r="TQ893" s="808"/>
      <c r="TR893" s="808"/>
      <c r="TS893" s="808"/>
      <c r="TT893" s="808"/>
      <c r="TU893" s="808"/>
      <c r="TV893" s="808"/>
      <c r="TW893" s="808"/>
      <c r="TX893" s="808"/>
      <c r="TY893" s="808"/>
      <c r="TZ893" s="808"/>
      <c r="UA893" s="808"/>
      <c r="UB893" s="808"/>
      <c r="UC893" s="808"/>
      <c r="UD893" s="808"/>
      <c r="UE893" s="808"/>
      <c r="UF893" s="808"/>
      <c r="UG893" s="808"/>
      <c r="UH893" s="808"/>
      <c r="UI893" s="808"/>
      <c r="UJ893" s="808"/>
      <c r="UK893" s="808"/>
      <c r="UL893" s="808"/>
      <c r="UM893" s="808"/>
      <c r="UN893" s="808"/>
      <c r="UO893" s="808"/>
      <c r="UP893" s="808"/>
      <c r="UQ893" s="808"/>
      <c r="UR893" s="808"/>
      <c r="US893" s="808"/>
      <c r="UT893" s="808"/>
      <c r="UU893" s="808"/>
      <c r="UV893" s="808"/>
      <c r="UW893" s="808"/>
      <c r="UX893" s="808"/>
      <c r="UY893" s="808"/>
      <c r="UZ893" s="808"/>
      <c r="VA893" s="808"/>
      <c r="VB893" s="808"/>
      <c r="VC893" s="808"/>
      <c r="VD893" s="808"/>
      <c r="VE893" s="808"/>
      <c r="VF893" s="808"/>
      <c r="VG893" s="808"/>
      <c r="VH893" s="808"/>
      <c r="VI893" s="808"/>
      <c r="VJ893" s="808"/>
      <c r="VK893" s="808"/>
      <c r="VL893" s="808"/>
      <c r="VM893" s="808"/>
      <c r="VN893" s="808"/>
      <c r="VO893" s="808"/>
      <c r="VP893" s="808"/>
      <c r="VQ893" s="808"/>
      <c r="VR893" s="808"/>
      <c r="VS893" s="808"/>
      <c r="VT893" s="808"/>
      <c r="VU893" s="808"/>
      <c r="VV893" s="808"/>
      <c r="VW893" s="808"/>
      <c r="VX893" s="808"/>
      <c r="VY893" s="808"/>
      <c r="VZ893" s="808"/>
      <c r="WA893" s="808"/>
      <c r="WB893" s="808"/>
      <c r="WC893" s="808"/>
      <c r="WD893" s="808"/>
      <c r="WE893" s="808"/>
      <c r="WF893" s="808"/>
      <c r="WG893" s="808"/>
      <c r="WH893" s="808"/>
      <c r="WI893" s="808"/>
      <c r="WJ893" s="808"/>
      <c r="WK893" s="808"/>
      <c r="WL893" s="808"/>
      <c r="WM893" s="808"/>
      <c r="WN893" s="808"/>
      <c r="WO893" s="808"/>
      <c r="WP893" s="808"/>
      <c r="WQ893" s="808"/>
      <c r="WR893" s="808"/>
      <c r="WS893" s="808"/>
      <c r="WT893" s="808"/>
      <c r="WU893" s="808"/>
      <c r="WV893" s="808"/>
      <c r="WW893" s="808"/>
      <c r="WX893" s="808"/>
      <c r="WY893" s="808"/>
      <c r="WZ893" s="808"/>
      <c r="XA893" s="808"/>
      <c r="XB893" s="808"/>
      <c r="XC893" s="808"/>
      <c r="XD893" s="808"/>
      <c r="XE893" s="808"/>
      <c r="XF893" s="808"/>
      <c r="XG893" s="808"/>
      <c r="XH893" s="808"/>
      <c r="XI893" s="808"/>
      <c r="XJ893" s="808"/>
      <c r="XK893" s="808"/>
      <c r="XL893" s="808"/>
      <c r="XM893" s="808"/>
      <c r="XN893" s="808"/>
      <c r="XO893" s="808"/>
      <c r="XP893" s="808"/>
      <c r="XQ893" s="808"/>
      <c r="XR893" s="808"/>
      <c r="XS893" s="808"/>
      <c r="XT893" s="808"/>
      <c r="XU893" s="808"/>
      <c r="XV893" s="808"/>
      <c r="XW893" s="808"/>
      <c r="XX893" s="808"/>
      <c r="XY893" s="808"/>
      <c r="XZ893" s="808"/>
      <c r="YA893" s="808"/>
      <c r="YB893" s="808"/>
      <c r="YC893" s="808"/>
      <c r="YD893" s="808"/>
      <c r="YE893" s="808"/>
      <c r="YF893" s="808"/>
      <c r="YG893" s="808"/>
      <c r="YH893" s="808"/>
      <c r="YI893" s="808"/>
      <c r="YJ893" s="808"/>
      <c r="YK893" s="808"/>
      <c r="YL893" s="808"/>
      <c r="YM893" s="808"/>
      <c r="YN893" s="808"/>
      <c r="YO893" s="808"/>
      <c r="YP893" s="808"/>
      <c r="YQ893" s="808"/>
      <c r="YR893" s="808"/>
      <c r="YS893" s="808"/>
      <c r="YT893" s="808"/>
      <c r="YU893" s="808"/>
      <c r="YV893" s="808"/>
      <c r="YW893" s="808"/>
      <c r="YX893" s="808"/>
      <c r="YY893" s="808"/>
      <c r="YZ893" s="808"/>
      <c r="ZA893" s="808"/>
      <c r="ZB893" s="808"/>
      <c r="ZC893" s="808"/>
      <c r="ZD893" s="808"/>
      <c r="ZE893" s="808"/>
      <c r="ZF893" s="808"/>
      <c r="ZG893" s="808"/>
      <c r="ZH893" s="808"/>
      <c r="ZI893" s="808"/>
      <c r="ZJ893" s="808"/>
      <c r="ZK893" s="808"/>
      <c r="ZL893" s="808"/>
      <c r="ZM893" s="808"/>
      <c r="ZN893" s="808"/>
      <c r="ZO893" s="808"/>
      <c r="ZP893" s="808"/>
      <c r="ZQ893" s="808"/>
      <c r="ZR893" s="808"/>
      <c r="ZS893" s="808"/>
      <c r="ZT893" s="808"/>
      <c r="ZU893" s="808"/>
      <c r="ZV893" s="808"/>
      <c r="ZW893" s="808"/>
      <c r="ZX893" s="808"/>
      <c r="ZY893" s="808"/>
      <c r="ZZ893" s="808"/>
      <c r="AAA893" s="808"/>
      <c r="AAB893" s="808"/>
      <c r="AAC893" s="808"/>
      <c r="AAD893" s="808"/>
      <c r="AAE893" s="808"/>
      <c r="AAF893" s="808"/>
      <c r="AAG893" s="808"/>
      <c r="AAH893" s="808"/>
      <c r="AAI893" s="808"/>
      <c r="AAJ893" s="808"/>
      <c r="AAK893" s="808"/>
      <c r="AAL893" s="808"/>
      <c r="AAM893" s="808"/>
      <c r="AAN893" s="808"/>
      <c r="AAO893" s="808"/>
      <c r="AAP893" s="808"/>
      <c r="AAQ893" s="808"/>
      <c r="AAR893" s="808"/>
      <c r="AAS893" s="808"/>
      <c r="AAT893" s="808"/>
      <c r="AAU893" s="808"/>
      <c r="AAV893" s="808"/>
      <c r="AAW893" s="808"/>
      <c r="AAX893" s="808"/>
      <c r="AAY893" s="808"/>
      <c r="AAZ893" s="808"/>
      <c r="ABA893" s="808"/>
      <c r="ABB893" s="808"/>
      <c r="ABC893" s="808"/>
      <c r="ABD893" s="808"/>
      <c r="ABE893" s="808"/>
      <c r="ABF893" s="808"/>
      <c r="ABG893" s="808"/>
      <c r="ABH893" s="808"/>
      <c r="ABI893" s="808"/>
      <c r="ABJ893" s="808"/>
      <c r="ABK893" s="808"/>
      <c r="ABL893" s="808"/>
      <c r="ABM893" s="808"/>
      <c r="ABN893" s="808"/>
      <c r="ABO893" s="808"/>
      <c r="ABP893" s="808"/>
      <c r="ABQ893" s="808"/>
      <c r="ABR893" s="808"/>
      <c r="ABS893" s="808"/>
      <c r="ABT893" s="808"/>
      <c r="ABU893" s="808"/>
      <c r="ABV893" s="808"/>
      <c r="ABW893" s="808"/>
      <c r="ABX893" s="808"/>
      <c r="ABY893" s="808"/>
      <c r="ABZ893" s="808"/>
      <c r="ACA893" s="808"/>
      <c r="ACB893" s="808"/>
      <c r="ACC893" s="808"/>
      <c r="ACD893" s="808"/>
      <c r="ACE893" s="808"/>
      <c r="ACF893" s="808"/>
      <c r="ACG893" s="808"/>
      <c r="ACH893" s="808"/>
      <c r="ACI893" s="808"/>
      <c r="ACJ893" s="808"/>
      <c r="ACK893" s="808"/>
      <c r="ACL893" s="808"/>
      <c r="ACM893" s="808"/>
      <c r="ACN893" s="808"/>
      <c r="ACO893" s="808"/>
      <c r="ACP893" s="808"/>
      <c r="ACQ893" s="808"/>
      <c r="ACR893" s="808"/>
      <c r="ACS893" s="808"/>
      <c r="ACT893" s="808"/>
      <c r="ACU893" s="808"/>
      <c r="ACV893" s="808"/>
      <c r="ACW893" s="808"/>
      <c r="ACX893" s="808"/>
      <c r="ACY893" s="808"/>
      <c r="ACZ893" s="808"/>
      <c r="ADA893" s="808"/>
      <c r="ADB893" s="808"/>
      <c r="ADC893" s="808"/>
      <c r="ADD893" s="808"/>
      <c r="ADE893" s="808"/>
      <c r="ADF893" s="808"/>
      <c r="ADG893" s="808"/>
      <c r="ADH893" s="808"/>
      <c r="ADI893" s="808"/>
      <c r="ADJ893" s="808"/>
      <c r="ADK893" s="808"/>
      <c r="ADL893" s="808"/>
      <c r="ADM893" s="808"/>
      <c r="ADN893" s="808"/>
      <c r="ADO893" s="808"/>
      <c r="ADP893" s="808"/>
      <c r="ADQ893" s="808"/>
      <c r="ADR893" s="808"/>
      <c r="ADS893" s="808"/>
      <c r="ADT893" s="808"/>
      <c r="ADU893" s="808"/>
      <c r="ADV893" s="808"/>
      <c r="ADW893" s="808"/>
      <c r="ADX893" s="808"/>
      <c r="ADY893" s="808"/>
      <c r="ADZ893" s="808"/>
      <c r="AEA893" s="808"/>
      <c r="AEB893" s="808"/>
      <c r="AEC893" s="808"/>
      <c r="AED893" s="808"/>
      <c r="AEE893" s="808"/>
      <c r="AEF893" s="808"/>
      <c r="AEG893" s="808"/>
      <c r="AEH893" s="808"/>
      <c r="AEI893" s="808"/>
      <c r="AEJ893" s="808"/>
      <c r="AEK893" s="808"/>
      <c r="AEL893" s="808"/>
      <c r="AEM893" s="808"/>
      <c r="AEN893" s="808"/>
      <c r="AEO893" s="808"/>
      <c r="AEP893" s="808"/>
      <c r="AEQ893" s="808"/>
      <c r="AER893" s="808"/>
      <c r="AES893" s="808"/>
      <c r="AET893" s="808"/>
      <c r="AEU893" s="808"/>
      <c r="AEV893" s="808"/>
      <c r="AEW893" s="808"/>
      <c r="AEX893" s="808"/>
      <c r="AEY893" s="808"/>
      <c r="AEZ893" s="808"/>
      <c r="AFA893" s="808"/>
      <c r="AFB893" s="808"/>
      <c r="AFC893" s="808"/>
      <c r="AFD893" s="808"/>
      <c r="AFE893" s="808"/>
      <c r="AFF893" s="808"/>
      <c r="AFG893" s="808"/>
      <c r="AFH893" s="808"/>
      <c r="AFI893" s="808"/>
      <c r="AFJ893" s="808"/>
      <c r="AFK893" s="808"/>
      <c r="AFL893" s="808"/>
      <c r="AFM893" s="808"/>
      <c r="AFN893" s="808"/>
      <c r="AFO893" s="808"/>
      <c r="AFP893" s="808"/>
      <c r="AFQ893" s="808"/>
      <c r="AFR893" s="808"/>
      <c r="AFS893" s="808"/>
      <c r="AFT893" s="808"/>
      <c r="AFU893" s="808"/>
      <c r="AFV893" s="808"/>
      <c r="AFW893" s="808"/>
      <c r="AFX893" s="808"/>
      <c r="AFY893" s="808"/>
      <c r="AFZ893" s="808"/>
      <c r="AGA893" s="808"/>
      <c r="AGB893" s="808"/>
      <c r="AGC893" s="808"/>
      <c r="AGD893" s="808"/>
      <c r="AGE893" s="808"/>
      <c r="AGF893" s="808"/>
      <c r="AGG893" s="808"/>
      <c r="AGH893" s="808"/>
      <c r="AGI893" s="808"/>
      <c r="AGJ893" s="808"/>
    </row>
    <row r="894" spans="1:868" s="7" customFormat="1">
      <c r="A894" s="609" t="s">
        <v>118</v>
      </c>
      <c r="B894" s="59" t="s">
        <v>435</v>
      </c>
      <c r="C894" s="40" t="s">
        <v>139</v>
      </c>
      <c r="D894" s="34" t="s">
        <v>99</v>
      </c>
      <c r="E894" s="859">
        <v>7.1003816455134469E-2</v>
      </c>
      <c r="F894" s="34">
        <v>2</v>
      </c>
      <c r="G894" s="40" t="s">
        <v>433</v>
      </c>
      <c r="H894" s="29">
        <v>1</v>
      </c>
      <c r="I894" s="9">
        <v>2</v>
      </c>
      <c r="J894" s="9">
        <v>2</v>
      </c>
      <c r="K894" s="9">
        <v>1</v>
      </c>
      <c r="L894" s="9">
        <v>1</v>
      </c>
      <c r="M894" s="9">
        <v>2</v>
      </c>
      <c r="N894" s="185">
        <f t="shared" ref="N894:N925" si="66">IF( OR( ISBLANK(H894),ISBLANK(J894), ISBLANK(K894), ISBLANK(L894), ISBLANK(M894) ), "", 1.5*SQRT(   EXP(2.21*(H894-1)) + EXP(2.21*(J894-1)) + EXP(2.21*(K894-1)) + EXP(2.21*(L894-1)) + EXP(2.21*M894)   )/100*2.45 )</f>
        <v>0.35859414261160716</v>
      </c>
      <c r="O894" s="159">
        <f t="shared" si="65"/>
        <v>0.37356464144298934</v>
      </c>
      <c r="P894" s="63"/>
      <c r="Q894" s="808"/>
      <c r="R894" s="808"/>
      <c r="S894" s="808"/>
      <c r="T894" s="808"/>
      <c r="U894" s="808"/>
      <c r="V894" s="808"/>
      <c r="W894" s="808"/>
      <c r="X894" s="808"/>
      <c r="Y894" s="808"/>
      <c r="Z894" s="808"/>
      <c r="AA894" s="808"/>
      <c r="AB894" s="808"/>
      <c r="AC894" s="808"/>
      <c r="AD894" s="808"/>
      <c r="AE894" s="808"/>
      <c r="AF894" s="808"/>
      <c r="AG894" s="808"/>
      <c r="AH894" s="808"/>
      <c r="AI894" s="808"/>
      <c r="AJ894" s="808"/>
      <c r="AK894" s="808"/>
      <c r="AL894" s="808"/>
      <c r="AM894" s="808"/>
      <c r="AN894" s="808"/>
      <c r="AO894" s="808"/>
      <c r="AP894" s="808"/>
      <c r="AQ894" s="808"/>
      <c r="AR894" s="808"/>
      <c r="AS894" s="808"/>
      <c r="AT894" s="808"/>
      <c r="AU894" s="808"/>
      <c r="AV894" s="808"/>
      <c r="AW894" s="808"/>
      <c r="AX894" s="808"/>
      <c r="AY894" s="808"/>
      <c r="AZ894" s="808"/>
      <c r="BA894" s="808"/>
      <c r="BB894" s="808"/>
      <c r="BC894" s="808"/>
      <c r="BD894" s="808"/>
      <c r="BE894" s="808"/>
      <c r="BF894" s="808"/>
      <c r="BG894" s="808"/>
      <c r="BH894" s="808"/>
      <c r="BI894" s="808"/>
      <c r="BJ894" s="808"/>
      <c r="BK894" s="808"/>
      <c r="BL894" s="808"/>
      <c r="BM894" s="808"/>
      <c r="BN894" s="808"/>
      <c r="BO894" s="808"/>
      <c r="BP894" s="808"/>
      <c r="BQ894" s="808"/>
      <c r="BR894" s="808"/>
      <c r="BS894" s="808"/>
      <c r="BT894" s="808"/>
      <c r="BU894" s="808"/>
      <c r="BV894" s="808"/>
      <c r="BW894" s="808"/>
      <c r="BX894" s="808"/>
      <c r="BY894" s="808"/>
      <c r="BZ894" s="808"/>
      <c r="CA894" s="808"/>
      <c r="CB894" s="808"/>
      <c r="CC894" s="808"/>
      <c r="CD894" s="808"/>
      <c r="CE894" s="808"/>
      <c r="CF894" s="808"/>
      <c r="CG894" s="808"/>
      <c r="CH894" s="808"/>
      <c r="CI894" s="808"/>
      <c r="CJ894" s="808"/>
      <c r="CK894" s="808"/>
      <c r="CL894" s="808"/>
      <c r="CM894" s="808"/>
      <c r="CN894" s="808"/>
      <c r="CO894" s="808"/>
      <c r="CP894" s="808"/>
      <c r="CQ894" s="808"/>
      <c r="CR894" s="808"/>
      <c r="CS894" s="808"/>
      <c r="CT894" s="808"/>
      <c r="CU894" s="808"/>
      <c r="CV894" s="808"/>
      <c r="CW894" s="808"/>
      <c r="CX894" s="808"/>
      <c r="CY894" s="808"/>
      <c r="CZ894" s="808"/>
      <c r="DA894" s="808"/>
      <c r="DB894" s="808"/>
      <c r="DC894" s="808"/>
      <c r="DD894" s="808"/>
      <c r="DE894" s="808"/>
      <c r="DF894" s="808"/>
      <c r="DG894" s="808"/>
      <c r="DH894" s="808"/>
      <c r="DI894" s="808"/>
      <c r="DJ894" s="808"/>
      <c r="DK894" s="808"/>
      <c r="DL894" s="808"/>
      <c r="DM894" s="808"/>
      <c r="DN894" s="808"/>
      <c r="DO894" s="808"/>
      <c r="DP894" s="808"/>
      <c r="DQ894" s="808"/>
      <c r="DR894" s="808"/>
      <c r="DS894" s="808"/>
      <c r="DT894" s="808"/>
      <c r="DU894" s="808"/>
      <c r="DV894" s="808"/>
      <c r="DW894" s="808"/>
      <c r="DX894" s="808"/>
      <c r="DY894" s="808"/>
      <c r="DZ894" s="808"/>
      <c r="EA894" s="808"/>
      <c r="EB894" s="808"/>
      <c r="EC894" s="808"/>
      <c r="ED894" s="808"/>
      <c r="EE894" s="808"/>
      <c r="EF894" s="808"/>
      <c r="EG894" s="808"/>
      <c r="EH894" s="808"/>
      <c r="EI894" s="808"/>
      <c r="EJ894" s="808"/>
      <c r="EK894" s="808"/>
      <c r="EL894" s="808"/>
      <c r="EM894" s="808"/>
      <c r="EN894" s="808"/>
      <c r="EO894" s="808"/>
      <c r="EP894" s="808"/>
      <c r="EQ894" s="808"/>
      <c r="ER894" s="808"/>
      <c r="ES894" s="808"/>
      <c r="ET894" s="808"/>
      <c r="EU894" s="808"/>
      <c r="EV894" s="808"/>
      <c r="EW894" s="808"/>
      <c r="EX894" s="808"/>
      <c r="EY894" s="808"/>
      <c r="EZ894" s="808"/>
      <c r="FA894" s="808"/>
      <c r="FB894" s="808"/>
      <c r="FC894" s="808"/>
      <c r="FD894" s="808"/>
      <c r="FE894" s="808"/>
      <c r="FF894" s="808"/>
      <c r="FG894" s="808"/>
      <c r="FH894" s="808"/>
      <c r="FI894" s="808"/>
      <c r="FJ894" s="808"/>
      <c r="FK894" s="808"/>
      <c r="FL894" s="808"/>
      <c r="FM894" s="808"/>
      <c r="FN894" s="808"/>
      <c r="FO894" s="808"/>
      <c r="FP894" s="808"/>
      <c r="FQ894" s="808"/>
      <c r="FR894" s="808"/>
      <c r="FS894" s="808"/>
      <c r="FT894" s="808"/>
      <c r="FU894" s="808"/>
      <c r="FV894" s="808"/>
      <c r="FW894" s="808"/>
      <c r="FX894" s="808"/>
      <c r="FY894" s="808"/>
      <c r="FZ894" s="808"/>
      <c r="GA894" s="808"/>
      <c r="GB894" s="808"/>
      <c r="GC894" s="808"/>
      <c r="GD894" s="808"/>
      <c r="GE894" s="808"/>
      <c r="GF894" s="808"/>
      <c r="GG894" s="808"/>
      <c r="GH894" s="808"/>
      <c r="GI894" s="808"/>
      <c r="GJ894" s="808"/>
      <c r="GK894" s="808"/>
      <c r="GL894" s="808"/>
      <c r="GM894" s="808"/>
      <c r="GN894" s="808"/>
      <c r="GO894" s="808"/>
      <c r="GP894" s="808"/>
      <c r="GQ894" s="808"/>
      <c r="GR894" s="808"/>
      <c r="GS894" s="808"/>
      <c r="GT894" s="808"/>
      <c r="GU894" s="808"/>
      <c r="GV894" s="808"/>
      <c r="GW894" s="808"/>
      <c r="GX894" s="808"/>
      <c r="GY894" s="808"/>
      <c r="GZ894" s="808"/>
      <c r="HA894" s="808"/>
      <c r="HB894" s="808"/>
      <c r="HC894" s="808"/>
      <c r="HD894" s="808"/>
      <c r="HE894" s="808"/>
      <c r="HF894" s="808"/>
      <c r="HG894" s="808"/>
      <c r="HH894" s="808"/>
      <c r="HI894" s="808"/>
      <c r="HJ894" s="808"/>
      <c r="HK894" s="808"/>
      <c r="HL894" s="808"/>
      <c r="HM894" s="808"/>
      <c r="HN894" s="808"/>
      <c r="HO894" s="808"/>
      <c r="HP894" s="808"/>
      <c r="HQ894" s="808"/>
      <c r="HR894" s="808"/>
      <c r="HS894" s="808"/>
      <c r="HT894" s="808"/>
      <c r="HU894" s="808"/>
      <c r="HV894" s="808"/>
      <c r="HW894" s="808"/>
      <c r="HX894" s="808"/>
      <c r="HY894" s="808"/>
      <c r="HZ894" s="808"/>
      <c r="IA894" s="808"/>
      <c r="IB894" s="808"/>
      <c r="IC894" s="808"/>
      <c r="ID894" s="808"/>
      <c r="IE894" s="808"/>
      <c r="IF894" s="808"/>
      <c r="IG894" s="808"/>
      <c r="IH894" s="808"/>
      <c r="II894" s="808"/>
      <c r="IJ894" s="808"/>
      <c r="IK894" s="808"/>
      <c r="IL894" s="808"/>
      <c r="IM894" s="808"/>
      <c r="IN894" s="808"/>
      <c r="IO894" s="808"/>
      <c r="IP894" s="808"/>
      <c r="IQ894" s="808"/>
      <c r="IR894" s="808"/>
      <c r="IS894" s="808"/>
      <c r="IT894" s="808"/>
      <c r="IU894" s="808"/>
      <c r="IV894" s="808"/>
      <c r="IW894" s="808"/>
      <c r="IX894" s="808"/>
      <c r="IY894" s="808"/>
      <c r="IZ894" s="808"/>
      <c r="JA894" s="808"/>
      <c r="JB894" s="808"/>
      <c r="JC894" s="808"/>
      <c r="JD894" s="808"/>
      <c r="JE894" s="808"/>
      <c r="JF894" s="808"/>
      <c r="JG894" s="808"/>
      <c r="JH894" s="808"/>
      <c r="JI894" s="808"/>
      <c r="JJ894" s="808"/>
      <c r="JK894" s="808"/>
      <c r="JL894" s="808"/>
      <c r="JM894" s="808"/>
      <c r="JN894" s="808"/>
      <c r="JO894" s="808"/>
      <c r="JP894" s="808"/>
      <c r="JQ894" s="808"/>
      <c r="JR894" s="808"/>
      <c r="JS894" s="808"/>
      <c r="JT894" s="808"/>
      <c r="JU894" s="808"/>
      <c r="JV894" s="808"/>
      <c r="JW894" s="808"/>
      <c r="JX894" s="808"/>
      <c r="JY894" s="808"/>
      <c r="JZ894" s="808"/>
      <c r="KA894" s="808"/>
      <c r="KB894" s="808"/>
      <c r="KC894" s="808"/>
      <c r="KD894" s="808"/>
      <c r="KE894" s="808"/>
      <c r="KF894" s="808"/>
      <c r="KG894" s="808"/>
      <c r="KH894" s="808"/>
      <c r="KI894" s="808"/>
      <c r="KJ894" s="808"/>
      <c r="KK894" s="808"/>
      <c r="KL894" s="808"/>
      <c r="KM894" s="808"/>
      <c r="KN894" s="808"/>
      <c r="KO894" s="808"/>
      <c r="KP894" s="808"/>
      <c r="KQ894" s="808"/>
      <c r="KR894" s="808"/>
      <c r="KS894" s="808"/>
      <c r="KT894" s="808"/>
      <c r="KU894" s="808"/>
      <c r="KV894" s="808"/>
      <c r="KW894" s="808"/>
      <c r="KX894" s="808"/>
      <c r="KY894" s="808"/>
      <c r="KZ894" s="808"/>
      <c r="LA894" s="808"/>
      <c r="LB894" s="808"/>
      <c r="LC894" s="808"/>
      <c r="LD894" s="808"/>
      <c r="LE894" s="808"/>
      <c r="LF894" s="808"/>
      <c r="LG894" s="808"/>
      <c r="LH894" s="808"/>
      <c r="LI894" s="808"/>
      <c r="LJ894" s="808"/>
      <c r="LK894" s="808"/>
      <c r="LL894" s="808"/>
      <c r="LM894" s="808"/>
      <c r="LN894" s="808"/>
      <c r="LO894" s="808"/>
      <c r="LP894" s="808"/>
      <c r="LQ894" s="808"/>
      <c r="LR894" s="808"/>
      <c r="LS894" s="808"/>
      <c r="LT894" s="808"/>
      <c r="LU894" s="808"/>
      <c r="LV894" s="808"/>
      <c r="LW894" s="808"/>
      <c r="LX894" s="808"/>
      <c r="LY894" s="808"/>
      <c r="LZ894" s="808"/>
      <c r="MA894" s="808"/>
      <c r="MB894" s="808"/>
      <c r="MC894" s="808"/>
      <c r="MD894" s="808"/>
      <c r="ME894" s="808"/>
      <c r="MF894" s="808"/>
      <c r="MG894" s="808"/>
      <c r="MH894" s="808"/>
      <c r="MI894" s="808"/>
      <c r="MJ894" s="808"/>
      <c r="MK894" s="808"/>
      <c r="ML894" s="808"/>
      <c r="MM894" s="808"/>
      <c r="MN894" s="808"/>
      <c r="MO894" s="808"/>
      <c r="MP894" s="808"/>
      <c r="MQ894" s="808"/>
      <c r="MR894" s="808"/>
      <c r="MS894" s="808"/>
      <c r="MT894" s="808"/>
      <c r="MU894" s="808"/>
      <c r="MV894" s="808"/>
      <c r="MW894" s="808"/>
      <c r="MX894" s="808"/>
      <c r="MY894" s="808"/>
      <c r="MZ894" s="808"/>
      <c r="NA894" s="808"/>
      <c r="NB894" s="808"/>
      <c r="NC894" s="808"/>
      <c r="ND894" s="808"/>
      <c r="NE894" s="808"/>
      <c r="NF894" s="808"/>
      <c r="NG894" s="808"/>
      <c r="NH894" s="808"/>
      <c r="NI894" s="808"/>
      <c r="NJ894" s="808"/>
      <c r="NK894" s="808"/>
      <c r="NL894" s="808"/>
      <c r="NM894" s="808"/>
      <c r="NN894" s="808"/>
      <c r="NO894" s="808"/>
      <c r="NP894" s="808"/>
      <c r="NQ894" s="808"/>
      <c r="NR894" s="808"/>
      <c r="NS894" s="808"/>
      <c r="NT894" s="808"/>
      <c r="NU894" s="808"/>
      <c r="NV894" s="808"/>
      <c r="NW894" s="808"/>
      <c r="NX894" s="808"/>
      <c r="NY894" s="808"/>
      <c r="NZ894" s="808"/>
      <c r="OA894" s="808"/>
      <c r="OB894" s="808"/>
      <c r="OC894" s="808"/>
      <c r="OD894" s="808"/>
      <c r="OE894" s="808"/>
      <c r="OF894" s="808"/>
      <c r="OG894" s="808"/>
      <c r="OH894" s="808"/>
      <c r="OI894" s="808"/>
      <c r="OJ894" s="808"/>
      <c r="OK894" s="808"/>
      <c r="OL894" s="808"/>
      <c r="OM894" s="808"/>
      <c r="ON894" s="808"/>
      <c r="OO894" s="808"/>
      <c r="OP894" s="808"/>
      <c r="OQ894" s="808"/>
      <c r="OR894" s="808"/>
      <c r="OS894" s="808"/>
      <c r="OT894" s="808"/>
      <c r="OU894" s="808"/>
      <c r="OV894" s="808"/>
      <c r="OW894" s="808"/>
      <c r="OX894" s="808"/>
      <c r="OY894" s="808"/>
      <c r="OZ894" s="808"/>
      <c r="PA894" s="808"/>
      <c r="PB894" s="808"/>
      <c r="PC894" s="808"/>
      <c r="PD894" s="808"/>
      <c r="PE894" s="808"/>
      <c r="PF894" s="808"/>
      <c r="PG894" s="808"/>
      <c r="PH894" s="808"/>
      <c r="PI894" s="808"/>
      <c r="PJ894" s="808"/>
      <c r="PK894" s="808"/>
      <c r="PL894" s="808"/>
      <c r="PM894" s="808"/>
      <c r="PN894" s="808"/>
      <c r="PO894" s="808"/>
      <c r="PP894" s="808"/>
      <c r="PQ894" s="808"/>
      <c r="PR894" s="808"/>
      <c r="PS894" s="808"/>
      <c r="PT894" s="808"/>
      <c r="PU894" s="808"/>
      <c r="PV894" s="808"/>
      <c r="PW894" s="808"/>
      <c r="PX894" s="808"/>
      <c r="PY894" s="808"/>
      <c r="PZ894" s="808"/>
      <c r="QA894" s="808"/>
      <c r="QB894" s="808"/>
      <c r="QC894" s="808"/>
      <c r="QD894" s="808"/>
      <c r="QE894" s="808"/>
      <c r="QF894" s="808"/>
      <c r="QG894" s="808"/>
      <c r="QH894" s="808"/>
      <c r="QI894" s="808"/>
      <c r="QJ894" s="808"/>
      <c r="QK894" s="808"/>
      <c r="QL894" s="808"/>
      <c r="QM894" s="808"/>
      <c r="QN894" s="808"/>
      <c r="QO894" s="808"/>
      <c r="QP894" s="808"/>
      <c r="QQ894" s="808"/>
      <c r="QR894" s="808"/>
      <c r="QS894" s="808"/>
      <c r="QT894" s="808"/>
      <c r="QU894" s="808"/>
      <c r="QV894" s="808"/>
      <c r="QW894" s="808"/>
      <c r="QX894" s="808"/>
      <c r="QY894" s="808"/>
      <c r="QZ894" s="808"/>
      <c r="RA894" s="808"/>
      <c r="RB894" s="808"/>
      <c r="RC894" s="808"/>
      <c r="RD894" s="808"/>
      <c r="RE894" s="808"/>
      <c r="RF894" s="808"/>
      <c r="RG894" s="808"/>
      <c r="RH894" s="808"/>
      <c r="RI894" s="808"/>
      <c r="RJ894" s="808"/>
      <c r="RK894" s="808"/>
      <c r="RL894" s="808"/>
      <c r="RM894" s="808"/>
      <c r="RN894" s="808"/>
      <c r="RO894" s="808"/>
      <c r="RP894" s="808"/>
      <c r="RQ894" s="808"/>
      <c r="RR894" s="808"/>
      <c r="RS894" s="808"/>
      <c r="RT894" s="808"/>
      <c r="RU894" s="808"/>
      <c r="RV894" s="808"/>
      <c r="RW894" s="808"/>
      <c r="RX894" s="808"/>
      <c r="RY894" s="808"/>
      <c r="RZ894" s="808"/>
      <c r="SA894" s="808"/>
      <c r="SB894" s="808"/>
      <c r="SC894" s="808"/>
      <c r="SD894" s="808"/>
      <c r="SE894" s="808"/>
      <c r="SF894" s="808"/>
      <c r="SG894" s="808"/>
      <c r="SH894" s="808"/>
      <c r="SI894" s="808"/>
      <c r="SJ894" s="808"/>
      <c r="SK894" s="808"/>
      <c r="SL894" s="808"/>
      <c r="SM894" s="808"/>
      <c r="SN894" s="808"/>
      <c r="SO894" s="808"/>
      <c r="SP894" s="808"/>
      <c r="SQ894" s="808"/>
      <c r="SR894" s="808"/>
      <c r="SS894" s="808"/>
      <c r="ST894" s="808"/>
      <c r="SU894" s="808"/>
      <c r="SV894" s="808"/>
      <c r="SW894" s="808"/>
      <c r="SX894" s="808"/>
      <c r="SY894" s="808"/>
      <c r="SZ894" s="808"/>
      <c r="TA894" s="808"/>
      <c r="TB894" s="808"/>
      <c r="TC894" s="808"/>
      <c r="TD894" s="808"/>
      <c r="TE894" s="808"/>
      <c r="TF894" s="808"/>
      <c r="TG894" s="808"/>
      <c r="TH894" s="808"/>
      <c r="TI894" s="808"/>
      <c r="TJ894" s="808"/>
      <c r="TK894" s="808"/>
      <c r="TL894" s="808"/>
      <c r="TM894" s="808"/>
      <c r="TN894" s="808"/>
      <c r="TO894" s="808"/>
      <c r="TP894" s="808"/>
      <c r="TQ894" s="808"/>
      <c r="TR894" s="808"/>
      <c r="TS894" s="808"/>
      <c r="TT894" s="808"/>
      <c r="TU894" s="808"/>
      <c r="TV894" s="808"/>
      <c r="TW894" s="808"/>
      <c r="TX894" s="808"/>
      <c r="TY894" s="808"/>
      <c r="TZ894" s="808"/>
      <c r="UA894" s="808"/>
      <c r="UB894" s="808"/>
      <c r="UC894" s="808"/>
      <c r="UD894" s="808"/>
      <c r="UE894" s="808"/>
      <c r="UF894" s="808"/>
      <c r="UG894" s="808"/>
      <c r="UH894" s="808"/>
      <c r="UI894" s="808"/>
      <c r="UJ894" s="808"/>
      <c r="UK894" s="808"/>
      <c r="UL894" s="808"/>
      <c r="UM894" s="808"/>
      <c r="UN894" s="808"/>
      <c r="UO894" s="808"/>
      <c r="UP894" s="808"/>
      <c r="UQ894" s="808"/>
      <c r="UR894" s="808"/>
      <c r="US894" s="808"/>
      <c r="UT894" s="808"/>
      <c r="UU894" s="808"/>
      <c r="UV894" s="808"/>
      <c r="UW894" s="808"/>
      <c r="UX894" s="808"/>
      <c r="UY894" s="808"/>
      <c r="UZ894" s="808"/>
      <c r="VA894" s="808"/>
      <c r="VB894" s="808"/>
      <c r="VC894" s="808"/>
      <c r="VD894" s="808"/>
      <c r="VE894" s="808"/>
      <c r="VF894" s="808"/>
      <c r="VG894" s="808"/>
      <c r="VH894" s="808"/>
      <c r="VI894" s="808"/>
      <c r="VJ894" s="808"/>
      <c r="VK894" s="808"/>
      <c r="VL894" s="808"/>
      <c r="VM894" s="808"/>
      <c r="VN894" s="808"/>
      <c r="VO894" s="808"/>
      <c r="VP894" s="808"/>
      <c r="VQ894" s="808"/>
      <c r="VR894" s="808"/>
      <c r="VS894" s="808"/>
      <c r="VT894" s="808"/>
      <c r="VU894" s="808"/>
      <c r="VV894" s="808"/>
      <c r="VW894" s="808"/>
      <c r="VX894" s="808"/>
      <c r="VY894" s="808"/>
      <c r="VZ894" s="808"/>
      <c r="WA894" s="808"/>
      <c r="WB894" s="808"/>
      <c r="WC894" s="808"/>
      <c r="WD894" s="808"/>
      <c r="WE894" s="808"/>
      <c r="WF894" s="808"/>
      <c r="WG894" s="808"/>
      <c r="WH894" s="808"/>
      <c r="WI894" s="808"/>
      <c r="WJ894" s="808"/>
      <c r="WK894" s="808"/>
      <c r="WL894" s="808"/>
      <c r="WM894" s="808"/>
      <c r="WN894" s="808"/>
      <c r="WO894" s="808"/>
      <c r="WP894" s="808"/>
      <c r="WQ894" s="808"/>
      <c r="WR894" s="808"/>
      <c r="WS894" s="808"/>
      <c r="WT894" s="808"/>
      <c r="WU894" s="808"/>
      <c r="WV894" s="808"/>
      <c r="WW894" s="808"/>
      <c r="WX894" s="808"/>
      <c r="WY894" s="808"/>
      <c r="WZ894" s="808"/>
      <c r="XA894" s="808"/>
      <c r="XB894" s="808"/>
      <c r="XC894" s="808"/>
      <c r="XD894" s="808"/>
      <c r="XE894" s="808"/>
      <c r="XF894" s="808"/>
      <c r="XG894" s="808"/>
      <c r="XH894" s="808"/>
      <c r="XI894" s="808"/>
      <c r="XJ894" s="808"/>
      <c r="XK894" s="808"/>
      <c r="XL894" s="808"/>
      <c r="XM894" s="808"/>
      <c r="XN894" s="808"/>
      <c r="XO894" s="808"/>
      <c r="XP894" s="808"/>
      <c r="XQ894" s="808"/>
      <c r="XR894" s="808"/>
      <c r="XS894" s="808"/>
      <c r="XT894" s="808"/>
      <c r="XU894" s="808"/>
      <c r="XV894" s="808"/>
      <c r="XW894" s="808"/>
      <c r="XX894" s="808"/>
      <c r="XY894" s="808"/>
      <c r="XZ894" s="808"/>
      <c r="YA894" s="808"/>
      <c r="YB894" s="808"/>
      <c r="YC894" s="808"/>
      <c r="YD894" s="808"/>
      <c r="YE894" s="808"/>
      <c r="YF894" s="808"/>
      <c r="YG894" s="808"/>
      <c r="YH894" s="808"/>
      <c r="YI894" s="808"/>
      <c r="YJ894" s="808"/>
      <c r="YK894" s="808"/>
      <c r="YL894" s="808"/>
      <c r="YM894" s="808"/>
      <c r="YN894" s="808"/>
      <c r="YO894" s="808"/>
      <c r="YP894" s="808"/>
      <c r="YQ894" s="808"/>
      <c r="YR894" s="808"/>
      <c r="YS894" s="808"/>
      <c r="YT894" s="808"/>
      <c r="YU894" s="808"/>
      <c r="YV894" s="808"/>
      <c r="YW894" s="808"/>
      <c r="YX894" s="808"/>
      <c r="YY894" s="808"/>
      <c r="YZ894" s="808"/>
      <c r="ZA894" s="808"/>
      <c r="ZB894" s="808"/>
      <c r="ZC894" s="808"/>
      <c r="ZD894" s="808"/>
      <c r="ZE894" s="808"/>
      <c r="ZF894" s="808"/>
      <c r="ZG894" s="808"/>
      <c r="ZH894" s="808"/>
      <c r="ZI894" s="808"/>
      <c r="ZJ894" s="808"/>
      <c r="ZK894" s="808"/>
      <c r="ZL894" s="808"/>
      <c r="ZM894" s="808"/>
      <c r="ZN894" s="808"/>
      <c r="ZO894" s="808"/>
      <c r="ZP894" s="808"/>
      <c r="ZQ894" s="808"/>
      <c r="ZR894" s="808"/>
      <c r="ZS894" s="808"/>
      <c r="ZT894" s="808"/>
      <c r="ZU894" s="808"/>
      <c r="ZV894" s="808"/>
      <c r="ZW894" s="808"/>
      <c r="ZX894" s="808"/>
      <c r="ZY894" s="808"/>
      <c r="ZZ894" s="808"/>
      <c r="AAA894" s="808"/>
      <c r="AAB894" s="808"/>
      <c r="AAC894" s="808"/>
      <c r="AAD894" s="808"/>
      <c r="AAE894" s="808"/>
      <c r="AAF894" s="808"/>
      <c r="AAG894" s="808"/>
      <c r="AAH894" s="808"/>
      <c r="AAI894" s="808"/>
      <c r="AAJ894" s="808"/>
      <c r="AAK894" s="808"/>
      <c r="AAL894" s="808"/>
      <c r="AAM894" s="808"/>
      <c r="AAN894" s="808"/>
      <c r="AAO894" s="808"/>
      <c r="AAP894" s="808"/>
      <c r="AAQ894" s="808"/>
      <c r="AAR894" s="808"/>
      <c r="AAS894" s="808"/>
      <c r="AAT894" s="808"/>
      <c r="AAU894" s="808"/>
      <c r="AAV894" s="808"/>
      <c r="AAW894" s="808"/>
      <c r="AAX894" s="808"/>
      <c r="AAY894" s="808"/>
      <c r="AAZ894" s="808"/>
      <c r="ABA894" s="808"/>
      <c r="ABB894" s="808"/>
      <c r="ABC894" s="808"/>
      <c r="ABD894" s="808"/>
      <c r="ABE894" s="808"/>
      <c r="ABF894" s="808"/>
      <c r="ABG894" s="808"/>
      <c r="ABH894" s="808"/>
      <c r="ABI894" s="808"/>
      <c r="ABJ894" s="808"/>
      <c r="ABK894" s="808"/>
      <c r="ABL894" s="808"/>
      <c r="ABM894" s="808"/>
      <c r="ABN894" s="808"/>
      <c r="ABO894" s="808"/>
      <c r="ABP894" s="808"/>
      <c r="ABQ894" s="808"/>
      <c r="ABR894" s="808"/>
      <c r="ABS894" s="808"/>
      <c r="ABT894" s="808"/>
      <c r="ABU894" s="808"/>
      <c r="ABV894" s="808"/>
      <c r="ABW894" s="808"/>
      <c r="ABX894" s="808"/>
      <c r="ABY894" s="808"/>
      <c r="ABZ894" s="808"/>
      <c r="ACA894" s="808"/>
      <c r="ACB894" s="808"/>
      <c r="ACC894" s="808"/>
      <c r="ACD894" s="808"/>
      <c r="ACE894" s="808"/>
      <c r="ACF894" s="808"/>
      <c r="ACG894" s="808"/>
      <c r="ACH894" s="808"/>
      <c r="ACI894" s="808"/>
      <c r="ACJ894" s="808"/>
      <c r="ACK894" s="808"/>
      <c r="ACL894" s="808"/>
      <c r="ACM894" s="808"/>
      <c r="ACN894" s="808"/>
      <c r="ACO894" s="808"/>
      <c r="ACP894" s="808"/>
      <c r="ACQ894" s="808"/>
      <c r="ACR894" s="808"/>
      <c r="ACS894" s="808"/>
      <c r="ACT894" s="808"/>
      <c r="ACU894" s="808"/>
      <c r="ACV894" s="808"/>
      <c r="ACW894" s="808"/>
      <c r="ACX894" s="808"/>
      <c r="ACY894" s="808"/>
      <c r="ACZ894" s="808"/>
      <c r="ADA894" s="808"/>
      <c r="ADB894" s="808"/>
      <c r="ADC894" s="808"/>
      <c r="ADD894" s="808"/>
      <c r="ADE894" s="808"/>
      <c r="ADF894" s="808"/>
      <c r="ADG894" s="808"/>
      <c r="ADH894" s="808"/>
      <c r="ADI894" s="808"/>
      <c r="ADJ894" s="808"/>
      <c r="ADK894" s="808"/>
      <c r="ADL894" s="808"/>
      <c r="ADM894" s="808"/>
      <c r="ADN894" s="808"/>
      <c r="ADO894" s="808"/>
      <c r="ADP894" s="808"/>
      <c r="ADQ894" s="808"/>
      <c r="ADR894" s="808"/>
      <c r="ADS894" s="808"/>
      <c r="ADT894" s="808"/>
      <c r="ADU894" s="808"/>
      <c r="ADV894" s="808"/>
      <c r="ADW894" s="808"/>
      <c r="ADX894" s="808"/>
      <c r="ADY894" s="808"/>
      <c r="ADZ894" s="808"/>
      <c r="AEA894" s="808"/>
      <c r="AEB894" s="808"/>
      <c r="AEC894" s="808"/>
      <c r="AED894" s="808"/>
      <c r="AEE894" s="808"/>
      <c r="AEF894" s="808"/>
      <c r="AEG894" s="808"/>
      <c r="AEH894" s="808"/>
      <c r="AEI894" s="808"/>
      <c r="AEJ894" s="808"/>
      <c r="AEK894" s="808"/>
      <c r="AEL894" s="808"/>
      <c r="AEM894" s="808"/>
      <c r="AEN894" s="808"/>
      <c r="AEO894" s="808"/>
      <c r="AEP894" s="808"/>
      <c r="AEQ894" s="808"/>
      <c r="AER894" s="808"/>
      <c r="AES894" s="808"/>
      <c r="AET894" s="808"/>
      <c r="AEU894" s="808"/>
      <c r="AEV894" s="808"/>
      <c r="AEW894" s="808"/>
      <c r="AEX894" s="808"/>
      <c r="AEY894" s="808"/>
      <c r="AEZ894" s="808"/>
      <c r="AFA894" s="808"/>
      <c r="AFB894" s="808"/>
      <c r="AFC894" s="808"/>
      <c r="AFD894" s="808"/>
      <c r="AFE894" s="808"/>
      <c r="AFF894" s="808"/>
      <c r="AFG894" s="808"/>
      <c r="AFH894" s="808"/>
      <c r="AFI894" s="808"/>
      <c r="AFJ894" s="808"/>
      <c r="AFK894" s="808"/>
      <c r="AFL894" s="808"/>
      <c r="AFM894" s="808"/>
      <c r="AFN894" s="808"/>
      <c r="AFO894" s="808"/>
      <c r="AFP894" s="808"/>
      <c r="AFQ894" s="808"/>
      <c r="AFR894" s="808"/>
      <c r="AFS894" s="808"/>
      <c r="AFT894" s="808"/>
      <c r="AFU894" s="808"/>
      <c r="AFV894" s="808"/>
      <c r="AFW894" s="808"/>
      <c r="AFX894" s="808"/>
      <c r="AFY894" s="808"/>
      <c r="AFZ894" s="808"/>
      <c r="AGA894" s="808"/>
      <c r="AGB894" s="808"/>
      <c r="AGC894" s="808"/>
      <c r="AGD894" s="808"/>
      <c r="AGE894" s="808"/>
      <c r="AGF894" s="808"/>
      <c r="AGG894" s="808"/>
      <c r="AGH894" s="808"/>
      <c r="AGI894" s="808"/>
      <c r="AGJ894" s="808"/>
    </row>
    <row r="895" spans="1:868" s="7" customFormat="1">
      <c r="A895" s="609" t="s">
        <v>118</v>
      </c>
      <c r="B895" s="59" t="s">
        <v>436</v>
      </c>
      <c r="C895" s="40" t="s">
        <v>139</v>
      </c>
      <c r="D895" s="34" t="s">
        <v>99</v>
      </c>
      <c r="E895" s="859">
        <v>7.810419810064792E-2</v>
      </c>
      <c r="F895" s="34">
        <v>2</v>
      </c>
      <c r="G895" s="40" t="s">
        <v>433</v>
      </c>
      <c r="H895" s="29">
        <v>1</v>
      </c>
      <c r="I895" s="9">
        <v>2</v>
      </c>
      <c r="J895" s="9">
        <v>2</v>
      </c>
      <c r="K895" s="9">
        <v>1</v>
      </c>
      <c r="L895" s="9">
        <v>1</v>
      </c>
      <c r="M895" s="9">
        <v>2</v>
      </c>
      <c r="N895" s="185">
        <f t="shared" si="66"/>
        <v>0.35859414261160716</v>
      </c>
      <c r="O895" s="159">
        <f t="shared" si="65"/>
        <v>0.37356464144298934</v>
      </c>
      <c r="P895" s="63"/>
      <c r="Q895" s="808"/>
      <c r="R895" s="808"/>
      <c r="S895" s="808"/>
      <c r="T895" s="808"/>
      <c r="U895" s="808"/>
      <c r="V895" s="808"/>
      <c r="W895" s="808"/>
      <c r="X895" s="808"/>
      <c r="Y895" s="808"/>
      <c r="Z895" s="808"/>
      <c r="AA895" s="808"/>
      <c r="AB895" s="808"/>
      <c r="AC895" s="808"/>
      <c r="AD895" s="808"/>
      <c r="AE895" s="808"/>
      <c r="AF895" s="808"/>
      <c r="AG895" s="808"/>
      <c r="AH895" s="808"/>
      <c r="AI895" s="808"/>
      <c r="AJ895" s="808"/>
      <c r="AK895" s="808"/>
      <c r="AL895" s="808"/>
      <c r="AM895" s="808"/>
      <c r="AN895" s="808"/>
      <c r="AO895" s="808"/>
      <c r="AP895" s="808"/>
      <c r="AQ895" s="808"/>
      <c r="AR895" s="808"/>
      <c r="AS895" s="808"/>
      <c r="AT895" s="808"/>
      <c r="AU895" s="808"/>
      <c r="AV895" s="808"/>
      <c r="AW895" s="808"/>
      <c r="AX895" s="808"/>
      <c r="AY895" s="808"/>
      <c r="AZ895" s="808"/>
      <c r="BA895" s="808"/>
      <c r="BB895" s="808"/>
      <c r="BC895" s="808"/>
      <c r="BD895" s="808"/>
      <c r="BE895" s="808"/>
      <c r="BF895" s="808"/>
      <c r="BG895" s="808"/>
      <c r="BH895" s="808"/>
      <c r="BI895" s="808"/>
      <c r="BJ895" s="808"/>
      <c r="BK895" s="808"/>
      <c r="BL895" s="808"/>
      <c r="BM895" s="808"/>
      <c r="BN895" s="808"/>
      <c r="BO895" s="808"/>
      <c r="BP895" s="808"/>
      <c r="BQ895" s="808"/>
      <c r="BR895" s="808"/>
      <c r="BS895" s="808"/>
      <c r="BT895" s="808"/>
      <c r="BU895" s="808"/>
      <c r="BV895" s="808"/>
      <c r="BW895" s="808"/>
      <c r="BX895" s="808"/>
      <c r="BY895" s="808"/>
      <c r="BZ895" s="808"/>
      <c r="CA895" s="808"/>
      <c r="CB895" s="808"/>
      <c r="CC895" s="808"/>
      <c r="CD895" s="808"/>
      <c r="CE895" s="808"/>
      <c r="CF895" s="808"/>
      <c r="CG895" s="808"/>
      <c r="CH895" s="808"/>
      <c r="CI895" s="808"/>
      <c r="CJ895" s="808"/>
      <c r="CK895" s="808"/>
      <c r="CL895" s="808"/>
      <c r="CM895" s="808"/>
      <c r="CN895" s="808"/>
      <c r="CO895" s="808"/>
      <c r="CP895" s="808"/>
      <c r="CQ895" s="808"/>
      <c r="CR895" s="808"/>
      <c r="CS895" s="808"/>
      <c r="CT895" s="808"/>
      <c r="CU895" s="808"/>
      <c r="CV895" s="808"/>
      <c r="CW895" s="808"/>
      <c r="CX895" s="808"/>
      <c r="CY895" s="808"/>
      <c r="CZ895" s="808"/>
      <c r="DA895" s="808"/>
      <c r="DB895" s="808"/>
      <c r="DC895" s="808"/>
      <c r="DD895" s="808"/>
      <c r="DE895" s="808"/>
      <c r="DF895" s="808"/>
      <c r="DG895" s="808"/>
      <c r="DH895" s="808"/>
      <c r="DI895" s="808"/>
      <c r="DJ895" s="808"/>
      <c r="DK895" s="808"/>
      <c r="DL895" s="808"/>
      <c r="DM895" s="808"/>
      <c r="DN895" s="808"/>
      <c r="DO895" s="808"/>
      <c r="DP895" s="808"/>
      <c r="DQ895" s="808"/>
      <c r="DR895" s="808"/>
      <c r="DS895" s="808"/>
      <c r="DT895" s="808"/>
      <c r="DU895" s="808"/>
      <c r="DV895" s="808"/>
      <c r="DW895" s="808"/>
      <c r="DX895" s="808"/>
      <c r="DY895" s="808"/>
      <c r="DZ895" s="808"/>
      <c r="EA895" s="808"/>
      <c r="EB895" s="808"/>
      <c r="EC895" s="808"/>
      <c r="ED895" s="808"/>
      <c r="EE895" s="808"/>
      <c r="EF895" s="808"/>
      <c r="EG895" s="808"/>
      <c r="EH895" s="808"/>
      <c r="EI895" s="808"/>
      <c r="EJ895" s="808"/>
      <c r="EK895" s="808"/>
      <c r="EL895" s="808"/>
      <c r="EM895" s="808"/>
      <c r="EN895" s="808"/>
      <c r="EO895" s="808"/>
      <c r="EP895" s="808"/>
      <c r="EQ895" s="808"/>
      <c r="ER895" s="808"/>
      <c r="ES895" s="808"/>
      <c r="ET895" s="808"/>
      <c r="EU895" s="808"/>
      <c r="EV895" s="808"/>
      <c r="EW895" s="808"/>
      <c r="EX895" s="808"/>
      <c r="EY895" s="808"/>
      <c r="EZ895" s="808"/>
      <c r="FA895" s="808"/>
      <c r="FB895" s="808"/>
      <c r="FC895" s="808"/>
      <c r="FD895" s="808"/>
      <c r="FE895" s="808"/>
      <c r="FF895" s="808"/>
      <c r="FG895" s="808"/>
      <c r="FH895" s="808"/>
      <c r="FI895" s="808"/>
      <c r="FJ895" s="808"/>
      <c r="FK895" s="808"/>
      <c r="FL895" s="808"/>
      <c r="FM895" s="808"/>
      <c r="FN895" s="808"/>
      <c r="FO895" s="808"/>
      <c r="FP895" s="808"/>
      <c r="FQ895" s="808"/>
      <c r="FR895" s="808"/>
      <c r="FS895" s="808"/>
      <c r="FT895" s="808"/>
      <c r="FU895" s="808"/>
      <c r="FV895" s="808"/>
      <c r="FW895" s="808"/>
      <c r="FX895" s="808"/>
      <c r="FY895" s="808"/>
      <c r="FZ895" s="808"/>
      <c r="GA895" s="808"/>
      <c r="GB895" s="808"/>
      <c r="GC895" s="808"/>
      <c r="GD895" s="808"/>
      <c r="GE895" s="808"/>
      <c r="GF895" s="808"/>
      <c r="GG895" s="808"/>
      <c r="GH895" s="808"/>
      <c r="GI895" s="808"/>
      <c r="GJ895" s="808"/>
      <c r="GK895" s="808"/>
      <c r="GL895" s="808"/>
      <c r="GM895" s="808"/>
      <c r="GN895" s="808"/>
      <c r="GO895" s="808"/>
      <c r="GP895" s="808"/>
      <c r="GQ895" s="808"/>
      <c r="GR895" s="808"/>
      <c r="GS895" s="808"/>
      <c r="GT895" s="808"/>
      <c r="GU895" s="808"/>
      <c r="GV895" s="808"/>
      <c r="GW895" s="808"/>
      <c r="GX895" s="808"/>
      <c r="GY895" s="808"/>
      <c r="GZ895" s="808"/>
      <c r="HA895" s="808"/>
      <c r="HB895" s="808"/>
      <c r="HC895" s="808"/>
      <c r="HD895" s="808"/>
      <c r="HE895" s="808"/>
      <c r="HF895" s="808"/>
      <c r="HG895" s="808"/>
      <c r="HH895" s="808"/>
      <c r="HI895" s="808"/>
      <c r="HJ895" s="808"/>
      <c r="HK895" s="808"/>
      <c r="HL895" s="808"/>
      <c r="HM895" s="808"/>
      <c r="HN895" s="808"/>
      <c r="HO895" s="808"/>
      <c r="HP895" s="808"/>
      <c r="HQ895" s="808"/>
      <c r="HR895" s="808"/>
      <c r="HS895" s="808"/>
      <c r="HT895" s="808"/>
      <c r="HU895" s="808"/>
      <c r="HV895" s="808"/>
      <c r="HW895" s="808"/>
      <c r="HX895" s="808"/>
      <c r="HY895" s="808"/>
      <c r="HZ895" s="808"/>
      <c r="IA895" s="808"/>
      <c r="IB895" s="808"/>
      <c r="IC895" s="808"/>
      <c r="ID895" s="808"/>
      <c r="IE895" s="808"/>
      <c r="IF895" s="808"/>
      <c r="IG895" s="808"/>
      <c r="IH895" s="808"/>
      <c r="II895" s="808"/>
      <c r="IJ895" s="808"/>
      <c r="IK895" s="808"/>
      <c r="IL895" s="808"/>
      <c r="IM895" s="808"/>
      <c r="IN895" s="808"/>
      <c r="IO895" s="808"/>
      <c r="IP895" s="808"/>
      <c r="IQ895" s="808"/>
      <c r="IR895" s="808"/>
      <c r="IS895" s="808"/>
      <c r="IT895" s="808"/>
      <c r="IU895" s="808"/>
      <c r="IV895" s="808"/>
      <c r="IW895" s="808"/>
      <c r="IX895" s="808"/>
      <c r="IY895" s="808"/>
      <c r="IZ895" s="808"/>
      <c r="JA895" s="808"/>
      <c r="JB895" s="808"/>
      <c r="JC895" s="808"/>
      <c r="JD895" s="808"/>
      <c r="JE895" s="808"/>
      <c r="JF895" s="808"/>
      <c r="JG895" s="808"/>
      <c r="JH895" s="808"/>
      <c r="JI895" s="808"/>
      <c r="JJ895" s="808"/>
      <c r="JK895" s="808"/>
      <c r="JL895" s="808"/>
      <c r="JM895" s="808"/>
      <c r="JN895" s="808"/>
      <c r="JO895" s="808"/>
      <c r="JP895" s="808"/>
      <c r="JQ895" s="808"/>
      <c r="JR895" s="808"/>
      <c r="JS895" s="808"/>
      <c r="JT895" s="808"/>
      <c r="JU895" s="808"/>
      <c r="JV895" s="808"/>
      <c r="JW895" s="808"/>
      <c r="JX895" s="808"/>
      <c r="JY895" s="808"/>
      <c r="JZ895" s="808"/>
      <c r="KA895" s="808"/>
      <c r="KB895" s="808"/>
      <c r="KC895" s="808"/>
      <c r="KD895" s="808"/>
      <c r="KE895" s="808"/>
      <c r="KF895" s="808"/>
      <c r="KG895" s="808"/>
      <c r="KH895" s="808"/>
      <c r="KI895" s="808"/>
      <c r="KJ895" s="808"/>
      <c r="KK895" s="808"/>
      <c r="KL895" s="808"/>
      <c r="KM895" s="808"/>
      <c r="KN895" s="808"/>
      <c r="KO895" s="808"/>
      <c r="KP895" s="808"/>
      <c r="KQ895" s="808"/>
      <c r="KR895" s="808"/>
      <c r="KS895" s="808"/>
      <c r="KT895" s="808"/>
      <c r="KU895" s="808"/>
      <c r="KV895" s="808"/>
      <c r="KW895" s="808"/>
      <c r="KX895" s="808"/>
      <c r="KY895" s="808"/>
      <c r="KZ895" s="808"/>
      <c r="LA895" s="808"/>
      <c r="LB895" s="808"/>
      <c r="LC895" s="808"/>
      <c r="LD895" s="808"/>
      <c r="LE895" s="808"/>
      <c r="LF895" s="808"/>
      <c r="LG895" s="808"/>
      <c r="LH895" s="808"/>
      <c r="LI895" s="808"/>
      <c r="LJ895" s="808"/>
      <c r="LK895" s="808"/>
      <c r="LL895" s="808"/>
      <c r="LM895" s="808"/>
      <c r="LN895" s="808"/>
      <c r="LO895" s="808"/>
      <c r="LP895" s="808"/>
      <c r="LQ895" s="808"/>
      <c r="LR895" s="808"/>
      <c r="LS895" s="808"/>
      <c r="LT895" s="808"/>
      <c r="LU895" s="808"/>
      <c r="LV895" s="808"/>
      <c r="LW895" s="808"/>
      <c r="LX895" s="808"/>
      <c r="LY895" s="808"/>
      <c r="LZ895" s="808"/>
      <c r="MA895" s="808"/>
      <c r="MB895" s="808"/>
      <c r="MC895" s="808"/>
      <c r="MD895" s="808"/>
      <c r="ME895" s="808"/>
      <c r="MF895" s="808"/>
      <c r="MG895" s="808"/>
      <c r="MH895" s="808"/>
      <c r="MI895" s="808"/>
      <c r="MJ895" s="808"/>
      <c r="MK895" s="808"/>
      <c r="ML895" s="808"/>
      <c r="MM895" s="808"/>
      <c r="MN895" s="808"/>
      <c r="MO895" s="808"/>
      <c r="MP895" s="808"/>
      <c r="MQ895" s="808"/>
      <c r="MR895" s="808"/>
      <c r="MS895" s="808"/>
      <c r="MT895" s="808"/>
      <c r="MU895" s="808"/>
      <c r="MV895" s="808"/>
      <c r="MW895" s="808"/>
      <c r="MX895" s="808"/>
      <c r="MY895" s="808"/>
      <c r="MZ895" s="808"/>
      <c r="NA895" s="808"/>
      <c r="NB895" s="808"/>
      <c r="NC895" s="808"/>
      <c r="ND895" s="808"/>
      <c r="NE895" s="808"/>
      <c r="NF895" s="808"/>
      <c r="NG895" s="808"/>
      <c r="NH895" s="808"/>
      <c r="NI895" s="808"/>
      <c r="NJ895" s="808"/>
      <c r="NK895" s="808"/>
      <c r="NL895" s="808"/>
      <c r="NM895" s="808"/>
      <c r="NN895" s="808"/>
      <c r="NO895" s="808"/>
      <c r="NP895" s="808"/>
      <c r="NQ895" s="808"/>
      <c r="NR895" s="808"/>
      <c r="NS895" s="808"/>
      <c r="NT895" s="808"/>
      <c r="NU895" s="808"/>
      <c r="NV895" s="808"/>
      <c r="NW895" s="808"/>
      <c r="NX895" s="808"/>
      <c r="NY895" s="808"/>
      <c r="NZ895" s="808"/>
      <c r="OA895" s="808"/>
      <c r="OB895" s="808"/>
      <c r="OC895" s="808"/>
      <c r="OD895" s="808"/>
      <c r="OE895" s="808"/>
      <c r="OF895" s="808"/>
      <c r="OG895" s="808"/>
      <c r="OH895" s="808"/>
      <c r="OI895" s="808"/>
      <c r="OJ895" s="808"/>
      <c r="OK895" s="808"/>
      <c r="OL895" s="808"/>
      <c r="OM895" s="808"/>
      <c r="ON895" s="808"/>
      <c r="OO895" s="808"/>
      <c r="OP895" s="808"/>
      <c r="OQ895" s="808"/>
      <c r="OR895" s="808"/>
      <c r="OS895" s="808"/>
      <c r="OT895" s="808"/>
      <c r="OU895" s="808"/>
      <c r="OV895" s="808"/>
      <c r="OW895" s="808"/>
      <c r="OX895" s="808"/>
      <c r="OY895" s="808"/>
      <c r="OZ895" s="808"/>
      <c r="PA895" s="808"/>
      <c r="PB895" s="808"/>
      <c r="PC895" s="808"/>
      <c r="PD895" s="808"/>
      <c r="PE895" s="808"/>
      <c r="PF895" s="808"/>
      <c r="PG895" s="808"/>
      <c r="PH895" s="808"/>
      <c r="PI895" s="808"/>
      <c r="PJ895" s="808"/>
      <c r="PK895" s="808"/>
      <c r="PL895" s="808"/>
      <c r="PM895" s="808"/>
      <c r="PN895" s="808"/>
      <c r="PO895" s="808"/>
      <c r="PP895" s="808"/>
      <c r="PQ895" s="808"/>
      <c r="PR895" s="808"/>
      <c r="PS895" s="808"/>
      <c r="PT895" s="808"/>
      <c r="PU895" s="808"/>
      <c r="PV895" s="808"/>
      <c r="PW895" s="808"/>
      <c r="PX895" s="808"/>
      <c r="PY895" s="808"/>
      <c r="PZ895" s="808"/>
      <c r="QA895" s="808"/>
      <c r="QB895" s="808"/>
      <c r="QC895" s="808"/>
      <c r="QD895" s="808"/>
      <c r="QE895" s="808"/>
      <c r="QF895" s="808"/>
      <c r="QG895" s="808"/>
      <c r="QH895" s="808"/>
      <c r="QI895" s="808"/>
      <c r="QJ895" s="808"/>
      <c r="QK895" s="808"/>
      <c r="QL895" s="808"/>
      <c r="QM895" s="808"/>
      <c r="QN895" s="808"/>
      <c r="QO895" s="808"/>
      <c r="QP895" s="808"/>
      <c r="QQ895" s="808"/>
      <c r="QR895" s="808"/>
      <c r="QS895" s="808"/>
      <c r="QT895" s="808"/>
      <c r="QU895" s="808"/>
      <c r="QV895" s="808"/>
      <c r="QW895" s="808"/>
      <c r="QX895" s="808"/>
      <c r="QY895" s="808"/>
      <c r="QZ895" s="808"/>
      <c r="RA895" s="808"/>
      <c r="RB895" s="808"/>
      <c r="RC895" s="808"/>
      <c r="RD895" s="808"/>
      <c r="RE895" s="808"/>
      <c r="RF895" s="808"/>
      <c r="RG895" s="808"/>
      <c r="RH895" s="808"/>
      <c r="RI895" s="808"/>
      <c r="RJ895" s="808"/>
      <c r="RK895" s="808"/>
      <c r="RL895" s="808"/>
      <c r="RM895" s="808"/>
      <c r="RN895" s="808"/>
      <c r="RO895" s="808"/>
      <c r="RP895" s="808"/>
      <c r="RQ895" s="808"/>
      <c r="RR895" s="808"/>
      <c r="RS895" s="808"/>
      <c r="RT895" s="808"/>
      <c r="RU895" s="808"/>
      <c r="RV895" s="808"/>
      <c r="RW895" s="808"/>
      <c r="RX895" s="808"/>
      <c r="RY895" s="808"/>
      <c r="RZ895" s="808"/>
      <c r="SA895" s="808"/>
      <c r="SB895" s="808"/>
      <c r="SC895" s="808"/>
      <c r="SD895" s="808"/>
      <c r="SE895" s="808"/>
      <c r="SF895" s="808"/>
      <c r="SG895" s="808"/>
      <c r="SH895" s="808"/>
      <c r="SI895" s="808"/>
      <c r="SJ895" s="808"/>
      <c r="SK895" s="808"/>
      <c r="SL895" s="808"/>
      <c r="SM895" s="808"/>
      <c r="SN895" s="808"/>
      <c r="SO895" s="808"/>
      <c r="SP895" s="808"/>
      <c r="SQ895" s="808"/>
      <c r="SR895" s="808"/>
      <c r="SS895" s="808"/>
      <c r="ST895" s="808"/>
      <c r="SU895" s="808"/>
      <c r="SV895" s="808"/>
      <c r="SW895" s="808"/>
      <c r="SX895" s="808"/>
      <c r="SY895" s="808"/>
      <c r="SZ895" s="808"/>
      <c r="TA895" s="808"/>
      <c r="TB895" s="808"/>
      <c r="TC895" s="808"/>
      <c r="TD895" s="808"/>
      <c r="TE895" s="808"/>
      <c r="TF895" s="808"/>
      <c r="TG895" s="808"/>
      <c r="TH895" s="808"/>
      <c r="TI895" s="808"/>
      <c r="TJ895" s="808"/>
      <c r="TK895" s="808"/>
      <c r="TL895" s="808"/>
      <c r="TM895" s="808"/>
      <c r="TN895" s="808"/>
      <c r="TO895" s="808"/>
      <c r="TP895" s="808"/>
      <c r="TQ895" s="808"/>
      <c r="TR895" s="808"/>
      <c r="TS895" s="808"/>
      <c r="TT895" s="808"/>
      <c r="TU895" s="808"/>
      <c r="TV895" s="808"/>
      <c r="TW895" s="808"/>
      <c r="TX895" s="808"/>
      <c r="TY895" s="808"/>
      <c r="TZ895" s="808"/>
      <c r="UA895" s="808"/>
      <c r="UB895" s="808"/>
      <c r="UC895" s="808"/>
      <c r="UD895" s="808"/>
      <c r="UE895" s="808"/>
      <c r="UF895" s="808"/>
      <c r="UG895" s="808"/>
      <c r="UH895" s="808"/>
      <c r="UI895" s="808"/>
      <c r="UJ895" s="808"/>
      <c r="UK895" s="808"/>
      <c r="UL895" s="808"/>
      <c r="UM895" s="808"/>
      <c r="UN895" s="808"/>
      <c r="UO895" s="808"/>
      <c r="UP895" s="808"/>
      <c r="UQ895" s="808"/>
      <c r="UR895" s="808"/>
      <c r="US895" s="808"/>
      <c r="UT895" s="808"/>
      <c r="UU895" s="808"/>
      <c r="UV895" s="808"/>
      <c r="UW895" s="808"/>
      <c r="UX895" s="808"/>
      <c r="UY895" s="808"/>
      <c r="UZ895" s="808"/>
      <c r="VA895" s="808"/>
      <c r="VB895" s="808"/>
      <c r="VC895" s="808"/>
      <c r="VD895" s="808"/>
      <c r="VE895" s="808"/>
      <c r="VF895" s="808"/>
      <c r="VG895" s="808"/>
      <c r="VH895" s="808"/>
      <c r="VI895" s="808"/>
      <c r="VJ895" s="808"/>
      <c r="VK895" s="808"/>
      <c r="VL895" s="808"/>
      <c r="VM895" s="808"/>
      <c r="VN895" s="808"/>
      <c r="VO895" s="808"/>
      <c r="VP895" s="808"/>
      <c r="VQ895" s="808"/>
      <c r="VR895" s="808"/>
      <c r="VS895" s="808"/>
      <c r="VT895" s="808"/>
      <c r="VU895" s="808"/>
      <c r="VV895" s="808"/>
      <c r="VW895" s="808"/>
      <c r="VX895" s="808"/>
      <c r="VY895" s="808"/>
      <c r="VZ895" s="808"/>
      <c r="WA895" s="808"/>
      <c r="WB895" s="808"/>
      <c r="WC895" s="808"/>
      <c r="WD895" s="808"/>
      <c r="WE895" s="808"/>
      <c r="WF895" s="808"/>
      <c r="WG895" s="808"/>
      <c r="WH895" s="808"/>
      <c r="WI895" s="808"/>
      <c r="WJ895" s="808"/>
      <c r="WK895" s="808"/>
      <c r="WL895" s="808"/>
      <c r="WM895" s="808"/>
      <c r="WN895" s="808"/>
      <c r="WO895" s="808"/>
      <c r="WP895" s="808"/>
      <c r="WQ895" s="808"/>
      <c r="WR895" s="808"/>
      <c r="WS895" s="808"/>
      <c r="WT895" s="808"/>
      <c r="WU895" s="808"/>
      <c r="WV895" s="808"/>
      <c r="WW895" s="808"/>
      <c r="WX895" s="808"/>
      <c r="WY895" s="808"/>
      <c r="WZ895" s="808"/>
      <c r="XA895" s="808"/>
      <c r="XB895" s="808"/>
      <c r="XC895" s="808"/>
      <c r="XD895" s="808"/>
      <c r="XE895" s="808"/>
      <c r="XF895" s="808"/>
      <c r="XG895" s="808"/>
      <c r="XH895" s="808"/>
      <c r="XI895" s="808"/>
      <c r="XJ895" s="808"/>
      <c r="XK895" s="808"/>
      <c r="XL895" s="808"/>
      <c r="XM895" s="808"/>
      <c r="XN895" s="808"/>
      <c r="XO895" s="808"/>
      <c r="XP895" s="808"/>
      <c r="XQ895" s="808"/>
      <c r="XR895" s="808"/>
      <c r="XS895" s="808"/>
      <c r="XT895" s="808"/>
      <c r="XU895" s="808"/>
      <c r="XV895" s="808"/>
      <c r="XW895" s="808"/>
      <c r="XX895" s="808"/>
      <c r="XY895" s="808"/>
      <c r="XZ895" s="808"/>
      <c r="YA895" s="808"/>
      <c r="YB895" s="808"/>
      <c r="YC895" s="808"/>
      <c r="YD895" s="808"/>
      <c r="YE895" s="808"/>
      <c r="YF895" s="808"/>
      <c r="YG895" s="808"/>
      <c r="YH895" s="808"/>
      <c r="YI895" s="808"/>
      <c r="YJ895" s="808"/>
      <c r="YK895" s="808"/>
      <c r="YL895" s="808"/>
      <c r="YM895" s="808"/>
      <c r="YN895" s="808"/>
      <c r="YO895" s="808"/>
      <c r="YP895" s="808"/>
      <c r="YQ895" s="808"/>
      <c r="YR895" s="808"/>
      <c r="YS895" s="808"/>
      <c r="YT895" s="808"/>
      <c r="YU895" s="808"/>
      <c r="YV895" s="808"/>
      <c r="YW895" s="808"/>
      <c r="YX895" s="808"/>
      <c r="YY895" s="808"/>
      <c r="YZ895" s="808"/>
      <c r="ZA895" s="808"/>
      <c r="ZB895" s="808"/>
      <c r="ZC895" s="808"/>
      <c r="ZD895" s="808"/>
      <c r="ZE895" s="808"/>
      <c r="ZF895" s="808"/>
      <c r="ZG895" s="808"/>
      <c r="ZH895" s="808"/>
      <c r="ZI895" s="808"/>
      <c r="ZJ895" s="808"/>
      <c r="ZK895" s="808"/>
      <c r="ZL895" s="808"/>
      <c r="ZM895" s="808"/>
      <c r="ZN895" s="808"/>
      <c r="ZO895" s="808"/>
      <c r="ZP895" s="808"/>
      <c r="ZQ895" s="808"/>
      <c r="ZR895" s="808"/>
      <c r="ZS895" s="808"/>
      <c r="ZT895" s="808"/>
      <c r="ZU895" s="808"/>
      <c r="ZV895" s="808"/>
      <c r="ZW895" s="808"/>
      <c r="ZX895" s="808"/>
      <c r="ZY895" s="808"/>
      <c r="ZZ895" s="808"/>
      <c r="AAA895" s="808"/>
      <c r="AAB895" s="808"/>
      <c r="AAC895" s="808"/>
      <c r="AAD895" s="808"/>
      <c r="AAE895" s="808"/>
      <c r="AAF895" s="808"/>
      <c r="AAG895" s="808"/>
      <c r="AAH895" s="808"/>
      <c r="AAI895" s="808"/>
      <c r="AAJ895" s="808"/>
      <c r="AAK895" s="808"/>
      <c r="AAL895" s="808"/>
      <c r="AAM895" s="808"/>
      <c r="AAN895" s="808"/>
      <c r="AAO895" s="808"/>
      <c r="AAP895" s="808"/>
      <c r="AAQ895" s="808"/>
      <c r="AAR895" s="808"/>
      <c r="AAS895" s="808"/>
      <c r="AAT895" s="808"/>
      <c r="AAU895" s="808"/>
      <c r="AAV895" s="808"/>
      <c r="AAW895" s="808"/>
      <c r="AAX895" s="808"/>
      <c r="AAY895" s="808"/>
      <c r="AAZ895" s="808"/>
      <c r="ABA895" s="808"/>
      <c r="ABB895" s="808"/>
      <c r="ABC895" s="808"/>
      <c r="ABD895" s="808"/>
      <c r="ABE895" s="808"/>
      <c r="ABF895" s="808"/>
      <c r="ABG895" s="808"/>
      <c r="ABH895" s="808"/>
      <c r="ABI895" s="808"/>
      <c r="ABJ895" s="808"/>
      <c r="ABK895" s="808"/>
      <c r="ABL895" s="808"/>
      <c r="ABM895" s="808"/>
      <c r="ABN895" s="808"/>
      <c r="ABO895" s="808"/>
      <c r="ABP895" s="808"/>
      <c r="ABQ895" s="808"/>
      <c r="ABR895" s="808"/>
      <c r="ABS895" s="808"/>
      <c r="ABT895" s="808"/>
      <c r="ABU895" s="808"/>
      <c r="ABV895" s="808"/>
      <c r="ABW895" s="808"/>
      <c r="ABX895" s="808"/>
      <c r="ABY895" s="808"/>
      <c r="ABZ895" s="808"/>
      <c r="ACA895" s="808"/>
      <c r="ACB895" s="808"/>
      <c r="ACC895" s="808"/>
      <c r="ACD895" s="808"/>
      <c r="ACE895" s="808"/>
      <c r="ACF895" s="808"/>
      <c r="ACG895" s="808"/>
      <c r="ACH895" s="808"/>
      <c r="ACI895" s="808"/>
      <c r="ACJ895" s="808"/>
      <c r="ACK895" s="808"/>
      <c r="ACL895" s="808"/>
      <c r="ACM895" s="808"/>
      <c r="ACN895" s="808"/>
      <c r="ACO895" s="808"/>
      <c r="ACP895" s="808"/>
      <c r="ACQ895" s="808"/>
      <c r="ACR895" s="808"/>
      <c r="ACS895" s="808"/>
      <c r="ACT895" s="808"/>
      <c r="ACU895" s="808"/>
      <c r="ACV895" s="808"/>
      <c r="ACW895" s="808"/>
      <c r="ACX895" s="808"/>
      <c r="ACY895" s="808"/>
      <c r="ACZ895" s="808"/>
      <c r="ADA895" s="808"/>
      <c r="ADB895" s="808"/>
      <c r="ADC895" s="808"/>
      <c r="ADD895" s="808"/>
      <c r="ADE895" s="808"/>
      <c r="ADF895" s="808"/>
      <c r="ADG895" s="808"/>
      <c r="ADH895" s="808"/>
      <c r="ADI895" s="808"/>
      <c r="ADJ895" s="808"/>
      <c r="ADK895" s="808"/>
      <c r="ADL895" s="808"/>
      <c r="ADM895" s="808"/>
      <c r="ADN895" s="808"/>
      <c r="ADO895" s="808"/>
      <c r="ADP895" s="808"/>
      <c r="ADQ895" s="808"/>
      <c r="ADR895" s="808"/>
      <c r="ADS895" s="808"/>
      <c r="ADT895" s="808"/>
      <c r="ADU895" s="808"/>
      <c r="ADV895" s="808"/>
      <c r="ADW895" s="808"/>
      <c r="ADX895" s="808"/>
      <c r="ADY895" s="808"/>
      <c r="ADZ895" s="808"/>
      <c r="AEA895" s="808"/>
      <c r="AEB895" s="808"/>
      <c r="AEC895" s="808"/>
      <c r="AED895" s="808"/>
      <c r="AEE895" s="808"/>
      <c r="AEF895" s="808"/>
      <c r="AEG895" s="808"/>
      <c r="AEH895" s="808"/>
      <c r="AEI895" s="808"/>
      <c r="AEJ895" s="808"/>
      <c r="AEK895" s="808"/>
      <c r="AEL895" s="808"/>
      <c r="AEM895" s="808"/>
      <c r="AEN895" s="808"/>
      <c r="AEO895" s="808"/>
      <c r="AEP895" s="808"/>
      <c r="AEQ895" s="808"/>
      <c r="AER895" s="808"/>
      <c r="AES895" s="808"/>
      <c r="AET895" s="808"/>
      <c r="AEU895" s="808"/>
      <c r="AEV895" s="808"/>
      <c r="AEW895" s="808"/>
      <c r="AEX895" s="808"/>
      <c r="AEY895" s="808"/>
      <c r="AEZ895" s="808"/>
      <c r="AFA895" s="808"/>
      <c r="AFB895" s="808"/>
      <c r="AFC895" s="808"/>
      <c r="AFD895" s="808"/>
      <c r="AFE895" s="808"/>
      <c r="AFF895" s="808"/>
      <c r="AFG895" s="808"/>
      <c r="AFH895" s="808"/>
      <c r="AFI895" s="808"/>
      <c r="AFJ895" s="808"/>
      <c r="AFK895" s="808"/>
      <c r="AFL895" s="808"/>
      <c r="AFM895" s="808"/>
      <c r="AFN895" s="808"/>
      <c r="AFO895" s="808"/>
      <c r="AFP895" s="808"/>
      <c r="AFQ895" s="808"/>
      <c r="AFR895" s="808"/>
      <c r="AFS895" s="808"/>
      <c r="AFT895" s="808"/>
      <c r="AFU895" s="808"/>
      <c r="AFV895" s="808"/>
      <c r="AFW895" s="808"/>
      <c r="AFX895" s="808"/>
      <c r="AFY895" s="808"/>
      <c r="AFZ895" s="808"/>
      <c r="AGA895" s="808"/>
      <c r="AGB895" s="808"/>
      <c r="AGC895" s="808"/>
      <c r="AGD895" s="808"/>
      <c r="AGE895" s="808"/>
      <c r="AGF895" s="808"/>
      <c r="AGG895" s="808"/>
      <c r="AGH895" s="808"/>
      <c r="AGI895" s="808"/>
      <c r="AGJ895" s="808"/>
    </row>
    <row r="896" spans="1:868" s="7" customFormat="1">
      <c r="A896" s="609" t="s">
        <v>118</v>
      </c>
      <c r="B896" s="59" t="s">
        <v>437</v>
      </c>
      <c r="C896" s="40" t="s">
        <v>139</v>
      </c>
      <c r="D896" s="34" t="s">
        <v>99</v>
      </c>
      <c r="E896" s="859">
        <v>7.810419810064792E-2</v>
      </c>
      <c r="F896" s="34">
        <v>2</v>
      </c>
      <c r="G896" s="40" t="s">
        <v>433</v>
      </c>
      <c r="H896" s="29">
        <v>1</v>
      </c>
      <c r="I896" s="9">
        <v>2</v>
      </c>
      <c r="J896" s="9">
        <v>2</v>
      </c>
      <c r="K896" s="9">
        <v>1</v>
      </c>
      <c r="L896" s="9">
        <v>1</v>
      </c>
      <c r="M896" s="9">
        <v>2</v>
      </c>
      <c r="N896" s="185">
        <f t="shared" si="66"/>
        <v>0.35859414261160716</v>
      </c>
      <c r="O896" s="159">
        <f t="shared" si="65"/>
        <v>0.37356464144298934</v>
      </c>
      <c r="P896" s="63"/>
      <c r="Q896" s="808"/>
      <c r="R896" s="808"/>
      <c r="S896" s="808"/>
      <c r="T896" s="808"/>
      <c r="U896" s="808"/>
      <c r="V896" s="808"/>
      <c r="W896" s="808"/>
      <c r="X896" s="808"/>
      <c r="Y896" s="808"/>
      <c r="Z896" s="808"/>
      <c r="AA896" s="808"/>
      <c r="AB896" s="808"/>
      <c r="AC896" s="808"/>
      <c r="AD896" s="808"/>
      <c r="AE896" s="808"/>
      <c r="AF896" s="808"/>
      <c r="AG896" s="808"/>
      <c r="AH896" s="808"/>
      <c r="AI896" s="808"/>
      <c r="AJ896" s="808"/>
      <c r="AK896" s="808"/>
      <c r="AL896" s="808"/>
      <c r="AM896" s="808"/>
      <c r="AN896" s="808"/>
      <c r="AO896" s="808"/>
      <c r="AP896" s="808"/>
      <c r="AQ896" s="808"/>
      <c r="AR896" s="808"/>
      <c r="AS896" s="808"/>
      <c r="AT896" s="808"/>
      <c r="AU896" s="808"/>
      <c r="AV896" s="808"/>
      <c r="AW896" s="808"/>
      <c r="AX896" s="808"/>
      <c r="AY896" s="808"/>
      <c r="AZ896" s="808"/>
      <c r="BA896" s="808"/>
      <c r="BB896" s="808"/>
      <c r="BC896" s="808"/>
      <c r="BD896" s="808"/>
      <c r="BE896" s="808"/>
      <c r="BF896" s="808"/>
      <c r="BG896" s="808"/>
      <c r="BH896" s="808"/>
      <c r="BI896" s="808"/>
      <c r="BJ896" s="808"/>
      <c r="BK896" s="808"/>
      <c r="BL896" s="808"/>
      <c r="BM896" s="808"/>
      <c r="BN896" s="808"/>
      <c r="BO896" s="808"/>
      <c r="BP896" s="808"/>
      <c r="BQ896" s="808"/>
      <c r="BR896" s="808"/>
      <c r="BS896" s="808"/>
      <c r="BT896" s="808"/>
      <c r="BU896" s="808"/>
      <c r="BV896" s="808"/>
      <c r="BW896" s="808"/>
      <c r="BX896" s="808"/>
      <c r="BY896" s="808"/>
      <c r="BZ896" s="808"/>
      <c r="CA896" s="808"/>
      <c r="CB896" s="808"/>
      <c r="CC896" s="808"/>
      <c r="CD896" s="808"/>
      <c r="CE896" s="808"/>
      <c r="CF896" s="808"/>
      <c r="CG896" s="808"/>
      <c r="CH896" s="808"/>
      <c r="CI896" s="808"/>
      <c r="CJ896" s="808"/>
      <c r="CK896" s="808"/>
      <c r="CL896" s="808"/>
      <c r="CM896" s="808"/>
      <c r="CN896" s="808"/>
      <c r="CO896" s="808"/>
      <c r="CP896" s="808"/>
      <c r="CQ896" s="808"/>
      <c r="CR896" s="808"/>
      <c r="CS896" s="808"/>
      <c r="CT896" s="808"/>
      <c r="CU896" s="808"/>
      <c r="CV896" s="808"/>
      <c r="CW896" s="808"/>
      <c r="CX896" s="808"/>
      <c r="CY896" s="808"/>
      <c r="CZ896" s="808"/>
      <c r="DA896" s="808"/>
      <c r="DB896" s="808"/>
      <c r="DC896" s="808"/>
      <c r="DD896" s="808"/>
      <c r="DE896" s="808"/>
      <c r="DF896" s="808"/>
      <c r="DG896" s="808"/>
      <c r="DH896" s="808"/>
      <c r="DI896" s="808"/>
      <c r="DJ896" s="808"/>
      <c r="DK896" s="808"/>
      <c r="DL896" s="808"/>
      <c r="DM896" s="808"/>
      <c r="DN896" s="808"/>
      <c r="DO896" s="808"/>
      <c r="DP896" s="808"/>
      <c r="DQ896" s="808"/>
      <c r="DR896" s="808"/>
      <c r="DS896" s="808"/>
      <c r="DT896" s="808"/>
      <c r="DU896" s="808"/>
      <c r="DV896" s="808"/>
      <c r="DW896" s="808"/>
      <c r="DX896" s="808"/>
      <c r="DY896" s="808"/>
      <c r="DZ896" s="808"/>
      <c r="EA896" s="808"/>
      <c r="EB896" s="808"/>
      <c r="EC896" s="808"/>
      <c r="ED896" s="808"/>
      <c r="EE896" s="808"/>
      <c r="EF896" s="808"/>
      <c r="EG896" s="808"/>
      <c r="EH896" s="808"/>
      <c r="EI896" s="808"/>
      <c r="EJ896" s="808"/>
      <c r="EK896" s="808"/>
      <c r="EL896" s="808"/>
      <c r="EM896" s="808"/>
      <c r="EN896" s="808"/>
      <c r="EO896" s="808"/>
      <c r="EP896" s="808"/>
      <c r="EQ896" s="808"/>
      <c r="ER896" s="808"/>
      <c r="ES896" s="808"/>
      <c r="ET896" s="808"/>
      <c r="EU896" s="808"/>
      <c r="EV896" s="808"/>
      <c r="EW896" s="808"/>
      <c r="EX896" s="808"/>
      <c r="EY896" s="808"/>
      <c r="EZ896" s="808"/>
      <c r="FA896" s="808"/>
      <c r="FB896" s="808"/>
      <c r="FC896" s="808"/>
      <c r="FD896" s="808"/>
      <c r="FE896" s="808"/>
      <c r="FF896" s="808"/>
      <c r="FG896" s="808"/>
      <c r="FH896" s="808"/>
      <c r="FI896" s="808"/>
      <c r="FJ896" s="808"/>
      <c r="FK896" s="808"/>
      <c r="FL896" s="808"/>
      <c r="FM896" s="808"/>
      <c r="FN896" s="808"/>
      <c r="FO896" s="808"/>
      <c r="FP896" s="808"/>
      <c r="FQ896" s="808"/>
      <c r="FR896" s="808"/>
      <c r="FS896" s="808"/>
      <c r="FT896" s="808"/>
      <c r="FU896" s="808"/>
      <c r="FV896" s="808"/>
      <c r="FW896" s="808"/>
      <c r="FX896" s="808"/>
      <c r="FY896" s="808"/>
      <c r="FZ896" s="808"/>
      <c r="GA896" s="808"/>
      <c r="GB896" s="808"/>
      <c r="GC896" s="808"/>
      <c r="GD896" s="808"/>
      <c r="GE896" s="808"/>
      <c r="GF896" s="808"/>
      <c r="GG896" s="808"/>
      <c r="GH896" s="808"/>
      <c r="GI896" s="808"/>
      <c r="GJ896" s="808"/>
      <c r="GK896" s="808"/>
      <c r="GL896" s="808"/>
      <c r="GM896" s="808"/>
      <c r="GN896" s="808"/>
      <c r="GO896" s="808"/>
      <c r="GP896" s="808"/>
      <c r="GQ896" s="808"/>
      <c r="GR896" s="808"/>
      <c r="GS896" s="808"/>
      <c r="GT896" s="808"/>
      <c r="GU896" s="808"/>
      <c r="GV896" s="808"/>
      <c r="GW896" s="808"/>
      <c r="GX896" s="808"/>
      <c r="GY896" s="808"/>
      <c r="GZ896" s="808"/>
      <c r="HA896" s="808"/>
      <c r="HB896" s="808"/>
      <c r="HC896" s="808"/>
      <c r="HD896" s="808"/>
      <c r="HE896" s="808"/>
      <c r="HF896" s="808"/>
      <c r="HG896" s="808"/>
      <c r="HH896" s="808"/>
      <c r="HI896" s="808"/>
      <c r="HJ896" s="808"/>
      <c r="HK896" s="808"/>
      <c r="HL896" s="808"/>
      <c r="HM896" s="808"/>
      <c r="HN896" s="808"/>
      <c r="HO896" s="808"/>
      <c r="HP896" s="808"/>
      <c r="HQ896" s="808"/>
      <c r="HR896" s="808"/>
      <c r="HS896" s="808"/>
      <c r="HT896" s="808"/>
      <c r="HU896" s="808"/>
      <c r="HV896" s="808"/>
      <c r="HW896" s="808"/>
      <c r="HX896" s="808"/>
      <c r="HY896" s="808"/>
      <c r="HZ896" s="808"/>
      <c r="IA896" s="808"/>
      <c r="IB896" s="808"/>
      <c r="IC896" s="808"/>
      <c r="ID896" s="808"/>
      <c r="IE896" s="808"/>
      <c r="IF896" s="808"/>
      <c r="IG896" s="808"/>
      <c r="IH896" s="808"/>
      <c r="II896" s="808"/>
      <c r="IJ896" s="808"/>
      <c r="IK896" s="808"/>
      <c r="IL896" s="808"/>
      <c r="IM896" s="808"/>
      <c r="IN896" s="808"/>
      <c r="IO896" s="808"/>
      <c r="IP896" s="808"/>
      <c r="IQ896" s="808"/>
      <c r="IR896" s="808"/>
      <c r="IS896" s="808"/>
      <c r="IT896" s="808"/>
      <c r="IU896" s="808"/>
      <c r="IV896" s="808"/>
      <c r="IW896" s="808"/>
      <c r="IX896" s="808"/>
      <c r="IY896" s="808"/>
      <c r="IZ896" s="808"/>
      <c r="JA896" s="808"/>
      <c r="JB896" s="808"/>
      <c r="JC896" s="808"/>
      <c r="JD896" s="808"/>
      <c r="JE896" s="808"/>
      <c r="JF896" s="808"/>
      <c r="JG896" s="808"/>
      <c r="JH896" s="808"/>
      <c r="JI896" s="808"/>
      <c r="JJ896" s="808"/>
      <c r="JK896" s="808"/>
      <c r="JL896" s="808"/>
      <c r="JM896" s="808"/>
      <c r="JN896" s="808"/>
      <c r="JO896" s="808"/>
      <c r="JP896" s="808"/>
      <c r="JQ896" s="808"/>
      <c r="JR896" s="808"/>
      <c r="JS896" s="808"/>
      <c r="JT896" s="808"/>
      <c r="JU896" s="808"/>
      <c r="JV896" s="808"/>
      <c r="JW896" s="808"/>
      <c r="JX896" s="808"/>
      <c r="JY896" s="808"/>
      <c r="JZ896" s="808"/>
      <c r="KA896" s="808"/>
      <c r="KB896" s="808"/>
      <c r="KC896" s="808"/>
      <c r="KD896" s="808"/>
      <c r="KE896" s="808"/>
      <c r="KF896" s="808"/>
      <c r="KG896" s="808"/>
      <c r="KH896" s="808"/>
      <c r="KI896" s="808"/>
      <c r="KJ896" s="808"/>
      <c r="KK896" s="808"/>
      <c r="KL896" s="808"/>
      <c r="KM896" s="808"/>
      <c r="KN896" s="808"/>
      <c r="KO896" s="808"/>
      <c r="KP896" s="808"/>
      <c r="KQ896" s="808"/>
      <c r="KR896" s="808"/>
      <c r="KS896" s="808"/>
      <c r="KT896" s="808"/>
      <c r="KU896" s="808"/>
      <c r="KV896" s="808"/>
      <c r="KW896" s="808"/>
      <c r="KX896" s="808"/>
      <c r="KY896" s="808"/>
      <c r="KZ896" s="808"/>
      <c r="LA896" s="808"/>
      <c r="LB896" s="808"/>
      <c r="LC896" s="808"/>
      <c r="LD896" s="808"/>
      <c r="LE896" s="808"/>
      <c r="LF896" s="808"/>
      <c r="LG896" s="808"/>
      <c r="LH896" s="808"/>
      <c r="LI896" s="808"/>
      <c r="LJ896" s="808"/>
      <c r="LK896" s="808"/>
      <c r="LL896" s="808"/>
      <c r="LM896" s="808"/>
      <c r="LN896" s="808"/>
      <c r="LO896" s="808"/>
      <c r="LP896" s="808"/>
      <c r="LQ896" s="808"/>
      <c r="LR896" s="808"/>
      <c r="LS896" s="808"/>
      <c r="LT896" s="808"/>
      <c r="LU896" s="808"/>
      <c r="LV896" s="808"/>
      <c r="LW896" s="808"/>
      <c r="LX896" s="808"/>
      <c r="LY896" s="808"/>
      <c r="LZ896" s="808"/>
      <c r="MA896" s="808"/>
      <c r="MB896" s="808"/>
      <c r="MC896" s="808"/>
      <c r="MD896" s="808"/>
      <c r="ME896" s="808"/>
      <c r="MF896" s="808"/>
      <c r="MG896" s="808"/>
      <c r="MH896" s="808"/>
      <c r="MI896" s="808"/>
      <c r="MJ896" s="808"/>
      <c r="MK896" s="808"/>
      <c r="ML896" s="808"/>
      <c r="MM896" s="808"/>
      <c r="MN896" s="808"/>
      <c r="MO896" s="808"/>
      <c r="MP896" s="808"/>
      <c r="MQ896" s="808"/>
      <c r="MR896" s="808"/>
      <c r="MS896" s="808"/>
      <c r="MT896" s="808"/>
      <c r="MU896" s="808"/>
      <c r="MV896" s="808"/>
      <c r="MW896" s="808"/>
      <c r="MX896" s="808"/>
      <c r="MY896" s="808"/>
      <c r="MZ896" s="808"/>
      <c r="NA896" s="808"/>
      <c r="NB896" s="808"/>
      <c r="NC896" s="808"/>
      <c r="ND896" s="808"/>
      <c r="NE896" s="808"/>
      <c r="NF896" s="808"/>
      <c r="NG896" s="808"/>
      <c r="NH896" s="808"/>
      <c r="NI896" s="808"/>
      <c r="NJ896" s="808"/>
      <c r="NK896" s="808"/>
      <c r="NL896" s="808"/>
      <c r="NM896" s="808"/>
      <c r="NN896" s="808"/>
      <c r="NO896" s="808"/>
      <c r="NP896" s="808"/>
      <c r="NQ896" s="808"/>
      <c r="NR896" s="808"/>
      <c r="NS896" s="808"/>
      <c r="NT896" s="808"/>
      <c r="NU896" s="808"/>
      <c r="NV896" s="808"/>
      <c r="NW896" s="808"/>
      <c r="NX896" s="808"/>
      <c r="NY896" s="808"/>
      <c r="NZ896" s="808"/>
      <c r="OA896" s="808"/>
      <c r="OB896" s="808"/>
      <c r="OC896" s="808"/>
      <c r="OD896" s="808"/>
      <c r="OE896" s="808"/>
      <c r="OF896" s="808"/>
      <c r="OG896" s="808"/>
      <c r="OH896" s="808"/>
      <c r="OI896" s="808"/>
      <c r="OJ896" s="808"/>
      <c r="OK896" s="808"/>
      <c r="OL896" s="808"/>
      <c r="OM896" s="808"/>
      <c r="ON896" s="808"/>
      <c r="OO896" s="808"/>
      <c r="OP896" s="808"/>
      <c r="OQ896" s="808"/>
      <c r="OR896" s="808"/>
      <c r="OS896" s="808"/>
      <c r="OT896" s="808"/>
      <c r="OU896" s="808"/>
      <c r="OV896" s="808"/>
      <c r="OW896" s="808"/>
      <c r="OX896" s="808"/>
      <c r="OY896" s="808"/>
      <c r="OZ896" s="808"/>
      <c r="PA896" s="808"/>
      <c r="PB896" s="808"/>
      <c r="PC896" s="808"/>
      <c r="PD896" s="808"/>
      <c r="PE896" s="808"/>
      <c r="PF896" s="808"/>
      <c r="PG896" s="808"/>
      <c r="PH896" s="808"/>
      <c r="PI896" s="808"/>
      <c r="PJ896" s="808"/>
      <c r="PK896" s="808"/>
      <c r="PL896" s="808"/>
      <c r="PM896" s="808"/>
      <c r="PN896" s="808"/>
      <c r="PO896" s="808"/>
      <c r="PP896" s="808"/>
      <c r="PQ896" s="808"/>
      <c r="PR896" s="808"/>
      <c r="PS896" s="808"/>
      <c r="PT896" s="808"/>
      <c r="PU896" s="808"/>
      <c r="PV896" s="808"/>
      <c r="PW896" s="808"/>
      <c r="PX896" s="808"/>
      <c r="PY896" s="808"/>
      <c r="PZ896" s="808"/>
      <c r="QA896" s="808"/>
      <c r="QB896" s="808"/>
      <c r="QC896" s="808"/>
      <c r="QD896" s="808"/>
      <c r="QE896" s="808"/>
      <c r="QF896" s="808"/>
      <c r="QG896" s="808"/>
      <c r="QH896" s="808"/>
      <c r="QI896" s="808"/>
      <c r="QJ896" s="808"/>
      <c r="QK896" s="808"/>
      <c r="QL896" s="808"/>
      <c r="QM896" s="808"/>
      <c r="QN896" s="808"/>
      <c r="QO896" s="808"/>
      <c r="QP896" s="808"/>
      <c r="QQ896" s="808"/>
      <c r="QR896" s="808"/>
      <c r="QS896" s="808"/>
      <c r="QT896" s="808"/>
      <c r="QU896" s="808"/>
      <c r="QV896" s="808"/>
      <c r="QW896" s="808"/>
      <c r="QX896" s="808"/>
      <c r="QY896" s="808"/>
      <c r="QZ896" s="808"/>
      <c r="RA896" s="808"/>
      <c r="RB896" s="808"/>
      <c r="RC896" s="808"/>
      <c r="RD896" s="808"/>
      <c r="RE896" s="808"/>
      <c r="RF896" s="808"/>
      <c r="RG896" s="808"/>
      <c r="RH896" s="808"/>
      <c r="RI896" s="808"/>
      <c r="RJ896" s="808"/>
      <c r="RK896" s="808"/>
      <c r="RL896" s="808"/>
      <c r="RM896" s="808"/>
      <c r="RN896" s="808"/>
      <c r="RO896" s="808"/>
      <c r="RP896" s="808"/>
      <c r="RQ896" s="808"/>
      <c r="RR896" s="808"/>
      <c r="RS896" s="808"/>
      <c r="RT896" s="808"/>
      <c r="RU896" s="808"/>
      <c r="RV896" s="808"/>
      <c r="RW896" s="808"/>
      <c r="RX896" s="808"/>
      <c r="RY896" s="808"/>
      <c r="RZ896" s="808"/>
      <c r="SA896" s="808"/>
      <c r="SB896" s="808"/>
      <c r="SC896" s="808"/>
      <c r="SD896" s="808"/>
      <c r="SE896" s="808"/>
      <c r="SF896" s="808"/>
      <c r="SG896" s="808"/>
      <c r="SH896" s="808"/>
      <c r="SI896" s="808"/>
      <c r="SJ896" s="808"/>
      <c r="SK896" s="808"/>
      <c r="SL896" s="808"/>
      <c r="SM896" s="808"/>
      <c r="SN896" s="808"/>
      <c r="SO896" s="808"/>
      <c r="SP896" s="808"/>
      <c r="SQ896" s="808"/>
      <c r="SR896" s="808"/>
      <c r="SS896" s="808"/>
      <c r="ST896" s="808"/>
      <c r="SU896" s="808"/>
      <c r="SV896" s="808"/>
      <c r="SW896" s="808"/>
      <c r="SX896" s="808"/>
      <c r="SY896" s="808"/>
      <c r="SZ896" s="808"/>
      <c r="TA896" s="808"/>
      <c r="TB896" s="808"/>
      <c r="TC896" s="808"/>
      <c r="TD896" s="808"/>
      <c r="TE896" s="808"/>
      <c r="TF896" s="808"/>
      <c r="TG896" s="808"/>
      <c r="TH896" s="808"/>
      <c r="TI896" s="808"/>
      <c r="TJ896" s="808"/>
      <c r="TK896" s="808"/>
      <c r="TL896" s="808"/>
      <c r="TM896" s="808"/>
      <c r="TN896" s="808"/>
      <c r="TO896" s="808"/>
      <c r="TP896" s="808"/>
      <c r="TQ896" s="808"/>
      <c r="TR896" s="808"/>
      <c r="TS896" s="808"/>
      <c r="TT896" s="808"/>
      <c r="TU896" s="808"/>
      <c r="TV896" s="808"/>
      <c r="TW896" s="808"/>
      <c r="TX896" s="808"/>
      <c r="TY896" s="808"/>
      <c r="TZ896" s="808"/>
      <c r="UA896" s="808"/>
      <c r="UB896" s="808"/>
      <c r="UC896" s="808"/>
      <c r="UD896" s="808"/>
      <c r="UE896" s="808"/>
      <c r="UF896" s="808"/>
      <c r="UG896" s="808"/>
      <c r="UH896" s="808"/>
      <c r="UI896" s="808"/>
      <c r="UJ896" s="808"/>
      <c r="UK896" s="808"/>
      <c r="UL896" s="808"/>
      <c r="UM896" s="808"/>
      <c r="UN896" s="808"/>
      <c r="UO896" s="808"/>
      <c r="UP896" s="808"/>
      <c r="UQ896" s="808"/>
      <c r="UR896" s="808"/>
      <c r="US896" s="808"/>
      <c r="UT896" s="808"/>
      <c r="UU896" s="808"/>
      <c r="UV896" s="808"/>
      <c r="UW896" s="808"/>
      <c r="UX896" s="808"/>
      <c r="UY896" s="808"/>
      <c r="UZ896" s="808"/>
      <c r="VA896" s="808"/>
      <c r="VB896" s="808"/>
      <c r="VC896" s="808"/>
      <c r="VD896" s="808"/>
      <c r="VE896" s="808"/>
      <c r="VF896" s="808"/>
      <c r="VG896" s="808"/>
      <c r="VH896" s="808"/>
      <c r="VI896" s="808"/>
      <c r="VJ896" s="808"/>
      <c r="VK896" s="808"/>
      <c r="VL896" s="808"/>
      <c r="VM896" s="808"/>
      <c r="VN896" s="808"/>
      <c r="VO896" s="808"/>
      <c r="VP896" s="808"/>
      <c r="VQ896" s="808"/>
      <c r="VR896" s="808"/>
      <c r="VS896" s="808"/>
      <c r="VT896" s="808"/>
      <c r="VU896" s="808"/>
      <c r="VV896" s="808"/>
      <c r="VW896" s="808"/>
      <c r="VX896" s="808"/>
      <c r="VY896" s="808"/>
      <c r="VZ896" s="808"/>
      <c r="WA896" s="808"/>
      <c r="WB896" s="808"/>
      <c r="WC896" s="808"/>
      <c r="WD896" s="808"/>
      <c r="WE896" s="808"/>
      <c r="WF896" s="808"/>
      <c r="WG896" s="808"/>
      <c r="WH896" s="808"/>
      <c r="WI896" s="808"/>
      <c r="WJ896" s="808"/>
      <c r="WK896" s="808"/>
      <c r="WL896" s="808"/>
      <c r="WM896" s="808"/>
      <c r="WN896" s="808"/>
      <c r="WO896" s="808"/>
      <c r="WP896" s="808"/>
      <c r="WQ896" s="808"/>
      <c r="WR896" s="808"/>
      <c r="WS896" s="808"/>
      <c r="WT896" s="808"/>
      <c r="WU896" s="808"/>
      <c r="WV896" s="808"/>
      <c r="WW896" s="808"/>
      <c r="WX896" s="808"/>
      <c r="WY896" s="808"/>
      <c r="WZ896" s="808"/>
      <c r="XA896" s="808"/>
      <c r="XB896" s="808"/>
      <c r="XC896" s="808"/>
      <c r="XD896" s="808"/>
      <c r="XE896" s="808"/>
      <c r="XF896" s="808"/>
      <c r="XG896" s="808"/>
      <c r="XH896" s="808"/>
      <c r="XI896" s="808"/>
      <c r="XJ896" s="808"/>
      <c r="XK896" s="808"/>
      <c r="XL896" s="808"/>
      <c r="XM896" s="808"/>
      <c r="XN896" s="808"/>
      <c r="XO896" s="808"/>
      <c r="XP896" s="808"/>
      <c r="XQ896" s="808"/>
      <c r="XR896" s="808"/>
      <c r="XS896" s="808"/>
      <c r="XT896" s="808"/>
      <c r="XU896" s="808"/>
      <c r="XV896" s="808"/>
      <c r="XW896" s="808"/>
      <c r="XX896" s="808"/>
      <c r="XY896" s="808"/>
      <c r="XZ896" s="808"/>
      <c r="YA896" s="808"/>
      <c r="YB896" s="808"/>
      <c r="YC896" s="808"/>
      <c r="YD896" s="808"/>
      <c r="YE896" s="808"/>
      <c r="YF896" s="808"/>
      <c r="YG896" s="808"/>
      <c r="YH896" s="808"/>
      <c r="YI896" s="808"/>
      <c r="YJ896" s="808"/>
      <c r="YK896" s="808"/>
      <c r="YL896" s="808"/>
      <c r="YM896" s="808"/>
      <c r="YN896" s="808"/>
      <c r="YO896" s="808"/>
      <c r="YP896" s="808"/>
      <c r="YQ896" s="808"/>
      <c r="YR896" s="808"/>
      <c r="YS896" s="808"/>
      <c r="YT896" s="808"/>
      <c r="YU896" s="808"/>
      <c r="YV896" s="808"/>
      <c r="YW896" s="808"/>
      <c r="YX896" s="808"/>
      <c r="YY896" s="808"/>
      <c r="YZ896" s="808"/>
      <c r="ZA896" s="808"/>
      <c r="ZB896" s="808"/>
      <c r="ZC896" s="808"/>
      <c r="ZD896" s="808"/>
      <c r="ZE896" s="808"/>
      <c r="ZF896" s="808"/>
      <c r="ZG896" s="808"/>
      <c r="ZH896" s="808"/>
      <c r="ZI896" s="808"/>
      <c r="ZJ896" s="808"/>
      <c r="ZK896" s="808"/>
      <c r="ZL896" s="808"/>
      <c r="ZM896" s="808"/>
      <c r="ZN896" s="808"/>
      <c r="ZO896" s="808"/>
      <c r="ZP896" s="808"/>
      <c r="ZQ896" s="808"/>
      <c r="ZR896" s="808"/>
      <c r="ZS896" s="808"/>
      <c r="ZT896" s="808"/>
      <c r="ZU896" s="808"/>
      <c r="ZV896" s="808"/>
      <c r="ZW896" s="808"/>
      <c r="ZX896" s="808"/>
      <c r="ZY896" s="808"/>
      <c r="ZZ896" s="808"/>
      <c r="AAA896" s="808"/>
      <c r="AAB896" s="808"/>
      <c r="AAC896" s="808"/>
      <c r="AAD896" s="808"/>
      <c r="AAE896" s="808"/>
      <c r="AAF896" s="808"/>
      <c r="AAG896" s="808"/>
      <c r="AAH896" s="808"/>
      <c r="AAI896" s="808"/>
      <c r="AAJ896" s="808"/>
      <c r="AAK896" s="808"/>
      <c r="AAL896" s="808"/>
      <c r="AAM896" s="808"/>
      <c r="AAN896" s="808"/>
      <c r="AAO896" s="808"/>
      <c r="AAP896" s="808"/>
      <c r="AAQ896" s="808"/>
      <c r="AAR896" s="808"/>
      <c r="AAS896" s="808"/>
      <c r="AAT896" s="808"/>
      <c r="AAU896" s="808"/>
      <c r="AAV896" s="808"/>
      <c r="AAW896" s="808"/>
      <c r="AAX896" s="808"/>
      <c r="AAY896" s="808"/>
      <c r="AAZ896" s="808"/>
      <c r="ABA896" s="808"/>
      <c r="ABB896" s="808"/>
      <c r="ABC896" s="808"/>
      <c r="ABD896" s="808"/>
      <c r="ABE896" s="808"/>
      <c r="ABF896" s="808"/>
      <c r="ABG896" s="808"/>
      <c r="ABH896" s="808"/>
      <c r="ABI896" s="808"/>
      <c r="ABJ896" s="808"/>
      <c r="ABK896" s="808"/>
      <c r="ABL896" s="808"/>
      <c r="ABM896" s="808"/>
      <c r="ABN896" s="808"/>
      <c r="ABO896" s="808"/>
      <c r="ABP896" s="808"/>
      <c r="ABQ896" s="808"/>
      <c r="ABR896" s="808"/>
      <c r="ABS896" s="808"/>
      <c r="ABT896" s="808"/>
      <c r="ABU896" s="808"/>
      <c r="ABV896" s="808"/>
      <c r="ABW896" s="808"/>
      <c r="ABX896" s="808"/>
      <c r="ABY896" s="808"/>
      <c r="ABZ896" s="808"/>
      <c r="ACA896" s="808"/>
      <c r="ACB896" s="808"/>
      <c r="ACC896" s="808"/>
      <c r="ACD896" s="808"/>
      <c r="ACE896" s="808"/>
      <c r="ACF896" s="808"/>
      <c r="ACG896" s="808"/>
      <c r="ACH896" s="808"/>
      <c r="ACI896" s="808"/>
      <c r="ACJ896" s="808"/>
      <c r="ACK896" s="808"/>
      <c r="ACL896" s="808"/>
      <c r="ACM896" s="808"/>
      <c r="ACN896" s="808"/>
      <c r="ACO896" s="808"/>
      <c r="ACP896" s="808"/>
      <c r="ACQ896" s="808"/>
      <c r="ACR896" s="808"/>
      <c r="ACS896" s="808"/>
      <c r="ACT896" s="808"/>
      <c r="ACU896" s="808"/>
      <c r="ACV896" s="808"/>
      <c r="ACW896" s="808"/>
      <c r="ACX896" s="808"/>
      <c r="ACY896" s="808"/>
      <c r="ACZ896" s="808"/>
      <c r="ADA896" s="808"/>
      <c r="ADB896" s="808"/>
      <c r="ADC896" s="808"/>
      <c r="ADD896" s="808"/>
      <c r="ADE896" s="808"/>
      <c r="ADF896" s="808"/>
      <c r="ADG896" s="808"/>
      <c r="ADH896" s="808"/>
      <c r="ADI896" s="808"/>
      <c r="ADJ896" s="808"/>
      <c r="ADK896" s="808"/>
      <c r="ADL896" s="808"/>
      <c r="ADM896" s="808"/>
      <c r="ADN896" s="808"/>
      <c r="ADO896" s="808"/>
      <c r="ADP896" s="808"/>
      <c r="ADQ896" s="808"/>
      <c r="ADR896" s="808"/>
      <c r="ADS896" s="808"/>
      <c r="ADT896" s="808"/>
      <c r="ADU896" s="808"/>
      <c r="ADV896" s="808"/>
      <c r="ADW896" s="808"/>
      <c r="ADX896" s="808"/>
      <c r="ADY896" s="808"/>
      <c r="ADZ896" s="808"/>
      <c r="AEA896" s="808"/>
      <c r="AEB896" s="808"/>
      <c r="AEC896" s="808"/>
      <c r="AED896" s="808"/>
      <c r="AEE896" s="808"/>
      <c r="AEF896" s="808"/>
      <c r="AEG896" s="808"/>
      <c r="AEH896" s="808"/>
      <c r="AEI896" s="808"/>
      <c r="AEJ896" s="808"/>
      <c r="AEK896" s="808"/>
      <c r="AEL896" s="808"/>
      <c r="AEM896" s="808"/>
      <c r="AEN896" s="808"/>
      <c r="AEO896" s="808"/>
      <c r="AEP896" s="808"/>
      <c r="AEQ896" s="808"/>
      <c r="AER896" s="808"/>
      <c r="AES896" s="808"/>
      <c r="AET896" s="808"/>
      <c r="AEU896" s="808"/>
      <c r="AEV896" s="808"/>
      <c r="AEW896" s="808"/>
      <c r="AEX896" s="808"/>
      <c r="AEY896" s="808"/>
      <c r="AEZ896" s="808"/>
      <c r="AFA896" s="808"/>
      <c r="AFB896" s="808"/>
      <c r="AFC896" s="808"/>
      <c r="AFD896" s="808"/>
      <c r="AFE896" s="808"/>
      <c r="AFF896" s="808"/>
      <c r="AFG896" s="808"/>
      <c r="AFH896" s="808"/>
      <c r="AFI896" s="808"/>
      <c r="AFJ896" s="808"/>
      <c r="AFK896" s="808"/>
      <c r="AFL896" s="808"/>
      <c r="AFM896" s="808"/>
      <c r="AFN896" s="808"/>
      <c r="AFO896" s="808"/>
      <c r="AFP896" s="808"/>
      <c r="AFQ896" s="808"/>
      <c r="AFR896" s="808"/>
      <c r="AFS896" s="808"/>
      <c r="AFT896" s="808"/>
      <c r="AFU896" s="808"/>
      <c r="AFV896" s="808"/>
      <c r="AFW896" s="808"/>
      <c r="AFX896" s="808"/>
      <c r="AFY896" s="808"/>
      <c r="AFZ896" s="808"/>
      <c r="AGA896" s="808"/>
      <c r="AGB896" s="808"/>
      <c r="AGC896" s="808"/>
      <c r="AGD896" s="808"/>
      <c r="AGE896" s="808"/>
      <c r="AGF896" s="808"/>
      <c r="AGG896" s="808"/>
      <c r="AGH896" s="808"/>
      <c r="AGI896" s="808"/>
      <c r="AGJ896" s="808"/>
    </row>
    <row r="897" spans="1:868" s="7" customFormat="1">
      <c r="A897" s="609" t="s">
        <v>118</v>
      </c>
      <c r="B897" s="59" t="s">
        <v>438</v>
      </c>
      <c r="C897" s="40" t="s">
        <v>139</v>
      </c>
      <c r="D897" s="34" t="s">
        <v>99</v>
      </c>
      <c r="E897" s="859">
        <v>0.10650572468270171</v>
      </c>
      <c r="F897" s="34">
        <v>2</v>
      </c>
      <c r="G897" s="40" t="s">
        <v>433</v>
      </c>
      <c r="H897" s="29">
        <v>1</v>
      </c>
      <c r="I897" s="9">
        <v>2</v>
      </c>
      <c r="J897" s="9">
        <v>2</v>
      </c>
      <c r="K897" s="9">
        <v>1</v>
      </c>
      <c r="L897" s="9">
        <v>1</v>
      </c>
      <c r="M897" s="9">
        <v>2</v>
      </c>
      <c r="N897" s="185">
        <f t="shared" si="66"/>
        <v>0.35859414261160716</v>
      </c>
      <c r="O897" s="159">
        <f t="shared" si="65"/>
        <v>0.37356464144298934</v>
      </c>
      <c r="P897" s="63"/>
      <c r="Q897" s="808"/>
      <c r="R897" s="808"/>
      <c r="S897" s="808"/>
      <c r="T897" s="808"/>
      <c r="U897" s="808"/>
      <c r="V897" s="808"/>
      <c r="W897" s="808"/>
      <c r="X897" s="808"/>
      <c r="Y897" s="808"/>
      <c r="Z897" s="808"/>
      <c r="AA897" s="808"/>
      <c r="AB897" s="808"/>
      <c r="AC897" s="808"/>
      <c r="AD897" s="808"/>
      <c r="AE897" s="808"/>
      <c r="AF897" s="808"/>
      <c r="AG897" s="808"/>
      <c r="AH897" s="808"/>
      <c r="AI897" s="808"/>
      <c r="AJ897" s="808"/>
      <c r="AK897" s="808"/>
      <c r="AL897" s="808"/>
      <c r="AM897" s="808"/>
      <c r="AN897" s="808"/>
      <c r="AO897" s="808"/>
      <c r="AP897" s="808"/>
      <c r="AQ897" s="808"/>
      <c r="AR897" s="808"/>
      <c r="AS897" s="808"/>
      <c r="AT897" s="808"/>
      <c r="AU897" s="808"/>
      <c r="AV897" s="808"/>
      <c r="AW897" s="808"/>
      <c r="AX897" s="808"/>
      <c r="AY897" s="808"/>
      <c r="AZ897" s="808"/>
      <c r="BA897" s="808"/>
      <c r="BB897" s="808"/>
      <c r="BC897" s="808"/>
      <c r="BD897" s="808"/>
      <c r="BE897" s="808"/>
      <c r="BF897" s="808"/>
      <c r="BG897" s="808"/>
      <c r="BH897" s="808"/>
      <c r="BI897" s="808"/>
      <c r="BJ897" s="808"/>
      <c r="BK897" s="808"/>
      <c r="BL897" s="808"/>
      <c r="BM897" s="808"/>
      <c r="BN897" s="808"/>
      <c r="BO897" s="808"/>
      <c r="BP897" s="808"/>
      <c r="BQ897" s="808"/>
      <c r="BR897" s="808"/>
      <c r="BS897" s="808"/>
      <c r="BT897" s="808"/>
      <c r="BU897" s="808"/>
      <c r="BV897" s="808"/>
      <c r="BW897" s="808"/>
      <c r="BX897" s="808"/>
      <c r="BY897" s="808"/>
      <c r="BZ897" s="808"/>
      <c r="CA897" s="808"/>
      <c r="CB897" s="808"/>
      <c r="CC897" s="808"/>
      <c r="CD897" s="808"/>
      <c r="CE897" s="808"/>
      <c r="CF897" s="808"/>
      <c r="CG897" s="808"/>
      <c r="CH897" s="808"/>
      <c r="CI897" s="808"/>
      <c r="CJ897" s="808"/>
      <c r="CK897" s="808"/>
      <c r="CL897" s="808"/>
      <c r="CM897" s="808"/>
      <c r="CN897" s="808"/>
      <c r="CO897" s="808"/>
      <c r="CP897" s="808"/>
      <c r="CQ897" s="808"/>
      <c r="CR897" s="808"/>
      <c r="CS897" s="808"/>
      <c r="CT897" s="808"/>
      <c r="CU897" s="808"/>
      <c r="CV897" s="808"/>
      <c r="CW897" s="808"/>
      <c r="CX897" s="808"/>
      <c r="CY897" s="808"/>
      <c r="CZ897" s="808"/>
      <c r="DA897" s="808"/>
      <c r="DB897" s="808"/>
      <c r="DC897" s="808"/>
      <c r="DD897" s="808"/>
      <c r="DE897" s="808"/>
      <c r="DF897" s="808"/>
      <c r="DG897" s="808"/>
      <c r="DH897" s="808"/>
      <c r="DI897" s="808"/>
      <c r="DJ897" s="808"/>
      <c r="DK897" s="808"/>
      <c r="DL897" s="808"/>
      <c r="DM897" s="808"/>
      <c r="DN897" s="808"/>
      <c r="DO897" s="808"/>
      <c r="DP897" s="808"/>
      <c r="DQ897" s="808"/>
      <c r="DR897" s="808"/>
      <c r="DS897" s="808"/>
      <c r="DT897" s="808"/>
      <c r="DU897" s="808"/>
      <c r="DV897" s="808"/>
      <c r="DW897" s="808"/>
      <c r="DX897" s="808"/>
      <c r="DY897" s="808"/>
      <c r="DZ897" s="808"/>
      <c r="EA897" s="808"/>
      <c r="EB897" s="808"/>
      <c r="EC897" s="808"/>
      <c r="ED897" s="808"/>
      <c r="EE897" s="808"/>
      <c r="EF897" s="808"/>
      <c r="EG897" s="808"/>
      <c r="EH897" s="808"/>
      <c r="EI897" s="808"/>
      <c r="EJ897" s="808"/>
      <c r="EK897" s="808"/>
      <c r="EL897" s="808"/>
      <c r="EM897" s="808"/>
      <c r="EN897" s="808"/>
      <c r="EO897" s="808"/>
      <c r="EP897" s="808"/>
      <c r="EQ897" s="808"/>
      <c r="ER897" s="808"/>
      <c r="ES897" s="808"/>
      <c r="ET897" s="808"/>
      <c r="EU897" s="808"/>
      <c r="EV897" s="808"/>
      <c r="EW897" s="808"/>
      <c r="EX897" s="808"/>
      <c r="EY897" s="808"/>
      <c r="EZ897" s="808"/>
      <c r="FA897" s="808"/>
      <c r="FB897" s="808"/>
      <c r="FC897" s="808"/>
      <c r="FD897" s="808"/>
      <c r="FE897" s="808"/>
      <c r="FF897" s="808"/>
      <c r="FG897" s="808"/>
      <c r="FH897" s="808"/>
      <c r="FI897" s="808"/>
      <c r="FJ897" s="808"/>
      <c r="FK897" s="808"/>
      <c r="FL897" s="808"/>
      <c r="FM897" s="808"/>
      <c r="FN897" s="808"/>
      <c r="FO897" s="808"/>
      <c r="FP897" s="808"/>
      <c r="FQ897" s="808"/>
      <c r="FR897" s="808"/>
      <c r="FS897" s="808"/>
      <c r="FT897" s="808"/>
      <c r="FU897" s="808"/>
      <c r="FV897" s="808"/>
      <c r="FW897" s="808"/>
      <c r="FX897" s="808"/>
      <c r="FY897" s="808"/>
      <c r="FZ897" s="808"/>
      <c r="GA897" s="808"/>
      <c r="GB897" s="808"/>
      <c r="GC897" s="808"/>
      <c r="GD897" s="808"/>
      <c r="GE897" s="808"/>
      <c r="GF897" s="808"/>
      <c r="GG897" s="808"/>
      <c r="GH897" s="808"/>
      <c r="GI897" s="808"/>
      <c r="GJ897" s="808"/>
      <c r="GK897" s="808"/>
      <c r="GL897" s="808"/>
      <c r="GM897" s="808"/>
      <c r="GN897" s="808"/>
      <c r="GO897" s="808"/>
      <c r="GP897" s="808"/>
      <c r="GQ897" s="808"/>
      <c r="GR897" s="808"/>
      <c r="GS897" s="808"/>
      <c r="GT897" s="808"/>
      <c r="GU897" s="808"/>
      <c r="GV897" s="808"/>
      <c r="GW897" s="808"/>
      <c r="GX897" s="808"/>
      <c r="GY897" s="808"/>
      <c r="GZ897" s="808"/>
      <c r="HA897" s="808"/>
      <c r="HB897" s="808"/>
      <c r="HC897" s="808"/>
      <c r="HD897" s="808"/>
      <c r="HE897" s="808"/>
      <c r="HF897" s="808"/>
      <c r="HG897" s="808"/>
      <c r="HH897" s="808"/>
      <c r="HI897" s="808"/>
      <c r="HJ897" s="808"/>
      <c r="HK897" s="808"/>
      <c r="HL897" s="808"/>
      <c r="HM897" s="808"/>
      <c r="HN897" s="808"/>
      <c r="HO897" s="808"/>
      <c r="HP897" s="808"/>
      <c r="HQ897" s="808"/>
      <c r="HR897" s="808"/>
      <c r="HS897" s="808"/>
      <c r="HT897" s="808"/>
      <c r="HU897" s="808"/>
      <c r="HV897" s="808"/>
      <c r="HW897" s="808"/>
      <c r="HX897" s="808"/>
      <c r="HY897" s="808"/>
      <c r="HZ897" s="808"/>
      <c r="IA897" s="808"/>
      <c r="IB897" s="808"/>
      <c r="IC897" s="808"/>
      <c r="ID897" s="808"/>
      <c r="IE897" s="808"/>
      <c r="IF897" s="808"/>
      <c r="IG897" s="808"/>
      <c r="IH897" s="808"/>
      <c r="II897" s="808"/>
      <c r="IJ897" s="808"/>
      <c r="IK897" s="808"/>
      <c r="IL897" s="808"/>
      <c r="IM897" s="808"/>
      <c r="IN897" s="808"/>
      <c r="IO897" s="808"/>
      <c r="IP897" s="808"/>
      <c r="IQ897" s="808"/>
      <c r="IR897" s="808"/>
      <c r="IS897" s="808"/>
      <c r="IT897" s="808"/>
      <c r="IU897" s="808"/>
      <c r="IV897" s="808"/>
      <c r="IW897" s="808"/>
      <c r="IX897" s="808"/>
      <c r="IY897" s="808"/>
      <c r="IZ897" s="808"/>
      <c r="JA897" s="808"/>
      <c r="JB897" s="808"/>
      <c r="JC897" s="808"/>
      <c r="JD897" s="808"/>
      <c r="JE897" s="808"/>
      <c r="JF897" s="808"/>
      <c r="JG897" s="808"/>
      <c r="JH897" s="808"/>
      <c r="JI897" s="808"/>
      <c r="JJ897" s="808"/>
      <c r="JK897" s="808"/>
      <c r="JL897" s="808"/>
      <c r="JM897" s="808"/>
      <c r="JN897" s="808"/>
      <c r="JO897" s="808"/>
      <c r="JP897" s="808"/>
      <c r="JQ897" s="808"/>
      <c r="JR897" s="808"/>
      <c r="JS897" s="808"/>
      <c r="JT897" s="808"/>
      <c r="JU897" s="808"/>
      <c r="JV897" s="808"/>
      <c r="JW897" s="808"/>
      <c r="JX897" s="808"/>
      <c r="JY897" s="808"/>
      <c r="JZ897" s="808"/>
      <c r="KA897" s="808"/>
      <c r="KB897" s="808"/>
      <c r="KC897" s="808"/>
      <c r="KD897" s="808"/>
      <c r="KE897" s="808"/>
      <c r="KF897" s="808"/>
      <c r="KG897" s="808"/>
      <c r="KH897" s="808"/>
      <c r="KI897" s="808"/>
      <c r="KJ897" s="808"/>
      <c r="KK897" s="808"/>
      <c r="KL897" s="808"/>
      <c r="KM897" s="808"/>
      <c r="KN897" s="808"/>
      <c r="KO897" s="808"/>
      <c r="KP897" s="808"/>
      <c r="KQ897" s="808"/>
      <c r="KR897" s="808"/>
      <c r="KS897" s="808"/>
      <c r="KT897" s="808"/>
      <c r="KU897" s="808"/>
      <c r="KV897" s="808"/>
      <c r="KW897" s="808"/>
      <c r="KX897" s="808"/>
      <c r="KY897" s="808"/>
      <c r="KZ897" s="808"/>
      <c r="LA897" s="808"/>
      <c r="LB897" s="808"/>
      <c r="LC897" s="808"/>
      <c r="LD897" s="808"/>
      <c r="LE897" s="808"/>
      <c r="LF897" s="808"/>
      <c r="LG897" s="808"/>
      <c r="LH897" s="808"/>
      <c r="LI897" s="808"/>
      <c r="LJ897" s="808"/>
      <c r="LK897" s="808"/>
      <c r="LL897" s="808"/>
      <c r="LM897" s="808"/>
      <c r="LN897" s="808"/>
      <c r="LO897" s="808"/>
      <c r="LP897" s="808"/>
      <c r="LQ897" s="808"/>
      <c r="LR897" s="808"/>
      <c r="LS897" s="808"/>
      <c r="LT897" s="808"/>
      <c r="LU897" s="808"/>
      <c r="LV897" s="808"/>
      <c r="LW897" s="808"/>
      <c r="LX897" s="808"/>
      <c r="LY897" s="808"/>
      <c r="LZ897" s="808"/>
      <c r="MA897" s="808"/>
      <c r="MB897" s="808"/>
      <c r="MC897" s="808"/>
      <c r="MD897" s="808"/>
      <c r="ME897" s="808"/>
      <c r="MF897" s="808"/>
      <c r="MG897" s="808"/>
      <c r="MH897" s="808"/>
      <c r="MI897" s="808"/>
      <c r="MJ897" s="808"/>
      <c r="MK897" s="808"/>
      <c r="ML897" s="808"/>
      <c r="MM897" s="808"/>
      <c r="MN897" s="808"/>
      <c r="MO897" s="808"/>
      <c r="MP897" s="808"/>
      <c r="MQ897" s="808"/>
      <c r="MR897" s="808"/>
      <c r="MS897" s="808"/>
      <c r="MT897" s="808"/>
      <c r="MU897" s="808"/>
      <c r="MV897" s="808"/>
      <c r="MW897" s="808"/>
      <c r="MX897" s="808"/>
      <c r="MY897" s="808"/>
      <c r="MZ897" s="808"/>
      <c r="NA897" s="808"/>
      <c r="NB897" s="808"/>
      <c r="NC897" s="808"/>
      <c r="ND897" s="808"/>
      <c r="NE897" s="808"/>
      <c r="NF897" s="808"/>
      <c r="NG897" s="808"/>
      <c r="NH897" s="808"/>
      <c r="NI897" s="808"/>
      <c r="NJ897" s="808"/>
      <c r="NK897" s="808"/>
      <c r="NL897" s="808"/>
      <c r="NM897" s="808"/>
      <c r="NN897" s="808"/>
      <c r="NO897" s="808"/>
      <c r="NP897" s="808"/>
      <c r="NQ897" s="808"/>
      <c r="NR897" s="808"/>
      <c r="NS897" s="808"/>
      <c r="NT897" s="808"/>
      <c r="NU897" s="808"/>
      <c r="NV897" s="808"/>
      <c r="NW897" s="808"/>
      <c r="NX897" s="808"/>
      <c r="NY897" s="808"/>
      <c r="NZ897" s="808"/>
      <c r="OA897" s="808"/>
      <c r="OB897" s="808"/>
      <c r="OC897" s="808"/>
      <c r="OD897" s="808"/>
      <c r="OE897" s="808"/>
      <c r="OF897" s="808"/>
      <c r="OG897" s="808"/>
      <c r="OH897" s="808"/>
      <c r="OI897" s="808"/>
      <c r="OJ897" s="808"/>
      <c r="OK897" s="808"/>
      <c r="OL897" s="808"/>
      <c r="OM897" s="808"/>
      <c r="ON897" s="808"/>
      <c r="OO897" s="808"/>
      <c r="OP897" s="808"/>
      <c r="OQ897" s="808"/>
      <c r="OR897" s="808"/>
      <c r="OS897" s="808"/>
      <c r="OT897" s="808"/>
      <c r="OU897" s="808"/>
      <c r="OV897" s="808"/>
      <c r="OW897" s="808"/>
      <c r="OX897" s="808"/>
      <c r="OY897" s="808"/>
      <c r="OZ897" s="808"/>
      <c r="PA897" s="808"/>
      <c r="PB897" s="808"/>
      <c r="PC897" s="808"/>
      <c r="PD897" s="808"/>
      <c r="PE897" s="808"/>
      <c r="PF897" s="808"/>
      <c r="PG897" s="808"/>
      <c r="PH897" s="808"/>
      <c r="PI897" s="808"/>
      <c r="PJ897" s="808"/>
      <c r="PK897" s="808"/>
      <c r="PL897" s="808"/>
      <c r="PM897" s="808"/>
      <c r="PN897" s="808"/>
      <c r="PO897" s="808"/>
      <c r="PP897" s="808"/>
      <c r="PQ897" s="808"/>
      <c r="PR897" s="808"/>
      <c r="PS897" s="808"/>
      <c r="PT897" s="808"/>
      <c r="PU897" s="808"/>
      <c r="PV897" s="808"/>
      <c r="PW897" s="808"/>
      <c r="PX897" s="808"/>
      <c r="PY897" s="808"/>
      <c r="PZ897" s="808"/>
      <c r="QA897" s="808"/>
      <c r="QB897" s="808"/>
      <c r="QC897" s="808"/>
      <c r="QD897" s="808"/>
      <c r="QE897" s="808"/>
      <c r="QF897" s="808"/>
      <c r="QG897" s="808"/>
      <c r="QH897" s="808"/>
      <c r="QI897" s="808"/>
      <c r="QJ897" s="808"/>
      <c r="QK897" s="808"/>
      <c r="QL897" s="808"/>
      <c r="QM897" s="808"/>
      <c r="QN897" s="808"/>
      <c r="QO897" s="808"/>
      <c r="QP897" s="808"/>
      <c r="QQ897" s="808"/>
      <c r="QR897" s="808"/>
      <c r="QS897" s="808"/>
      <c r="QT897" s="808"/>
      <c r="QU897" s="808"/>
      <c r="QV897" s="808"/>
      <c r="QW897" s="808"/>
      <c r="QX897" s="808"/>
      <c r="QY897" s="808"/>
      <c r="QZ897" s="808"/>
      <c r="RA897" s="808"/>
      <c r="RB897" s="808"/>
      <c r="RC897" s="808"/>
      <c r="RD897" s="808"/>
      <c r="RE897" s="808"/>
      <c r="RF897" s="808"/>
      <c r="RG897" s="808"/>
      <c r="RH897" s="808"/>
      <c r="RI897" s="808"/>
      <c r="RJ897" s="808"/>
      <c r="RK897" s="808"/>
      <c r="RL897" s="808"/>
      <c r="RM897" s="808"/>
      <c r="RN897" s="808"/>
      <c r="RO897" s="808"/>
      <c r="RP897" s="808"/>
      <c r="RQ897" s="808"/>
      <c r="RR897" s="808"/>
      <c r="RS897" s="808"/>
      <c r="RT897" s="808"/>
      <c r="RU897" s="808"/>
      <c r="RV897" s="808"/>
      <c r="RW897" s="808"/>
      <c r="RX897" s="808"/>
      <c r="RY897" s="808"/>
      <c r="RZ897" s="808"/>
      <c r="SA897" s="808"/>
      <c r="SB897" s="808"/>
      <c r="SC897" s="808"/>
      <c r="SD897" s="808"/>
      <c r="SE897" s="808"/>
      <c r="SF897" s="808"/>
      <c r="SG897" s="808"/>
      <c r="SH897" s="808"/>
      <c r="SI897" s="808"/>
      <c r="SJ897" s="808"/>
      <c r="SK897" s="808"/>
      <c r="SL897" s="808"/>
      <c r="SM897" s="808"/>
      <c r="SN897" s="808"/>
      <c r="SO897" s="808"/>
      <c r="SP897" s="808"/>
      <c r="SQ897" s="808"/>
      <c r="SR897" s="808"/>
      <c r="SS897" s="808"/>
      <c r="ST897" s="808"/>
      <c r="SU897" s="808"/>
      <c r="SV897" s="808"/>
      <c r="SW897" s="808"/>
      <c r="SX897" s="808"/>
      <c r="SY897" s="808"/>
      <c r="SZ897" s="808"/>
      <c r="TA897" s="808"/>
      <c r="TB897" s="808"/>
      <c r="TC897" s="808"/>
      <c r="TD897" s="808"/>
      <c r="TE897" s="808"/>
      <c r="TF897" s="808"/>
      <c r="TG897" s="808"/>
      <c r="TH897" s="808"/>
      <c r="TI897" s="808"/>
      <c r="TJ897" s="808"/>
      <c r="TK897" s="808"/>
      <c r="TL897" s="808"/>
      <c r="TM897" s="808"/>
      <c r="TN897" s="808"/>
      <c r="TO897" s="808"/>
      <c r="TP897" s="808"/>
      <c r="TQ897" s="808"/>
      <c r="TR897" s="808"/>
      <c r="TS897" s="808"/>
      <c r="TT897" s="808"/>
      <c r="TU897" s="808"/>
      <c r="TV897" s="808"/>
      <c r="TW897" s="808"/>
      <c r="TX897" s="808"/>
      <c r="TY897" s="808"/>
      <c r="TZ897" s="808"/>
      <c r="UA897" s="808"/>
      <c r="UB897" s="808"/>
      <c r="UC897" s="808"/>
      <c r="UD897" s="808"/>
      <c r="UE897" s="808"/>
      <c r="UF897" s="808"/>
      <c r="UG897" s="808"/>
      <c r="UH897" s="808"/>
      <c r="UI897" s="808"/>
      <c r="UJ897" s="808"/>
      <c r="UK897" s="808"/>
      <c r="UL897" s="808"/>
      <c r="UM897" s="808"/>
      <c r="UN897" s="808"/>
      <c r="UO897" s="808"/>
      <c r="UP897" s="808"/>
      <c r="UQ897" s="808"/>
      <c r="UR897" s="808"/>
      <c r="US897" s="808"/>
      <c r="UT897" s="808"/>
      <c r="UU897" s="808"/>
      <c r="UV897" s="808"/>
      <c r="UW897" s="808"/>
      <c r="UX897" s="808"/>
      <c r="UY897" s="808"/>
      <c r="UZ897" s="808"/>
      <c r="VA897" s="808"/>
      <c r="VB897" s="808"/>
      <c r="VC897" s="808"/>
      <c r="VD897" s="808"/>
      <c r="VE897" s="808"/>
      <c r="VF897" s="808"/>
      <c r="VG897" s="808"/>
      <c r="VH897" s="808"/>
      <c r="VI897" s="808"/>
      <c r="VJ897" s="808"/>
      <c r="VK897" s="808"/>
      <c r="VL897" s="808"/>
      <c r="VM897" s="808"/>
      <c r="VN897" s="808"/>
      <c r="VO897" s="808"/>
      <c r="VP897" s="808"/>
      <c r="VQ897" s="808"/>
      <c r="VR897" s="808"/>
      <c r="VS897" s="808"/>
      <c r="VT897" s="808"/>
      <c r="VU897" s="808"/>
      <c r="VV897" s="808"/>
      <c r="VW897" s="808"/>
      <c r="VX897" s="808"/>
      <c r="VY897" s="808"/>
      <c r="VZ897" s="808"/>
      <c r="WA897" s="808"/>
      <c r="WB897" s="808"/>
      <c r="WC897" s="808"/>
      <c r="WD897" s="808"/>
      <c r="WE897" s="808"/>
      <c r="WF897" s="808"/>
      <c r="WG897" s="808"/>
      <c r="WH897" s="808"/>
      <c r="WI897" s="808"/>
      <c r="WJ897" s="808"/>
      <c r="WK897" s="808"/>
      <c r="WL897" s="808"/>
      <c r="WM897" s="808"/>
      <c r="WN897" s="808"/>
      <c r="WO897" s="808"/>
      <c r="WP897" s="808"/>
      <c r="WQ897" s="808"/>
      <c r="WR897" s="808"/>
      <c r="WS897" s="808"/>
      <c r="WT897" s="808"/>
      <c r="WU897" s="808"/>
      <c r="WV897" s="808"/>
      <c r="WW897" s="808"/>
      <c r="WX897" s="808"/>
      <c r="WY897" s="808"/>
      <c r="WZ897" s="808"/>
      <c r="XA897" s="808"/>
      <c r="XB897" s="808"/>
      <c r="XC897" s="808"/>
      <c r="XD897" s="808"/>
      <c r="XE897" s="808"/>
      <c r="XF897" s="808"/>
      <c r="XG897" s="808"/>
      <c r="XH897" s="808"/>
      <c r="XI897" s="808"/>
      <c r="XJ897" s="808"/>
      <c r="XK897" s="808"/>
      <c r="XL897" s="808"/>
      <c r="XM897" s="808"/>
      <c r="XN897" s="808"/>
      <c r="XO897" s="808"/>
      <c r="XP897" s="808"/>
      <c r="XQ897" s="808"/>
      <c r="XR897" s="808"/>
      <c r="XS897" s="808"/>
      <c r="XT897" s="808"/>
      <c r="XU897" s="808"/>
      <c r="XV897" s="808"/>
      <c r="XW897" s="808"/>
      <c r="XX897" s="808"/>
      <c r="XY897" s="808"/>
      <c r="XZ897" s="808"/>
      <c r="YA897" s="808"/>
      <c r="YB897" s="808"/>
      <c r="YC897" s="808"/>
      <c r="YD897" s="808"/>
      <c r="YE897" s="808"/>
      <c r="YF897" s="808"/>
      <c r="YG897" s="808"/>
      <c r="YH897" s="808"/>
      <c r="YI897" s="808"/>
      <c r="YJ897" s="808"/>
      <c r="YK897" s="808"/>
      <c r="YL897" s="808"/>
      <c r="YM897" s="808"/>
      <c r="YN897" s="808"/>
      <c r="YO897" s="808"/>
      <c r="YP897" s="808"/>
      <c r="YQ897" s="808"/>
      <c r="YR897" s="808"/>
      <c r="YS897" s="808"/>
      <c r="YT897" s="808"/>
      <c r="YU897" s="808"/>
      <c r="YV897" s="808"/>
      <c r="YW897" s="808"/>
      <c r="YX897" s="808"/>
      <c r="YY897" s="808"/>
      <c r="YZ897" s="808"/>
      <c r="ZA897" s="808"/>
      <c r="ZB897" s="808"/>
      <c r="ZC897" s="808"/>
      <c r="ZD897" s="808"/>
      <c r="ZE897" s="808"/>
      <c r="ZF897" s="808"/>
      <c r="ZG897" s="808"/>
      <c r="ZH897" s="808"/>
      <c r="ZI897" s="808"/>
      <c r="ZJ897" s="808"/>
      <c r="ZK897" s="808"/>
      <c r="ZL897" s="808"/>
      <c r="ZM897" s="808"/>
      <c r="ZN897" s="808"/>
      <c r="ZO897" s="808"/>
      <c r="ZP897" s="808"/>
      <c r="ZQ897" s="808"/>
      <c r="ZR897" s="808"/>
      <c r="ZS897" s="808"/>
      <c r="ZT897" s="808"/>
      <c r="ZU897" s="808"/>
      <c r="ZV897" s="808"/>
      <c r="ZW897" s="808"/>
      <c r="ZX897" s="808"/>
      <c r="ZY897" s="808"/>
      <c r="ZZ897" s="808"/>
      <c r="AAA897" s="808"/>
      <c r="AAB897" s="808"/>
      <c r="AAC897" s="808"/>
      <c r="AAD897" s="808"/>
      <c r="AAE897" s="808"/>
      <c r="AAF897" s="808"/>
      <c r="AAG897" s="808"/>
      <c r="AAH897" s="808"/>
      <c r="AAI897" s="808"/>
      <c r="AAJ897" s="808"/>
      <c r="AAK897" s="808"/>
      <c r="AAL897" s="808"/>
      <c r="AAM897" s="808"/>
      <c r="AAN897" s="808"/>
      <c r="AAO897" s="808"/>
      <c r="AAP897" s="808"/>
      <c r="AAQ897" s="808"/>
      <c r="AAR897" s="808"/>
      <c r="AAS897" s="808"/>
      <c r="AAT897" s="808"/>
      <c r="AAU897" s="808"/>
      <c r="AAV897" s="808"/>
      <c r="AAW897" s="808"/>
      <c r="AAX897" s="808"/>
      <c r="AAY897" s="808"/>
      <c r="AAZ897" s="808"/>
      <c r="ABA897" s="808"/>
      <c r="ABB897" s="808"/>
      <c r="ABC897" s="808"/>
      <c r="ABD897" s="808"/>
      <c r="ABE897" s="808"/>
      <c r="ABF897" s="808"/>
      <c r="ABG897" s="808"/>
      <c r="ABH897" s="808"/>
      <c r="ABI897" s="808"/>
      <c r="ABJ897" s="808"/>
      <c r="ABK897" s="808"/>
      <c r="ABL897" s="808"/>
      <c r="ABM897" s="808"/>
      <c r="ABN897" s="808"/>
      <c r="ABO897" s="808"/>
      <c r="ABP897" s="808"/>
      <c r="ABQ897" s="808"/>
      <c r="ABR897" s="808"/>
      <c r="ABS897" s="808"/>
      <c r="ABT897" s="808"/>
      <c r="ABU897" s="808"/>
      <c r="ABV897" s="808"/>
      <c r="ABW897" s="808"/>
      <c r="ABX897" s="808"/>
      <c r="ABY897" s="808"/>
      <c r="ABZ897" s="808"/>
      <c r="ACA897" s="808"/>
      <c r="ACB897" s="808"/>
      <c r="ACC897" s="808"/>
      <c r="ACD897" s="808"/>
      <c r="ACE897" s="808"/>
      <c r="ACF897" s="808"/>
      <c r="ACG897" s="808"/>
      <c r="ACH897" s="808"/>
      <c r="ACI897" s="808"/>
      <c r="ACJ897" s="808"/>
      <c r="ACK897" s="808"/>
      <c r="ACL897" s="808"/>
      <c r="ACM897" s="808"/>
      <c r="ACN897" s="808"/>
      <c r="ACO897" s="808"/>
      <c r="ACP897" s="808"/>
      <c r="ACQ897" s="808"/>
      <c r="ACR897" s="808"/>
      <c r="ACS897" s="808"/>
      <c r="ACT897" s="808"/>
      <c r="ACU897" s="808"/>
      <c r="ACV897" s="808"/>
      <c r="ACW897" s="808"/>
      <c r="ACX897" s="808"/>
      <c r="ACY897" s="808"/>
      <c r="ACZ897" s="808"/>
      <c r="ADA897" s="808"/>
      <c r="ADB897" s="808"/>
      <c r="ADC897" s="808"/>
      <c r="ADD897" s="808"/>
      <c r="ADE897" s="808"/>
      <c r="ADF897" s="808"/>
      <c r="ADG897" s="808"/>
      <c r="ADH897" s="808"/>
      <c r="ADI897" s="808"/>
      <c r="ADJ897" s="808"/>
      <c r="ADK897" s="808"/>
      <c r="ADL897" s="808"/>
      <c r="ADM897" s="808"/>
      <c r="ADN897" s="808"/>
      <c r="ADO897" s="808"/>
      <c r="ADP897" s="808"/>
      <c r="ADQ897" s="808"/>
      <c r="ADR897" s="808"/>
      <c r="ADS897" s="808"/>
      <c r="ADT897" s="808"/>
      <c r="ADU897" s="808"/>
      <c r="ADV897" s="808"/>
      <c r="ADW897" s="808"/>
      <c r="ADX897" s="808"/>
      <c r="ADY897" s="808"/>
      <c r="ADZ897" s="808"/>
      <c r="AEA897" s="808"/>
      <c r="AEB897" s="808"/>
      <c r="AEC897" s="808"/>
      <c r="AED897" s="808"/>
      <c r="AEE897" s="808"/>
      <c r="AEF897" s="808"/>
      <c r="AEG897" s="808"/>
      <c r="AEH897" s="808"/>
      <c r="AEI897" s="808"/>
      <c r="AEJ897" s="808"/>
      <c r="AEK897" s="808"/>
      <c r="AEL897" s="808"/>
      <c r="AEM897" s="808"/>
      <c r="AEN897" s="808"/>
      <c r="AEO897" s="808"/>
      <c r="AEP897" s="808"/>
      <c r="AEQ897" s="808"/>
      <c r="AER897" s="808"/>
      <c r="AES897" s="808"/>
      <c r="AET897" s="808"/>
      <c r="AEU897" s="808"/>
      <c r="AEV897" s="808"/>
      <c r="AEW897" s="808"/>
      <c r="AEX897" s="808"/>
      <c r="AEY897" s="808"/>
      <c r="AEZ897" s="808"/>
      <c r="AFA897" s="808"/>
      <c r="AFB897" s="808"/>
      <c r="AFC897" s="808"/>
      <c r="AFD897" s="808"/>
      <c r="AFE897" s="808"/>
      <c r="AFF897" s="808"/>
      <c r="AFG897" s="808"/>
      <c r="AFH897" s="808"/>
      <c r="AFI897" s="808"/>
      <c r="AFJ897" s="808"/>
      <c r="AFK897" s="808"/>
      <c r="AFL897" s="808"/>
      <c r="AFM897" s="808"/>
      <c r="AFN897" s="808"/>
      <c r="AFO897" s="808"/>
      <c r="AFP897" s="808"/>
      <c r="AFQ897" s="808"/>
      <c r="AFR897" s="808"/>
      <c r="AFS897" s="808"/>
      <c r="AFT897" s="808"/>
      <c r="AFU897" s="808"/>
      <c r="AFV897" s="808"/>
      <c r="AFW897" s="808"/>
      <c r="AFX897" s="808"/>
      <c r="AFY897" s="808"/>
      <c r="AFZ897" s="808"/>
      <c r="AGA897" s="808"/>
      <c r="AGB897" s="808"/>
      <c r="AGC897" s="808"/>
      <c r="AGD897" s="808"/>
      <c r="AGE897" s="808"/>
      <c r="AGF897" s="808"/>
      <c r="AGG897" s="808"/>
      <c r="AGH897" s="808"/>
      <c r="AGI897" s="808"/>
      <c r="AGJ897" s="808"/>
    </row>
    <row r="898" spans="1:868" s="7" customFormat="1">
      <c r="A898" s="609" t="s">
        <v>118</v>
      </c>
      <c r="B898" s="59" t="s">
        <v>439</v>
      </c>
      <c r="C898" s="40" t="s">
        <v>139</v>
      </c>
      <c r="D898" s="34" t="s">
        <v>99</v>
      </c>
      <c r="E898" s="859">
        <v>8.5204579746161357E-2</v>
      </c>
      <c r="F898" s="34">
        <v>2</v>
      </c>
      <c r="G898" s="40" t="s">
        <v>433</v>
      </c>
      <c r="H898" s="29">
        <v>1</v>
      </c>
      <c r="I898" s="9">
        <v>2</v>
      </c>
      <c r="J898" s="9">
        <v>2</v>
      </c>
      <c r="K898" s="9">
        <v>1</v>
      </c>
      <c r="L898" s="9">
        <v>1</v>
      </c>
      <c r="M898" s="9">
        <v>2</v>
      </c>
      <c r="N898" s="185">
        <f t="shared" si="66"/>
        <v>0.35859414261160716</v>
      </c>
      <c r="O898" s="159">
        <f t="shared" si="65"/>
        <v>0.37356464144298934</v>
      </c>
      <c r="P898" s="63"/>
      <c r="Q898" s="808"/>
      <c r="R898" s="808"/>
      <c r="S898" s="808"/>
      <c r="T898" s="808"/>
      <c r="U898" s="808"/>
      <c r="V898" s="808"/>
      <c r="W898" s="808"/>
      <c r="X898" s="808"/>
      <c r="Y898" s="808"/>
      <c r="Z898" s="808"/>
      <c r="AA898" s="808"/>
      <c r="AB898" s="808"/>
      <c r="AC898" s="808"/>
      <c r="AD898" s="808"/>
      <c r="AE898" s="808"/>
      <c r="AF898" s="808"/>
      <c r="AG898" s="808"/>
      <c r="AH898" s="808"/>
      <c r="AI898" s="808"/>
      <c r="AJ898" s="808"/>
      <c r="AK898" s="808"/>
      <c r="AL898" s="808"/>
      <c r="AM898" s="808"/>
      <c r="AN898" s="808"/>
      <c r="AO898" s="808"/>
      <c r="AP898" s="808"/>
      <c r="AQ898" s="808"/>
      <c r="AR898" s="808"/>
      <c r="AS898" s="808"/>
      <c r="AT898" s="808"/>
      <c r="AU898" s="808"/>
      <c r="AV898" s="808"/>
      <c r="AW898" s="808"/>
      <c r="AX898" s="808"/>
      <c r="AY898" s="808"/>
      <c r="AZ898" s="808"/>
      <c r="BA898" s="808"/>
      <c r="BB898" s="808"/>
      <c r="BC898" s="808"/>
      <c r="BD898" s="808"/>
      <c r="BE898" s="808"/>
      <c r="BF898" s="808"/>
      <c r="BG898" s="808"/>
      <c r="BH898" s="808"/>
      <c r="BI898" s="808"/>
      <c r="BJ898" s="808"/>
      <c r="BK898" s="808"/>
      <c r="BL898" s="808"/>
      <c r="BM898" s="808"/>
      <c r="BN898" s="808"/>
      <c r="BO898" s="808"/>
      <c r="BP898" s="808"/>
      <c r="BQ898" s="808"/>
      <c r="BR898" s="808"/>
      <c r="BS898" s="808"/>
      <c r="BT898" s="808"/>
      <c r="BU898" s="808"/>
      <c r="BV898" s="808"/>
      <c r="BW898" s="808"/>
      <c r="BX898" s="808"/>
      <c r="BY898" s="808"/>
      <c r="BZ898" s="808"/>
      <c r="CA898" s="808"/>
      <c r="CB898" s="808"/>
      <c r="CC898" s="808"/>
      <c r="CD898" s="808"/>
      <c r="CE898" s="808"/>
      <c r="CF898" s="808"/>
      <c r="CG898" s="808"/>
      <c r="CH898" s="808"/>
      <c r="CI898" s="808"/>
      <c r="CJ898" s="808"/>
      <c r="CK898" s="808"/>
      <c r="CL898" s="808"/>
      <c r="CM898" s="808"/>
      <c r="CN898" s="808"/>
      <c r="CO898" s="808"/>
      <c r="CP898" s="808"/>
      <c r="CQ898" s="808"/>
      <c r="CR898" s="808"/>
      <c r="CS898" s="808"/>
      <c r="CT898" s="808"/>
      <c r="CU898" s="808"/>
      <c r="CV898" s="808"/>
      <c r="CW898" s="808"/>
      <c r="CX898" s="808"/>
      <c r="CY898" s="808"/>
      <c r="CZ898" s="808"/>
      <c r="DA898" s="808"/>
      <c r="DB898" s="808"/>
      <c r="DC898" s="808"/>
      <c r="DD898" s="808"/>
      <c r="DE898" s="808"/>
      <c r="DF898" s="808"/>
      <c r="DG898" s="808"/>
      <c r="DH898" s="808"/>
      <c r="DI898" s="808"/>
      <c r="DJ898" s="808"/>
      <c r="DK898" s="808"/>
      <c r="DL898" s="808"/>
      <c r="DM898" s="808"/>
      <c r="DN898" s="808"/>
      <c r="DO898" s="808"/>
      <c r="DP898" s="808"/>
      <c r="DQ898" s="808"/>
      <c r="DR898" s="808"/>
      <c r="DS898" s="808"/>
      <c r="DT898" s="808"/>
      <c r="DU898" s="808"/>
      <c r="DV898" s="808"/>
      <c r="DW898" s="808"/>
      <c r="DX898" s="808"/>
      <c r="DY898" s="808"/>
      <c r="DZ898" s="808"/>
      <c r="EA898" s="808"/>
      <c r="EB898" s="808"/>
      <c r="EC898" s="808"/>
      <c r="ED898" s="808"/>
      <c r="EE898" s="808"/>
      <c r="EF898" s="808"/>
      <c r="EG898" s="808"/>
      <c r="EH898" s="808"/>
      <c r="EI898" s="808"/>
      <c r="EJ898" s="808"/>
      <c r="EK898" s="808"/>
      <c r="EL898" s="808"/>
      <c r="EM898" s="808"/>
      <c r="EN898" s="808"/>
      <c r="EO898" s="808"/>
      <c r="EP898" s="808"/>
      <c r="EQ898" s="808"/>
      <c r="ER898" s="808"/>
      <c r="ES898" s="808"/>
      <c r="ET898" s="808"/>
      <c r="EU898" s="808"/>
      <c r="EV898" s="808"/>
      <c r="EW898" s="808"/>
      <c r="EX898" s="808"/>
      <c r="EY898" s="808"/>
      <c r="EZ898" s="808"/>
      <c r="FA898" s="808"/>
      <c r="FB898" s="808"/>
      <c r="FC898" s="808"/>
      <c r="FD898" s="808"/>
      <c r="FE898" s="808"/>
      <c r="FF898" s="808"/>
      <c r="FG898" s="808"/>
      <c r="FH898" s="808"/>
      <c r="FI898" s="808"/>
      <c r="FJ898" s="808"/>
      <c r="FK898" s="808"/>
      <c r="FL898" s="808"/>
      <c r="FM898" s="808"/>
      <c r="FN898" s="808"/>
      <c r="FO898" s="808"/>
      <c r="FP898" s="808"/>
      <c r="FQ898" s="808"/>
      <c r="FR898" s="808"/>
      <c r="FS898" s="808"/>
      <c r="FT898" s="808"/>
      <c r="FU898" s="808"/>
      <c r="FV898" s="808"/>
      <c r="FW898" s="808"/>
      <c r="FX898" s="808"/>
      <c r="FY898" s="808"/>
      <c r="FZ898" s="808"/>
      <c r="GA898" s="808"/>
      <c r="GB898" s="808"/>
      <c r="GC898" s="808"/>
      <c r="GD898" s="808"/>
      <c r="GE898" s="808"/>
      <c r="GF898" s="808"/>
      <c r="GG898" s="808"/>
      <c r="GH898" s="808"/>
      <c r="GI898" s="808"/>
      <c r="GJ898" s="808"/>
      <c r="GK898" s="808"/>
      <c r="GL898" s="808"/>
      <c r="GM898" s="808"/>
      <c r="GN898" s="808"/>
      <c r="GO898" s="808"/>
      <c r="GP898" s="808"/>
      <c r="GQ898" s="808"/>
      <c r="GR898" s="808"/>
      <c r="GS898" s="808"/>
      <c r="GT898" s="808"/>
      <c r="GU898" s="808"/>
      <c r="GV898" s="808"/>
      <c r="GW898" s="808"/>
      <c r="GX898" s="808"/>
      <c r="GY898" s="808"/>
      <c r="GZ898" s="808"/>
      <c r="HA898" s="808"/>
      <c r="HB898" s="808"/>
      <c r="HC898" s="808"/>
      <c r="HD898" s="808"/>
      <c r="HE898" s="808"/>
      <c r="HF898" s="808"/>
      <c r="HG898" s="808"/>
      <c r="HH898" s="808"/>
      <c r="HI898" s="808"/>
      <c r="HJ898" s="808"/>
      <c r="HK898" s="808"/>
      <c r="HL898" s="808"/>
      <c r="HM898" s="808"/>
      <c r="HN898" s="808"/>
      <c r="HO898" s="808"/>
      <c r="HP898" s="808"/>
      <c r="HQ898" s="808"/>
      <c r="HR898" s="808"/>
      <c r="HS898" s="808"/>
      <c r="HT898" s="808"/>
      <c r="HU898" s="808"/>
      <c r="HV898" s="808"/>
      <c r="HW898" s="808"/>
      <c r="HX898" s="808"/>
      <c r="HY898" s="808"/>
      <c r="HZ898" s="808"/>
      <c r="IA898" s="808"/>
      <c r="IB898" s="808"/>
      <c r="IC898" s="808"/>
      <c r="ID898" s="808"/>
      <c r="IE898" s="808"/>
      <c r="IF898" s="808"/>
      <c r="IG898" s="808"/>
      <c r="IH898" s="808"/>
      <c r="II898" s="808"/>
      <c r="IJ898" s="808"/>
      <c r="IK898" s="808"/>
      <c r="IL898" s="808"/>
      <c r="IM898" s="808"/>
      <c r="IN898" s="808"/>
      <c r="IO898" s="808"/>
      <c r="IP898" s="808"/>
      <c r="IQ898" s="808"/>
      <c r="IR898" s="808"/>
      <c r="IS898" s="808"/>
      <c r="IT898" s="808"/>
      <c r="IU898" s="808"/>
      <c r="IV898" s="808"/>
      <c r="IW898" s="808"/>
      <c r="IX898" s="808"/>
      <c r="IY898" s="808"/>
      <c r="IZ898" s="808"/>
      <c r="JA898" s="808"/>
      <c r="JB898" s="808"/>
      <c r="JC898" s="808"/>
      <c r="JD898" s="808"/>
      <c r="JE898" s="808"/>
      <c r="JF898" s="808"/>
      <c r="JG898" s="808"/>
      <c r="JH898" s="808"/>
      <c r="JI898" s="808"/>
      <c r="JJ898" s="808"/>
      <c r="JK898" s="808"/>
      <c r="JL898" s="808"/>
      <c r="JM898" s="808"/>
      <c r="JN898" s="808"/>
      <c r="JO898" s="808"/>
      <c r="JP898" s="808"/>
      <c r="JQ898" s="808"/>
      <c r="JR898" s="808"/>
      <c r="JS898" s="808"/>
      <c r="JT898" s="808"/>
      <c r="JU898" s="808"/>
      <c r="JV898" s="808"/>
      <c r="JW898" s="808"/>
      <c r="JX898" s="808"/>
      <c r="JY898" s="808"/>
      <c r="JZ898" s="808"/>
      <c r="KA898" s="808"/>
      <c r="KB898" s="808"/>
      <c r="KC898" s="808"/>
      <c r="KD898" s="808"/>
      <c r="KE898" s="808"/>
      <c r="KF898" s="808"/>
      <c r="KG898" s="808"/>
      <c r="KH898" s="808"/>
      <c r="KI898" s="808"/>
      <c r="KJ898" s="808"/>
      <c r="KK898" s="808"/>
      <c r="KL898" s="808"/>
      <c r="KM898" s="808"/>
      <c r="KN898" s="808"/>
      <c r="KO898" s="808"/>
      <c r="KP898" s="808"/>
      <c r="KQ898" s="808"/>
      <c r="KR898" s="808"/>
      <c r="KS898" s="808"/>
      <c r="KT898" s="808"/>
      <c r="KU898" s="808"/>
      <c r="KV898" s="808"/>
      <c r="KW898" s="808"/>
      <c r="KX898" s="808"/>
      <c r="KY898" s="808"/>
      <c r="KZ898" s="808"/>
      <c r="LA898" s="808"/>
      <c r="LB898" s="808"/>
      <c r="LC898" s="808"/>
      <c r="LD898" s="808"/>
      <c r="LE898" s="808"/>
      <c r="LF898" s="808"/>
      <c r="LG898" s="808"/>
      <c r="LH898" s="808"/>
      <c r="LI898" s="808"/>
      <c r="LJ898" s="808"/>
      <c r="LK898" s="808"/>
      <c r="LL898" s="808"/>
      <c r="LM898" s="808"/>
      <c r="LN898" s="808"/>
      <c r="LO898" s="808"/>
      <c r="LP898" s="808"/>
      <c r="LQ898" s="808"/>
      <c r="LR898" s="808"/>
      <c r="LS898" s="808"/>
      <c r="LT898" s="808"/>
      <c r="LU898" s="808"/>
      <c r="LV898" s="808"/>
      <c r="LW898" s="808"/>
      <c r="LX898" s="808"/>
      <c r="LY898" s="808"/>
      <c r="LZ898" s="808"/>
      <c r="MA898" s="808"/>
      <c r="MB898" s="808"/>
      <c r="MC898" s="808"/>
      <c r="MD898" s="808"/>
      <c r="ME898" s="808"/>
      <c r="MF898" s="808"/>
      <c r="MG898" s="808"/>
      <c r="MH898" s="808"/>
      <c r="MI898" s="808"/>
      <c r="MJ898" s="808"/>
      <c r="MK898" s="808"/>
      <c r="ML898" s="808"/>
      <c r="MM898" s="808"/>
      <c r="MN898" s="808"/>
      <c r="MO898" s="808"/>
      <c r="MP898" s="808"/>
      <c r="MQ898" s="808"/>
      <c r="MR898" s="808"/>
      <c r="MS898" s="808"/>
      <c r="MT898" s="808"/>
      <c r="MU898" s="808"/>
      <c r="MV898" s="808"/>
      <c r="MW898" s="808"/>
      <c r="MX898" s="808"/>
      <c r="MY898" s="808"/>
      <c r="MZ898" s="808"/>
      <c r="NA898" s="808"/>
      <c r="NB898" s="808"/>
      <c r="NC898" s="808"/>
      <c r="ND898" s="808"/>
      <c r="NE898" s="808"/>
      <c r="NF898" s="808"/>
      <c r="NG898" s="808"/>
      <c r="NH898" s="808"/>
      <c r="NI898" s="808"/>
      <c r="NJ898" s="808"/>
      <c r="NK898" s="808"/>
      <c r="NL898" s="808"/>
      <c r="NM898" s="808"/>
      <c r="NN898" s="808"/>
      <c r="NO898" s="808"/>
      <c r="NP898" s="808"/>
      <c r="NQ898" s="808"/>
      <c r="NR898" s="808"/>
      <c r="NS898" s="808"/>
      <c r="NT898" s="808"/>
      <c r="NU898" s="808"/>
      <c r="NV898" s="808"/>
      <c r="NW898" s="808"/>
      <c r="NX898" s="808"/>
      <c r="NY898" s="808"/>
      <c r="NZ898" s="808"/>
      <c r="OA898" s="808"/>
      <c r="OB898" s="808"/>
      <c r="OC898" s="808"/>
      <c r="OD898" s="808"/>
      <c r="OE898" s="808"/>
      <c r="OF898" s="808"/>
      <c r="OG898" s="808"/>
      <c r="OH898" s="808"/>
      <c r="OI898" s="808"/>
      <c r="OJ898" s="808"/>
      <c r="OK898" s="808"/>
      <c r="OL898" s="808"/>
      <c r="OM898" s="808"/>
      <c r="ON898" s="808"/>
      <c r="OO898" s="808"/>
      <c r="OP898" s="808"/>
      <c r="OQ898" s="808"/>
      <c r="OR898" s="808"/>
      <c r="OS898" s="808"/>
      <c r="OT898" s="808"/>
      <c r="OU898" s="808"/>
      <c r="OV898" s="808"/>
      <c r="OW898" s="808"/>
      <c r="OX898" s="808"/>
      <c r="OY898" s="808"/>
      <c r="OZ898" s="808"/>
      <c r="PA898" s="808"/>
      <c r="PB898" s="808"/>
      <c r="PC898" s="808"/>
      <c r="PD898" s="808"/>
      <c r="PE898" s="808"/>
      <c r="PF898" s="808"/>
      <c r="PG898" s="808"/>
      <c r="PH898" s="808"/>
      <c r="PI898" s="808"/>
      <c r="PJ898" s="808"/>
      <c r="PK898" s="808"/>
      <c r="PL898" s="808"/>
      <c r="PM898" s="808"/>
      <c r="PN898" s="808"/>
      <c r="PO898" s="808"/>
      <c r="PP898" s="808"/>
      <c r="PQ898" s="808"/>
      <c r="PR898" s="808"/>
      <c r="PS898" s="808"/>
      <c r="PT898" s="808"/>
      <c r="PU898" s="808"/>
      <c r="PV898" s="808"/>
      <c r="PW898" s="808"/>
      <c r="PX898" s="808"/>
      <c r="PY898" s="808"/>
      <c r="PZ898" s="808"/>
      <c r="QA898" s="808"/>
      <c r="QB898" s="808"/>
      <c r="QC898" s="808"/>
      <c r="QD898" s="808"/>
      <c r="QE898" s="808"/>
      <c r="QF898" s="808"/>
      <c r="QG898" s="808"/>
      <c r="QH898" s="808"/>
      <c r="QI898" s="808"/>
      <c r="QJ898" s="808"/>
      <c r="QK898" s="808"/>
      <c r="QL898" s="808"/>
      <c r="QM898" s="808"/>
      <c r="QN898" s="808"/>
      <c r="QO898" s="808"/>
      <c r="QP898" s="808"/>
      <c r="QQ898" s="808"/>
      <c r="QR898" s="808"/>
      <c r="QS898" s="808"/>
      <c r="QT898" s="808"/>
      <c r="QU898" s="808"/>
      <c r="QV898" s="808"/>
      <c r="QW898" s="808"/>
      <c r="QX898" s="808"/>
      <c r="QY898" s="808"/>
      <c r="QZ898" s="808"/>
      <c r="RA898" s="808"/>
      <c r="RB898" s="808"/>
      <c r="RC898" s="808"/>
      <c r="RD898" s="808"/>
      <c r="RE898" s="808"/>
      <c r="RF898" s="808"/>
      <c r="RG898" s="808"/>
      <c r="RH898" s="808"/>
      <c r="RI898" s="808"/>
      <c r="RJ898" s="808"/>
      <c r="RK898" s="808"/>
      <c r="RL898" s="808"/>
      <c r="RM898" s="808"/>
      <c r="RN898" s="808"/>
      <c r="RO898" s="808"/>
      <c r="RP898" s="808"/>
      <c r="RQ898" s="808"/>
      <c r="RR898" s="808"/>
      <c r="RS898" s="808"/>
      <c r="RT898" s="808"/>
      <c r="RU898" s="808"/>
      <c r="RV898" s="808"/>
      <c r="RW898" s="808"/>
      <c r="RX898" s="808"/>
      <c r="RY898" s="808"/>
      <c r="RZ898" s="808"/>
      <c r="SA898" s="808"/>
      <c r="SB898" s="808"/>
      <c r="SC898" s="808"/>
      <c r="SD898" s="808"/>
      <c r="SE898" s="808"/>
      <c r="SF898" s="808"/>
      <c r="SG898" s="808"/>
      <c r="SH898" s="808"/>
      <c r="SI898" s="808"/>
      <c r="SJ898" s="808"/>
      <c r="SK898" s="808"/>
      <c r="SL898" s="808"/>
      <c r="SM898" s="808"/>
      <c r="SN898" s="808"/>
      <c r="SO898" s="808"/>
      <c r="SP898" s="808"/>
      <c r="SQ898" s="808"/>
      <c r="SR898" s="808"/>
      <c r="SS898" s="808"/>
      <c r="ST898" s="808"/>
      <c r="SU898" s="808"/>
      <c r="SV898" s="808"/>
      <c r="SW898" s="808"/>
      <c r="SX898" s="808"/>
      <c r="SY898" s="808"/>
      <c r="SZ898" s="808"/>
      <c r="TA898" s="808"/>
      <c r="TB898" s="808"/>
      <c r="TC898" s="808"/>
      <c r="TD898" s="808"/>
      <c r="TE898" s="808"/>
      <c r="TF898" s="808"/>
      <c r="TG898" s="808"/>
      <c r="TH898" s="808"/>
      <c r="TI898" s="808"/>
      <c r="TJ898" s="808"/>
      <c r="TK898" s="808"/>
      <c r="TL898" s="808"/>
      <c r="TM898" s="808"/>
      <c r="TN898" s="808"/>
      <c r="TO898" s="808"/>
      <c r="TP898" s="808"/>
      <c r="TQ898" s="808"/>
      <c r="TR898" s="808"/>
      <c r="TS898" s="808"/>
      <c r="TT898" s="808"/>
      <c r="TU898" s="808"/>
      <c r="TV898" s="808"/>
      <c r="TW898" s="808"/>
      <c r="TX898" s="808"/>
      <c r="TY898" s="808"/>
      <c r="TZ898" s="808"/>
      <c r="UA898" s="808"/>
      <c r="UB898" s="808"/>
      <c r="UC898" s="808"/>
      <c r="UD898" s="808"/>
      <c r="UE898" s="808"/>
      <c r="UF898" s="808"/>
      <c r="UG898" s="808"/>
      <c r="UH898" s="808"/>
      <c r="UI898" s="808"/>
      <c r="UJ898" s="808"/>
      <c r="UK898" s="808"/>
      <c r="UL898" s="808"/>
      <c r="UM898" s="808"/>
      <c r="UN898" s="808"/>
      <c r="UO898" s="808"/>
      <c r="UP898" s="808"/>
      <c r="UQ898" s="808"/>
      <c r="UR898" s="808"/>
      <c r="US898" s="808"/>
      <c r="UT898" s="808"/>
      <c r="UU898" s="808"/>
      <c r="UV898" s="808"/>
      <c r="UW898" s="808"/>
      <c r="UX898" s="808"/>
      <c r="UY898" s="808"/>
      <c r="UZ898" s="808"/>
      <c r="VA898" s="808"/>
      <c r="VB898" s="808"/>
      <c r="VC898" s="808"/>
      <c r="VD898" s="808"/>
      <c r="VE898" s="808"/>
      <c r="VF898" s="808"/>
      <c r="VG898" s="808"/>
      <c r="VH898" s="808"/>
      <c r="VI898" s="808"/>
      <c r="VJ898" s="808"/>
      <c r="VK898" s="808"/>
      <c r="VL898" s="808"/>
      <c r="VM898" s="808"/>
      <c r="VN898" s="808"/>
      <c r="VO898" s="808"/>
      <c r="VP898" s="808"/>
      <c r="VQ898" s="808"/>
      <c r="VR898" s="808"/>
      <c r="VS898" s="808"/>
      <c r="VT898" s="808"/>
      <c r="VU898" s="808"/>
      <c r="VV898" s="808"/>
      <c r="VW898" s="808"/>
      <c r="VX898" s="808"/>
      <c r="VY898" s="808"/>
      <c r="VZ898" s="808"/>
      <c r="WA898" s="808"/>
      <c r="WB898" s="808"/>
      <c r="WC898" s="808"/>
      <c r="WD898" s="808"/>
      <c r="WE898" s="808"/>
      <c r="WF898" s="808"/>
      <c r="WG898" s="808"/>
      <c r="WH898" s="808"/>
      <c r="WI898" s="808"/>
      <c r="WJ898" s="808"/>
      <c r="WK898" s="808"/>
      <c r="WL898" s="808"/>
      <c r="WM898" s="808"/>
      <c r="WN898" s="808"/>
      <c r="WO898" s="808"/>
      <c r="WP898" s="808"/>
      <c r="WQ898" s="808"/>
      <c r="WR898" s="808"/>
      <c r="WS898" s="808"/>
      <c r="WT898" s="808"/>
      <c r="WU898" s="808"/>
      <c r="WV898" s="808"/>
      <c r="WW898" s="808"/>
      <c r="WX898" s="808"/>
      <c r="WY898" s="808"/>
      <c r="WZ898" s="808"/>
      <c r="XA898" s="808"/>
      <c r="XB898" s="808"/>
      <c r="XC898" s="808"/>
      <c r="XD898" s="808"/>
      <c r="XE898" s="808"/>
      <c r="XF898" s="808"/>
      <c r="XG898" s="808"/>
      <c r="XH898" s="808"/>
      <c r="XI898" s="808"/>
      <c r="XJ898" s="808"/>
      <c r="XK898" s="808"/>
      <c r="XL898" s="808"/>
      <c r="XM898" s="808"/>
      <c r="XN898" s="808"/>
      <c r="XO898" s="808"/>
      <c r="XP898" s="808"/>
      <c r="XQ898" s="808"/>
      <c r="XR898" s="808"/>
      <c r="XS898" s="808"/>
      <c r="XT898" s="808"/>
      <c r="XU898" s="808"/>
      <c r="XV898" s="808"/>
      <c r="XW898" s="808"/>
      <c r="XX898" s="808"/>
      <c r="XY898" s="808"/>
      <c r="XZ898" s="808"/>
      <c r="YA898" s="808"/>
      <c r="YB898" s="808"/>
      <c r="YC898" s="808"/>
      <c r="YD898" s="808"/>
      <c r="YE898" s="808"/>
      <c r="YF898" s="808"/>
      <c r="YG898" s="808"/>
      <c r="YH898" s="808"/>
      <c r="YI898" s="808"/>
      <c r="YJ898" s="808"/>
      <c r="YK898" s="808"/>
      <c r="YL898" s="808"/>
      <c r="YM898" s="808"/>
      <c r="YN898" s="808"/>
      <c r="YO898" s="808"/>
      <c r="YP898" s="808"/>
      <c r="YQ898" s="808"/>
      <c r="YR898" s="808"/>
      <c r="YS898" s="808"/>
      <c r="YT898" s="808"/>
      <c r="YU898" s="808"/>
      <c r="YV898" s="808"/>
      <c r="YW898" s="808"/>
      <c r="YX898" s="808"/>
      <c r="YY898" s="808"/>
      <c r="YZ898" s="808"/>
      <c r="ZA898" s="808"/>
      <c r="ZB898" s="808"/>
      <c r="ZC898" s="808"/>
      <c r="ZD898" s="808"/>
      <c r="ZE898" s="808"/>
      <c r="ZF898" s="808"/>
      <c r="ZG898" s="808"/>
      <c r="ZH898" s="808"/>
      <c r="ZI898" s="808"/>
      <c r="ZJ898" s="808"/>
      <c r="ZK898" s="808"/>
      <c r="ZL898" s="808"/>
      <c r="ZM898" s="808"/>
      <c r="ZN898" s="808"/>
      <c r="ZO898" s="808"/>
      <c r="ZP898" s="808"/>
      <c r="ZQ898" s="808"/>
      <c r="ZR898" s="808"/>
      <c r="ZS898" s="808"/>
      <c r="ZT898" s="808"/>
      <c r="ZU898" s="808"/>
      <c r="ZV898" s="808"/>
      <c r="ZW898" s="808"/>
      <c r="ZX898" s="808"/>
      <c r="ZY898" s="808"/>
      <c r="ZZ898" s="808"/>
      <c r="AAA898" s="808"/>
      <c r="AAB898" s="808"/>
      <c r="AAC898" s="808"/>
      <c r="AAD898" s="808"/>
      <c r="AAE898" s="808"/>
      <c r="AAF898" s="808"/>
      <c r="AAG898" s="808"/>
      <c r="AAH898" s="808"/>
      <c r="AAI898" s="808"/>
      <c r="AAJ898" s="808"/>
      <c r="AAK898" s="808"/>
      <c r="AAL898" s="808"/>
      <c r="AAM898" s="808"/>
      <c r="AAN898" s="808"/>
      <c r="AAO898" s="808"/>
      <c r="AAP898" s="808"/>
      <c r="AAQ898" s="808"/>
      <c r="AAR898" s="808"/>
      <c r="AAS898" s="808"/>
      <c r="AAT898" s="808"/>
      <c r="AAU898" s="808"/>
      <c r="AAV898" s="808"/>
      <c r="AAW898" s="808"/>
      <c r="AAX898" s="808"/>
      <c r="AAY898" s="808"/>
      <c r="AAZ898" s="808"/>
      <c r="ABA898" s="808"/>
      <c r="ABB898" s="808"/>
      <c r="ABC898" s="808"/>
      <c r="ABD898" s="808"/>
      <c r="ABE898" s="808"/>
      <c r="ABF898" s="808"/>
      <c r="ABG898" s="808"/>
      <c r="ABH898" s="808"/>
      <c r="ABI898" s="808"/>
      <c r="ABJ898" s="808"/>
      <c r="ABK898" s="808"/>
      <c r="ABL898" s="808"/>
      <c r="ABM898" s="808"/>
      <c r="ABN898" s="808"/>
      <c r="ABO898" s="808"/>
      <c r="ABP898" s="808"/>
      <c r="ABQ898" s="808"/>
      <c r="ABR898" s="808"/>
      <c r="ABS898" s="808"/>
      <c r="ABT898" s="808"/>
      <c r="ABU898" s="808"/>
      <c r="ABV898" s="808"/>
      <c r="ABW898" s="808"/>
      <c r="ABX898" s="808"/>
      <c r="ABY898" s="808"/>
      <c r="ABZ898" s="808"/>
      <c r="ACA898" s="808"/>
      <c r="ACB898" s="808"/>
      <c r="ACC898" s="808"/>
      <c r="ACD898" s="808"/>
      <c r="ACE898" s="808"/>
      <c r="ACF898" s="808"/>
      <c r="ACG898" s="808"/>
      <c r="ACH898" s="808"/>
      <c r="ACI898" s="808"/>
      <c r="ACJ898" s="808"/>
      <c r="ACK898" s="808"/>
      <c r="ACL898" s="808"/>
      <c r="ACM898" s="808"/>
      <c r="ACN898" s="808"/>
      <c r="ACO898" s="808"/>
      <c r="ACP898" s="808"/>
      <c r="ACQ898" s="808"/>
      <c r="ACR898" s="808"/>
      <c r="ACS898" s="808"/>
      <c r="ACT898" s="808"/>
      <c r="ACU898" s="808"/>
      <c r="ACV898" s="808"/>
      <c r="ACW898" s="808"/>
      <c r="ACX898" s="808"/>
      <c r="ACY898" s="808"/>
      <c r="ACZ898" s="808"/>
      <c r="ADA898" s="808"/>
      <c r="ADB898" s="808"/>
      <c r="ADC898" s="808"/>
      <c r="ADD898" s="808"/>
      <c r="ADE898" s="808"/>
      <c r="ADF898" s="808"/>
      <c r="ADG898" s="808"/>
      <c r="ADH898" s="808"/>
      <c r="ADI898" s="808"/>
      <c r="ADJ898" s="808"/>
      <c r="ADK898" s="808"/>
      <c r="ADL898" s="808"/>
      <c r="ADM898" s="808"/>
      <c r="ADN898" s="808"/>
      <c r="ADO898" s="808"/>
      <c r="ADP898" s="808"/>
      <c r="ADQ898" s="808"/>
      <c r="ADR898" s="808"/>
      <c r="ADS898" s="808"/>
      <c r="ADT898" s="808"/>
      <c r="ADU898" s="808"/>
      <c r="ADV898" s="808"/>
      <c r="ADW898" s="808"/>
      <c r="ADX898" s="808"/>
      <c r="ADY898" s="808"/>
      <c r="ADZ898" s="808"/>
      <c r="AEA898" s="808"/>
      <c r="AEB898" s="808"/>
      <c r="AEC898" s="808"/>
      <c r="AED898" s="808"/>
      <c r="AEE898" s="808"/>
      <c r="AEF898" s="808"/>
      <c r="AEG898" s="808"/>
      <c r="AEH898" s="808"/>
      <c r="AEI898" s="808"/>
      <c r="AEJ898" s="808"/>
      <c r="AEK898" s="808"/>
      <c r="AEL898" s="808"/>
      <c r="AEM898" s="808"/>
      <c r="AEN898" s="808"/>
      <c r="AEO898" s="808"/>
      <c r="AEP898" s="808"/>
      <c r="AEQ898" s="808"/>
      <c r="AER898" s="808"/>
      <c r="AES898" s="808"/>
      <c r="AET898" s="808"/>
      <c r="AEU898" s="808"/>
      <c r="AEV898" s="808"/>
      <c r="AEW898" s="808"/>
      <c r="AEX898" s="808"/>
      <c r="AEY898" s="808"/>
      <c r="AEZ898" s="808"/>
      <c r="AFA898" s="808"/>
      <c r="AFB898" s="808"/>
      <c r="AFC898" s="808"/>
      <c r="AFD898" s="808"/>
      <c r="AFE898" s="808"/>
      <c r="AFF898" s="808"/>
      <c r="AFG898" s="808"/>
      <c r="AFH898" s="808"/>
      <c r="AFI898" s="808"/>
      <c r="AFJ898" s="808"/>
      <c r="AFK898" s="808"/>
      <c r="AFL898" s="808"/>
      <c r="AFM898" s="808"/>
      <c r="AFN898" s="808"/>
      <c r="AFO898" s="808"/>
      <c r="AFP898" s="808"/>
      <c r="AFQ898" s="808"/>
      <c r="AFR898" s="808"/>
      <c r="AFS898" s="808"/>
      <c r="AFT898" s="808"/>
      <c r="AFU898" s="808"/>
      <c r="AFV898" s="808"/>
      <c r="AFW898" s="808"/>
      <c r="AFX898" s="808"/>
      <c r="AFY898" s="808"/>
      <c r="AFZ898" s="808"/>
      <c r="AGA898" s="808"/>
      <c r="AGB898" s="808"/>
      <c r="AGC898" s="808"/>
      <c r="AGD898" s="808"/>
      <c r="AGE898" s="808"/>
      <c r="AGF898" s="808"/>
      <c r="AGG898" s="808"/>
      <c r="AGH898" s="808"/>
      <c r="AGI898" s="808"/>
      <c r="AGJ898" s="808"/>
    </row>
    <row r="899" spans="1:868" s="7" customFormat="1">
      <c r="A899" s="609" t="s">
        <v>118</v>
      </c>
      <c r="B899" s="59" t="s">
        <v>440</v>
      </c>
      <c r="C899" s="40" t="s">
        <v>139</v>
      </c>
      <c r="D899" s="34" t="s">
        <v>99</v>
      </c>
      <c r="E899" s="859">
        <v>6.4613472974172373E-2</v>
      </c>
      <c r="F899" s="34">
        <v>2</v>
      </c>
      <c r="G899" s="40" t="s">
        <v>433</v>
      </c>
      <c r="H899" s="29">
        <v>1</v>
      </c>
      <c r="I899" s="9">
        <v>2</v>
      </c>
      <c r="J899" s="9">
        <v>2</v>
      </c>
      <c r="K899" s="9">
        <v>1</v>
      </c>
      <c r="L899" s="9">
        <v>1</v>
      </c>
      <c r="M899" s="9">
        <v>2</v>
      </c>
      <c r="N899" s="185">
        <f t="shared" si="66"/>
        <v>0.35859414261160716</v>
      </c>
      <c r="O899" s="159">
        <f t="shared" si="65"/>
        <v>0.37356464144298934</v>
      </c>
      <c r="P899" s="63"/>
      <c r="Q899" s="808"/>
      <c r="R899" s="808"/>
      <c r="S899" s="808"/>
      <c r="T899" s="808"/>
      <c r="U899" s="808"/>
      <c r="V899" s="808"/>
      <c r="W899" s="808"/>
      <c r="X899" s="808"/>
      <c r="Y899" s="808"/>
      <c r="Z899" s="808"/>
      <c r="AA899" s="808"/>
      <c r="AB899" s="808"/>
      <c r="AC899" s="808"/>
      <c r="AD899" s="808"/>
      <c r="AE899" s="808"/>
      <c r="AF899" s="808"/>
      <c r="AG899" s="808"/>
      <c r="AH899" s="808"/>
      <c r="AI899" s="808"/>
      <c r="AJ899" s="808"/>
      <c r="AK899" s="808"/>
      <c r="AL899" s="808"/>
      <c r="AM899" s="808"/>
      <c r="AN899" s="808"/>
      <c r="AO899" s="808"/>
      <c r="AP899" s="808"/>
      <c r="AQ899" s="808"/>
      <c r="AR899" s="808"/>
      <c r="AS899" s="808"/>
      <c r="AT899" s="808"/>
      <c r="AU899" s="808"/>
      <c r="AV899" s="808"/>
      <c r="AW899" s="808"/>
      <c r="AX899" s="808"/>
      <c r="AY899" s="808"/>
      <c r="AZ899" s="808"/>
      <c r="BA899" s="808"/>
      <c r="BB899" s="808"/>
      <c r="BC899" s="808"/>
      <c r="BD899" s="808"/>
      <c r="BE899" s="808"/>
      <c r="BF899" s="808"/>
      <c r="BG899" s="808"/>
      <c r="BH899" s="808"/>
      <c r="BI899" s="808"/>
      <c r="BJ899" s="808"/>
      <c r="BK899" s="808"/>
      <c r="BL899" s="808"/>
      <c r="BM899" s="808"/>
      <c r="BN899" s="808"/>
      <c r="BO899" s="808"/>
      <c r="BP899" s="808"/>
      <c r="BQ899" s="808"/>
      <c r="BR899" s="808"/>
      <c r="BS899" s="808"/>
      <c r="BT899" s="808"/>
      <c r="BU899" s="808"/>
      <c r="BV899" s="808"/>
      <c r="BW899" s="808"/>
      <c r="BX899" s="808"/>
      <c r="BY899" s="808"/>
      <c r="BZ899" s="808"/>
      <c r="CA899" s="808"/>
      <c r="CB899" s="808"/>
      <c r="CC899" s="808"/>
      <c r="CD899" s="808"/>
      <c r="CE899" s="808"/>
      <c r="CF899" s="808"/>
      <c r="CG899" s="808"/>
      <c r="CH899" s="808"/>
      <c r="CI899" s="808"/>
      <c r="CJ899" s="808"/>
      <c r="CK899" s="808"/>
      <c r="CL899" s="808"/>
      <c r="CM899" s="808"/>
      <c r="CN899" s="808"/>
      <c r="CO899" s="808"/>
      <c r="CP899" s="808"/>
      <c r="CQ899" s="808"/>
      <c r="CR899" s="808"/>
      <c r="CS899" s="808"/>
      <c r="CT899" s="808"/>
      <c r="CU899" s="808"/>
      <c r="CV899" s="808"/>
      <c r="CW899" s="808"/>
      <c r="CX899" s="808"/>
      <c r="CY899" s="808"/>
      <c r="CZ899" s="808"/>
      <c r="DA899" s="808"/>
      <c r="DB899" s="808"/>
      <c r="DC899" s="808"/>
      <c r="DD899" s="808"/>
      <c r="DE899" s="808"/>
      <c r="DF899" s="808"/>
      <c r="DG899" s="808"/>
      <c r="DH899" s="808"/>
      <c r="DI899" s="808"/>
      <c r="DJ899" s="808"/>
      <c r="DK899" s="808"/>
      <c r="DL899" s="808"/>
      <c r="DM899" s="808"/>
      <c r="DN899" s="808"/>
      <c r="DO899" s="808"/>
      <c r="DP899" s="808"/>
      <c r="DQ899" s="808"/>
      <c r="DR899" s="808"/>
      <c r="DS899" s="808"/>
      <c r="DT899" s="808"/>
      <c r="DU899" s="808"/>
      <c r="DV899" s="808"/>
      <c r="DW899" s="808"/>
      <c r="DX899" s="808"/>
      <c r="DY899" s="808"/>
      <c r="DZ899" s="808"/>
      <c r="EA899" s="808"/>
      <c r="EB899" s="808"/>
      <c r="EC899" s="808"/>
      <c r="ED899" s="808"/>
      <c r="EE899" s="808"/>
      <c r="EF899" s="808"/>
      <c r="EG899" s="808"/>
      <c r="EH899" s="808"/>
      <c r="EI899" s="808"/>
      <c r="EJ899" s="808"/>
      <c r="EK899" s="808"/>
      <c r="EL899" s="808"/>
      <c r="EM899" s="808"/>
      <c r="EN899" s="808"/>
      <c r="EO899" s="808"/>
      <c r="EP899" s="808"/>
      <c r="EQ899" s="808"/>
      <c r="ER899" s="808"/>
      <c r="ES899" s="808"/>
      <c r="ET899" s="808"/>
      <c r="EU899" s="808"/>
      <c r="EV899" s="808"/>
      <c r="EW899" s="808"/>
      <c r="EX899" s="808"/>
      <c r="EY899" s="808"/>
      <c r="EZ899" s="808"/>
      <c r="FA899" s="808"/>
      <c r="FB899" s="808"/>
      <c r="FC899" s="808"/>
      <c r="FD899" s="808"/>
      <c r="FE899" s="808"/>
      <c r="FF899" s="808"/>
      <c r="FG899" s="808"/>
      <c r="FH899" s="808"/>
      <c r="FI899" s="808"/>
      <c r="FJ899" s="808"/>
      <c r="FK899" s="808"/>
      <c r="FL899" s="808"/>
      <c r="FM899" s="808"/>
      <c r="FN899" s="808"/>
      <c r="FO899" s="808"/>
      <c r="FP899" s="808"/>
      <c r="FQ899" s="808"/>
      <c r="FR899" s="808"/>
      <c r="FS899" s="808"/>
      <c r="FT899" s="808"/>
      <c r="FU899" s="808"/>
      <c r="FV899" s="808"/>
      <c r="FW899" s="808"/>
      <c r="FX899" s="808"/>
      <c r="FY899" s="808"/>
      <c r="FZ899" s="808"/>
      <c r="GA899" s="808"/>
      <c r="GB899" s="808"/>
      <c r="GC899" s="808"/>
      <c r="GD899" s="808"/>
      <c r="GE899" s="808"/>
      <c r="GF899" s="808"/>
      <c r="GG899" s="808"/>
      <c r="GH899" s="808"/>
      <c r="GI899" s="808"/>
      <c r="GJ899" s="808"/>
      <c r="GK899" s="808"/>
      <c r="GL899" s="808"/>
      <c r="GM899" s="808"/>
      <c r="GN899" s="808"/>
      <c r="GO899" s="808"/>
      <c r="GP899" s="808"/>
      <c r="GQ899" s="808"/>
      <c r="GR899" s="808"/>
      <c r="GS899" s="808"/>
      <c r="GT899" s="808"/>
      <c r="GU899" s="808"/>
      <c r="GV899" s="808"/>
      <c r="GW899" s="808"/>
      <c r="GX899" s="808"/>
      <c r="GY899" s="808"/>
      <c r="GZ899" s="808"/>
      <c r="HA899" s="808"/>
      <c r="HB899" s="808"/>
      <c r="HC899" s="808"/>
      <c r="HD899" s="808"/>
      <c r="HE899" s="808"/>
      <c r="HF899" s="808"/>
      <c r="HG899" s="808"/>
      <c r="HH899" s="808"/>
      <c r="HI899" s="808"/>
      <c r="HJ899" s="808"/>
      <c r="HK899" s="808"/>
      <c r="HL899" s="808"/>
      <c r="HM899" s="808"/>
      <c r="HN899" s="808"/>
      <c r="HO899" s="808"/>
      <c r="HP899" s="808"/>
      <c r="HQ899" s="808"/>
      <c r="HR899" s="808"/>
      <c r="HS899" s="808"/>
      <c r="HT899" s="808"/>
      <c r="HU899" s="808"/>
      <c r="HV899" s="808"/>
      <c r="HW899" s="808"/>
      <c r="HX899" s="808"/>
      <c r="HY899" s="808"/>
      <c r="HZ899" s="808"/>
      <c r="IA899" s="808"/>
      <c r="IB899" s="808"/>
      <c r="IC899" s="808"/>
      <c r="ID899" s="808"/>
      <c r="IE899" s="808"/>
      <c r="IF899" s="808"/>
      <c r="IG899" s="808"/>
      <c r="IH899" s="808"/>
      <c r="II899" s="808"/>
      <c r="IJ899" s="808"/>
      <c r="IK899" s="808"/>
      <c r="IL899" s="808"/>
      <c r="IM899" s="808"/>
      <c r="IN899" s="808"/>
      <c r="IO899" s="808"/>
      <c r="IP899" s="808"/>
      <c r="IQ899" s="808"/>
      <c r="IR899" s="808"/>
      <c r="IS899" s="808"/>
      <c r="IT899" s="808"/>
      <c r="IU899" s="808"/>
      <c r="IV899" s="808"/>
      <c r="IW899" s="808"/>
      <c r="IX899" s="808"/>
      <c r="IY899" s="808"/>
      <c r="IZ899" s="808"/>
      <c r="JA899" s="808"/>
      <c r="JB899" s="808"/>
      <c r="JC899" s="808"/>
      <c r="JD899" s="808"/>
      <c r="JE899" s="808"/>
      <c r="JF899" s="808"/>
      <c r="JG899" s="808"/>
      <c r="JH899" s="808"/>
      <c r="JI899" s="808"/>
      <c r="JJ899" s="808"/>
      <c r="JK899" s="808"/>
      <c r="JL899" s="808"/>
      <c r="JM899" s="808"/>
      <c r="JN899" s="808"/>
      <c r="JO899" s="808"/>
      <c r="JP899" s="808"/>
      <c r="JQ899" s="808"/>
      <c r="JR899" s="808"/>
      <c r="JS899" s="808"/>
      <c r="JT899" s="808"/>
      <c r="JU899" s="808"/>
      <c r="JV899" s="808"/>
      <c r="JW899" s="808"/>
      <c r="JX899" s="808"/>
      <c r="JY899" s="808"/>
      <c r="JZ899" s="808"/>
      <c r="KA899" s="808"/>
      <c r="KB899" s="808"/>
      <c r="KC899" s="808"/>
      <c r="KD899" s="808"/>
      <c r="KE899" s="808"/>
      <c r="KF899" s="808"/>
      <c r="KG899" s="808"/>
      <c r="KH899" s="808"/>
      <c r="KI899" s="808"/>
      <c r="KJ899" s="808"/>
      <c r="KK899" s="808"/>
      <c r="KL899" s="808"/>
      <c r="KM899" s="808"/>
      <c r="KN899" s="808"/>
      <c r="KO899" s="808"/>
      <c r="KP899" s="808"/>
      <c r="KQ899" s="808"/>
      <c r="KR899" s="808"/>
      <c r="KS899" s="808"/>
      <c r="KT899" s="808"/>
      <c r="KU899" s="808"/>
      <c r="KV899" s="808"/>
      <c r="KW899" s="808"/>
      <c r="KX899" s="808"/>
      <c r="KY899" s="808"/>
      <c r="KZ899" s="808"/>
      <c r="LA899" s="808"/>
      <c r="LB899" s="808"/>
      <c r="LC899" s="808"/>
      <c r="LD899" s="808"/>
      <c r="LE899" s="808"/>
      <c r="LF899" s="808"/>
      <c r="LG899" s="808"/>
      <c r="LH899" s="808"/>
      <c r="LI899" s="808"/>
      <c r="LJ899" s="808"/>
      <c r="LK899" s="808"/>
      <c r="LL899" s="808"/>
      <c r="LM899" s="808"/>
      <c r="LN899" s="808"/>
      <c r="LO899" s="808"/>
      <c r="LP899" s="808"/>
      <c r="LQ899" s="808"/>
      <c r="LR899" s="808"/>
      <c r="LS899" s="808"/>
      <c r="LT899" s="808"/>
      <c r="LU899" s="808"/>
      <c r="LV899" s="808"/>
      <c r="LW899" s="808"/>
      <c r="LX899" s="808"/>
      <c r="LY899" s="808"/>
      <c r="LZ899" s="808"/>
      <c r="MA899" s="808"/>
      <c r="MB899" s="808"/>
      <c r="MC899" s="808"/>
      <c r="MD899" s="808"/>
      <c r="ME899" s="808"/>
      <c r="MF899" s="808"/>
      <c r="MG899" s="808"/>
      <c r="MH899" s="808"/>
      <c r="MI899" s="808"/>
      <c r="MJ899" s="808"/>
      <c r="MK899" s="808"/>
      <c r="ML899" s="808"/>
      <c r="MM899" s="808"/>
      <c r="MN899" s="808"/>
      <c r="MO899" s="808"/>
      <c r="MP899" s="808"/>
      <c r="MQ899" s="808"/>
      <c r="MR899" s="808"/>
      <c r="MS899" s="808"/>
      <c r="MT899" s="808"/>
      <c r="MU899" s="808"/>
      <c r="MV899" s="808"/>
      <c r="MW899" s="808"/>
      <c r="MX899" s="808"/>
      <c r="MY899" s="808"/>
      <c r="MZ899" s="808"/>
      <c r="NA899" s="808"/>
      <c r="NB899" s="808"/>
      <c r="NC899" s="808"/>
      <c r="ND899" s="808"/>
      <c r="NE899" s="808"/>
      <c r="NF899" s="808"/>
      <c r="NG899" s="808"/>
      <c r="NH899" s="808"/>
      <c r="NI899" s="808"/>
      <c r="NJ899" s="808"/>
      <c r="NK899" s="808"/>
      <c r="NL899" s="808"/>
      <c r="NM899" s="808"/>
      <c r="NN899" s="808"/>
      <c r="NO899" s="808"/>
      <c r="NP899" s="808"/>
      <c r="NQ899" s="808"/>
      <c r="NR899" s="808"/>
      <c r="NS899" s="808"/>
      <c r="NT899" s="808"/>
      <c r="NU899" s="808"/>
      <c r="NV899" s="808"/>
      <c r="NW899" s="808"/>
      <c r="NX899" s="808"/>
      <c r="NY899" s="808"/>
      <c r="NZ899" s="808"/>
      <c r="OA899" s="808"/>
      <c r="OB899" s="808"/>
      <c r="OC899" s="808"/>
      <c r="OD899" s="808"/>
      <c r="OE899" s="808"/>
      <c r="OF899" s="808"/>
      <c r="OG899" s="808"/>
      <c r="OH899" s="808"/>
      <c r="OI899" s="808"/>
      <c r="OJ899" s="808"/>
      <c r="OK899" s="808"/>
      <c r="OL899" s="808"/>
      <c r="OM899" s="808"/>
      <c r="ON899" s="808"/>
      <c r="OO899" s="808"/>
      <c r="OP899" s="808"/>
      <c r="OQ899" s="808"/>
      <c r="OR899" s="808"/>
      <c r="OS899" s="808"/>
      <c r="OT899" s="808"/>
      <c r="OU899" s="808"/>
      <c r="OV899" s="808"/>
      <c r="OW899" s="808"/>
      <c r="OX899" s="808"/>
      <c r="OY899" s="808"/>
      <c r="OZ899" s="808"/>
      <c r="PA899" s="808"/>
      <c r="PB899" s="808"/>
      <c r="PC899" s="808"/>
      <c r="PD899" s="808"/>
      <c r="PE899" s="808"/>
      <c r="PF899" s="808"/>
      <c r="PG899" s="808"/>
      <c r="PH899" s="808"/>
      <c r="PI899" s="808"/>
      <c r="PJ899" s="808"/>
      <c r="PK899" s="808"/>
      <c r="PL899" s="808"/>
      <c r="PM899" s="808"/>
      <c r="PN899" s="808"/>
      <c r="PO899" s="808"/>
      <c r="PP899" s="808"/>
      <c r="PQ899" s="808"/>
      <c r="PR899" s="808"/>
      <c r="PS899" s="808"/>
      <c r="PT899" s="808"/>
      <c r="PU899" s="808"/>
      <c r="PV899" s="808"/>
      <c r="PW899" s="808"/>
      <c r="PX899" s="808"/>
      <c r="PY899" s="808"/>
      <c r="PZ899" s="808"/>
      <c r="QA899" s="808"/>
      <c r="QB899" s="808"/>
      <c r="QC899" s="808"/>
      <c r="QD899" s="808"/>
      <c r="QE899" s="808"/>
      <c r="QF899" s="808"/>
      <c r="QG899" s="808"/>
      <c r="QH899" s="808"/>
      <c r="QI899" s="808"/>
      <c r="QJ899" s="808"/>
      <c r="QK899" s="808"/>
      <c r="QL899" s="808"/>
      <c r="QM899" s="808"/>
      <c r="QN899" s="808"/>
      <c r="QO899" s="808"/>
      <c r="QP899" s="808"/>
      <c r="QQ899" s="808"/>
      <c r="QR899" s="808"/>
      <c r="QS899" s="808"/>
      <c r="QT899" s="808"/>
      <c r="QU899" s="808"/>
      <c r="QV899" s="808"/>
      <c r="QW899" s="808"/>
      <c r="QX899" s="808"/>
      <c r="QY899" s="808"/>
      <c r="QZ899" s="808"/>
      <c r="RA899" s="808"/>
      <c r="RB899" s="808"/>
      <c r="RC899" s="808"/>
      <c r="RD899" s="808"/>
      <c r="RE899" s="808"/>
      <c r="RF899" s="808"/>
      <c r="RG899" s="808"/>
      <c r="RH899" s="808"/>
      <c r="RI899" s="808"/>
      <c r="RJ899" s="808"/>
      <c r="RK899" s="808"/>
      <c r="RL899" s="808"/>
      <c r="RM899" s="808"/>
      <c r="RN899" s="808"/>
      <c r="RO899" s="808"/>
      <c r="RP899" s="808"/>
      <c r="RQ899" s="808"/>
      <c r="RR899" s="808"/>
      <c r="RS899" s="808"/>
      <c r="RT899" s="808"/>
      <c r="RU899" s="808"/>
      <c r="RV899" s="808"/>
      <c r="RW899" s="808"/>
      <c r="RX899" s="808"/>
      <c r="RY899" s="808"/>
      <c r="RZ899" s="808"/>
      <c r="SA899" s="808"/>
      <c r="SB899" s="808"/>
      <c r="SC899" s="808"/>
      <c r="SD899" s="808"/>
      <c r="SE899" s="808"/>
      <c r="SF899" s="808"/>
      <c r="SG899" s="808"/>
      <c r="SH899" s="808"/>
      <c r="SI899" s="808"/>
      <c r="SJ899" s="808"/>
      <c r="SK899" s="808"/>
      <c r="SL899" s="808"/>
      <c r="SM899" s="808"/>
      <c r="SN899" s="808"/>
      <c r="SO899" s="808"/>
      <c r="SP899" s="808"/>
      <c r="SQ899" s="808"/>
      <c r="SR899" s="808"/>
      <c r="SS899" s="808"/>
      <c r="ST899" s="808"/>
      <c r="SU899" s="808"/>
      <c r="SV899" s="808"/>
      <c r="SW899" s="808"/>
      <c r="SX899" s="808"/>
      <c r="SY899" s="808"/>
      <c r="SZ899" s="808"/>
      <c r="TA899" s="808"/>
      <c r="TB899" s="808"/>
      <c r="TC899" s="808"/>
      <c r="TD899" s="808"/>
      <c r="TE899" s="808"/>
      <c r="TF899" s="808"/>
      <c r="TG899" s="808"/>
      <c r="TH899" s="808"/>
      <c r="TI899" s="808"/>
      <c r="TJ899" s="808"/>
      <c r="TK899" s="808"/>
      <c r="TL899" s="808"/>
      <c r="TM899" s="808"/>
      <c r="TN899" s="808"/>
      <c r="TO899" s="808"/>
      <c r="TP899" s="808"/>
      <c r="TQ899" s="808"/>
      <c r="TR899" s="808"/>
      <c r="TS899" s="808"/>
      <c r="TT899" s="808"/>
      <c r="TU899" s="808"/>
      <c r="TV899" s="808"/>
      <c r="TW899" s="808"/>
      <c r="TX899" s="808"/>
      <c r="TY899" s="808"/>
      <c r="TZ899" s="808"/>
      <c r="UA899" s="808"/>
      <c r="UB899" s="808"/>
      <c r="UC899" s="808"/>
      <c r="UD899" s="808"/>
      <c r="UE899" s="808"/>
      <c r="UF899" s="808"/>
      <c r="UG899" s="808"/>
      <c r="UH899" s="808"/>
      <c r="UI899" s="808"/>
      <c r="UJ899" s="808"/>
      <c r="UK899" s="808"/>
      <c r="UL899" s="808"/>
      <c r="UM899" s="808"/>
      <c r="UN899" s="808"/>
      <c r="UO899" s="808"/>
      <c r="UP899" s="808"/>
      <c r="UQ899" s="808"/>
      <c r="UR899" s="808"/>
      <c r="US899" s="808"/>
      <c r="UT899" s="808"/>
      <c r="UU899" s="808"/>
      <c r="UV899" s="808"/>
      <c r="UW899" s="808"/>
      <c r="UX899" s="808"/>
      <c r="UY899" s="808"/>
      <c r="UZ899" s="808"/>
      <c r="VA899" s="808"/>
      <c r="VB899" s="808"/>
      <c r="VC899" s="808"/>
      <c r="VD899" s="808"/>
      <c r="VE899" s="808"/>
      <c r="VF899" s="808"/>
      <c r="VG899" s="808"/>
      <c r="VH899" s="808"/>
      <c r="VI899" s="808"/>
      <c r="VJ899" s="808"/>
      <c r="VK899" s="808"/>
      <c r="VL899" s="808"/>
      <c r="VM899" s="808"/>
      <c r="VN899" s="808"/>
      <c r="VO899" s="808"/>
      <c r="VP899" s="808"/>
      <c r="VQ899" s="808"/>
      <c r="VR899" s="808"/>
      <c r="VS899" s="808"/>
      <c r="VT899" s="808"/>
      <c r="VU899" s="808"/>
      <c r="VV899" s="808"/>
      <c r="VW899" s="808"/>
      <c r="VX899" s="808"/>
      <c r="VY899" s="808"/>
      <c r="VZ899" s="808"/>
      <c r="WA899" s="808"/>
      <c r="WB899" s="808"/>
      <c r="WC899" s="808"/>
      <c r="WD899" s="808"/>
      <c r="WE899" s="808"/>
      <c r="WF899" s="808"/>
      <c r="WG899" s="808"/>
      <c r="WH899" s="808"/>
      <c r="WI899" s="808"/>
      <c r="WJ899" s="808"/>
      <c r="WK899" s="808"/>
      <c r="WL899" s="808"/>
      <c r="WM899" s="808"/>
      <c r="WN899" s="808"/>
      <c r="WO899" s="808"/>
      <c r="WP899" s="808"/>
      <c r="WQ899" s="808"/>
      <c r="WR899" s="808"/>
      <c r="WS899" s="808"/>
      <c r="WT899" s="808"/>
      <c r="WU899" s="808"/>
      <c r="WV899" s="808"/>
      <c r="WW899" s="808"/>
      <c r="WX899" s="808"/>
      <c r="WY899" s="808"/>
      <c r="WZ899" s="808"/>
      <c r="XA899" s="808"/>
      <c r="XB899" s="808"/>
      <c r="XC899" s="808"/>
      <c r="XD899" s="808"/>
      <c r="XE899" s="808"/>
      <c r="XF899" s="808"/>
      <c r="XG899" s="808"/>
      <c r="XH899" s="808"/>
      <c r="XI899" s="808"/>
      <c r="XJ899" s="808"/>
      <c r="XK899" s="808"/>
      <c r="XL899" s="808"/>
      <c r="XM899" s="808"/>
      <c r="XN899" s="808"/>
      <c r="XO899" s="808"/>
      <c r="XP899" s="808"/>
      <c r="XQ899" s="808"/>
      <c r="XR899" s="808"/>
      <c r="XS899" s="808"/>
      <c r="XT899" s="808"/>
      <c r="XU899" s="808"/>
      <c r="XV899" s="808"/>
      <c r="XW899" s="808"/>
      <c r="XX899" s="808"/>
      <c r="XY899" s="808"/>
      <c r="XZ899" s="808"/>
      <c r="YA899" s="808"/>
      <c r="YB899" s="808"/>
      <c r="YC899" s="808"/>
      <c r="YD899" s="808"/>
      <c r="YE899" s="808"/>
      <c r="YF899" s="808"/>
      <c r="YG899" s="808"/>
      <c r="YH899" s="808"/>
      <c r="YI899" s="808"/>
      <c r="YJ899" s="808"/>
      <c r="YK899" s="808"/>
      <c r="YL899" s="808"/>
      <c r="YM899" s="808"/>
      <c r="YN899" s="808"/>
      <c r="YO899" s="808"/>
      <c r="YP899" s="808"/>
      <c r="YQ899" s="808"/>
      <c r="YR899" s="808"/>
      <c r="YS899" s="808"/>
      <c r="YT899" s="808"/>
      <c r="YU899" s="808"/>
      <c r="YV899" s="808"/>
      <c r="YW899" s="808"/>
      <c r="YX899" s="808"/>
      <c r="YY899" s="808"/>
      <c r="YZ899" s="808"/>
      <c r="ZA899" s="808"/>
      <c r="ZB899" s="808"/>
      <c r="ZC899" s="808"/>
      <c r="ZD899" s="808"/>
      <c r="ZE899" s="808"/>
      <c r="ZF899" s="808"/>
      <c r="ZG899" s="808"/>
      <c r="ZH899" s="808"/>
      <c r="ZI899" s="808"/>
      <c r="ZJ899" s="808"/>
      <c r="ZK899" s="808"/>
      <c r="ZL899" s="808"/>
      <c r="ZM899" s="808"/>
      <c r="ZN899" s="808"/>
      <c r="ZO899" s="808"/>
      <c r="ZP899" s="808"/>
      <c r="ZQ899" s="808"/>
      <c r="ZR899" s="808"/>
      <c r="ZS899" s="808"/>
      <c r="ZT899" s="808"/>
      <c r="ZU899" s="808"/>
      <c r="ZV899" s="808"/>
      <c r="ZW899" s="808"/>
      <c r="ZX899" s="808"/>
      <c r="ZY899" s="808"/>
      <c r="ZZ899" s="808"/>
      <c r="AAA899" s="808"/>
      <c r="AAB899" s="808"/>
      <c r="AAC899" s="808"/>
      <c r="AAD899" s="808"/>
      <c r="AAE899" s="808"/>
      <c r="AAF899" s="808"/>
      <c r="AAG899" s="808"/>
      <c r="AAH899" s="808"/>
      <c r="AAI899" s="808"/>
      <c r="AAJ899" s="808"/>
      <c r="AAK899" s="808"/>
      <c r="AAL899" s="808"/>
      <c r="AAM899" s="808"/>
      <c r="AAN899" s="808"/>
      <c r="AAO899" s="808"/>
      <c r="AAP899" s="808"/>
      <c r="AAQ899" s="808"/>
      <c r="AAR899" s="808"/>
      <c r="AAS899" s="808"/>
      <c r="AAT899" s="808"/>
      <c r="AAU899" s="808"/>
      <c r="AAV899" s="808"/>
      <c r="AAW899" s="808"/>
      <c r="AAX899" s="808"/>
      <c r="AAY899" s="808"/>
      <c r="AAZ899" s="808"/>
      <c r="ABA899" s="808"/>
      <c r="ABB899" s="808"/>
      <c r="ABC899" s="808"/>
      <c r="ABD899" s="808"/>
      <c r="ABE899" s="808"/>
      <c r="ABF899" s="808"/>
      <c r="ABG899" s="808"/>
      <c r="ABH899" s="808"/>
      <c r="ABI899" s="808"/>
      <c r="ABJ899" s="808"/>
      <c r="ABK899" s="808"/>
      <c r="ABL899" s="808"/>
      <c r="ABM899" s="808"/>
      <c r="ABN899" s="808"/>
      <c r="ABO899" s="808"/>
      <c r="ABP899" s="808"/>
      <c r="ABQ899" s="808"/>
      <c r="ABR899" s="808"/>
      <c r="ABS899" s="808"/>
      <c r="ABT899" s="808"/>
      <c r="ABU899" s="808"/>
      <c r="ABV899" s="808"/>
      <c r="ABW899" s="808"/>
      <c r="ABX899" s="808"/>
      <c r="ABY899" s="808"/>
      <c r="ABZ899" s="808"/>
      <c r="ACA899" s="808"/>
      <c r="ACB899" s="808"/>
      <c r="ACC899" s="808"/>
      <c r="ACD899" s="808"/>
      <c r="ACE899" s="808"/>
      <c r="ACF899" s="808"/>
      <c r="ACG899" s="808"/>
      <c r="ACH899" s="808"/>
      <c r="ACI899" s="808"/>
      <c r="ACJ899" s="808"/>
      <c r="ACK899" s="808"/>
      <c r="ACL899" s="808"/>
      <c r="ACM899" s="808"/>
      <c r="ACN899" s="808"/>
      <c r="ACO899" s="808"/>
      <c r="ACP899" s="808"/>
      <c r="ACQ899" s="808"/>
      <c r="ACR899" s="808"/>
      <c r="ACS899" s="808"/>
      <c r="ACT899" s="808"/>
      <c r="ACU899" s="808"/>
      <c r="ACV899" s="808"/>
      <c r="ACW899" s="808"/>
      <c r="ACX899" s="808"/>
      <c r="ACY899" s="808"/>
      <c r="ACZ899" s="808"/>
      <c r="ADA899" s="808"/>
      <c r="ADB899" s="808"/>
      <c r="ADC899" s="808"/>
      <c r="ADD899" s="808"/>
      <c r="ADE899" s="808"/>
      <c r="ADF899" s="808"/>
      <c r="ADG899" s="808"/>
      <c r="ADH899" s="808"/>
      <c r="ADI899" s="808"/>
      <c r="ADJ899" s="808"/>
      <c r="ADK899" s="808"/>
      <c r="ADL899" s="808"/>
      <c r="ADM899" s="808"/>
      <c r="ADN899" s="808"/>
      <c r="ADO899" s="808"/>
      <c r="ADP899" s="808"/>
      <c r="ADQ899" s="808"/>
      <c r="ADR899" s="808"/>
      <c r="ADS899" s="808"/>
      <c r="ADT899" s="808"/>
      <c r="ADU899" s="808"/>
      <c r="ADV899" s="808"/>
      <c r="ADW899" s="808"/>
      <c r="ADX899" s="808"/>
      <c r="ADY899" s="808"/>
      <c r="ADZ899" s="808"/>
      <c r="AEA899" s="808"/>
      <c r="AEB899" s="808"/>
      <c r="AEC899" s="808"/>
      <c r="AED899" s="808"/>
      <c r="AEE899" s="808"/>
      <c r="AEF899" s="808"/>
      <c r="AEG899" s="808"/>
      <c r="AEH899" s="808"/>
      <c r="AEI899" s="808"/>
      <c r="AEJ899" s="808"/>
      <c r="AEK899" s="808"/>
      <c r="AEL899" s="808"/>
      <c r="AEM899" s="808"/>
      <c r="AEN899" s="808"/>
      <c r="AEO899" s="808"/>
      <c r="AEP899" s="808"/>
      <c r="AEQ899" s="808"/>
      <c r="AER899" s="808"/>
      <c r="AES899" s="808"/>
      <c r="AET899" s="808"/>
      <c r="AEU899" s="808"/>
      <c r="AEV899" s="808"/>
      <c r="AEW899" s="808"/>
      <c r="AEX899" s="808"/>
      <c r="AEY899" s="808"/>
      <c r="AEZ899" s="808"/>
      <c r="AFA899" s="808"/>
      <c r="AFB899" s="808"/>
      <c r="AFC899" s="808"/>
      <c r="AFD899" s="808"/>
      <c r="AFE899" s="808"/>
      <c r="AFF899" s="808"/>
      <c r="AFG899" s="808"/>
      <c r="AFH899" s="808"/>
      <c r="AFI899" s="808"/>
      <c r="AFJ899" s="808"/>
      <c r="AFK899" s="808"/>
      <c r="AFL899" s="808"/>
      <c r="AFM899" s="808"/>
      <c r="AFN899" s="808"/>
      <c r="AFO899" s="808"/>
      <c r="AFP899" s="808"/>
      <c r="AFQ899" s="808"/>
      <c r="AFR899" s="808"/>
      <c r="AFS899" s="808"/>
      <c r="AFT899" s="808"/>
      <c r="AFU899" s="808"/>
      <c r="AFV899" s="808"/>
      <c r="AFW899" s="808"/>
      <c r="AFX899" s="808"/>
      <c r="AFY899" s="808"/>
      <c r="AFZ899" s="808"/>
      <c r="AGA899" s="808"/>
      <c r="AGB899" s="808"/>
      <c r="AGC899" s="808"/>
      <c r="AGD899" s="808"/>
      <c r="AGE899" s="808"/>
      <c r="AGF899" s="808"/>
      <c r="AGG899" s="808"/>
      <c r="AGH899" s="808"/>
      <c r="AGI899" s="808"/>
      <c r="AGJ899" s="808"/>
    </row>
    <row r="900" spans="1:868" s="7" customFormat="1">
      <c r="A900" s="609" t="s">
        <v>118</v>
      </c>
      <c r="B900" s="59" t="s">
        <v>441</v>
      </c>
      <c r="C900" s="40" t="s">
        <v>139</v>
      </c>
      <c r="D900" s="34" t="s">
        <v>99</v>
      </c>
      <c r="E900" s="859">
        <v>1.9881068607437654E-2</v>
      </c>
      <c r="F900" s="34">
        <v>2</v>
      </c>
      <c r="G900" s="40" t="s">
        <v>433</v>
      </c>
      <c r="H900" s="29">
        <v>1</v>
      </c>
      <c r="I900" s="9">
        <v>2</v>
      </c>
      <c r="J900" s="9">
        <v>2</v>
      </c>
      <c r="K900" s="9">
        <v>1</v>
      </c>
      <c r="L900" s="9">
        <v>1</v>
      </c>
      <c r="M900" s="9">
        <v>2</v>
      </c>
      <c r="N900" s="185">
        <f t="shared" si="66"/>
        <v>0.35859414261160716</v>
      </c>
      <c r="O900" s="159">
        <f t="shared" si="65"/>
        <v>0.37356464144298934</v>
      </c>
      <c r="P900" s="843"/>
      <c r="Q900" s="808"/>
      <c r="R900" s="808"/>
      <c r="S900" s="808"/>
      <c r="T900" s="808"/>
      <c r="U900" s="808"/>
      <c r="V900" s="808"/>
      <c r="W900" s="808"/>
      <c r="X900" s="808"/>
      <c r="Y900" s="808"/>
      <c r="Z900" s="808"/>
      <c r="AA900" s="808"/>
      <c r="AB900" s="808"/>
      <c r="AC900" s="808"/>
      <c r="AD900" s="808"/>
      <c r="AE900" s="808"/>
      <c r="AF900" s="808"/>
      <c r="AG900" s="808"/>
      <c r="AH900" s="808"/>
      <c r="AI900" s="808"/>
      <c r="AJ900" s="808"/>
      <c r="AK900" s="808"/>
      <c r="AL900" s="808"/>
      <c r="AM900" s="808"/>
      <c r="AN900" s="808"/>
      <c r="AO900" s="808"/>
      <c r="AP900" s="808"/>
      <c r="AQ900" s="808"/>
      <c r="AR900" s="808"/>
      <c r="AS900" s="808"/>
      <c r="AT900" s="808"/>
      <c r="AU900" s="808"/>
      <c r="AV900" s="808"/>
      <c r="AW900" s="808"/>
      <c r="AX900" s="808"/>
      <c r="AY900" s="808"/>
      <c r="AZ900" s="808"/>
      <c r="BA900" s="808"/>
      <c r="BB900" s="808"/>
      <c r="BC900" s="808"/>
      <c r="BD900" s="808"/>
      <c r="BE900" s="808"/>
      <c r="BF900" s="808"/>
      <c r="BG900" s="808"/>
      <c r="BH900" s="808"/>
      <c r="BI900" s="808"/>
      <c r="BJ900" s="808"/>
      <c r="BK900" s="808"/>
      <c r="BL900" s="808"/>
      <c r="BM900" s="808"/>
      <c r="BN900" s="808"/>
      <c r="BO900" s="808"/>
      <c r="BP900" s="808"/>
      <c r="BQ900" s="808"/>
      <c r="BR900" s="808"/>
      <c r="BS900" s="808"/>
      <c r="BT900" s="808"/>
      <c r="BU900" s="808"/>
      <c r="BV900" s="808"/>
      <c r="BW900" s="808"/>
      <c r="BX900" s="808"/>
      <c r="BY900" s="808"/>
      <c r="BZ900" s="808"/>
      <c r="CA900" s="808"/>
      <c r="CB900" s="808"/>
      <c r="CC900" s="808"/>
      <c r="CD900" s="808"/>
      <c r="CE900" s="808"/>
      <c r="CF900" s="808"/>
      <c r="CG900" s="808"/>
      <c r="CH900" s="808"/>
      <c r="CI900" s="808"/>
      <c r="CJ900" s="808"/>
      <c r="CK900" s="808"/>
      <c r="CL900" s="808"/>
      <c r="CM900" s="808"/>
      <c r="CN900" s="808"/>
      <c r="CO900" s="808"/>
      <c r="CP900" s="808"/>
      <c r="CQ900" s="808"/>
      <c r="CR900" s="808"/>
      <c r="CS900" s="808"/>
      <c r="CT900" s="808"/>
      <c r="CU900" s="808"/>
      <c r="CV900" s="808"/>
      <c r="CW900" s="808"/>
      <c r="CX900" s="808"/>
      <c r="CY900" s="808"/>
      <c r="CZ900" s="808"/>
      <c r="DA900" s="808"/>
      <c r="DB900" s="808"/>
      <c r="DC900" s="808"/>
      <c r="DD900" s="808"/>
      <c r="DE900" s="808"/>
      <c r="DF900" s="808"/>
      <c r="DG900" s="808"/>
      <c r="DH900" s="808"/>
      <c r="DI900" s="808"/>
      <c r="DJ900" s="808"/>
      <c r="DK900" s="808"/>
      <c r="DL900" s="808"/>
      <c r="DM900" s="808"/>
      <c r="DN900" s="808"/>
      <c r="DO900" s="808"/>
      <c r="DP900" s="808"/>
      <c r="DQ900" s="808"/>
      <c r="DR900" s="808"/>
      <c r="DS900" s="808"/>
      <c r="DT900" s="808"/>
      <c r="DU900" s="808"/>
      <c r="DV900" s="808"/>
      <c r="DW900" s="808"/>
      <c r="DX900" s="808"/>
      <c r="DY900" s="808"/>
      <c r="DZ900" s="808"/>
      <c r="EA900" s="808"/>
      <c r="EB900" s="808"/>
      <c r="EC900" s="808"/>
      <c r="ED900" s="808"/>
      <c r="EE900" s="808"/>
      <c r="EF900" s="808"/>
      <c r="EG900" s="808"/>
      <c r="EH900" s="808"/>
      <c r="EI900" s="808"/>
      <c r="EJ900" s="808"/>
      <c r="EK900" s="808"/>
      <c r="EL900" s="808"/>
      <c r="EM900" s="808"/>
      <c r="EN900" s="808"/>
      <c r="EO900" s="808"/>
      <c r="EP900" s="808"/>
      <c r="EQ900" s="808"/>
      <c r="ER900" s="808"/>
      <c r="ES900" s="808"/>
      <c r="ET900" s="808"/>
      <c r="EU900" s="808"/>
      <c r="EV900" s="808"/>
      <c r="EW900" s="808"/>
      <c r="EX900" s="808"/>
      <c r="EY900" s="808"/>
      <c r="EZ900" s="808"/>
      <c r="FA900" s="808"/>
      <c r="FB900" s="808"/>
      <c r="FC900" s="808"/>
      <c r="FD900" s="808"/>
      <c r="FE900" s="808"/>
      <c r="FF900" s="808"/>
      <c r="FG900" s="808"/>
      <c r="FH900" s="808"/>
      <c r="FI900" s="808"/>
      <c r="FJ900" s="808"/>
      <c r="FK900" s="808"/>
      <c r="FL900" s="808"/>
      <c r="FM900" s="808"/>
      <c r="FN900" s="808"/>
      <c r="FO900" s="808"/>
      <c r="FP900" s="808"/>
      <c r="FQ900" s="808"/>
      <c r="FR900" s="808"/>
      <c r="FS900" s="808"/>
      <c r="FT900" s="808"/>
      <c r="FU900" s="808"/>
      <c r="FV900" s="808"/>
      <c r="FW900" s="808"/>
      <c r="FX900" s="808"/>
      <c r="FY900" s="808"/>
      <c r="FZ900" s="808"/>
      <c r="GA900" s="808"/>
      <c r="GB900" s="808"/>
      <c r="GC900" s="808"/>
      <c r="GD900" s="808"/>
      <c r="GE900" s="808"/>
      <c r="GF900" s="808"/>
      <c r="GG900" s="808"/>
      <c r="GH900" s="808"/>
      <c r="GI900" s="808"/>
      <c r="GJ900" s="808"/>
      <c r="GK900" s="808"/>
      <c r="GL900" s="808"/>
      <c r="GM900" s="808"/>
      <c r="GN900" s="808"/>
      <c r="GO900" s="808"/>
      <c r="GP900" s="808"/>
      <c r="GQ900" s="808"/>
      <c r="GR900" s="808"/>
      <c r="GS900" s="808"/>
      <c r="GT900" s="808"/>
      <c r="GU900" s="808"/>
      <c r="GV900" s="808"/>
      <c r="GW900" s="808"/>
      <c r="GX900" s="808"/>
      <c r="GY900" s="808"/>
      <c r="GZ900" s="808"/>
      <c r="HA900" s="808"/>
      <c r="HB900" s="808"/>
      <c r="HC900" s="808"/>
      <c r="HD900" s="808"/>
      <c r="HE900" s="808"/>
      <c r="HF900" s="808"/>
      <c r="HG900" s="808"/>
      <c r="HH900" s="808"/>
      <c r="HI900" s="808"/>
      <c r="HJ900" s="808"/>
      <c r="HK900" s="808"/>
      <c r="HL900" s="808"/>
      <c r="HM900" s="808"/>
      <c r="HN900" s="808"/>
      <c r="HO900" s="808"/>
      <c r="HP900" s="808"/>
      <c r="HQ900" s="808"/>
      <c r="HR900" s="808"/>
      <c r="HS900" s="808"/>
      <c r="HT900" s="808"/>
      <c r="HU900" s="808"/>
      <c r="HV900" s="808"/>
      <c r="HW900" s="808"/>
      <c r="HX900" s="808"/>
      <c r="HY900" s="808"/>
      <c r="HZ900" s="808"/>
      <c r="IA900" s="808"/>
      <c r="IB900" s="808"/>
      <c r="IC900" s="808"/>
      <c r="ID900" s="808"/>
      <c r="IE900" s="808"/>
      <c r="IF900" s="808"/>
      <c r="IG900" s="808"/>
      <c r="IH900" s="808"/>
      <c r="II900" s="808"/>
      <c r="IJ900" s="808"/>
      <c r="IK900" s="808"/>
      <c r="IL900" s="808"/>
      <c r="IM900" s="808"/>
      <c r="IN900" s="808"/>
      <c r="IO900" s="808"/>
      <c r="IP900" s="808"/>
      <c r="IQ900" s="808"/>
      <c r="IR900" s="808"/>
      <c r="IS900" s="808"/>
      <c r="IT900" s="808"/>
      <c r="IU900" s="808"/>
      <c r="IV900" s="808"/>
      <c r="IW900" s="808"/>
      <c r="IX900" s="808"/>
      <c r="IY900" s="808"/>
      <c r="IZ900" s="808"/>
      <c r="JA900" s="808"/>
      <c r="JB900" s="808"/>
      <c r="JC900" s="808"/>
      <c r="JD900" s="808"/>
      <c r="JE900" s="808"/>
      <c r="JF900" s="808"/>
      <c r="JG900" s="808"/>
      <c r="JH900" s="808"/>
      <c r="JI900" s="808"/>
      <c r="JJ900" s="808"/>
      <c r="JK900" s="808"/>
      <c r="JL900" s="808"/>
      <c r="JM900" s="808"/>
      <c r="JN900" s="808"/>
      <c r="JO900" s="808"/>
      <c r="JP900" s="808"/>
      <c r="JQ900" s="808"/>
      <c r="JR900" s="808"/>
      <c r="JS900" s="808"/>
      <c r="JT900" s="808"/>
      <c r="JU900" s="808"/>
      <c r="JV900" s="808"/>
      <c r="JW900" s="808"/>
      <c r="JX900" s="808"/>
      <c r="JY900" s="808"/>
      <c r="JZ900" s="808"/>
      <c r="KA900" s="808"/>
      <c r="KB900" s="808"/>
      <c r="KC900" s="808"/>
      <c r="KD900" s="808"/>
      <c r="KE900" s="808"/>
      <c r="KF900" s="808"/>
      <c r="KG900" s="808"/>
      <c r="KH900" s="808"/>
      <c r="KI900" s="808"/>
      <c r="KJ900" s="808"/>
      <c r="KK900" s="808"/>
      <c r="KL900" s="808"/>
      <c r="KM900" s="808"/>
      <c r="KN900" s="808"/>
      <c r="KO900" s="808"/>
      <c r="KP900" s="808"/>
      <c r="KQ900" s="808"/>
      <c r="KR900" s="808"/>
      <c r="KS900" s="808"/>
      <c r="KT900" s="808"/>
      <c r="KU900" s="808"/>
      <c r="KV900" s="808"/>
      <c r="KW900" s="808"/>
      <c r="KX900" s="808"/>
      <c r="KY900" s="808"/>
      <c r="KZ900" s="808"/>
      <c r="LA900" s="808"/>
      <c r="LB900" s="808"/>
      <c r="LC900" s="808"/>
      <c r="LD900" s="808"/>
      <c r="LE900" s="808"/>
      <c r="LF900" s="808"/>
      <c r="LG900" s="808"/>
      <c r="LH900" s="808"/>
      <c r="LI900" s="808"/>
      <c r="LJ900" s="808"/>
      <c r="LK900" s="808"/>
      <c r="LL900" s="808"/>
      <c r="LM900" s="808"/>
      <c r="LN900" s="808"/>
      <c r="LO900" s="808"/>
      <c r="LP900" s="808"/>
      <c r="LQ900" s="808"/>
      <c r="LR900" s="808"/>
      <c r="LS900" s="808"/>
      <c r="LT900" s="808"/>
      <c r="LU900" s="808"/>
      <c r="LV900" s="808"/>
      <c r="LW900" s="808"/>
      <c r="LX900" s="808"/>
      <c r="LY900" s="808"/>
      <c r="LZ900" s="808"/>
      <c r="MA900" s="808"/>
      <c r="MB900" s="808"/>
      <c r="MC900" s="808"/>
      <c r="MD900" s="808"/>
      <c r="ME900" s="808"/>
      <c r="MF900" s="808"/>
      <c r="MG900" s="808"/>
      <c r="MH900" s="808"/>
      <c r="MI900" s="808"/>
      <c r="MJ900" s="808"/>
      <c r="MK900" s="808"/>
      <c r="ML900" s="808"/>
      <c r="MM900" s="808"/>
      <c r="MN900" s="808"/>
      <c r="MO900" s="808"/>
      <c r="MP900" s="808"/>
      <c r="MQ900" s="808"/>
      <c r="MR900" s="808"/>
      <c r="MS900" s="808"/>
      <c r="MT900" s="808"/>
      <c r="MU900" s="808"/>
      <c r="MV900" s="808"/>
      <c r="MW900" s="808"/>
      <c r="MX900" s="808"/>
      <c r="MY900" s="808"/>
      <c r="MZ900" s="808"/>
      <c r="NA900" s="808"/>
      <c r="NB900" s="808"/>
      <c r="NC900" s="808"/>
      <c r="ND900" s="808"/>
      <c r="NE900" s="808"/>
      <c r="NF900" s="808"/>
      <c r="NG900" s="808"/>
      <c r="NH900" s="808"/>
      <c r="NI900" s="808"/>
      <c r="NJ900" s="808"/>
      <c r="NK900" s="808"/>
      <c r="NL900" s="808"/>
      <c r="NM900" s="808"/>
      <c r="NN900" s="808"/>
      <c r="NO900" s="808"/>
      <c r="NP900" s="808"/>
      <c r="NQ900" s="808"/>
      <c r="NR900" s="808"/>
      <c r="NS900" s="808"/>
      <c r="NT900" s="808"/>
      <c r="NU900" s="808"/>
      <c r="NV900" s="808"/>
      <c r="NW900" s="808"/>
      <c r="NX900" s="808"/>
      <c r="NY900" s="808"/>
      <c r="NZ900" s="808"/>
      <c r="OA900" s="808"/>
      <c r="OB900" s="808"/>
      <c r="OC900" s="808"/>
      <c r="OD900" s="808"/>
      <c r="OE900" s="808"/>
      <c r="OF900" s="808"/>
      <c r="OG900" s="808"/>
      <c r="OH900" s="808"/>
      <c r="OI900" s="808"/>
      <c r="OJ900" s="808"/>
      <c r="OK900" s="808"/>
      <c r="OL900" s="808"/>
      <c r="OM900" s="808"/>
      <c r="ON900" s="808"/>
      <c r="OO900" s="808"/>
      <c r="OP900" s="808"/>
      <c r="OQ900" s="808"/>
      <c r="OR900" s="808"/>
      <c r="OS900" s="808"/>
      <c r="OT900" s="808"/>
      <c r="OU900" s="808"/>
      <c r="OV900" s="808"/>
      <c r="OW900" s="808"/>
      <c r="OX900" s="808"/>
      <c r="OY900" s="808"/>
      <c r="OZ900" s="808"/>
      <c r="PA900" s="808"/>
      <c r="PB900" s="808"/>
      <c r="PC900" s="808"/>
      <c r="PD900" s="808"/>
      <c r="PE900" s="808"/>
      <c r="PF900" s="808"/>
      <c r="PG900" s="808"/>
      <c r="PH900" s="808"/>
      <c r="PI900" s="808"/>
      <c r="PJ900" s="808"/>
      <c r="PK900" s="808"/>
      <c r="PL900" s="808"/>
      <c r="PM900" s="808"/>
      <c r="PN900" s="808"/>
      <c r="PO900" s="808"/>
      <c r="PP900" s="808"/>
      <c r="PQ900" s="808"/>
      <c r="PR900" s="808"/>
      <c r="PS900" s="808"/>
      <c r="PT900" s="808"/>
      <c r="PU900" s="808"/>
      <c r="PV900" s="808"/>
      <c r="PW900" s="808"/>
      <c r="PX900" s="808"/>
      <c r="PY900" s="808"/>
      <c r="PZ900" s="808"/>
      <c r="QA900" s="808"/>
      <c r="QB900" s="808"/>
      <c r="QC900" s="808"/>
      <c r="QD900" s="808"/>
      <c r="QE900" s="808"/>
      <c r="QF900" s="808"/>
      <c r="QG900" s="808"/>
      <c r="QH900" s="808"/>
      <c r="QI900" s="808"/>
      <c r="QJ900" s="808"/>
      <c r="QK900" s="808"/>
      <c r="QL900" s="808"/>
      <c r="QM900" s="808"/>
      <c r="QN900" s="808"/>
      <c r="QO900" s="808"/>
      <c r="QP900" s="808"/>
      <c r="QQ900" s="808"/>
      <c r="QR900" s="808"/>
      <c r="QS900" s="808"/>
      <c r="QT900" s="808"/>
      <c r="QU900" s="808"/>
      <c r="QV900" s="808"/>
      <c r="QW900" s="808"/>
      <c r="QX900" s="808"/>
      <c r="QY900" s="808"/>
      <c r="QZ900" s="808"/>
      <c r="RA900" s="808"/>
      <c r="RB900" s="808"/>
      <c r="RC900" s="808"/>
      <c r="RD900" s="808"/>
      <c r="RE900" s="808"/>
      <c r="RF900" s="808"/>
      <c r="RG900" s="808"/>
      <c r="RH900" s="808"/>
      <c r="RI900" s="808"/>
      <c r="RJ900" s="808"/>
      <c r="RK900" s="808"/>
      <c r="RL900" s="808"/>
      <c r="RM900" s="808"/>
      <c r="RN900" s="808"/>
      <c r="RO900" s="808"/>
      <c r="RP900" s="808"/>
      <c r="RQ900" s="808"/>
      <c r="RR900" s="808"/>
      <c r="RS900" s="808"/>
      <c r="RT900" s="808"/>
      <c r="RU900" s="808"/>
      <c r="RV900" s="808"/>
      <c r="RW900" s="808"/>
      <c r="RX900" s="808"/>
      <c r="RY900" s="808"/>
      <c r="RZ900" s="808"/>
      <c r="SA900" s="808"/>
      <c r="SB900" s="808"/>
      <c r="SC900" s="808"/>
      <c r="SD900" s="808"/>
      <c r="SE900" s="808"/>
      <c r="SF900" s="808"/>
      <c r="SG900" s="808"/>
      <c r="SH900" s="808"/>
      <c r="SI900" s="808"/>
      <c r="SJ900" s="808"/>
      <c r="SK900" s="808"/>
      <c r="SL900" s="808"/>
      <c r="SM900" s="808"/>
      <c r="SN900" s="808"/>
      <c r="SO900" s="808"/>
      <c r="SP900" s="808"/>
      <c r="SQ900" s="808"/>
      <c r="SR900" s="808"/>
      <c r="SS900" s="808"/>
      <c r="ST900" s="808"/>
      <c r="SU900" s="808"/>
      <c r="SV900" s="808"/>
      <c r="SW900" s="808"/>
      <c r="SX900" s="808"/>
      <c r="SY900" s="808"/>
      <c r="SZ900" s="808"/>
      <c r="TA900" s="808"/>
      <c r="TB900" s="808"/>
      <c r="TC900" s="808"/>
      <c r="TD900" s="808"/>
      <c r="TE900" s="808"/>
      <c r="TF900" s="808"/>
      <c r="TG900" s="808"/>
      <c r="TH900" s="808"/>
      <c r="TI900" s="808"/>
      <c r="TJ900" s="808"/>
      <c r="TK900" s="808"/>
      <c r="TL900" s="808"/>
      <c r="TM900" s="808"/>
      <c r="TN900" s="808"/>
      <c r="TO900" s="808"/>
      <c r="TP900" s="808"/>
      <c r="TQ900" s="808"/>
      <c r="TR900" s="808"/>
      <c r="TS900" s="808"/>
      <c r="TT900" s="808"/>
      <c r="TU900" s="808"/>
      <c r="TV900" s="808"/>
      <c r="TW900" s="808"/>
      <c r="TX900" s="808"/>
      <c r="TY900" s="808"/>
      <c r="TZ900" s="808"/>
      <c r="UA900" s="808"/>
      <c r="UB900" s="808"/>
      <c r="UC900" s="808"/>
      <c r="UD900" s="808"/>
      <c r="UE900" s="808"/>
      <c r="UF900" s="808"/>
      <c r="UG900" s="808"/>
      <c r="UH900" s="808"/>
      <c r="UI900" s="808"/>
      <c r="UJ900" s="808"/>
      <c r="UK900" s="808"/>
      <c r="UL900" s="808"/>
      <c r="UM900" s="808"/>
      <c r="UN900" s="808"/>
      <c r="UO900" s="808"/>
      <c r="UP900" s="808"/>
      <c r="UQ900" s="808"/>
      <c r="UR900" s="808"/>
      <c r="US900" s="808"/>
      <c r="UT900" s="808"/>
      <c r="UU900" s="808"/>
      <c r="UV900" s="808"/>
      <c r="UW900" s="808"/>
      <c r="UX900" s="808"/>
      <c r="UY900" s="808"/>
      <c r="UZ900" s="808"/>
      <c r="VA900" s="808"/>
      <c r="VB900" s="808"/>
      <c r="VC900" s="808"/>
      <c r="VD900" s="808"/>
      <c r="VE900" s="808"/>
      <c r="VF900" s="808"/>
      <c r="VG900" s="808"/>
      <c r="VH900" s="808"/>
      <c r="VI900" s="808"/>
      <c r="VJ900" s="808"/>
      <c r="VK900" s="808"/>
      <c r="VL900" s="808"/>
      <c r="VM900" s="808"/>
      <c r="VN900" s="808"/>
      <c r="VO900" s="808"/>
      <c r="VP900" s="808"/>
      <c r="VQ900" s="808"/>
      <c r="VR900" s="808"/>
      <c r="VS900" s="808"/>
      <c r="VT900" s="808"/>
      <c r="VU900" s="808"/>
      <c r="VV900" s="808"/>
      <c r="VW900" s="808"/>
      <c r="VX900" s="808"/>
      <c r="VY900" s="808"/>
      <c r="VZ900" s="808"/>
      <c r="WA900" s="808"/>
      <c r="WB900" s="808"/>
      <c r="WC900" s="808"/>
      <c r="WD900" s="808"/>
      <c r="WE900" s="808"/>
      <c r="WF900" s="808"/>
      <c r="WG900" s="808"/>
      <c r="WH900" s="808"/>
      <c r="WI900" s="808"/>
      <c r="WJ900" s="808"/>
      <c r="WK900" s="808"/>
      <c r="WL900" s="808"/>
      <c r="WM900" s="808"/>
      <c r="WN900" s="808"/>
      <c r="WO900" s="808"/>
      <c r="WP900" s="808"/>
      <c r="WQ900" s="808"/>
      <c r="WR900" s="808"/>
      <c r="WS900" s="808"/>
      <c r="WT900" s="808"/>
      <c r="WU900" s="808"/>
      <c r="WV900" s="808"/>
      <c r="WW900" s="808"/>
      <c r="WX900" s="808"/>
      <c r="WY900" s="808"/>
      <c r="WZ900" s="808"/>
      <c r="XA900" s="808"/>
      <c r="XB900" s="808"/>
      <c r="XC900" s="808"/>
      <c r="XD900" s="808"/>
      <c r="XE900" s="808"/>
      <c r="XF900" s="808"/>
      <c r="XG900" s="808"/>
      <c r="XH900" s="808"/>
      <c r="XI900" s="808"/>
      <c r="XJ900" s="808"/>
      <c r="XK900" s="808"/>
      <c r="XL900" s="808"/>
      <c r="XM900" s="808"/>
      <c r="XN900" s="808"/>
      <c r="XO900" s="808"/>
      <c r="XP900" s="808"/>
      <c r="XQ900" s="808"/>
      <c r="XR900" s="808"/>
      <c r="XS900" s="808"/>
      <c r="XT900" s="808"/>
      <c r="XU900" s="808"/>
      <c r="XV900" s="808"/>
      <c r="XW900" s="808"/>
      <c r="XX900" s="808"/>
      <c r="XY900" s="808"/>
      <c r="XZ900" s="808"/>
      <c r="YA900" s="808"/>
      <c r="YB900" s="808"/>
      <c r="YC900" s="808"/>
      <c r="YD900" s="808"/>
      <c r="YE900" s="808"/>
      <c r="YF900" s="808"/>
      <c r="YG900" s="808"/>
      <c r="YH900" s="808"/>
      <c r="YI900" s="808"/>
      <c r="YJ900" s="808"/>
      <c r="YK900" s="808"/>
      <c r="YL900" s="808"/>
      <c r="YM900" s="808"/>
      <c r="YN900" s="808"/>
      <c r="YO900" s="808"/>
      <c r="YP900" s="808"/>
      <c r="YQ900" s="808"/>
      <c r="YR900" s="808"/>
      <c r="YS900" s="808"/>
      <c r="YT900" s="808"/>
      <c r="YU900" s="808"/>
      <c r="YV900" s="808"/>
      <c r="YW900" s="808"/>
      <c r="YX900" s="808"/>
      <c r="YY900" s="808"/>
      <c r="YZ900" s="808"/>
      <c r="ZA900" s="808"/>
      <c r="ZB900" s="808"/>
      <c r="ZC900" s="808"/>
      <c r="ZD900" s="808"/>
      <c r="ZE900" s="808"/>
      <c r="ZF900" s="808"/>
      <c r="ZG900" s="808"/>
      <c r="ZH900" s="808"/>
      <c r="ZI900" s="808"/>
      <c r="ZJ900" s="808"/>
      <c r="ZK900" s="808"/>
      <c r="ZL900" s="808"/>
      <c r="ZM900" s="808"/>
      <c r="ZN900" s="808"/>
      <c r="ZO900" s="808"/>
      <c r="ZP900" s="808"/>
      <c r="ZQ900" s="808"/>
      <c r="ZR900" s="808"/>
      <c r="ZS900" s="808"/>
      <c r="ZT900" s="808"/>
      <c r="ZU900" s="808"/>
      <c r="ZV900" s="808"/>
      <c r="ZW900" s="808"/>
      <c r="ZX900" s="808"/>
      <c r="ZY900" s="808"/>
      <c r="ZZ900" s="808"/>
      <c r="AAA900" s="808"/>
      <c r="AAB900" s="808"/>
      <c r="AAC900" s="808"/>
      <c r="AAD900" s="808"/>
      <c r="AAE900" s="808"/>
      <c r="AAF900" s="808"/>
      <c r="AAG900" s="808"/>
      <c r="AAH900" s="808"/>
      <c r="AAI900" s="808"/>
      <c r="AAJ900" s="808"/>
      <c r="AAK900" s="808"/>
      <c r="AAL900" s="808"/>
      <c r="AAM900" s="808"/>
      <c r="AAN900" s="808"/>
      <c r="AAO900" s="808"/>
      <c r="AAP900" s="808"/>
      <c r="AAQ900" s="808"/>
      <c r="AAR900" s="808"/>
      <c r="AAS900" s="808"/>
      <c r="AAT900" s="808"/>
      <c r="AAU900" s="808"/>
      <c r="AAV900" s="808"/>
      <c r="AAW900" s="808"/>
      <c r="AAX900" s="808"/>
      <c r="AAY900" s="808"/>
      <c r="AAZ900" s="808"/>
      <c r="ABA900" s="808"/>
      <c r="ABB900" s="808"/>
      <c r="ABC900" s="808"/>
      <c r="ABD900" s="808"/>
      <c r="ABE900" s="808"/>
      <c r="ABF900" s="808"/>
      <c r="ABG900" s="808"/>
      <c r="ABH900" s="808"/>
      <c r="ABI900" s="808"/>
      <c r="ABJ900" s="808"/>
      <c r="ABK900" s="808"/>
      <c r="ABL900" s="808"/>
      <c r="ABM900" s="808"/>
      <c r="ABN900" s="808"/>
      <c r="ABO900" s="808"/>
      <c r="ABP900" s="808"/>
      <c r="ABQ900" s="808"/>
      <c r="ABR900" s="808"/>
      <c r="ABS900" s="808"/>
      <c r="ABT900" s="808"/>
      <c r="ABU900" s="808"/>
      <c r="ABV900" s="808"/>
      <c r="ABW900" s="808"/>
      <c r="ABX900" s="808"/>
      <c r="ABY900" s="808"/>
      <c r="ABZ900" s="808"/>
      <c r="ACA900" s="808"/>
      <c r="ACB900" s="808"/>
      <c r="ACC900" s="808"/>
      <c r="ACD900" s="808"/>
      <c r="ACE900" s="808"/>
      <c r="ACF900" s="808"/>
      <c r="ACG900" s="808"/>
      <c r="ACH900" s="808"/>
      <c r="ACI900" s="808"/>
      <c r="ACJ900" s="808"/>
      <c r="ACK900" s="808"/>
      <c r="ACL900" s="808"/>
      <c r="ACM900" s="808"/>
      <c r="ACN900" s="808"/>
      <c r="ACO900" s="808"/>
      <c r="ACP900" s="808"/>
      <c r="ACQ900" s="808"/>
      <c r="ACR900" s="808"/>
      <c r="ACS900" s="808"/>
      <c r="ACT900" s="808"/>
      <c r="ACU900" s="808"/>
      <c r="ACV900" s="808"/>
      <c r="ACW900" s="808"/>
      <c r="ACX900" s="808"/>
      <c r="ACY900" s="808"/>
      <c r="ACZ900" s="808"/>
      <c r="ADA900" s="808"/>
      <c r="ADB900" s="808"/>
      <c r="ADC900" s="808"/>
      <c r="ADD900" s="808"/>
      <c r="ADE900" s="808"/>
      <c r="ADF900" s="808"/>
      <c r="ADG900" s="808"/>
      <c r="ADH900" s="808"/>
      <c r="ADI900" s="808"/>
      <c r="ADJ900" s="808"/>
      <c r="ADK900" s="808"/>
      <c r="ADL900" s="808"/>
      <c r="ADM900" s="808"/>
      <c r="ADN900" s="808"/>
      <c r="ADO900" s="808"/>
      <c r="ADP900" s="808"/>
      <c r="ADQ900" s="808"/>
      <c r="ADR900" s="808"/>
      <c r="ADS900" s="808"/>
      <c r="ADT900" s="808"/>
      <c r="ADU900" s="808"/>
      <c r="ADV900" s="808"/>
      <c r="ADW900" s="808"/>
      <c r="ADX900" s="808"/>
      <c r="ADY900" s="808"/>
      <c r="ADZ900" s="808"/>
      <c r="AEA900" s="808"/>
      <c r="AEB900" s="808"/>
      <c r="AEC900" s="808"/>
      <c r="AED900" s="808"/>
      <c r="AEE900" s="808"/>
      <c r="AEF900" s="808"/>
      <c r="AEG900" s="808"/>
      <c r="AEH900" s="808"/>
      <c r="AEI900" s="808"/>
      <c r="AEJ900" s="808"/>
      <c r="AEK900" s="808"/>
      <c r="AEL900" s="808"/>
      <c r="AEM900" s="808"/>
      <c r="AEN900" s="808"/>
      <c r="AEO900" s="808"/>
      <c r="AEP900" s="808"/>
      <c r="AEQ900" s="808"/>
      <c r="AER900" s="808"/>
      <c r="AES900" s="808"/>
      <c r="AET900" s="808"/>
      <c r="AEU900" s="808"/>
      <c r="AEV900" s="808"/>
      <c r="AEW900" s="808"/>
      <c r="AEX900" s="808"/>
      <c r="AEY900" s="808"/>
      <c r="AEZ900" s="808"/>
      <c r="AFA900" s="808"/>
      <c r="AFB900" s="808"/>
      <c r="AFC900" s="808"/>
      <c r="AFD900" s="808"/>
      <c r="AFE900" s="808"/>
      <c r="AFF900" s="808"/>
      <c r="AFG900" s="808"/>
      <c r="AFH900" s="808"/>
      <c r="AFI900" s="808"/>
      <c r="AFJ900" s="808"/>
      <c r="AFK900" s="808"/>
      <c r="AFL900" s="808"/>
      <c r="AFM900" s="808"/>
      <c r="AFN900" s="808"/>
      <c r="AFO900" s="808"/>
      <c r="AFP900" s="808"/>
      <c r="AFQ900" s="808"/>
      <c r="AFR900" s="808"/>
      <c r="AFS900" s="808"/>
      <c r="AFT900" s="808"/>
      <c r="AFU900" s="808"/>
      <c r="AFV900" s="808"/>
      <c r="AFW900" s="808"/>
      <c r="AFX900" s="808"/>
      <c r="AFY900" s="808"/>
      <c r="AFZ900" s="808"/>
      <c r="AGA900" s="808"/>
      <c r="AGB900" s="808"/>
      <c r="AGC900" s="808"/>
      <c r="AGD900" s="808"/>
      <c r="AGE900" s="808"/>
      <c r="AGF900" s="808"/>
      <c r="AGG900" s="808"/>
      <c r="AGH900" s="808"/>
      <c r="AGI900" s="808"/>
      <c r="AGJ900" s="808"/>
    </row>
    <row r="901" spans="1:868" s="7" customFormat="1">
      <c r="A901" s="609" t="s">
        <v>118</v>
      </c>
      <c r="B901" s="59" t="s">
        <v>442</v>
      </c>
      <c r="C901" s="40" t="s">
        <v>139</v>
      </c>
      <c r="D901" s="34" t="s">
        <v>99</v>
      </c>
      <c r="E901" s="859">
        <v>5.4672938670453558E-2</v>
      </c>
      <c r="F901" s="34">
        <v>2</v>
      </c>
      <c r="G901" s="40" t="s">
        <v>433</v>
      </c>
      <c r="H901" s="29">
        <v>1</v>
      </c>
      <c r="I901" s="9">
        <v>2</v>
      </c>
      <c r="J901" s="9">
        <v>2</v>
      </c>
      <c r="K901" s="9">
        <v>1</v>
      </c>
      <c r="L901" s="9">
        <v>1</v>
      </c>
      <c r="M901" s="9">
        <v>2</v>
      </c>
      <c r="N901" s="185">
        <f t="shared" si="66"/>
        <v>0.35859414261160716</v>
      </c>
      <c r="O901" s="159">
        <f t="shared" si="65"/>
        <v>0.37356464144298934</v>
      </c>
      <c r="P901" s="844"/>
      <c r="Q901" s="808"/>
      <c r="R901" s="808"/>
      <c r="S901" s="808"/>
      <c r="T901" s="808"/>
      <c r="U901" s="808"/>
      <c r="V901" s="808"/>
      <c r="W901" s="808"/>
      <c r="X901" s="808"/>
      <c r="Y901" s="808"/>
      <c r="Z901" s="808"/>
      <c r="AA901" s="808"/>
      <c r="AB901" s="808"/>
      <c r="AC901" s="808"/>
      <c r="AD901" s="808"/>
      <c r="AE901" s="808"/>
      <c r="AF901" s="808"/>
      <c r="AG901" s="808"/>
      <c r="AH901" s="808"/>
      <c r="AI901" s="808"/>
      <c r="AJ901" s="808"/>
      <c r="AK901" s="808"/>
      <c r="AL901" s="808"/>
      <c r="AM901" s="808"/>
      <c r="AN901" s="808"/>
      <c r="AO901" s="808"/>
      <c r="AP901" s="808"/>
      <c r="AQ901" s="808"/>
      <c r="AR901" s="808"/>
      <c r="AS901" s="808"/>
      <c r="AT901" s="808"/>
      <c r="AU901" s="808"/>
      <c r="AV901" s="808"/>
      <c r="AW901" s="808"/>
      <c r="AX901" s="808"/>
      <c r="AY901" s="808"/>
      <c r="AZ901" s="808"/>
      <c r="BA901" s="808"/>
      <c r="BB901" s="808"/>
      <c r="BC901" s="808"/>
      <c r="BD901" s="808"/>
      <c r="BE901" s="808"/>
      <c r="BF901" s="808"/>
      <c r="BG901" s="808"/>
      <c r="BH901" s="808"/>
      <c r="BI901" s="808"/>
      <c r="BJ901" s="808"/>
      <c r="BK901" s="808"/>
      <c r="BL901" s="808"/>
      <c r="BM901" s="808"/>
      <c r="BN901" s="808"/>
      <c r="BO901" s="808"/>
      <c r="BP901" s="808"/>
      <c r="BQ901" s="808"/>
      <c r="BR901" s="808"/>
      <c r="BS901" s="808"/>
      <c r="BT901" s="808"/>
      <c r="BU901" s="808"/>
      <c r="BV901" s="808"/>
      <c r="BW901" s="808"/>
      <c r="BX901" s="808"/>
      <c r="BY901" s="808"/>
      <c r="BZ901" s="808"/>
      <c r="CA901" s="808"/>
      <c r="CB901" s="808"/>
      <c r="CC901" s="808"/>
      <c r="CD901" s="808"/>
      <c r="CE901" s="808"/>
      <c r="CF901" s="808"/>
      <c r="CG901" s="808"/>
      <c r="CH901" s="808"/>
      <c r="CI901" s="808"/>
      <c r="CJ901" s="808"/>
      <c r="CK901" s="808"/>
      <c r="CL901" s="808"/>
      <c r="CM901" s="808"/>
      <c r="CN901" s="808"/>
      <c r="CO901" s="808"/>
      <c r="CP901" s="808"/>
      <c r="CQ901" s="808"/>
      <c r="CR901" s="808"/>
      <c r="CS901" s="808"/>
      <c r="CT901" s="808"/>
      <c r="CU901" s="808"/>
      <c r="CV901" s="808"/>
      <c r="CW901" s="808"/>
      <c r="CX901" s="808"/>
      <c r="CY901" s="808"/>
      <c r="CZ901" s="808"/>
      <c r="DA901" s="808"/>
      <c r="DB901" s="808"/>
      <c r="DC901" s="808"/>
      <c r="DD901" s="808"/>
      <c r="DE901" s="808"/>
      <c r="DF901" s="808"/>
      <c r="DG901" s="808"/>
      <c r="DH901" s="808"/>
      <c r="DI901" s="808"/>
      <c r="DJ901" s="808"/>
      <c r="DK901" s="808"/>
      <c r="DL901" s="808"/>
      <c r="DM901" s="808"/>
      <c r="DN901" s="808"/>
      <c r="DO901" s="808"/>
      <c r="DP901" s="808"/>
      <c r="DQ901" s="808"/>
      <c r="DR901" s="808"/>
      <c r="DS901" s="808"/>
      <c r="DT901" s="808"/>
      <c r="DU901" s="808"/>
      <c r="DV901" s="808"/>
      <c r="DW901" s="808"/>
      <c r="DX901" s="808"/>
      <c r="DY901" s="808"/>
      <c r="DZ901" s="808"/>
      <c r="EA901" s="808"/>
      <c r="EB901" s="808"/>
      <c r="EC901" s="808"/>
      <c r="ED901" s="808"/>
      <c r="EE901" s="808"/>
      <c r="EF901" s="808"/>
      <c r="EG901" s="808"/>
      <c r="EH901" s="808"/>
      <c r="EI901" s="808"/>
      <c r="EJ901" s="808"/>
      <c r="EK901" s="808"/>
      <c r="EL901" s="808"/>
      <c r="EM901" s="808"/>
      <c r="EN901" s="808"/>
      <c r="EO901" s="808"/>
      <c r="EP901" s="808"/>
      <c r="EQ901" s="808"/>
      <c r="ER901" s="808"/>
      <c r="ES901" s="808"/>
      <c r="ET901" s="808"/>
      <c r="EU901" s="808"/>
      <c r="EV901" s="808"/>
      <c r="EW901" s="808"/>
      <c r="EX901" s="808"/>
      <c r="EY901" s="808"/>
      <c r="EZ901" s="808"/>
      <c r="FA901" s="808"/>
      <c r="FB901" s="808"/>
      <c r="FC901" s="808"/>
      <c r="FD901" s="808"/>
      <c r="FE901" s="808"/>
      <c r="FF901" s="808"/>
      <c r="FG901" s="808"/>
      <c r="FH901" s="808"/>
      <c r="FI901" s="808"/>
      <c r="FJ901" s="808"/>
      <c r="FK901" s="808"/>
      <c r="FL901" s="808"/>
      <c r="FM901" s="808"/>
      <c r="FN901" s="808"/>
      <c r="FO901" s="808"/>
      <c r="FP901" s="808"/>
      <c r="FQ901" s="808"/>
      <c r="FR901" s="808"/>
      <c r="FS901" s="808"/>
      <c r="FT901" s="808"/>
      <c r="FU901" s="808"/>
      <c r="FV901" s="808"/>
      <c r="FW901" s="808"/>
      <c r="FX901" s="808"/>
      <c r="FY901" s="808"/>
      <c r="FZ901" s="808"/>
      <c r="GA901" s="808"/>
      <c r="GB901" s="808"/>
      <c r="GC901" s="808"/>
      <c r="GD901" s="808"/>
      <c r="GE901" s="808"/>
      <c r="GF901" s="808"/>
      <c r="GG901" s="808"/>
      <c r="GH901" s="808"/>
      <c r="GI901" s="808"/>
      <c r="GJ901" s="808"/>
      <c r="GK901" s="808"/>
      <c r="GL901" s="808"/>
      <c r="GM901" s="808"/>
      <c r="GN901" s="808"/>
      <c r="GO901" s="808"/>
      <c r="GP901" s="808"/>
      <c r="GQ901" s="808"/>
      <c r="GR901" s="808"/>
      <c r="GS901" s="808"/>
      <c r="GT901" s="808"/>
      <c r="GU901" s="808"/>
      <c r="GV901" s="808"/>
      <c r="GW901" s="808"/>
      <c r="GX901" s="808"/>
      <c r="GY901" s="808"/>
      <c r="GZ901" s="808"/>
      <c r="HA901" s="808"/>
      <c r="HB901" s="808"/>
      <c r="HC901" s="808"/>
      <c r="HD901" s="808"/>
      <c r="HE901" s="808"/>
      <c r="HF901" s="808"/>
      <c r="HG901" s="808"/>
      <c r="HH901" s="808"/>
      <c r="HI901" s="808"/>
      <c r="HJ901" s="808"/>
      <c r="HK901" s="808"/>
      <c r="HL901" s="808"/>
      <c r="HM901" s="808"/>
      <c r="HN901" s="808"/>
      <c r="HO901" s="808"/>
      <c r="HP901" s="808"/>
      <c r="HQ901" s="808"/>
      <c r="HR901" s="808"/>
      <c r="HS901" s="808"/>
      <c r="HT901" s="808"/>
      <c r="HU901" s="808"/>
      <c r="HV901" s="808"/>
      <c r="HW901" s="808"/>
      <c r="HX901" s="808"/>
      <c r="HY901" s="808"/>
      <c r="HZ901" s="808"/>
      <c r="IA901" s="808"/>
      <c r="IB901" s="808"/>
      <c r="IC901" s="808"/>
      <c r="ID901" s="808"/>
      <c r="IE901" s="808"/>
      <c r="IF901" s="808"/>
      <c r="IG901" s="808"/>
      <c r="IH901" s="808"/>
      <c r="II901" s="808"/>
      <c r="IJ901" s="808"/>
      <c r="IK901" s="808"/>
      <c r="IL901" s="808"/>
      <c r="IM901" s="808"/>
      <c r="IN901" s="808"/>
      <c r="IO901" s="808"/>
      <c r="IP901" s="808"/>
      <c r="IQ901" s="808"/>
      <c r="IR901" s="808"/>
      <c r="IS901" s="808"/>
      <c r="IT901" s="808"/>
      <c r="IU901" s="808"/>
      <c r="IV901" s="808"/>
      <c r="IW901" s="808"/>
      <c r="IX901" s="808"/>
      <c r="IY901" s="808"/>
      <c r="IZ901" s="808"/>
      <c r="JA901" s="808"/>
      <c r="JB901" s="808"/>
      <c r="JC901" s="808"/>
      <c r="JD901" s="808"/>
      <c r="JE901" s="808"/>
      <c r="JF901" s="808"/>
      <c r="JG901" s="808"/>
      <c r="JH901" s="808"/>
      <c r="JI901" s="808"/>
      <c r="JJ901" s="808"/>
      <c r="JK901" s="808"/>
      <c r="JL901" s="808"/>
      <c r="JM901" s="808"/>
      <c r="JN901" s="808"/>
      <c r="JO901" s="808"/>
      <c r="JP901" s="808"/>
      <c r="JQ901" s="808"/>
      <c r="JR901" s="808"/>
      <c r="JS901" s="808"/>
      <c r="JT901" s="808"/>
      <c r="JU901" s="808"/>
      <c r="JV901" s="808"/>
      <c r="JW901" s="808"/>
      <c r="JX901" s="808"/>
      <c r="JY901" s="808"/>
      <c r="JZ901" s="808"/>
      <c r="KA901" s="808"/>
      <c r="KB901" s="808"/>
      <c r="KC901" s="808"/>
      <c r="KD901" s="808"/>
      <c r="KE901" s="808"/>
      <c r="KF901" s="808"/>
      <c r="KG901" s="808"/>
      <c r="KH901" s="808"/>
      <c r="KI901" s="808"/>
      <c r="KJ901" s="808"/>
      <c r="KK901" s="808"/>
      <c r="KL901" s="808"/>
      <c r="KM901" s="808"/>
      <c r="KN901" s="808"/>
      <c r="KO901" s="808"/>
      <c r="KP901" s="808"/>
      <c r="KQ901" s="808"/>
      <c r="KR901" s="808"/>
      <c r="KS901" s="808"/>
      <c r="KT901" s="808"/>
      <c r="KU901" s="808"/>
      <c r="KV901" s="808"/>
      <c r="KW901" s="808"/>
      <c r="KX901" s="808"/>
      <c r="KY901" s="808"/>
      <c r="KZ901" s="808"/>
      <c r="LA901" s="808"/>
      <c r="LB901" s="808"/>
      <c r="LC901" s="808"/>
      <c r="LD901" s="808"/>
      <c r="LE901" s="808"/>
      <c r="LF901" s="808"/>
      <c r="LG901" s="808"/>
      <c r="LH901" s="808"/>
      <c r="LI901" s="808"/>
      <c r="LJ901" s="808"/>
      <c r="LK901" s="808"/>
      <c r="LL901" s="808"/>
      <c r="LM901" s="808"/>
      <c r="LN901" s="808"/>
      <c r="LO901" s="808"/>
      <c r="LP901" s="808"/>
      <c r="LQ901" s="808"/>
      <c r="LR901" s="808"/>
      <c r="LS901" s="808"/>
      <c r="LT901" s="808"/>
      <c r="LU901" s="808"/>
      <c r="LV901" s="808"/>
      <c r="LW901" s="808"/>
      <c r="LX901" s="808"/>
      <c r="LY901" s="808"/>
      <c r="LZ901" s="808"/>
      <c r="MA901" s="808"/>
      <c r="MB901" s="808"/>
      <c r="MC901" s="808"/>
      <c r="MD901" s="808"/>
      <c r="ME901" s="808"/>
      <c r="MF901" s="808"/>
      <c r="MG901" s="808"/>
      <c r="MH901" s="808"/>
      <c r="MI901" s="808"/>
      <c r="MJ901" s="808"/>
      <c r="MK901" s="808"/>
      <c r="ML901" s="808"/>
      <c r="MM901" s="808"/>
      <c r="MN901" s="808"/>
      <c r="MO901" s="808"/>
      <c r="MP901" s="808"/>
      <c r="MQ901" s="808"/>
      <c r="MR901" s="808"/>
      <c r="MS901" s="808"/>
      <c r="MT901" s="808"/>
      <c r="MU901" s="808"/>
      <c r="MV901" s="808"/>
      <c r="MW901" s="808"/>
      <c r="MX901" s="808"/>
      <c r="MY901" s="808"/>
      <c r="MZ901" s="808"/>
      <c r="NA901" s="808"/>
      <c r="NB901" s="808"/>
      <c r="NC901" s="808"/>
      <c r="ND901" s="808"/>
      <c r="NE901" s="808"/>
      <c r="NF901" s="808"/>
      <c r="NG901" s="808"/>
      <c r="NH901" s="808"/>
      <c r="NI901" s="808"/>
      <c r="NJ901" s="808"/>
      <c r="NK901" s="808"/>
      <c r="NL901" s="808"/>
      <c r="NM901" s="808"/>
      <c r="NN901" s="808"/>
      <c r="NO901" s="808"/>
      <c r="NP901" s="808"/>
      <c r="NQ901" s="808"/>
      <c r="NR901" s="808"/>
      <c r="NS901" s="808"/>
      <c r="NT901" s="808"/>
      <c r="NU901" s="808"/>
      <c r="NV901" s="808"/>
      <c r="NW901" s="808"/>
      <c r="NX901" s="808"/>
      <c r="NY901" s="808"/>
      <c r="NZ901" s="808"/>
      <c r="OA901" s="808"/>
      <c r="OB901" s="808"/>
      <c r="OC901" s="808"/>
      <c r="OD901" s="808"/>
      <c r="OE901" s="808"/>
      <c r="OF901" s="808"/>
      <c r="OG901" s="808"/>
      <c r="OH901" s="808"/>
      <c r="OI901" s="808"/>
      <c r="OJ901" s="808"/>
      <c r="OK901" s="808"/>
      <c r="OL901" s="808"/>
      <c r="OM901" s="808"/>
      <c r="ON901" s="808"/>
      <c r="OO901" s="808"/>
      <c r="OP901" s="808"/>
      <c r="OQ901" s="808"/>
      <c r="OR901" s="808"/>
      <c r="OS901" s="808"/>
      <c r="OT901" s="808"/>
      <c r="OU901" s="808"/>
      <c r="OV901" s="808"/>
      <c r="OW901" s="808"/>
      <c r="OX901" s="808"/>
      <c r="OY901" s="808"/>
      <c r="OZ901" s="808"/>
      <c r="PA901" s="808"/>
      <c r="PB901" s="808"/>
      <c r="PC901" s="808"/>
      <c r="PD901" s="808"/>
      <c r="PE901" s="808"/>
      <c r="PF901" s="808"/>
      <c r="PG901" s="808"/>
      <c r="PH901" s="808"/>
      <c r="PI901" s="808"/>
      <c r="PJ901" s="808"/>
      <c r="PK901" s="808"/>
      <c r="PL901" s="808"/>
      <c r="PM901" s="808"/>
      <c r="PN901" s="808"/>
      <c r="PO901" s="808"/>
      <c r="PP901" s="808"/>
      <c r="PQ901" s="808"/>
      <c r="PR901" s="808"/>
      <c r="PS901" s="808"/>
      <c r="PT901" s="808"/>
      <c r="PU901" s="808"/>
      <c r="PV901" s="808"/>
      <c r="PW901" s="808"/>
      <c r="PX901" s="808"/>
      <c r="PY901" s="808"/>
      <c r="PZ901" s="808"/>
      <c r="QA901" s="808"/>
      <c r="QB901" s="808"/>
      <c r="QC901" s="808"/>
      <c r="QD901" s="808"/>
      <c r="QE901" s="808"/>
      <c r="QF901" s="808"/>
      <c r="QG901" s="808"/>
      <c r="QH901" s="808"/>
      <c r="QI901" s="808"/>
      <c r="QJ901" s="808"/>
      <c r="QK901" s="808"/>
      <c r="QL901" s="808"/>
      <c r="QM901" s="808"/>
      <c r="QN901" s="808"/>
      <c r="QO901" s="808"/>
      <c r="QP901" s="808"/>
      <c r="QQ901" s="808"/>
      <c r="QR901" s="808"/>
      <c r="QS901" s="808"/>
      <c r="QT901" s="808"/>
      <c r="QU901" s="808"/>
      <c r="QV901" s="808"/>
      <c r="QW901" s="808"/>
      <c r="QX901" s="808"/>
      <c r="QY901" s="808"/>
      <c r="QZ901" s="808"/>
      <c r="RA901" s="808"/>
      <c r="RB901" s="808"/>
      <c r="RC901" s="808"/>
      <c r="RD901" s="808"/>
      <c r="RE901" s="808"/>
      <c r="RF901" s="808"/>
      <c r="RG901" s="808"/>
      <c r="RH901" s="808"/>
      <c r="RI901" s="808"/>
      <c r="RJ901" s="808"/>
      <c r="RK901" s="808"/>
      <c r="RL901" s="808"/>
      <c r="RM901" s="808"/>
      <c r="RN901" s="808"/>
      <c r="RO901" s="808"/>
      <c r="RP901" s="808"/>
      <c r="RQ901" s="808"/>
      <c r="RR901" s="808"/>
      <c r="RS901" s="808"/>
      <c r="RT901" s="808"/>
      <c r="RU901" s="808"/>
      <c r="RV901" s="808"/>
      <c r="RW901" s="808"/>
      <c r="RX901" s="808"/>
      <c r="RY901" s="808"/>
      <c r="RZ901" s="808"/>
      <c r="SA901" s="808"/>
      <c r="SB901" s="808"/>
      <c r="SC901" s="808"/>
      <c r="SD901" s="808"/>
      <c r="SE901" s="808"/>
      <c r="SF901" s="808"/>
      <c r="SG901" s="808"/>
      <c r="SH901" s="808"/>
      <c r="SI901" s="808"/>
      <c r="SJ901" s="808"/>
      <c r="SK901" s="808"/>
      <c r="SL901" s="808"/>
      <c r="SM901" s="808"/>
      <c r="SN901" s="808"/>
      <c r="SO901" s="808"/>
      <c r="SP901" s="808"/>
      <c r="SQ901" s="808"/>
      <c r="SR901" s="808"/>
      <c r="SS901" s="808"/>
      <c r="ST901" s="808"/>
      <c r="SU901" s="808"/>
      <c r="SV901" s="808"/>
      <c r="SW901" s="808"/>
      <c r="SX901" s="808"/>
      <c r="SY901" s="808"/>
      <c r="SZ901" s="808"/>
      <c r="TA901" s="808"/>
      <c r="TB901" s="808"/>
      <c r="TC901" s="808"/>
      <c r="TD901" s="808"/>
      <c r="TE901" s="808"/>
      <c r="TF901" s="808"/>
      <c r="TG901" s="808"/>
      <c r="TH901" s="808"/>
      <c r="TI901" s="808"/>
      <c r="TJ901" s="808"/>
      <c r="TK901" s="808"/>
      <c r="TL901" s="808"/>
      <c r="TM901" s="808"/>
      <c r="TN901" s="808"/>
      <c r="TO901" s="808"/>
      <c r="TP901" s="808"/>
      <c r="TQ901" s="808"/>
      <c r="TR901" s="808"/>
      <c r="TS901" s="808"/>
      <c r="TT901" s="808"/>
      <c r="TU901" s="808"/>
      <c r="TV901" s="808"/>
      <c r="TW901" s="808"/>
      <c r="TX901" s="808"/>
      <c r="TY901" s="808"/>
      <c r="TZ901" s="808"/>
      <c r="UA901" s="808"/>
      <c r="UB901" s="808"/>
      <c r="UC901" s="808"/>
      <c r="UD901" s="808"/>
      <c r="UE901" s="808"/>
      <c r="UF901" s="808"/>
      <c r="UG901" s="808"/>
      <c r="UH901" s="808"/>
      <c r="UI901" s="808"/>
      <c r="UJ901" s="808"/>
      <c r="UK901" s="808"/>
      <c r="UL901" s="808"/>
      <c r="UM901" s="808"/>
      <c r="UN901" s="808"/>
      <c r="UO901" s="808"/>
      <c r="UP901" s="808"/>
      <c r="UQ901" s="808"/>
      <c r="UR901" s="808"/>
      <c r="US901" s="808"/>
      <c r="UT901" s="808"/>
      <c r="UU901" s="808"/>
      <c r="UV901" s="808"/>
      <c r="UW901" s="808"/>
      <c r="UX901" s="808"/>
      <c r="UY901" s="808"/>
      <c r="UZ901" s="808"/>
      <c r="VA901" s="808"/>
      <c r="VB901" s="808"/>
      <c r="VC901" s="808"/>
      <c r="VD901" s="808"/>
      <c r="VE901" s="808"/>
      <c r="VF901" s="808"/>
      <c r="VG901" s="808"/>
      <c r="VH901" s="808"/>
      <c r="VI901" s="808"/>
      <c r="VJ901" s="808"/>
      <c r="VK901" s="808"/>
      <c r="VL901" s="808"/>
      <c r="VM901" s="808"/>
      <c r="VN901" s="808"/>
      <c r="VO901" s="808"/>
      <c r="VP901" s="808"/>
      <c r="VQ901" s="808"/>
      <c r="VR901" s="808"/>
      <c r="VS901" s="808"/>
      <c r="VT901" s="808"/>
      <c r="VU901" s="808"/>
      <c r="VV901" s="808"/>
      <c r="VW901" s="808"/>
      <c r="VX901" s="808"/>
      <c r="VY901" s="808"/>
      <c r="VZ901" s="808"/>
      <c r="WA901" s="808"/>
      <c r="WB901" s="808"/>
      <c r="WC901" s="808"/>
      <c r="WD901" s="808"/>
      <c r="WE901" s="808"/>
      <c r="WF901" s="808"/>
      <c r="WG901" s="808"/>
      <c r="WH901" s="808"/>
      <c r="WI901" s="808"/>
      <c r="WJ901" s="808"/>
      <c r="WK901" s="808"/>
      <c r="WL901" s="808"/>
      <c r="WM901" s="808"/>
      <c r="WN901" s="808"/>
      <c r="WO901" s="808"/>
      <c r="WP901" s="808"/>
      <c r="WQ901" s="808"/>
      <c r="WR901" s="808"/>
      <c r="WS901" s="808"/>
      <c r="WT901" s="808"/>
      <c r="WU901" s="808"/>
      <c r="WV901" s="808"/>
      <c r="WW901" s="808"/>
      <c r="WX901" s="808"/>
      <c r="WY901" s="808"/>
      <c r="WZ901" s="808"/>
      <c r="XA901" s="808"/>
      <c r="XB901" s="808"/>
      <c r="XC901" s="808"/>
      <c r="XD901" s="808"/>
      <c r="XE901" s="808"/>
      <c r="XF901" s="808"/>
      <c r="XG901" s="808"/>
      <c r="XH901" s="808"/>
      <c r="XI901" s="808"/>
      <c r="XJ901" s="808"/>
      <c r="XK901" s="808"/>
      <c r="XL901" s="808"/>
      <c r="XM901" s="808"/>
      <c r="XN901" s="808"/>
      <c r="XO901" s="808"/>
      <c r="XP901" s="808"/>
      <c r="XQ901" s="808"/>
      <c r="XR901" s="808"/>
      <c r="XS901" s="808"/>
      <c r="XT901" s="808"/>
      <c r="XU901" s="808"/>
      <c r="XV901" s="808"/>
      <c r="XW901" s="808"/>
      <c r="XX901" s="808"/>
      <c r="XY901" s="808"/>
      <c r="XZ901" s="808"/>
      <c r="YA901" s="808"/>
      <c r="YB901" s="808"/>
      <c r="YC901" s="808"/>
      <c r="YD901" s="808"/>
      <c r="YE901" s="808"/>
      <c r="YF901" s="808"/>
      <c r="YG901" s="808"/>
      <c r="YH901" s="808"/>
      <c r="YI901" s="808"/>
      <c r="YJ901" s="808"/>
      <c r="YK901" s="808"/>
      <c r="YL901" s="808"/>
      <c r="YM901" s="808"/>
      <c r="YN901" s="808"/>
      <c r="YO901" s="808"/>
      <c r="YP901" s="808"/>
      <c r="YQ901" s="808"/>
      <c r="YR901" s="808"/>
      <c r="YS901" s="808"/>
      <c r="YT901" s="808"/>
      <c r="YU901" s="808"/>
      <c r="YV901" s="808"/>
      <c r="YW901" s="808"/>
      <c r="YX901" s="808"/>
      <c r="YY901" s="808"/>
      <c r="YZ901" s="808"/>
      <c r="ZA901" s="808"/>
      <c r="ZB901" s="808"/>
      <c r="ZC901" s="808"/>
      <c r="ZD901" s="808"/>
      <c r="ZE901" s="808"/>
      <c r="ZF901" s="808"/>
      <c r="ZG901" s="808"/>
      <c r="ZH901" s="808"/>
      <c r="ZI901" s="808"/>
      <c r="ZJ901" s="808"/>
      <c r="ZK901" s="808"/>
      <c r="ZL901" s="808"/>
      <c r="ZM901" s="808"/>
      <c r="ZN901" s="808"/>
      <c r="ZO901" s="808"/>
      <c r="ZP901" s="808"/>
      <c r="ZQ901" s="808"/>
      <c r="ZR901" s="808"/>
      <c r="ZS901" s="808"/>
      <c r="ZT901" s="808"/>
      <c r="ZU901" s="808"/>
      <c r="ZV901" s="808"/>
      <c r="ZW901" s="808"/>
      <c r="ZX901" s="808"/>
      <c r="ZY901" s="808"/>
      <c r="ZZ901" s="808"/>
      <c r="AAA901" s="808"/>
      <c r="AAB901" s="808"/>
      <c r="AAC901" s="808"/>
      <c r="AAD901" s="808"/>
      <c r="AAE901" s="808"/>
      <c r="AAF901" s="808"/>
      <c r="AAG901" s="808"/>
      <c r="AAH901" s="808"/>
      <c r="AAI901" s="808"/>
      <c r="AAJ901" s="808"/>
      <c r="AAK901" s="808"/>
      <c r="AAL901" s="808"/>
      <c r="AAM901" s="808"/>
      <c r="AAN901" s="808"/>
      <c r="AAO901" s="808"/>
      <c r="AAP901" s="808"/>
      <c r="AAQ901" s="808"/>
      <c r="AAR901" s="808"/>
      <c r="AAS901" s="808"/>
      <c r="AAT901" s="808"/>
      <c r="AAU901" s="808"/>
      <c r="AAV901" s="808"/>
      <c r="AAW901" s="808"/>
      <c r="AAX901" s="808"/>
      <c r="AAY901" s="808"/>
      <c r="AAZ901" s="808"/>
      <c r="ABA901" s="808"/>
      <c r="ABB901" s="808"/>
      <c r="ABC901" s="808"/>
      <c r="ABD901" s="808"/>
      <c r="ABE901" s="808"/>
      <c r="ABF901" s="808"/>
      <c r="ABG901" s="808"/>
      <c r="ABH901" s="808"/>
      <c r="ABI901" s="808"/>
      <c r="ABJ901" s="808"/>
      <c r="ABK901" s="808"/>
      <c r="ABL901" s="808"/>
      <c r="ABM901" s="808"/>
      <c r="ABN901" s="808"/>
      <c r="ABO901" s="808"/>
      <c r="ABP901" s="808"/>
      <c r="ABQ901" s="808"/>
      <c r="ABR901" s="808"/>
      <c r="ABS901" s="808"/>
      <c r="ABT901" s="808"/>
      <c r="ABU901" s="808"/>
      <c r="ABV901" s="808"/>
      <c r="ABW901" s="808"/>
      <c r="ABX901" s="808"/>
      <c r="ABY901" s="808"/>
      <c r="ABZ901" s="808"/>
      <c r="ACA901" s="808"/>
      <c r="ACB901" s="808"/>
      <c r="ACC901" s="808"/>
      <c r="ACD901" s="808"/>
      <c r="ACE901" s="808"/>
      <c r="ACF901" s="808"/>
      <c r="ACG901" s="808"/>
      <c r="ACH901" s="808"/>
      <c r="ACI901" s="808"/>
      <c r="ACJ901" s="808"/>
      <c r="ACK901" s="808"/>
      <c r="ACL901" s="808"/>
      <c r="ACM901" s="808"/>
      <c r="ACN901" s="808"/>
      <c r="ACO901" s="808"/>
      <c r="ACP901" s="808"/>
      <c r="ACQ901" s="808"/>
      <c r="ACR901" s="808"/>
      <c r="ACS901" s="808"/>
      <c r="ACT901" s="808"/>
      <c r="ACU901" s="808"/>
      <c r="ACV901" s="808"/>
      <c r="ACW901" s="808"/>
      <c r="ACX901" s="808"/>
      <c r="ACY901" s="808"/>
      <c r="ACZ901" s="808"/>
      <c r="ADA901" s="808"/>
      <c r="ADB901" s="808"/>
      <c r="ADC901" s="808"/>
      <c r="ADD901" s="808"/>
      <c r="ADE901" s="808"/>
      <c r="ADF901" s="808"/>
      <c r="ADG901" s="808"/>
      <c r="ADH901" s="808"/>
      <c r="ADI901" s="808"/>
      <c r="ADJ901" s="808"/>
      <c r="ADK901" s="808"/>
      <c r="ADL901" s="808"/>
      <c r="ADM901" s="808"/>
      <c r="ADN901" s="808"/>
      <c r="ADO901" s="808"/>
      <c r="ADP901" s="808"/>
      <c r="ADQ901" s="808"/>
      <c r="ADR901" s="808"/>
      <c r="ADS901" s="808"/>
      <c r="ADT901" s="808"/>
      <c r="ADU901" s="808"/>
      <c r="ADV901" s="808"/>
      <c r="ADW901" s="808"/>
      <c r="ADX901" s="808"/>
      <c r="ADY901" s="808"/>
      <c r="ADZ901" s="808"/>
      <c r="AEA901" s="808"/>
      <c r="AEB901" s="808"/>
      <c r="AEC901" s="808"/>
      <c r="AED901" s="808"/>
      <c r="AEE901" s="808"/>
      <c r="AEF901" s="808"/>
      <c r="AEG901" s="808"/>
      <c r="AEH901" s="808"/>
      <c r="AEI901" s="808"/>
      <c r="AEJ901" s="808"/>
      <c r="AEK901" s="808"/>
      <c r="AEL901" s="808"/>
      <c r="AEM901" s="808"/>
      <c r="AEN901" s="808"/>
      <c r="AEO901" s="808"/>
      <c r="AEP901" s="808"/>
      <c r="AEQ901" s="808"/>
      <c r="AER901" s="808"/>
      <c r="AES901" s="808"/>
      <c r="AET901" s="808"/>
      <c r="AEU901" s="808"/>
      <c r="AEV901" s="808"/>
      <c r="AEW901" s="808"/>
      <c r="AEX901" s="808"/>
      <c r="AEY901" s="808"/>
      <c r="AEZ901" s="808"/>
      <c r="AFA901" s="808"/>
      <c r="AFB901" s="808"/>
      <c r="AFC901" s="808"/>
      <c r="AFD901" s="808"/>
      <c r="AFE901" s="808"/>
      <c r="AFF901" s="808"/>
      <c r="AFG901" s="808"/>
      <c r="AFH901" s="808"/>
      <c r="AFI901" s="808"/>
      <c r="AFJ901" s="808"/>
      <c r="AFK901" s="808"/>
      <c r="AFL901" s="808"/>
      <c r="AFM901" s="808"/>
      <c r="AFN901" s="808"/>
      <c r="AFO901" s="808"/>
      <c r="AFP901" s="808"/>
      <c r="AFQ901" s="808"/>
      <c r="AFR901" s="808"/>
      <c r="AFS901" s="808"/>
      <c r="AFT901" s="808"/>
      <c r="AFU901" s="808"/>
      <c r="AFV901" s="808"/>
      <c r="AFW901" s="808"/>
      <c r="AFX901" s="808"/>
      <c r="AFY901" s="808"/>
      <c r="AFZ901" s="808"/>
      <c r="AGA901" s="808"/>
      <c r="AGB901" s="808"/>
      <c r="AGC901" s="808"/>
      <c r="AGD901" s="808"/>
      <c r="AGE901" s="808"/>
      <c r="AGF901" s="808"/>
      <c r="AGG901" s="808"/>
      <c r="AGH901" s="808"/>
      <c r="AGI901" s="808"/>
      <c r="AGJ901" s="808"/>
    </row>
    <row r="902" spans="1:868" s="7" customFormat="1">
      <c r="A902" s="609" t="s">
        <v>118</v>
      </c>
      <c r="B902" s="59" t="s">
        <v>443</v>
      </c>
      <c r="C902" s="40" t="s">
        <v>139</v>
      </c>
      <c r="D902" s="34" t="s">
        <v>99</v>
      </c>
      <c r="E902" s="859">
        <v>5.4672938670453558E-2</v>
      </c>
      <c r="F902" s="34">
        <v>2</v>
      </c>
      <c r="G902" s="40" t="s">
        <v>433</v>
      </c>
      <c r="H902" s="29">
        <v>1</v>
      </c>
      <c r="I902" s="9">
        <v>2</v>
      </c>
      <c r="J902" s="9">
        <v>2</v>
      </c>
      <c r="K902" s="9">
        <v>1</v>
      </c>
      <c r="L902" s="9">
        <v>1</v>
      </c>
      <c r="M902" s="9">
        <v>2</v>
      </c>
      <c r="N902" s="185">
        <f t="shared" si="66"/>
        <v>0.35859414261160716</v>
      </c>
      <c r="O902" s="159">
        <f t="shared" si="65"/>
        <v>0.37356464144298934</v>
      </c>
      <c r="P902" s="63"/>
      <c r="Q902" s="808"/>
      <c r="R902" s="808"/>
      <c r="S902" s="808"/>
      <c r="T902" s="808"/>
      <c r="U902" s="808"/>
      <c r="V902" s="808"/>
      <c r="W902" s="808"/>
      <c r="X902" s="808"/>
      <c r="Y902" s="808"/>
      <c r="Z902" s="808"/>
      <c r="AA902" s="808"/>
      <c r="AB902" s="808"/>
      <c r="AC902" s="808"/>
      <c r="AD902" s="808"/>
      <c r="AE902" s="808"/>
      <c r="AF902" s="808"/>
      <c r="AG902" s="808"/>
      <c r="AH902" s="808"/>
      <c r="AI902" s="808"/>
      <c r="AJ902" s="808"/>
      <c r="AK902" s="808"/>
      <c r="AL902" s="808"/>
      <c r="AM902" s="808"/>
      <c r="AN902" s="808"/>
      <c r="AO902" s="808"/>
      <c r="AP902" s="808"/>
      <c r="AQ902" s="808"/>
      <c r="AR902" s="808"/>
      <c r="AS902" s="808"/>
      <c r="AT902" s="808"/>
      <c r="AU902" s="808"/>
      <c r="AV902" s="808"/>
      <c r="AW902" s="808"/>
      <c r="AX902" s="808"/>
      <c r="AY902" s="808"/>
      <c r="AZ902" s="808"/>
      <c r="BA902" s="808"/>
      <c r="BB902" s="808"/>
      <c r="BC902" s="808"/>
      <c r="BD902" s="808"/>
      <c r="BE902" s="808"/>
      <c r="BF902" s="808"/>
      <c r="BG902" s="808"/>
      <c r="BH902" s="808"/>
      <c r="BI902" s="808"/>
      <c r="BJ902" s="808"/>
      <c r="BK902" s="808"/>
      <c r="BL902" s="808"/>
      <c r="BM902" s="808"/>
      <c r="BN902" s="808"/>
      <c r="BO902" s="808"/>
      <c r="BP902" s="808"/>
      <c r="BQ902" s="808"/>
      <c r="BR902" s="808"/>
      <c r="BS902" s="808"/>
      <c r="BT902" s="808"/>
      <c r="BU902" s="808"/>
      <c r="BV902" s="808"/>
      <c r="BW902" s="808"/>
      <c r="BX902" s="808"/>
      <c r="BY902" s="808"/>
      <c r="BZ902" s="808"/>
      <c r="CA902" s="808"/>
      <c r="CB902" s="808"/>
      <c r="CC902" s="808"/>
      <c r="CD902" s="808"/>
      <c r="CE902" s="808"/>
      <c r="CF902" s="808"/>
      <c r="CG902" s="808"/>
      <c r="CH902" s="808"/>
      <c r="CI902" s="808"/>
      <c r="CJ902" s="808"/>
      <c r="CK902" s="808"/>
      <c r="CL902" s="808"/>
      <c r="CM902" s="808"/>
      <c r="CN902" s="808"/>
      <c r="CO902" s="808"/>
      <c r="CP902" s="808"/>
      <c r="CQ902" s="808"/>
      <c r="CR902" s="808"/>
      <c r="CS902" s="808"/>
      <c r="CT902" s="808"/>
      <c r="CU902" s="808"/>
      <c r="CV902" s="808"/>
      <c r="CW902" s="808"/>
      <c r="CX902" s="808"/>
      <c r="CY902" s="808"/>
      <c r="CZ902" s="808"/>
      <c r="DA902" s="808"/>
      <c r="DB902" s="808"/>
      <c r="DC902" s="808"/>
      <c r="DD902" s="808"/>
      <c r="DE902" s="808"/>
      <c r="DF902" s="808"/>
      <c r="DG902" s="808"/>
      <c r="DH902" s="808"/>
      <c r="DI902" s="808"/>
      <c r="DJ902" s="808"/>
      <c r="DK902" s="808"/>
      <c r="DL902" s="808"/>
      <c r="DM902" s="808"/>
      <c r="DN902" s="808"/>
      <c r="DO902" s="808"/>
      <c r="DP902" s="808"/>
      <c r="DQ902" s="808"/>
      <c r="DR902" s="808"/>
      <c r="DS902" s="808"/>
      <c r="DT902" s="808"/>
      <c r="DU902" s="808"/>
      <c r="DV902" s="808"/>
      <c r="DW902" s="808"/>
      <c r="DX902" s="808"/>
      <c r="DY902" s="808"/>
      <c r="DZ902" s="808"/>
      <c r="EA902" s="808"/>
      <c r="EB902" s="808"/>
      <c r="EC902" s="808"/>
      <c r="ED902" s="808"/>
      <c r="EE902" s="808"/>
      <c r="EF902" s="808"/>
      <c r="EG902" s="808"/>
      <c r="EH902" s="808"/>
      <c r="EI902" s="808"/>
      <c r="EJ902" s="808"/>
      <c r="EK902" s="808"/>
      <c r="EL902" s="808"/>
      <c r="EM902" s="808"/>
      <c r="EN902" s="808"/>
      <c r="EO902" s="808"/>
      <c r="EP902" s="808"/>
      <c r="EQ902" s="808"/>
      <c r="ER902" s="808"/>
      <c r="ES902" s="808"/>
      <c r="ET902" s="808"/>
      <c r="EU902" s="808"/>
      <c r="EV902" s="808"/>
      <c r="EW902" s="808"/>
      <c r="EX902" s="808"/>
      <c r="EY902" s="808"/>
      <c r="EZ902" s="808"/>
      <c r="FA902" s="808"/>
      <c r="FB902" s="808"/>
      <c r="FC902" s="808"/>
      <c r="FD902" s="808"/>
      <c r="FE902" s="808"/>
      <c r="FF902" s="808"/>
      <c r="FG902" s="808"/>
      <c r="FH902" s="808"/>
      <c r="FI902" s="808"/>
      <c r="FJ902" s="808"/>
      <c r="FK902" s="808"/>
      <c r="FL902" s="808"/>
      <c r="FM902" s="808"/>
      <c r="FN902" s="808"/>
      <c r="FO902" s="808"/>
      <c r="FP902" s="808"/>
      <c r="FQ902" s="808"/>
      <c r="FR902" s="808"/>
      <c r="FS902" s="808"/>
      <c r="FT902" s="808"/>
      <c r="FU902" s="808"/>
      <c r="FV902" s="808"/>
      <c r="FW902" s="808"/>
      <c r="FX902" s="808"/>
      <c r="FY902" s="808"/>
      <c r="FZ902" s="808"/>
      <c r="GA902" s="808"/>
      <c r="GB902" s="808"/>
      <c r="GC902" s="808"/>
      <c r="GD902" s="808"/>
      <c r="GE902" s="808"/>
      <c r="GF902" s="808"/>
      <c r="GG902" s="808"/>
      <c r="GH902" s="808"/>
      <c r="GI902" s="808"/>
      <c r="GJ902" s="808"/>
      <c r="GK902" s="808"/>
      <c r="GL902" s="808"/>
      <c r="GM902" s="808"/>
      <c r="GN902" s="808"/>
      <c r="GO902" s="808"/>
      <c r="GP902" s="808"/>
      <c r="GQ902" s="808"/>
      <c r="GR902" s="808"/>
      <c r="GS902" s="808"/>
      <c r="GT902" s="808"/>
      <c r="GU902" s="808"/>
      <c r="GV902" s="808"/>
      <c r="GW902" s="808"/>
      <c r="GX902" s="808"/>
      <c r="GY902" s="808"/>
      <c r="GZ902" s="808"/>
      <c r="HA902" s="808"/>
      <c r="HB902" s="808"/>
      <c r="HC902" s="808"/>
      <c r="HD902" s="808"/>
      <c r="HE902" s="808"/>
      <c r="HF902" s="808"/>
      <c r="HG902" s="808"/>
      <c r="HH902" s="808"/>
      <c r="HI902" s="808"/>
      <c r="HJ902" s="808"/>
      <c r="HK902" s="808"/>
      <c r="HL902" s="808"/>
      <c r="HM902" s="808"/>
      <c r="HN902" s="808"/>
      <c r="HO902" s="808"/>
      <c r="HP902" s="808"/>
      <c r="HQ902" s="808"/>
      <c r="HR902" s="808"/>
      <c r="HS902" s="808"/>
      <c r="HT902" s="808"/>
      <c r="HU902" s="808"/>
      <c r="HV902" s="808"/>
      <c r="HW902" s="808"/>
      <c r="HX902" s="808"/>
      <c r="HY902" s="808"/>
      <c r="HZ902" s="808"/>
      <c r="IA902" s="808"/>
      <c r="IB902" s="808"/>
      <c r="IC902" s="808"/>
      <c r="ID902" s="808"/>
      <c r="IE902" s="808"/>
      <c r="IF902" s="808"/>
      <c r="IG902" s="808"/>
      <c r="IH902" s="808"/>
      <c r="II902" s="808"/>
      <c r="IJ902" s="808"/>
      <c r="IK902" s="808"/>
      <c r="IL902" s="808"/>
      <c r="IM902" s="808"/>
      <c r="IN902" s="808"/>
      <c r="IO902" s="808"/>
      <c r="IP902" s="808"/>
      <c r="IQ902" s="808"/>
      <c r="IR902" s="808"/>
      <c r="IS902" s="808"/>
      <c r="IT902" s="808"/>
      <c r="IU902" s="808"/>
      <c r="IV902" s="808"/>
      <c r="IW902" s="808"/>
      <c r="IX902" s="808"/>
      <c r="IY902" s="808"/>
      <c r="IZ902" s="808"/>
      <c r="JA902" s="808"/>
      <c r="JB902" s="808"/>
      <c r="JC902" s="808"/>
      <c r="JD902" s="808"/>
      <c r="JE902" s="808"/>
      <c r="JF902" s="808"/>
      <c r="JG902" s="808"/>
      <c r="JH902" s="808"/>
      <c r="JI902" s="808"/>
      <c r="JJ902" s="808"/>
      <c r="JK902" s="808"/>
      <c r="JL902" s="808"/>
      <c r="JM902" s="808"/>
      <c r="JN902" s="808"/>
      <c r="JO902" s="808"/>
      <c r="JP902" s="808"/>
      <c r="JQ902" s="808"/>
      <c r="JR902" s="808"/>
      <c r="JS902" s="808"/>
      <c r="JT902" s="808"/>
      <c r="JU902" s="808"/>
      <c r="JV902" s="808"/>
      <c r="JW902" s="808"/>
      <c r="JX902" s="808"/>
      <c r="JY902" s="808"/>
      <c r="JZ902" s="808"/>
      <c r="KA902" s="808"/>
      <c r="KB902" s="808"/>
      <c r="KC902" s="808"/>
      <c r="KD902" s="808"/>
      <c r="KE902" s="808"/>
      <c r="KF902" s="808"/>
      <c r="KG902" s="808"/>
      <c r="KH902" s="808"/>
      <c r="KI902" s="808"/>
      <c r="KJ902" s="808"/>
      <c r="KK902" s="808"/>
      <c r="KL902" s="808"/>
      <c r="KM902" s="808"/>
      <c r="KN902" s="808"/>
      <c r="KO902" s="808"/>
      <c r="KP902" s="808"/>
      <c r="KQ902" s="808"/>
      <c r="KR902" s="808"/>
      <c r="KS902" s="808"/>
      <c r="KT902" s="808"/>
      <c r="KU902" s="808"/>
      <c r="KV902" s="808"/>
      <c r="KW902" s="808"/>
      <c r="KX902" s="808"/>
      <c r="KY902" s="808"/>
      <c r="KZ902" s="808"/>
      <c r="LA902" s="808"/>
      <c r="LB902" s="808"/>
      <c r="LC902" s="808"/>
      <c r="LD902" s="808"/>
      <c r="LE902" s="808"/>
      <c r="LF902" s="808"/>
      <c r="LG902" s="808"/>
      <c r="LH902" s="808"/>
      <c r="LI902" s="808"/>
      <c r="LJ902" s="808"/>
      <c r="LK902" s="808"/>
      <c r="LL902" s="808"/>
      <c r="LM902" s="808"/>
      <c r="LN902" s="808"/>
      <c r="LO902" s="808"/>
      <c r="LP902" s="808"/>
      <c r="LQ902" s="808"/>
      <c r="LR902" s="808"/>
      <c r="LS902" s="808"/>
      <c r="LT902" s="808"/>
      <c r="LU902" s="808"/>
      <c r="LV902" s="808"/>
      <c r="LW902" s="808"/>
      <c r="LX902" s="808"/>
      <c r="LY902" s="808"/>
      <c r="LZ902" s="808"/>
      <c r="MA902" s="808"/>
      <c r="MB902" s="808"/>
      <c r="MC902" s="808"/>
      <c r="MD902" s="808"/>
      <c r="ME902" s="808"/>
      <c r="MF902" s="808"/>
      <c r="MG902" s="808"/>
      <c r="MH902" s="808"/>
      <c r="MI902" s="808"/>
      <c r="MJ902" s="808"/>
      <c r="MK902" s="808"/>
      <c r="ML902" s="808"/>
      <c r="MM902" s="808"/>
      <c r="MN902" s="808"/>
      <c r="MO902" s="808"/>
      <c r="MP902" s="808"/>
      <c r="MQ902" s="808"/>
      <c r="MR902" s="808"/>
      <c r="MS902" s="808"/>
      <c r="MT902" s="808"/>
      <c r="MU902" s="808"/>
      <c r="MV902" s="808"/>
      <c r="MW902" s="808"/>
      <c r="MX902" s="808"/>
      <c r="MY902" s="808"/>
      <c r="MZ902" s="808"/>
      <c r="NA902" s="808"/>
      <c r="NB902" s="808"/>
      <c r="NC902" s="808"/>
      <c r="ND902" s="808"/>
      <c r="NE902" s="808"/>
      <c r="NF902" s="808"/>
      <c r="NG902" s="808"/>
      <c r="NH902" s="808"/>
      <c r="NI902" s="808"/>
      <c r="NJ902" s="808"/>
      <c r="NK902" s="808"/>
      <c r="NL902" s="808"/>
      <c r="NM902" s="808"/>
      <c r="NN902" s="808"/>
      <c r="NO902" s="808"/>
      <c r="NP902" s="808"/>
      <c r="NQ902" s="808"/>
      <c r="NR902" s="808"/>
      <c r="NS902" s="808"/>
      <c r="NT902" s="808"/>
      <c r="NU902" s="808"/>
      <c r="NV902" s="808"/>
      <c r="NW902" s="808"/>
      <c r="NX902" s="808"/>
      <c r="NY902" s="808"/>
      <c r="NZ902" s="808"/>
      <c r="OA902" s="808"/>
      <c r="OB902" s="808"/>
      <c r="OC902" s="808"/>
      <c r="OD902" s="808"/>
      <c r="OE902" s="808"/>
      <c r="OF902" s="808"/>
      <c r="OG902" s="808"/>
      <c r="OH902" s="808"/>
      <c r="OI902" s="808"/>
      <c r="OJ902" s="808"/>
      <c r="OK902" s="808"/>
      <c r="OL902" s="808"/>
      <c r="OM902" s="808"/>
      <c r="ON902" s="808"/>
      <c r="OO902" s="808"/>
      <c r="OP902" s="808"/>
      <c r="OQ902" s="808"/>
      <c r="OR902" s="808"/>
      <c r="OS902" s="808"/>
      <c r="OT902" s="808"/>
      <c r="OU902" s="808"/>
      <c r="OV902" s="808"/>
      <c r="OW902" s="808"/>
      <c r="OX902" s="808"/>
      <c r="OY902" s="808"/>
      <c r="OZ902" s="808"/>
      <c r="PA902" s="808"/>
      <c r="PB902" s="808"/>
      <c r="PC902" s="808"/>
      <c r="PD902" s="808"/>
      <c r="PE902" s="808"/>
      <c r="PF902" s="808"/>
      <c r="PG902" s="808"/>
      <c r="PH902" s="808"/>
      <c r="PI902" s="808"/>
      <c r="PJ902" s="808"/>
      <c r="PK902" s="808"/>
      <c r="PL902" s="808"/>
      <c r="PM902" s="808"/>
      <c r="PN902" s="808"/>
      <c r="PO902" s="808"/>
      <c r="PP902" s="808"/>
      <c r="PQ902" s="808"/>
      <c r="PR902" s="808"/>
      <c r="PS902" s="808"/>
      <c r="PT902" s="808"/>
      <c r="PU902" s="808"/>
      <c r="PV902" s="808"/>
      <c r="PW902" s="808"/>
      <c r="PX902" s="808"/>
      <c r="PY902" s="808"/>
      <c r="PZ902" s="808"/>
      <c r="QA902" s="808"/>
      <c r="QB902" s="808"/>
      <c r="QC902" s="808"/>
      <c r="QD902" s="808"/>
      <c r="QE902" s="808"/>
      <c r="QF902" s="808"/>
      <c r="QG902" s="808"/>
      <c r="QH902" s="808"/>
      <c r="QI902" s="808"/>
      <c r="QJ902" s="808"/>
      <c r="QK902" s="808"/>
      <c r="QL902" s="808"/>
      <c r="QM902" s="808"/>
      <c r="QN902" s="808"/>
      <c r="QO902" s="808"/>
      <c r="QP902" s="808"/>
      <c r="QQ902" s="808"/>
      <c r="QR902" s="808"/>
      <c r="QS902" s="808"/>
      <c r="QT902" s="808"/>
      <c r="QU902" s="808"/>
      <c r="QV902" s="808"/>
      <c r="QW902" s="808"/>
      <c r="QX902" s="808"/>
      <c r="QY902" s="808"/>
      <c r="QZ902" s="808"/>
      <c r="RA902" s="808"/>
      <c r="RB902" s="808"/>
      <c r="RC902" s="808"/>
      <c r="RD902" s="808"/>
      <c r="RE902" s="808"/>
      <c r="RF902" s="808"/>
      <c r="RG902" s="808"/>
      <c r="RH902" s="808"/>
      <c r="RI902" s="808"/>
      <c r="RJ902" s="808"/>
      <c r="RK902" s="808"/>
      <c r="RL902" s="808"/>
      <c r="RM902" s="808"/>
      <c r="RN902" s="808"/>
      <c r="RO902" s="808"/>
      <c r="RP902" s="808"/>
      <c r="RQ902" s="808"/>
      <c r="RR902" s="808"/>
      <c r="RS902" s="808"/>
      <c r="RT902" s="808"/>
      <c r="RU902" s="808"/>
      <c r="RV902" s="808"/>
      <c r="RW902" s="808"/>
      <c r="RX902" s="808"/>
      <c r="RY902" s="808"/>
      <c r="RZ902" s="808"/>
      <c r="SA902" s="808"/>
      <c r="SB902" s="808"/>
      <c r="SC902" s="808"/>
      <c r="SD902" s="808"/>
      <c r="SE902" s="808"/>
      <c r="SF902" s="808"/>
      <c r="SG902" s="808"/>
      <c r="SH902" s="808"/>
      <c r="SI902" s="808"/>
      <c r="SJ902" s="808"/>
      <c r="SK902" s="808"/>
      <c r="SL902" s="808"/>
      <c r="SM902" s="808"/>
      <c r="SN902" s="808"/>
      <c r="SO902" s="808"/>
      <c r="SP902" s="808"/>
      <c r="SQ902" s="808"/>
      <c r="SR902" s="808"/>
      <c r="SS902" s="808"/>
      <c r="ST902" s="808"/>
      <c r="SU902" s="808"/>
      <c r="SV902" s="808"/>
      <c r="SW902" s="808"/>
      <c r="SX902" s="808"/>
      <c r="SY902" s="808"/>
      <c r="SZ902" s="808"/>
      <c r="TA902" s="808"/>
      <c r="TB902" s="808"/>
      <c r="TC902" s="808"/>
      <c r="TD902" s="808"/>
      <c r="TE902" s="808"/>
      <c r="TF902" s="808"/>
      <c r="TG902" s="808"/>
      <c r="TH902" s="808"/>
      <c r="TI902" s="808"/>
      <c r="TJ902" s="808"/>
      <c r="TK902" s="808"/>
      <c r="TL902" s="808"/>
      <c r="TM902" s="808"/>
      <c r="TN902" s="808"/>
      <c r="TO902" s="808"/>
      <c r="TP902" s="808"/>
      <c r="TQ902" s="808"/>
      <c r="TR902" s="808"/>
      <c r="TS902" s="808"/>
      <c r="TT902" s="808"/>
      <c r="TU902" s="808"/>
      <c r="TV902" s="808"/>
      <c r="TW902" s="808"/>
      <c r="TX902" s="808"/>
      <c r="TY902" s="808"/>
      <c r="TZ902" s="808"/>
      <c r="UA902" s="808"/>
      <c r="UB902" s="808"/>
      <c r="UC902" s="808"/>
      <c r="UD902" s="808"/>
      <c r="UE902" s="808"/>
      <c r="UF902" s="808"/>
      <c r="UG902" s="808"/>
      <c r="UH902" s="808"/>
      <c r="UI902" s="808"/>
      <c r="UJ902" s="808"/>
      <c r="UK902" s="808"/>
      <c r="UL902" s="808"/>
      <c r="UM902" s="808"/>
      <c r="UN902" s="808"/>
      <c r="UO902" s="808"/>
      <c r="UP902" s="808"/>
      <c r="UQ902" s="808"/>
      <c r="UR902" s="808"/>
      <c r="US902" s="808"/>
      <c r="UT902" s="808"/>
      <c r="UU902" s="808"/>
      <c r="UV902" s="808"/>
      <c r="UW902" s="808"/>
      <c r="UX902" s="808"/>
      <c r="UY902" s="808"/>
      <c r="UZ902" s="808"/>
      <c r="VA902" s="808"/>
      <c r="VB902" s="808"/>
      <c r="VC902" s="808"/>
      <c r="VD902" s="808"/>
      <c r="VE902" s="808"/>
      <c r="VF902" s="808"/>
      <c r="VG902" s="808"/>
      <c r="VH902" s="808"/>
      <c r="VI902" s="808"/>
      <c r="VJ902" s="808"/>
      <c r="VK902" s="808"/>
      <c r="VL902" s="808"/>
      <c r="VM902" s="808"/>
      <c r="VN902" s="808"/>
      <c r="VO902" s="808"/>
      <c r="VP902" s="808"/>
      <c r="VQ902" s="808"/>
      <c r="VR902" s="808"/>
      <c r="VS902" s="808"/>
      <c r="VT902" s="808"/>
      <c r="VU902" s="808"/>
      <c r="VV902" s="808"/>
      <c r="VW902" s="808"/>
      <c r="VX902" s="808"/>
      <c r="VY902" s="808"/>
      <c r="VZ902" s="808"/>
      <c r="WA902" s="808"/>
      <c r="WB902" s="808"/>
      <c r="WC902" s="808"/>
      <c r="WD902" s="808"/>
      <c r="WE902" s="808"/>
      <c r="WF902" s="808"/>
      <c r="WG902" s="808"/>
      <c r="WH902" s="808"/>
      <c r="WI902" s="808"/>
      <c r="WJ902" s="808"/>
      <c r="WK902" s="808"/>
      <c r="WL902" s="808"/>
      <c r="WM902" s="808"/>
      <c r="WN902" s="808"/>
      <c r="WO902" s="808"/>
      <c r="WP902" s="808"/>
      <c r="WQ902" s="808"/>
      <c r="WR902" s="808"/>
      <c r="WS902" s="808"/>
      <c r="WT902" s="808"/>
      <c r="WU902" s="808"/>
      <c r="WV902" s="808"/>
      <c r="WW902" s="808"/>
      <c r="WX902" s="808"/>
      <c r="WY902" s="808"/>
      <c r="WZ902" s="808"/>
      <c r="XA902" s="808"/>
      <c r="XB902" s="808"/>
      <c r="XC902" s="808"/>
      <c r="XD902" s="808"/>
      <c r="XE902" s="808"/>
      <c r="XF902" s="808"/>
      <c r="XG902" s="808"/>
      <c r="XH902" s="808"/>
      <c r="XI902" s="808"/>
      <c r="XJ902" s="808"/>
      <c r="XK902" s="808"/>
      <c r="XL902" s="808"/>
      <c r="XM902" s="808"/>
      <c r="XN902" s="808"/>
      <c r="XO902" s="808"/>
      <c r="XP902" s="808"/>
      <c r="XQ902" s="808"/>
      <c r="XR902" s="808"/>
      <c r="XS902" s="808"/>
      <c r="XT902" s="808"/>
      <c r="XU902" s="808"/>
      <c r="XV902" s="808"/>
      <c r="XW902" s="808"/>
      <c r="XX902" s="808"/>
      <c r="XY902" s="808"/>
      <c r="XZ902" s="808"/>
      <c r="YA902" s="808"/>
      <c r="YB902" s="808"/>
      <c r="YC902" s="808"/>
      <c r="YD902" s="808"/>
      <c r="YE902" s="808"/>
      <c r="YF902" s="808"/>
      <c r="YG902" s="808"/>
      <c r="YH902" s="808"/>
      <c r="YI902" s="808"/>
      <c r="YJ902" s="808"/>
      <c r="YK902" s="808"/>
      <c r="YL902" s="808"/>
      <c r="YM902" s="808"/>
      <c r="YN902" s="808"/>
      <c r="YO902" s="808"/>
      <c r="YP902" s="808"/>
      <c r="YQ902" s="808"/>
      <c r="YR902" s="808"/>
      <c r="YS902" s="808"/>
      <c r="YT902" s="808"/>
      <c r="YU902" s="808"/>
      <c r="YV902" s="808"/>
      <c r="YW902" s="808"/>
      <c r="YX902" s="808"/>
      <c r="YY902" s="808"/>
      <c r="YZ902" s="808"/>
      <c r="ZA902" s="808"/>
      <c r="ZB902" s="808"/>
      <c r="ZC902" s="808"/>
      <c r="ZD902" s="808"/>
      <c r="ZE902" s="808"/>
      <c r="ZF902" s="808"/>
      <c r="ZG902" s="808"/>
      <c r="ZH902" s="808"/>
      <c r="ZI902" s="808"/>
      <c r="ZJ902" s="808"/>
      <c r="ZK902" s="808"/>
      <c r="ZL902" s="808"/>
      <c r="ZM902" s="808"/>
      <c r="ZN902" s="808"/>
      <c r="ZO902" s="808"/>
      <c r="ZP902" s="808"/>
      <c r="ZQ902" s="808"/>
      <c r="ZR902" s="808"/>
      <c r="ZS902" s="808"/>
      <c r="ZT902" s="808"/>
      <c r="ZU902" s="808"/>
      <c r="ZV902" s="808"/>
      <c r="ZW902" s="808"/>
      <c r="ZX902" s="808"/>
      <c r="ZY902" s="808"/>
      <c r="ZZ902" s="808"/>
      <c r="AAA902" s="808"/>
      <c r="AAB902" s="808"/>
      <c r="AAC902" s="808"/>
      <c r="AAD902" s="808"/>
      <c r="AAE902" s="808"/>
      <c r="AAF902" s="808"/>
      <c r="AAG902" s="808"/>
      <c r="AAH902" s="808"/>
      <c r="AAI902" s="808"/>
      <c r="AAJ902" s="808"/>
      <c r="AAK902" s="808"/>
      <c r="AAL902" s="808"/>
      <c r="AAM902" s="808"/>
      <c r="AAN902" s="808"/>
      <c r="AAO902" s="808"/>
      <c r="AAP902" s="808"/>
      <c r="AAQ902" s="808"/>
      <c r="AAR902" s="808"/>
      <c r="AAS902" s="808"/>
      <c r="AAT902" s="808"/>
      <c r="AAU902" s="808"/>
      <c r="AAV902" s="808"/>
      <c r="AAW902" s="808"/>
      <c r="AAX902" s="808"/>
      <c r="AAY902" s="808"/>
      <c r="AAZ902" s="808"/>
      <c r="ABA902" s="808"/>
      <c r="ABB902" s="808"/>
      <c r="ABC902" s="808"/>
      <c r="ABD902" s="808"/>
      <c r="ABE902" s="808"/>
      <c r="ABF902" s="808"/>
      <c r="ABG902" s="808"/>
      <c r="ABH902" s="808"/>
      <c r="ABI902" s="808"/>
      <c r="ABJ902" s="808"/>
      <c r="ABK902" s="808"/>
      <c r="ABL902" s="808"/>
      <c r="ABM902" s="808"/>
      <c r="ABN902" s="808"/>
      <c r="ABO902" s="808"/>
      <c r="ABP902" s="808"/>
      <c r="ABQ902" s="808"/>
      <c r="ABR902" s="808"/>
      <c r="ABS902" s="808"/>
      <c r="ABT902" s="808"/>
      <c r="ABU902" s="808"/>
      <c r="ABV902" s="808"/>
      <c r="ABW902" s="808"/>
      <c r="ABX902" s="808"/>
      <c r="ABY902" s="808"/>
      <c r="ABZ902" s="808"/>
      <c r="ACA902" s="808"/>
      <c r="ACB902" s="808"/>
      <c r="ACC902" s="808"/>
      <c r="ACD902" s="808"/>
      <c r="ACE902" s="808"/>
      <c r="ACF902" s="808"/>
      <c r="ACG902" s="808"/>
      <c r="ACH902" s="808"/>
      <c r="ACI902" s="808"/>
      <c r="ACJ902" s="808"/>
      <c r="ACK902" s="808"/>
      <c r="ACL902" s="808"/>
      <c r="ACM902" s="808"/>
      <c r="ACN902" s="808"/>
      <c r="ACO902" s="808"/>
      <c r="ACP902" s="808"/>
      <c r="ACQ902" s="808"/>
      <c r="ACR902" s="808"/>
      <c r="ACS902" s="808"/>
      <c r="ACT902" s="808"/>
      <c r="ACU902" s="808"/>
      <c r="ACV902" s="808"/>
      <c r="ACW902" s="808"/>
      <c r="ACX902" s="808"/>
      <c r="ACY902" s="808"/>
      <c r="ACZ902" s="808"/>
      <c r="ADA902" s="808"/>
      <c r="ADB902" s="808"/>
      <c r="ADC902" s="808"/>
      <c r="ADD902" s="808"/>
      <c r="ADE902" s="808"/>
      <c r="ADF902" s="808"/>
      <c r="ADG902" s="808"/>
      <c r="ADH902" s="808"/>
      <c r="ADI902" s="808"/>
      <c r="ADJ902" s="808"/>
      <c r="ADK902" s="808"/>
      <c r="ADL902" s="808"/>
      <c r="ADM902" s="808"/>
      <c r="ADN902" s="808"/>
      <c r="ADO902" s="808"/>
      <c r="ADP902" s="808"/>
      <c r="ADQ902" s="808"/>
      <c r="ADR902" s="808"/>
      <c r="ADS902" s="808"/>
      <c r="ADT902" s="808"/>
      <c r="ADU902" s="808"/>
      <c r="ADV902" s="808"/>
      <c r="ADW902" s="808"/>
      <c r="ADX902" s="808"/>
      <c r="ADY902" s="808"/>
      <c r="ADZ902" s="808"/>
      <c r="AEA902" s="808"/>
      <c r="AEB902" s="808"/>
      <c r="AEC902" s="808"/>
      <c r="AED902" s="808"/>
      <c r="AEE902" s="808"/>
      <c r="AEF902" s="808"/>
      <c r="AEG902" s="808"/>
      <c r="AEH902" s="808"/>
      <c r="AEI902" s="808"/>
      <c r="AEJ902" s="808"/>
      <c r="AEK902" s="808"/>
      <c r="AEL902" s="808"/>
      <c r="AEM902" s="808"/>
      <c r="AEN902" s="808"/>
      <c r="AEO902" s="808"/>
      <c r="AEP902" s="808"/>
      <c r="AEQ902" s="808"/>
      <c r="AER902" s="808"/>
      <c r="AES902" s="808"/>
      <c r="AET902" s="808"/>
      <c r="AEU902" s="808"/>
      <c r="AEV902" s="808"/>
      <c r="AEW902" s="808"/>
      <c r="AEX902" s="808"/>
      <c r="AEY902" s="808"/>
      <c r="AEZ902" s="808"/>
      <c r="AFA902" s="808"/>
      <c r="AFB902" s="808"/>
      <c r="AFC902" s="808"/>
      <c r="AFD902" s="808"/>
      <c r="AFE902" s="808"/>
      <c r="AFF902" s="808"/>
      <c r="AFG902" s="808"/>
      <c r="AFH902" s="808"/>
      <c r="AFI902" s="808"/>
      <c r="AFJ902" s="808"/>
      <c r="AFK902" s="808"/>
      <c r="AFL902" s="808"/>
      <c r="AFM902" s="808"/>
      <c r="AFN902" s="808"/>
      <c r="AFO902" s="808"/>
      <c r="AFP902" s="808"/>
      <c r="AFQ902" s="808"/>
      <c r="AFR902" s="808"/>
      <c r="AFS902" s="808"/>
      <c r="AFT902" s="808"/>
      <c r="AFU902" s="808"/>
      <c r="AFV902" s="808"/>
      <c r="AFW902" s="808"/>
      <c r="AFX902" s="808"/>
      <c r="AFY902" s="808"/>
      <c r="AFZ902" s="808"/>
      <c r="AGA902" s="808"/>
      <c r="AGB902" s="808"/>
      <c r="AGC902" s="808"/>
      <c r="AGD902" s="808"/>
      <c r="AGE902" s="808"/>
      <c r="AGF902" s="808"/>
      <c r="AGG902" s="808"/>
      <c r="AGH902" s="808"/>
      <c r="AGI902" s="808"/>
      <c r="AGJ902" s="808"/>
    </row>
    <row r="903" spans="1:868" s="7" customFormat="1">
      <c r="A903" s="609" t="s">
        <v>118</v>
      </c>
      <c r="B903" s="59" t="s">
        <v>444</v>
      </c>
      <c r="C903" s="40" t="s">
        <v>139</v>
      </c>
      <c r="D903" s="34" t="s">
        <v>99</v>
      </c>
      <c r="E903" s="859">
        <v>6.4613472974172373E-2</v>
      </c>
      <c r="F903" s="34">
        <v>2</v>
      </c>
      <c r="G903" s="40" t="s">
        <v>433</v>
      </c>
      <c r="H903" s="29">
        <v>1</v>
      </c>
      <c r="I903" s="9">
        <v>2</v>
      </c>
      <c r="J903" s="9">
        <v>2</v>
      </c>
      <c r="K903" s="9">
        <v>1</v>
      </c>
      <c r="L903" s="9">
        <v>1</v>
      </c>
      <c r="M903" s="9">
        <v>2</v>
      </c>
      <c r="N903" s="185">
        <f t="shared" si="66"/>
        <v>0.35859414261160716</v>
      </c>
      <c r="O903" s="159">
        <f t="shared" si="65"/>
        <v>0.37356464144298934</v>
      </c>
      <c r="P903" s="63"/>
      <c r="Q903" s="808"/>
      <c r="R903" s="808"/>
      <c r="S903" s="808"/>
      <c r="T903" s="808"/>
      <c r="U903" s="808"/>
      <c r="V903" s="808"/>
      <c r="W903" s="808"/>
      <c r="X903" s="808"/>
      <c r="Y903" s="808"/>
      <c r="Z903" s="808"/>
      <c r="AA903" s="808"/>
      <c r="AB903" s="808"/>
      <c r="AC903" s="808"/>
      <c r="AD903" s="808"/>
      <c r="AE903" s="808"/>
      <c r="AF903" s="808"/>
      <c r="AG903" s="808"/>
      <c r="AH903" s="808"/>
      <c r="AI903" s="808"/>
      <c r="AJ903" s="808"/>
      <c r="AK903" s="808"/>
      <c r="AL903" s="808"/>
      <c r="AM903" s="808"/>
      <c r="AN903" s="808"/>
      <c r="AO903" s="808"/>
      <c r="AP903" s="808"/>
      <c r="AQ903" s="808"/>
      <c r="AR903" s="808"/>
      <c r="AS903" s="808"/>
      <c r="AT903" s="808"/>
      <c r="AU903" s="808"/>
      <c r="AV903" s="808"/>
      <c r="AW903" s="808"/>
      <c r="AX903" s="808"/>
      <c r="AY903" s="808"/>
      <c r="AZ903" s="808"/>
      <c r="BA903" s="808"/>
      <c r="BB903" s="808"/>
      <c r="BC903" s="808"/>
      <c r="BD903" s="808"/>
      <c r="BE903" s="808"/>
      <c r="BF903" s="808"/>
      <c r="BG903" s="808"/>
      <c r="BH903" s="808"/>
      <c r="BI903" s="808"/>
      <c r="BJ903" s="808"/>
      <c r="BK903" s="808"/>
      <c r="BL903" s="808"/>
      <c r="BM903" s="808"/>
      <c r="BN903" s="808"/>
      <c r="BO903" s="808"/>
      <c r="BP903" s="808"/>
      <c r="BQ903" s="808"/>
      <c r="BR903" s="808"/>
      <c r="BS903" s="808"/>
      <c r="BT903" s="808"/>
      <c r="BU903" s="808"/>
      <c r="BV903" s="808"/>
      <c r="BW903" s="808"/>
      <c r="BX903" s="808"/>
      <c r="BY903" s="808"/>
      <c r="BZ903" s="808"/>
      <c r="CA903" s="808"/>
      <c r="CB903" s="808"/>
      <c r="CC903" s="808"/>
      <c r="CD903" s="808"/>
      <c r="CE903" s="808"/>
      <c r="CF903" s="808"/>
      <c r="CG903" s="808"/>
      <c r="CH903" s="808"/>
      <c r="CI903" s="808"/>
      <c r="CJ903" s="808"/>
      <c r="CK903" s="808"/>
      <c r="CL903" s="808"/>
      <c r="CM903" s="808"/>
      <c r="CN903" s="808"/>
      <c r="CO903" s="808"/>
      <c r="CP903" s="808"/>
      <c r="CQ903" s="808"/>
      <c r="CR903" s="808"/>
      <c r="CS903" s="808"/>
      <c r="CT903" s="808"/>
      <c r="CU903" s="808"/>
      <c r="CV903" s="808"/>
      <c r="CW903" s="808"/>
      <c r="CX903" s="808"/>
      <c r="CY903" s="808"/>
      <c r="CZ903" s="808"/>
      <c r="DA903" s="808"/>
      <c r="DB903" s="808"/>
      <c r="DC903" s="808"/>
      <c r="DD903" s="808"/>
      <c r="DE903" s="808"/>
      <c r="DF903" s="808"/>
      <c r="DG903" s="808"/>
      <c r="DH903" s="808"/>
      <c r="DI903" s="808"/>
      <c r="DJ903" s="808"/>
      <c r="DK903" s="808"/>
      <c r="DL903" s="808"/>
      <c r="DM903" s="808"/>
      <c r="DN903" s="808"/>
      <c r="DO903" s="808"/>
      <c r="DP903" s="808"/>
      <c r="DQ903" s="808"/>
      <c r="DR903" s="808"/>
      <c r="DS903" s="808"/>
      <c r="DT903" s="808"/>
      <c r="DU903" s="808"/>
      <c r="DV903" s="808"/>
      <c r="DW903" s="808"/>
      <c r="DX903" s="808"/>
      <c r="DY903" s="808"/>
      <c r="DZ903" s="808"/>
      <c r="EA903" s="808"/>
      <c r="EB903" s="808"/>
      <c r="EC903" s="808"/>
      <c r="ED903" s="808"/>
      <c r="EE903" s="808"/>
      <c r="EF903" s="808"/>
      <c r="EG903" s="808"/>
      <c r="EH903" s="808"/>
      <c r="EI903" s="808"/>
      <c r="EJ903" s="808"/>
      <c r="EK903" s="808"/>
      <c r="EL903" s="808"/>
      <c r="EM903" s="808"/>
      <c r="EN903" s="808"/>
      <c r="EO903" s="808"/>
      <c r="EP903" s="808"/>
      <c r="EQ903" s="808"/>
      <c r="ER903" s="808"/>
      <c r="ES903" s="808"/>
      <c r="ET903" s="808"/>
      <c r="EU903" s="808"/>
      <c r="EV903" s="808"/>
      <c r="EW903" s="808"/>
      <c r="EX903" s="808"/>
      <c r="EY903" s="808"/>
      <c r="EZ903" s="808"/>
      <c r="FA903" s="808"/>
      <c r="FB903" s="808"/>
      <c r="FC903" s="808"/>
      <c r="FD903" s="808"/>
      <c r="FE903" s="808"/>
      <c r="FF903" s="808"/>
      <c r="FG903" s="808"/>
      <c r="FH903" s="808"/>
      <c r="FI903" s="808"/>
      <c r="FJ903" s="808"/>
      <c r="FK903" s="808"/>
      <c r="FL903" s="808"/>
      <c r="FM903" s="808"/>
      <c r="FN903" s="808"/>
      <c r="FO903" s="808"/>
      <c r="FP903" s="808"/>
      <c r="FQ903" s="808"/>
      <c r="FR903" s="808"/>
      <c r="FS903" s="808"/>
      <c r="FT903" s="808"/>
      <c r="FU903" s="808"/>
      <c r="FV903" s="808"/>
      <c r="FW903" s="808"/>
      <c r="FX903" s="808"/>
      <c r="FY903" s="808"/>
      <c r="FZ903" s="808"/>
      <c r="GA903" s="808"/>
      <c r="GB903" s="808"/>
      <c r="GC903" s="808"/>
      <c r="GD903" s="808"/>
      <c r="GE903" s="808"/>
      <c r="GF903" s="808"/>
      <c r="GG903" s="808"/>
      <c r="GH903" s="808"/>
      <c r="GI903" s="808"/>
      <c r="GJ903" s="808"/>
      <c r="GK903" s="808"/>
      <c r="GL903" s="808"/>
      <c r="GM903" s="808"/>
      <c r="GN903" s="808"/>
      <c r="GO903" s="808"/>
      <c r="GP903" s="808"/>
      <c r="GQ903" s="808"/>
      <c r="GR903" s="808"/>
      <c r="GS903" s="808"/>
      <c r="GT903" s="808"/>
      <c r="GU903" s="808"/>
      <c r="GV903" s="808"/>
      <c r="GW903" s="808"/>
      <c r="GX903" s="808"/>
      <c r="GY903" s="808"/>
      <c r="GZ903" s="808"/>
      <c r="HA903" s="808"/>
      <c r="HB903" s="808"/>
      <c r="HC903" s="808"/>
      <c r="HD903" s="808"/>
      <c r="HE903" s="808"/>
      <c r="HF903" s="808"/>
      <c r="HG903" s="808"/>
      <c r="HH903" s="808"/>
      <c r="HI903" s="808"/>
      <c r="HJ903" s="808"/>
      <c r="HK903" s="808"/>
      <c r="HL903" s="808"/>
      <c r="HM903" s="808"/>
      <c r="HN903" s="808"/>
      <c r="HO903" s="808"/>
      <c r="HP903" s="808"/>
      <c r="HQ903" s="808"/>
      <c r="HR903" s="808"/>
      <c r="HS903" s="808"/>
      <c r="HT903" s="808"/>
      <c r="HU903" s="808"/>
      <c r="HV903" s="808"/>
      <c r="HW903" s="808"/>
      <c r="HX903" s="808"/>
      <c r="HY903" s="808"/>
      <c r="HZ903" s="808"/>
      <c r="IA903" s="808"/>
      <c r="IB903" s="808"/>
      <c r="IC903" s="808"/>
      <c r="ID903" s="808"/>
      <c r="IE903" s="808"/>
      <c r="IF903" s="808"/>
      <c r="IG903" s="808"/>
      <c r="IH903" s="808"/>
      <c r="II903" s="808"/>
      <c r="IJ903" s="808"/>
      <c r="IK903" s="808"/>
      <c r="IL903" s="808"/>
      <c r="IM903" s="808"/>
      <c r="IN903" s="808"/>
      <c r="IO903" s="808"/>
      <c r="IP903" s="808"/>
      <c r="IQ903" s="808"/>
      <c r="IR903" s="808"/>
      <c r="IS903" s="808"/>
      <c r="IT903" s="808"/>
      <c r="IU903" s="808"/>
      <c r="IV903" s="808"/>
      <c r="IW903" s="808"/>
      <c r="IX903" s="808"/>
      <c r="IY903" s="808"/>
      <c r="IZ903" s="808"/>
      <c r="JA903" s="808"/>
      <c r="JB903" s="808"/>
      <c r="JC903" s="808"/>
      <c r="JD903" s="808"/>
      <c r="JE903" s="808"/>
      <c r="JF903" s="808"/>
      <c r="JG903" s="808"/>
      <c r="JH903" s="808"/>
      <c r="JI903" s="808"/>
      <c r="JJ903" s="808"/>
      <c r="JK903" s="808"/>
      <c r="JL903" s="808"/>
      <c r="JM903" s="808"/>
      <c r="JN903" s="808"/>
      <c r="JO903" s="808"/>
      <c r="JP903" s="808"/>
      <c r="JQ903" s="808"/>
      <c r="JR903" s="808"/>
      <c r="JS903" s="808"/>
      <c r="JT903" s="808"/>
      <c r="JU903" s="808"/>
      <c r="JV903" s="808"/>
      <c r="JW903" s="808"/>
      <c r="JX903" s="808"/>
      <c r="JY903" s="808"/>
      <c r="JZ903" s="808"/>
      <c r="KA903" s="808"/>
      <c r="KB903" s="808"/>
      <c r="KC903" s="808"/>
      <c r="KD903" s="808"/>
      <c r="KE903" s="808"/>
      <c r="KF903" s="808"/>
      <c r="KG903" s="808"/>
      <c r="KH903" s="808"/>
      <c r="KI903" s="808"/>
      <c r="KJ903" s="808"/>
      <c r="KK903" s="808"/>
      <c r="KL903" s="808"/>
      <c r="KM903" s="808"/>
      <c r="KN903" s="808"/>
      <c r="KO903" s="808"/>
      <c r="KP903" s="808"/>
      <c r="KQ903" s="808"/>
      <c r="KR903" s="808"/>
      <c r="KS903" s="808"/>
      <c r="KT903" s="808"/>
      <c r="KU903" s="808"/>
      <c r="KV903" s="808"/>
      <c r="KW903" s="808"/>
      <c r="KX903" s="808"/>
      <c r="KY903" s="808"/>
      <c r="KZ903" s="808"/>
      <c r="LA903" s="808"/>
      <c r="LB903" s="808"/>
      <c r="LC903" s="808"/>
      <c r="LD903" s="808"/>
      <c r="LE903" s="808"/>
      <c r="LF903" s="808"/>
      <c r="LG903" s="808"/>
      <c r="LH903" s="808"/>
      <c r="LI903" s="808"/>
      <c r="LJ903" s="808"/>
      <c r="LK903" s="808"/>
      <c r="LL903" s="808"/>
      <c r="LM903" s="808"/>
      <c r="LN903" s="808"/>
      <c r="LO903" s="808"/>
      <c r="LP903" s="808"/>
      <c r="LQ903" s="808"/>
      <c r="LR903" s="808"/>
      <c r="LS903" s="808"/>
      <c r="LT903" s="808"/>
      <c r="LU903" s="808"/>
      <c r="LV903" s="808"/>
      <c r="LW903" s="808"/>
      <c r="LX903" s="808"/>
      <c r="LY903" s="808"/>
      <c r="LZ903" s="808"/>
      <c r="MA903" s="808"/>
      <c r="MB903" s="808"/>
      <c r="MC903" s="808"/>
      <c r="MD903" s="808"/>
      <c r="ME903" s="808"/>
      <c r="MF903" s="808"/>
      <c r="MG903" s="808"/>
      <c r="MH903" s="808"/>
      <c r="MI903" s="808"/>
      <c r="MJ903" s="808"/>
      <c r="MK903" s="808"/>
      <c r="ML903" s="808"/>
      <c r="MM903" s="808"/>
      <c r="MN903" s="808"/>
      <c r="MO903" s="808"/>
      <c r="MP903" s="808"/>
      <c r="MQ903" s="808"/>
      <c r="MR903" s="808"/>
      <c r="MS903" s="808"/>
      <c r="MT903" s="808"/>
      <c r="MU903" s="808"/>
      <c r="MV903" s="808"/>
      <c r="MW903" s="808"/>
      <c r="MX903" s="808"/>
      <c r="MY903" s="808"/>
      <c r="MZ903" s="808"/>
      <c r="NA903" s="808"/>
      <c r="NB903" s="808"/>
      <c r="NC903" s="808"/>
      <c r="ND903" s="808"/>
      <c r="NE903" s="808"/>
      <c r="NF903" s="808"/>
      <c r="NG903" s="808"/>
      <c r="NH903" s="808"/>
      <c r="NI903" s="808"/>
      <c r="NJ903" s="808"/>
      <c r="NK903" s="808"/>
      <c r="NL903" s="808"/>
      <c r="NM903" s="808"/>
      <c r="NN903" s="808"/>
      <c r="NO903" s="808"/>
      <c r="NP903" s="808"/>
      <c r="NQ903" s="808"/>
      <c r="NR903" s="808"/>
      <c r="NS903" s="808"/>
      <c r="NT903" s="808"/>
      <c r="NU903" s="808"/>
      <c r="NV903" s="808"/>
      <c r="NW903" s="808"/>
      <c r="NX903" s="808"/>
      <c r="NY903" s="808"/>
      <c r="NZ903" s="808"/>
      <c r="OA903" s="808"/>
      <c r="OB903" s="808"/>
      <c r="OC903" s="808"/>
      <c r="OD903" s="808"/>
      <c r="OE903" s="808"/>
      <c r="OF903" s="808"/>
      <c r="OG903" s="808"/>
      <c r="OH903" s="808"/>
      <c r="OI903" s="808"/>
      <c r="OJ903" s="808"/>
      <c r="OK903" s="808"/>
      <c r="OL903" s="808"/>
      <c r="OM903" s="808"/>
      <c r="ON903" s="808"/>
      <c r="OO903" s="808"/>
      <c r="OP903" s="808"/>
      <c r="OQ903" s="808"/>
      <c r="OR903" s="808"/>
      <c r="OS903" s="808"/>
      <c r="OT903" s="808"/>
      <c r="OU903" s="808"/>
      <c r="OV903" s="808"/>
      <c r="OW903" s="808"/>
      <c r="OX903" s="808"/>
      <c r="OY903" s="808"/>
      <c r="OZ903" s="808"/>
      <c r="PA903" s="808"/>
      <c r="PB903" s="808"/>
      <c r="PC903" s="808"/>
      <c r="PD903" s="808"/>
      <c r="PE903" s="808"/>
      <c r="PF903" s="808"/>
      <c r="PG903" s="808"/>
      <c r="PH903" s="808"/>
      <c r="PI903" s="808"/>
      <c r="PJ903" s="808"/>
      <c r="PK903" s="808"/>
      <c r="PL903" s="808"/>
      <c r="PM903" s="808"/>
      <c r="PN903" s="808"/>
      <c r="PO903" s="808"/>
      <c r="PP903" s="808"/>
      <c r="PQ903" s="808"/>
      <c r="PR903" s="808"/>
      <c r="PS903" s="808"/>
      <c r="PT903" s="808"/>
      <c r="PU903" s="808"/>
      <c r="PV903" s="808"/>
      <c r="PW903" s="808"/>
      <c r="PX903" s="808"/>
      <c r="PY903" s="808"/>
      <c r="PZ903" s="808"/>
      <c r="QA903" s="808"/>
      <c r="QB903" s="808"/>
      <c r="QC903" s="808"/>
      <c r="QD903" s="808"/>
      <c r="QE903" s="808"/>
      <c r="QF903" s="808"/>
      <c r="QG903" s="808"/>
      <c r="QH903" s="808"/>
      <c r="QI903" s="808"/>
      <c r="QJ903" s="808"/>
      <c r="QK903" s="808"/>
      <c r="QL903" s="808"/>
      <c r="QM903" s="808"/>
      <c r="QN903" s="808"/>
      <c r="QO903" s="808"/>
      <c r="QP903" s="808"/>
      <c r="QQ903" s="808"/>
      <c r="QR903" s="808"/>
      <c r="QS903" s="808"/>
      <c r="QT903" s="808"/>
      <c r="QU903" s="808"/>
      <c r="QV903" s="808"/>
      <c r="QW903" s="808"/>
      <c r="QX903" s="808"/>
      <c r="QY903" s="808"/>
      <c r="QZ903" s="808"/>
      <c r="RA903" s="808"/>
      <c r="RB903" s="808"/>
      <c r="RC903" s="808"/>
      <c r="RD903" s="808"/>
      <c r="RE903" s="808"/>
      <c r="RF903" s="808"/>
      <c r="RG903" s="808"/>
      <c r="RH903" s="808"/>
      <c r="RI903" s="808"/>
      <c r="RJ903" s="808"/>
      <c r="RK903" s="808"/>
      <c r="RL903" s="808"/>
      <c r="RM903" s="808"/>
      <c r="RN903" s="808"/>
      <c r="RO903" s="808"/>
      <c r="RP903" s="808"/>
      <c r="RQ903" s="808"/>
      <c r="RR903" s="808"/>
      <c r="RS903" s="808"/>
      <c r="RT903" s="808"/>
      <c r="RU903" s="808"/>
      <c r="RV903" s="808"/>
      <c r="RW903" s="808"/>
      <c r="RX903" s="808"/>
      <c r="RY903" s="808"/>
      <c r="RZ903" s="808"/>
      <c r="SA903" s="808"/>
      <c r="SB903" s="808"/>
      <c r="SC903" s="808"/>
      <c r="SD903" s="808"/>
      <c r="SE903" s="808"/>
      <c r="SF903" s="808"/>
      <c r="SG903" s="808"/>
      <c r="SH903" s="808"/>
      <c r="SI903" s="808"/>
      <c r="SJ903" s="808"/>
      <c r="SK903" s="808"/>
      <c r="SL903" s="808"/>
      <c r="SM903" s="808"/>
      <c r="SN903" s="808"/>
      <c r="SO903" s="808"/>
      <c r="SP903" s="808"/>
      <c r="SQ903" s="808"/>
      <c r="SR903" s="808"/>
      <c r="SS903" s="808"/>
      <c r="ST903" s="808"/>
      <c r="SU903" s="808"/>
      <c r="SV903" s="808"/>
      <c r="SW903" s="808"/>
      <c r="SX903" s="808"/>
      <c r="SY903" s="808"/>
      <c r="SZ903" s="808"/>
      <c r="TA903" s="808"/>
      <c r="TB903" s="808"/>
      <c r="TC903" s="808"/>
      <c r="TD903" s="808"/>
      <c r="TE903" s="808"/>
      <c r="TF903" s="808"/>
      <c r="TG903" s="808"/>
      <c r="TH903" s="808"/>
      <c r="TI903" s="808"/>
      <c r="TJ903" s="808"/>
      <c r="TK903" s="808"/>
      <c r="TL903" s="808"/>
      <c r="TM903" s="808"/>
      <c r="TN903" s="808"/>
      <c r="TO903" s="808"/>
      <c r="TP903" s="808"/>
      <c r="TQ903" s="808"/>
      <c r="TR903" s="808"/>
      <c r="TS903" s="808"/>
      <c r="TT903" s="808"/>
      <c r="TU903" s="808"/>
      <c r="TV903" s="808"/>
      <c r="TW903" s="808"/>
      <c r="TX903" s="808"/>
      <c r="TY903" s="808"/>
      <c r="TZ903" s="808"/>
      <c r="UA903" s="808"/>
      <c r="UB903" s="808"/>
      <c r="UC903" s="808"/>
      <c r="UD903" s="808"/>
      <c r="UE903" s="808"/>
      <c r="UF903" s="808"/>
      <c r="UG903" s="808"/>
      <c r="UH903" s="808"/>
      <c r="UI903" s="808"/>
      <c r="UJ903" s="808"/>
      <c r="UK903" s="808"/>
      <c r="UL903" s="808"/>
      <c r="UM903" s="808"/>
      <c r="UN903" s="808"/>
      <c r="UO903" s="808"/>
      <c r="UP903" s="808"/>
      <c r="UQ903" s="808"/>
      <c r="UR903" s="808"/>
      <c r="US903" s="808"/>
      <c r="UT903" s="808"/>
      <c r="UU903" s="808"/>
      <c r="UV903" s="808"/>
      <c r="UW903" s="808"/>
      <c r="UX903" s="808"/>
      <c r="UY903" s="808"/>
      <c r="UZ903" s="808"/>
      <c r="VA903" s="808"/>
      <c r="VB903" s="808"/>
      <c r="VC903" s="808"/>
      <c r="VD903" s="808"/>
      <c r="VE903" s="808"/>
      <c r="VF903" s="808"/>
      <c r="VG903" s="808"/>
      <c r="VH903" s="808"/>
      <c r="VI903" s="808"/>
      <c r="VJ903" s="808"/>
      <c r="VK903" s="808"/>
      <c r="VL903" s="808"/>
      <c r="VM903" s="808"/>
      <c r="VN903" s="808"/>
      <c r="VO903" s="808"/>
      <c r="VP903" s="808"/>
      <c r="VQ903" s="808"/>
      <c r="VR903" s="808"/>
      <c r="VS903" s="808"/>
      <c r="VT903" s="808"/>
      <c r="VU903" s="808"/>
      <c r="VV903" s="808"/>
      <c r="VW903" s="808"/>
      <c r="VX903" s="808"/>
      <c r="VY903" s="808"/>
      <c r="VZ903" s="808"/>
      <c r="WA903" s="808"/>
      <c r="WB903" s="808"/>
      <c r="WC903" s="808"/>
      <c r="WD903" s="808"/>
      <c r="WE903" s="808"/>
      <c r="WF903" s="808"/>
      <c r="WG903" s="808"/>
      <c r="WH903" s="808"/>
      <c r="WI903" s="808"/>
      <c r="WJ903" s="808"/>
      <c r="WK903" s="808"/>
      <c r="WL903" s="808"/>
      <c r="WM903" s="808"/>
      <c r="WN903" s="808"/>
      <c r="WO903" s="808"/>
      <c r="WP903" s="808"/>
      <c r="WQ903" s="808"/>
      <c r="WR903" s="808"/>
      <c r="WS903" s="808"/>
      <c r="WT903" s="808"/>
      <c r="WU903" s="808"/>
      <c r="WV903" s="808"/>
      <c r="WW903" s="808"/>
      <c r="WX903" s="808"/>
      <c r="WY903" s="808"/>
      <c r="WZ903" s="808"/>
      <c r="XA903" s="808"/>
      <c r="XB903" s="808"/>
      <c r="XC903" s="808"/>
      <c r="XD903" s="808"/>
      <c r="XE903" s="808"/>
      <c r="XF903" s="808"/>
      <c r="XG903" s="808"/>
      <c r="XH903" s="808"/>
      <c r="XI903" s="808"/>
      <c r="XJ903" s="808"/>
      <c r="XK903" s="808"/>
      <c r="XL903" s="808"/>
      <c r="XM903" s="808"/>
      <c r="XN903" s="808"/>
      <c r="XO903" s="808"/>
      <c r="XP903" s="808"/>
      <c r="XQ903" s="808"/>
      <c r="XR903" s="808"/>
      <c r="XS903" s="808"/>
      <c r="XT903" s="808"/>
      <c r="XU903" s="808"/>
      <c r="XV903" s="808"/>
      <c r="XW903" s="808"/>
      <c r="XX903" s="808"/>
      <c r="XY903" s="808"/>
      <c r="XZ903" s="808"/>
      <c r="YA903" s="808"/>
      <c r="YB903" s="808"/>
      <c r="YC903" s="808"/>
      <c r="YD903" s="808"/>
      <c r="YE903" s="808"/>
      <c r="YF903" s="808"/>
      <c r="YG903" s="808"/>
      <c r="YH903" s="808"/>
      <c r="YI903" s="808"/>
      <c r="YJ903" s="808"/>
      <c r="YK903" s="808"/>
      <c r="YL903" s="808"/>
      <c r="YM903" s="808"/>
      <c r="YN903" s="808"/>
      <c r="YO903" s="808"/>
      <c r="YP903" s="808"/>
      <c r="YQ903" s="808"/>
      <c r="YR903" s="808"/>
      <c r="YS903" s="808"/>
      <c r="YT903" s="808"/>
      <c r="YU903" s="808"/>
      <c r="YV903" s="808"/>
      <c r="YW903" s="808"/>
      <c r="YX903" s="808"/>
      <c r="YY903" s="808"/>
      <c r="YZ903" s="808"/>
      <c r="ZA903" s="808"/>
      <c r="ZB903" s="808"/>
      <c r="ZC903" s="808"/>
      <c r="ZD903" s="808"/>
      <c r="ZE903" s="808"/>
      <c r="ZF903" s="808"/>
      <c r="ZG903" s="808"/>
      <c r="ZH903" s="808"/>
      <c r="ZI903" s="808"/>
      <c r="ZJ903" s="808"/>
      <c r="ZK903" s="808"/>
      <c r="ZL903" s="808"/>
      <c r="ZM903" s="808"/>
      <c r="ZN903" s="808"/>
      <c r="ZO903" s="808"/>
      <c r="ZP903" s="808"/>
      <c r="ZQ903" s="808"/>
      <c r="ZR903" s="808"/>
      <c r="ZS903" s="808"/>
      <c r="ZT903" s="808"/>
      <c r="ZU903" s="808"/>
      <c r="ZV903" s="808"/>
      <c r="ZW903" s="808"/>
      <c r="ZX903" s="808"/>
      <c r="ZY903" s="808"/>
      <c r="ZZ903" s="808"/>
      <c r="AAA903" s="808"/>
      <c r="AAB903" s="808"/>
      <c r="AAC903" s="808"/>
      <c r="AAD903" s="808"/>
      <c r="AAE903" s="808"/>
      <c r="AAF903" s="808"/>
      <c r="AAG903" s="808"/>
      <c r="AAH903" s="808"/>
      <c r="AAI903" s="808"/>
      <c r="AAJ903" s="808"/>
      <c r="AAK903" s="808"/>
      <c r="AAL903" s="808"/>
      <c r="AAM903" s="808"/>
      <c r="AAN903" s="808"/>
      <c r="AAO903" s="808"/>
      <c r="AAP903" s="808"/>
      <c r="AAQ903" s="808"/>
      <c r="AAR903" s="808"/>
      <c r="AAS903" s="808"/>
      <c r="AAT903" s="808"/>
      <c r="AAU903" s="808"/>
      <c r="AAV903" s="808"/>
      <c r="AAW903" s="808"/>
      <c r="AAX903" s="808"/>
      <c r="AAY903" s="808"/>
      <c r="AAZ903" s="808"/>
      <c r="ABA903" s="808"/>
      <c r="ABB903" s="808"/>
      <c r="ABC903" s="808"/>
      <c r="ABD903" s="808"/>
      <c r="ABE903" s="808"/>
      <c r="ABF903" s="808"/>
      <c r="ABG903" s="808"/>
      <c r="ABH903" s="808"/>
      <c r="ABI903" s="808"/>
      <c r="ABJ903" s="808"/>
      <c r="ABK903" s="808"/>
      <c r="ABL903" s="808"/>
      <c r="ABM903" s="808"/>
      <c r="ABN903" s="808"/>
      <c r="ABO903" s="808"/>
      <c r="ABP903" s="808"/>
      <c r="ABQ903" s="808"/>
      <c r="ABR903" s="808"/>
      <c r="ABS903" s="808"/>
      <c r="ABT903" s="808"/>
      <c r="ABU903" s="808"/>
      <c r="ABV903" s="808"/>
      <c r="ABW903" s="808"/>
      <c r="ABX903" s="808"/>
      <c r="ABY903" s="808"/>
      <c r="ABZ903" s="808"/>
      <c r="ACA903" s="808"/>
      <c r="ACB903" s="808"/>
      <c r="ACC903" s="808"/>
      <c r="ACD903" s="808"/>
      <c r="ACE903" s="808"/>
      <c r="ACF903" s="808"/>
      <c r="ACG903" s="808"/>
      <c r="ACH903" s="808"/>
      <c r="ACI903" s="808"/>
      <c r="ACJ903" s="808"/>
      <c r="ACK903" s="808"/>
      <c r="ACL903" s="808"/>
      <c r="ACM903" s="808"/>
      <c r="ACN903" s="808"/>
      <c r="ACO903" s="808"/>
      <c r="ACP903" s="808"/>
      <c r="ACQ903" s="808"/>
      <c r="ACR903" s="808"/>
      <c r="ACS903" s="808"/>
      <c r="ACT903" s="808"/>
      <c r="ACU903" s="808"/>
      <c r="ACV903" s="808"/>
      <c r="ACW903" s="808"/>
      <c r="ACX903" s="808"/>
      <c r="ACY903" s="808"/>
      <c r="ACZ903" s="808"/>
      <c r="ADA903" s="808"/>
      <c r="ADB903" s="808"/>
      <c r="ADC903" s="808"/>
      <c r="ADD903" s="808"/>
      <c r="ADE903" s="808"/>
      <c r="ADF903" s="808"/>
      <c r="ADG903" s="808"/>
      <c r="ADH903" s="808"/>
      <c r="ADI903" s="808"/>
      <c r="ADJ903" s="808"/>
      <c r="ADK903" s="808"/>
      <c r="ADL903" s="808"/>
      <c r="ADM903" s="808"/>
      <c r="ADN903" s="808"/>
      <c r="ADO903" s="808"/>
      <c r="ADP903" s="808"/>
      <c r="ADQ903" s="808"/>
      <c r="ADR903" s="808"/>
      <c r="ADS903" s="808"/>
      <c r="ADT903" s="808"/>
      <c r="ADU903" s="808"/>
      <c r="ADV903" s="808"/>
      <c r="ADW903" s="808"/>
      <c r="ADX903" s="808"/>
      <c r="ADY903" s="808"/>
      <c r="ADZ903" s="808"/>
      <c r="AEA903" s="808"/>
      <c r="AEB903" s="808"/>
      <c r="AEC903" s="808"/>
      <c r="AED903" s="808"/>
      <c r="AEE903" s="808"/>
      <c r="AEF903" s="808"/>
      <c r="AEG903" s="808"/>
      <c r="AEH903" s="808"/>
      <c r="AEI903" s="808"/>
      <c r="AEJ903" s="808"/>
      <c r="AEK903" s="808"/>
      <c r="AEL903" s="808"/>
      <c r="AEM903" s="808"/>
      <c r="AEN903" s="808"/>
      <c r="AEO903" s="808"/>
      <c r="AEP903" s="808"/>
      <c r="AEQ903" s="808"/>
      <c r="AER903" s="808"/>
      <c r="AES903" s="808"/>
      <c r="AET903" s="808"/>
      <c r="AEU903" s="808"/>
      <c r="AEV903" s="808"/>
      <c r="AEW903" s="808"/>
      <c r="AEX903" s="808"/>
      <c r="AEY903" s="808"/>
      <c r="AEZ903" s="808"/>
      <c r="AFA903" s="808"/>
      <c r="AFB903" s="808"/>
      <c r="AFC903" s="808"/>
      <c r="AFD903" s="808"/>
      <c r="AFE903" s="808"/>
      <c r="AFF903" s="808"/>
      <c r="AFG903" s="808"/>
      <c r="AFH903" s="808"/>
      <c r="AFI903" s="808"/>
      <c r="AFJ903" s="808"/>
      <c r="AFK903" s="808"/>
      <c r="AFL903" s="808"/>
      <c r="AFM903" s="808"/>
      <c r="AFN903" s="808"/>
      <c r="AFO903" s="808"/>
      <c r="AFP903" s="808"/>
      <c r="AFQ903" s="808"/>
      <c r="AFR903" s="808"/>
      <c r="AFS903" s="808"/>
      <c r="AFT903" s="808"/>
      <c r="AFU903" s="808"/>
      <c r="AFV903" s="808"/>
      <c r="AFW903" s="808"/>
      <c r="AFX903" s="808"/>
      <c r="AFY903" s="808"/>
      <c r="AFZ903" s="808"/>
      <c r="AGA903" s="808"/>
      <c r="AGB903" s="808"/>
      <c r="AGC903" s="808"/>
      <c r="AGD903" s="808"/>
      <c r="AGE903" s="808"/>
      <c r="AGF903" s="808"/>
      <c r="AGG903" s="808"/>
      <c r="AGH903" s="808"/>
      <c r="AGI903" s="808"/>
      <c r="AGJ903" s="808"/>
    </row>
    <row r="904" spans="1:868" s="7" customFormat="1">
      <c r="A904" s="609" t="s">
        <v>118</v>
      </c>
      <c r="B904" s="59" t="s">
        <v>445</v>
      </c>
      <c r="C904" s="40" t="s">
        <v>139</v>
      </c>
      <c r="D904" s="34" t="s">
        <v>99</v>
      </c>
      <c r="E904" s="859">
        <v>4.6596254548681999E-2</v>
      </c>
      <c r="F904" s="34">
        <v>2</v>
      </c>
      <c r="G904" s="40" t="s">
        <v>433</v>
      </c>
      <c r="H904" s="29">
        <v>1</v>
      </c>
      <c r="I904" s="9">
        <v>2</v>
      </c>
      <c r="J904" s="9">
        <v>2</v>
      </c>
      <c r="K904" s="9">
        <v>1</v>
      </c>
      <c r="L904" s="9">
        <v>1</v>
      </c>
      <c r="M904" s="9">
        <v>2</v>
      </c>
      <c r="N904" s="185">
        <f t="shared" si="66"/>
        <v>0.35859414261160716</v>
      </c>
      <c r="O904" s="159">
        <f t="shared" si="65"/>
        <v>0.37356464144298934</v>
      </c>
      <c r="P904" s="63"/>
      <c r="Q904" s="808"/>
      <c r="R904" s="808"/>
      <c r="S904" s="808"/>
      <c r="T904" s="808"/>
      <c r="U904" s="808"/>
      <c r="V904" s="808"/>
      <c r="W904" s="808"/>
      <c r="X904" s="808"/>
      <c r="Y904" s="808"/>
      <c r="Z904" s="808"/>
      <c r="AA904" s="808"/>
      <c r="AB904" s="808"/>
      <c r="AC904" s="808"/>
      <c r="AD904" s="808"/>
      <c r="AE904" s="808"/>
      <c r="AF904" s="808"/>
      <c r="AG904" s="808"/>
      <c r="AH904" s="808"/>
      <c r="AI904" s="808"/>
      <c r="AJ904" s="808"/>
      <c r="AK904" s="808"/>
      <c r="AL904" s="808"/>
      <c r="AM904" s="808"/>
      <c r="AN904" s="808"/>
      <c r="AO904" s="808"/>
      <c r="AP904" s="808"/>
      <c r="AQ904" s="808"/>
      <c r="AR904" s="808"/>
      <c r="AS904" s="808"/>
      <c r="AT904" s="808"/>
      <c r="AU904" s="808"/>
      <c r="AV904" s="808"/>
      <c r="AW904" s="808"/>
      <c r="AX904" s="808"/>
      <c r="AY904" s="808"/>
      <c r="AZ904" s="808"/>
      <c r="BA904" s="808"/>
      <c r="BB904" s="808"/>
      <c r="BC904" s="808"/>
      <c r="BD904" s="808"/>
      <c r="BE904" s="808"/>
      <c r="BF904" s="808"/>
      <c r="BG904" s="808"/>
      <c r="BH904" s="808"/>
      <c r="BI904" s="808"/>
      <c r="BJ904" s="808"/>
      <c r="BK904" s="808"/>
      <c r="BL904" s="808"/>
      <c r="BM904" s="808"/>
      <c r="BN904" s="808"/>
      <c r="BO904" s="808"/>
      <c r="BP904" s="808"/>
      <c r="BQ904" s="808"/>
      <c r="BR904" s="808"/>
      <c r="BS904" s="808"/>
      <c r="BT904" s="808"/>
      <c r="BU904" s="808"/>
      <c r="BV904" s="808"/>
      <c r="BW904" s="808"/>
      <c r="BX904" s="808"/>
      <c r="BY904" s="808"/>
      <c r="BZ904" s="808"/>
      <c r="CA904" s="808"/>
      <c r="CB904" s="808"/>
      <c r="CC904" s="808"/>
      <c r="CD904" s="808"/>
      <c r="CE904" s="808"/>
      <c r="CF904" s="808"/>
      <c r="CG904" s="808"/>
      <c r="CH904" s="808"/>
      <c r="CI904" s="808"/>
      <c r="CJ904" s="808"/>
      <c r="CK904" s="808"/>
      <c r="CL904" s="808"/>
      <c r="CM904" s="808"/>
      <c r="CN904" s="808"/>
      <c r="CO904" s="808"/>
      <c r="CP904" s="808"/>
      <c r="CQ904" s="808"/>
      <c r="CR904" s="808"/>
      <c r="CS904" s="808"/>
      <c r="CT904" s="808"/>
      <c r="CU904" s="808"/>
      <c r="CV904" s="808"/>
      <c r="CW904" s="808"/>
      <c r="CX904" s="808"/>
      <c r="CY904" s="808"/>
      <c r="CZ904" s="808"/>
      <c r="DA904" s="808"/>
      <c r="DB904" s="808"/>
      <c r="DC904" s="808"/>
      <c r="DD904" s="808"/>
      <c r="DE904" s="808"/>
      <c r="DF904" s="808"/>
      <c r="DG904" s="808"/>
      <c r="DH904" s="808"/>
      <c r="DI904" s="808"/>
      <c r="DJ904" s="808"/>
      <c r="DK904" s="808"/>
      <c r="DL904" s="808"/>
      <c r="DM904" s="808"/>
      <c r="DN904" s="808"/>
      <c r="DO904" s="808"/>
      <c r="DP904" s="808"/>
      <c r="DQ904" s="808"/>
      <c r="DR904" s="808"/>
      <c r="DS904" s="808"/>
      <c r="DT904" s="808"/>
      <c r="DU904" s="808"/>
      <c r="DV904" s="808"/>
      <c r="DW904" s="808"/>
      <c r="DX904" s="808"/>
      <c r="DY904" s="808"/>
      <c r="DZ904" s="808"/>
      <c r="EA904" s="808"/>
      <c r="EB904" s="808"/>
      <c r="EC904" s="808"/>
      <c r="ED904" s="808"/>
      <c r="EE904" s="808"/>
      <c r="EF904" s="808"/>
      <c r="EG904" s="808"/>
      <c r="EH904" s="808"/>
      <c r="EI904" s="808"/>
      <c r="EJ904" s="808"/>
      <c r="EK904" s="808"/>
      <c r="EL904" s="808"/>
      <c r="EM904" s="808"/>
      <c r="EN904" s="808"/>
      <c r="EO904" s="808"/>
      <c r="EP904" s="808"/>
      <c r="EQ904" s="808"/>
      <c r="ER904" s="808"/>
      <c r="ES904" s="808"/>
      <c r="ET904" s="808"/>
      <c r="EU904" s="808"/>
      <c r="EV904" s="808"/>
      <c r="EW904" s="808"/>
      <c r="EX904" s="808"/>
      <c r="EY904" s="808"/>
      <c r="EZ904" s="808"/>
      <c r="FA904" s="808"/>
      <c r="FB904" s="808"/>
      <c r="FC904" s="808"/>
      <c r="FD904" s="808"/>
      <c r="FE904" s="808"/>
      <c r="FF904" s="808"/>
      <c r="FG904" s="808"/>
      <c r="FH904" s="808"/>
      <c r="FI904" s="808"/>
      <c r="FJ904" s="808"/>
      <c r="FK904" s="808"/>
      <c r="FL904" s="808"/>
      <c r="FM904" s="808"/>
      <c r="FN904" s="808"/>
      <c r="FO904" s="808"/>
      <c r="FP904" s="808"/>
      <c r="FQ904" s="808"/>
      <c r="FR904" s="808"/>
      <c r="FS904" s="808"/>
      <c r="FT904" s="808"/>
      <c r="FU904" s="808"/>
      <c r="FV904" s="808"/>
      <c r="FW904" s="808"/>
      <c r="FX904" s="808"/>
      <c r="FY904" s="808"/>
      <c r="FZ904" s="808"/>
      <c r="GA904" s="808"/>
      <c r="GB904" s="808"/>
      <c r="GC904" s="808"/>
      <c r="GD904" s="808"/>
      <c r="GE904" s="808"/>
      <c r="GF904" s="808"/>
      <c r="GG904" s="808"/>
      <c r="GH904" s="808"/>
      <c r="GI904" s="808"/>
      <c r="GJ904" s="808"/>
      <c r="GK904" s="808"/>
      <c r="GL904" s="808"/>
      <c r="GM904" s="808"/>
      <c r="GN904" s="808"/>
      <c r="GO904" s="808"/>
      <c r="GP904" s="808"/>
      <c r="GQ904" s="808"/>
      <c r="GR904" s="808"/>
      <c r="GS904" s="808"/>
      <c r="GT904" s="808"/>
      <c r="GU904" s="808"/>
      <c r="GV904" s="808"/>
      <c r="GW904" s="808"/>
      <c r="GX904" s="808"/>
      <c r="GY904" s="808"/>
      <c r="GZ904" s="808"/>
      <c r="HA904" s="808"/>
      <c r="HB904" s="808"/>
      <c r="HC904" s="808"/>
      <c r="HD904" s="808"/>
      <c r="HE904" s="808"/>
      <c r="HF904" s="808"/>
      <c r="HG904" s="808"/>
      <c r="HH904" s="808"/>
      <c r="HI904" s="808"/>
      <c r="HJ904" s="808"/>
      <c r="HK904" s="808"/>
      <c r="HL904" s="808"/>
      <c r="HM904" s="808"/>
      <c r="HN904" s="808"/>
      <c r="HO904" s="808"/>
      <c r="HP904" s="808"/>
      <c r="HQ904" s="808"/>
      <c r="HR904" s="808"/>
      <c r="HS904" s="808"/>
      <c r="HT904" s="808"/>
      <c r="HU904" s="808"/>
      <c r="HV904" s="808"/>
      <c r="HW904" s="808"/>
      <c r="HX904" s="808"/>
      <c r="HY904" s="808"/>
      <c r="HZ904" s="808"/>
      <c r="IA904" s="808"/>
      <c r="IB904" s="808"/>
      <c r="IC904" s="808"/>
      <c r="ID904" s="808"/>
      <c r="IE904" s="808"/>
      <c r="IF904" s="808"/>
      <c r="IG904" s="808"/>
      <c r="IH904" s="808"/>
      <c r="II904" s="808"/>
      <c r="IJ904" s="808"/>
      <c r="IK904" s="808"/>
      <c r="IL904" s="808"/>
      <c r="IM904" s="808"/>
      <c r="IN904" s="808"/>
      <c r="IO904" s="808"/>
      <c r="IP904" s="808"/>
      <c r="IQ904" s="808"/>
      <c r="IR904" s="808"/>
      <c r="IS904" s="808"/>
      <c r="IT904" s="808"/>
      <c r="IU904" s="808"/>
      <c r="IV904" s="808"/>
      <c r="IW904" s="808"/>
      <c r="IX904" s="808"/>
      <c r="IY904" s="808"/>
      <c r="IZ904" s="808"/>
      <c r="JA904" s="808"/>
      <c r="JB904" s="808"/>
      <c r="JC904" s="808"/>
      <c r="JD904" s="808"/>
      <c r="JE904" s="808"/>
      <c r="JF904" s="808"/>
      <c r="JG904" s="808"/>
      <c r="JH904" s="808"/>
      <c r="JI904" s="808"/>
      <c r="JJ904" s="808"/>
      <c r="JK904" s="808"/>
      <c r="JL904" s="808"/>
      <c r="JM904" s="808"/>
      <c r="JN904" s="808"/>
      <c r="JO904" s="808"/>
      <c r="JP904" s="808"/>
      <c r="JQ904" s="808"/>
      <c r="JR904" s="808"/>
      <c r="JS904" s="808"/>
      <c r="JT904" s="808"/>
      <c r="JU904" s="808"/>
      <c r="JV904" s="808"/>
      <c r="JW904" s="808"/>
      <c r="JX904" s="808"/>
      <c r="JY904" s="808"/>
      <c r="JZ904" s="808"/>
      <c r="KA904" s="808"/>
      <c r="KB904" s="808"/>
      <c r="KC904" s="808"/>
      <c r="KD904" s="808"/>
      <c r="KE904" s="808"/>
      <c r="KF904" s="808"/>
      <c r="KG904" s="808"/>
      <c r="KH904" s="808"/>
      <c r="KI904" s="808"/>
      <c r="KJ904" s="808"/>
      <c r="KK904" s="808"/>
      <c r="KL904" s="808"/>
      <c r="KM904" s="808"/>
      <c r="KN904" s="808"/>
      <c r="KO904" s="808"/>
      <c r="KP904" s="808"/>
      <c r="KQ904" s="808"/>
      <c r="KR904" s="808"/>
      <c r="KS904" s="808"/>
      <c r="KT904" s="808"/>
      <c r="KU904" s="808"/>
      <c r="KV904" s="808"/>
      <c r="KW904" s="808"/>
      <c r="KX904" s="808"/>
      <c r="KY904" s="808"/>
      <c r="KZ904" s="808"/>
      <c r="LA904" s="808"/>
      <c r="LB904" s="808"/>
      <c r="LC904" s="808"/>
      <c r="LD904" s="808"/>
      <c r="LE904" s="808"/>
      <c r="LF904" s="808"/>
      <c r="LG904" s="808"/>
      <c r="LH904" s="808"/>
      <c r="LI904" s="808"/>
      <c r="LJ904" s="808"/>
      <c r="LK904" s="808"/>
      <c r="LL904" s="808"/>
      <c r="LM904" s="808"/>
      <c r="LN904" s="808"/>
      <c r="LO904" s="808"/>
      <c r="LP904" s="808"/>
      <c r="LQ904" s="808"/>
      <c r="LR904" s="808"/>
      <c r="LS904" s="808"/>
      <c r="LT904" s="808"/>
      <c r="LU904" s="808"/>
      <c r="LV904" s="808"/>
      <c r="LW904" s="808"/>
      <c r="LX904" s="808"/>
      <c r="LY904" s="808"/>
      <c r="LZ904" s="808"/>
      <c r="MA904" s="808"/>
      <c r="MB904" s="808"/>
      <c r="MC904" s="808"/>
      <c r="MD904" s="808"/>
      <c r="ME904" s="808"/>
      <c r="MF904" s="808"/>
      <c r="MG904" s="808"/>
      <c r="MH904" s="808"/>
      <c r="MI904" s="808"/>
      <c r="MJ904" s="808"/>
      <c r="MK904" s="808"/>
      <c r="ML904" s="808"/>
      <c r="MM904" s="808"/>
      <c r="MN904" s="808"/>
      <c r="MO904" s="808"/>
      <c r="MP904" s="808"/>
      <c r="MQ904" s="808"/>
      <c r="MR904" s="808"/>
      <c r="MS904" s="808"/>
      <c r="MT904" s="808"/>
      <c r="MU904" s="808"/>
      <c r="MV904" s="808"/>
      <c r="MW904" s="808"/>
      <c r="MX904" s="808"/>
      <c r="MY904" s="808"/>
      <c r="MZ904" s="808"/>
      <c r="NA904" s="808"/>
      <c r="NB904" s="808"/>
      <c r="NC904" s="808"/>
      <c r="ND904" s="808"/>
      <c r="NE904" s="808"/>
      <c r="NF904" s="808"/>
      <c r="NG904" s="808"/>
      <c r="NH904" s="808"/>
      <c r="NI904" s="808"/>
      <c r="NJ904" s="808"/>
      <c r="NK904" s="808"/>
      <c r="NL904" s="808"/>
      <c r="NM904" s="808"/>
      <c r="NN904" s="808"/>
      <c r="NO904" s="808"/>
      <c r="NP904" s="808"/>
      <c r="NQ904" s="808"/>
      <c r="NR904" s="808"/>
      <c r="NS904" s="808"/>
      <c r="NT904" s="808"/>
      <c r="NU904" s="808"/>
      <c r="NV904" s="808"/>
      <c r="NW904" s="808"/>
      <c r="NX904" s="808"/>
      <c r="NY904" s="808"/>
      <c r="NZ904" s="808"/>
      <c r="OA904" s="808"/>
      <c r="OB904" s="808"/>
      <c r="OC904" s="808"/>
      <c r="OD904" s="808"/>
      <c r="OE904" s="808"/>
      <c r="OF904" s="808"/>
      <c r="OG904" s="808"/>
      <c r="OH904" s="808"/>
      <c r="OI904" s="808"/>
      <c r="OJ904" s="808"/>
      <c r="OK904" s="808"/>
      <c r="OL904" s="808"/>
      <c r="OM904" s="808"/>
      <c r="ON904" s="808"/>
      <c r="OO904" s="808"/>
      <c r="OP904" s="808"/>
      <c r="OQ904" s="808"/>
      <c r="OR904" s="808"/>
      <c r="OS904" s="808"/>
      <c r="OT904" s="808"/>
      <c r="OU904" s="808"/>
      <c r="OV904" s="808"/>
      <c r="OW904" s="808"/>
      <c r="OX904" s="808"/>
      <c r="OY904" s="808"/>
      <c r="OZ904" s="808"/>
      <c r="PA904" s="808"/>
      <c r="PB904" s="808"/>
      <c r="PC904" s="808"/>
      <c r="PD904" s="808"/>
      <c r="PE904" s="808"/>
      <c r="PF904" s="808"/>
      <c r="PG904" s="808"/>
      <c r="PH904" s="808"/>
      <c r="PI904" s="808"/>
      <c r="PJ904" s="808"/>
      <c r="PK904" s="808"/>
      <c r="PL904" s="808"/>
      <c r="PM904" s="808"/>
      <c r="PN904" s="808"/>
      <c r="PO904" s="808"/>
      <c r="PP904" s="808"/>
      <c r="PQ904" s="808"/>
      <c r="PR904" s="808"/>
      <c r="PS904" s="808"/>
      <c r="PT904" s="808"/>
      <c r="PU904" s="808"/>
      <c r="PV904" s="808"/>
      <c r="PW904" s="808"/>
      <c r="PX904" s="808"/>
      <c r="PY904" s="808"/>
      <c r="PZ904" s="808"/>
      <c r="QA904" s="808"/>
      <c r="QB904" s="808"/>
      <c r="QC904" s="808"/>
      <c r="QD904" s="808"/>
      <c r="QE904" s="808"/>
      <c r="QF904" s="808"/>
      <c r="QG904" s="808"/>
      <c r="QH904" s="808"/>
      <c r="QI904" s="808"/>
      <c r="QJ904" s="808"/>
      <c r="QK904" s="808"/>
      <c r="QL904" s="808"/>
      <c r="QM904" s="808"/>
      <c r="QN904" s="808"/>
      <c r="QO904" s="808"/>
      <c r="QP904" s="808"/>
      <c r="QQ904" s="808"/>
      <c r="QR904" s="808"/>
      <c r="QS904" s="808"/>
      <c r="QT904" s="808"/>
      <c r="QU904" s="808"/>
      <c r="QV904" s="808"/>
      <c r="QW904" s="808"/>
      <c r="QX904" s="808"/>
      <c r="QY904" s="808"/>
      <c r="QZ904" s="808"/>
      <c r="RA904" s="808"/>
      <c r="RB904" s="808"/>
      <c r="RC904" s="808"/>
      <c r="RD904" s="808"/>
      <c r="RE904" s="808"/>
      <c r="RF904" s="808"/>
      <c r="RG904" s="808"/>
      <c r="RH904" s="808"/>
      <c r="RI904" s="808"/>
      <c r="RJ904" s="808"/>
      <c r="RK904" s="808"/>
      <c r="RL904" s="808"/>
      <c r="RM904" s="808"/>
      <c r="RN904" s="808"/>
      <c r="RO904" s="808"/>
      <c r="RP904" s="808"/>
      <c r="RQ904" s="808"/>
      <c r="RR904" s="808"/>
      <c r="RS904" s="808"/>
      <c r="RT904" s="808"/>
      <c r="RU904" s="808"/>
      <c r="RV904" s="808"/>
      <c r="RW904" s="808"/>
      <c r="RX904" s="808"/>
      <c r="RY904" s="808"/>
      <c r="RZ904" s="808"/>
      <c r="SA904" s="808"/>
      <c r="SB904" s="808"/>
      <c r="SC904" s="808"/>
      <c r="SD904" s="808"/>
      <c r="SE904" s="808"/>
      <c r="SF904" s="808"/>
      <c r="SG904" s="808"/>
      <c r="SH904" s="808"/>
      <c r="SI904" s="808"/>
      <c r="SJ904" s="808"/>
      <c r="SK904" s="808"/>
      <c r="SL904" s="808"/>
      <c r="SM904" s="808"/>
      <c r="SN904" s="808"/>
      <c r="SO904" s="808"/>
      <c r="SP904" s="808"/>
      <c r="SQ904" s="808"/>
      <c r="SR904" s="808"/>
      <c r="SS904" s="808"/>
      <c r="ST904" s="808"/>
      <c r="SU904" s="808"/>
      <c r="SV904" s="808"/>
      <c r="SW904" s="808"/>
      <c r="SX904" s="808"/>
      <c r="SY904" s="808"/>
      <c r="SZ904" s="808"/>
      <c r="TA904" s="808"/>
      <c r="TB904" s="808"/>
      <c r="TC904" s="808"/>
      <c r="TD904" s="808"/>
      <c r="TE904" s="808"/>
      <c r="TF904" s="808"/>
      <c r="TG904" s="808"/>
      <c r="TH904" s="808"/>
      <c r="TI904" s="808"/>
      <c r="TJ904" s="808"/>
      <c r="TK904" s="808"/>
      <c r="TL904" s="808"/>
      <c r="TM904" s="808"/>
      <c r="TN904" s="808"/>
      <c r="TO904" s="808"/>
      <c r="TP904" s="808"/>
      <c r="TQ904" s="808"/>
      <c r="TR904" s="808"/>
      <c r="TS904" s="808"/>
      <c r="TT904" s="808"/>
      <c r="TU904" s="808"/>
      <c r="TV904" s="808"/>
      <c r="TW904" s="808"/>
      <c r="TX904" s="808"/>
      <c r="TY904" s="808"/>
      <c r="TZ904" s="808"/>
      <c r="UA904" s="808"/>
      <c r="UB904" s="808"/>
      <c r="UC904" s="808"/>
      <c r="UD904" s="808"/>
      <c r="UE904" s="808"/>
      <c r="UF904" s="808"/>
      <c r="UG904" s="808"/>
      <c r="UH904" s="808"/>
      <c r="UI904" s="808"/>
      <c r="UJ904" s="808"/>
      <c r="UK904" s="808"/>
      <c r="UL904" s="808"/>
      <c r="UM904" s="808"/>
      <c r="UN904" s="808"/>
      <c r="UO904" s="808"/>
      <c r="UP904" s="808"/>
      <c r="UQ904" s="808"/>
      <c r="UR904" s="808"/>
      <c r="US904" s="808"/>
      <c r="UT904" s="808"/>
      <c r="UU904" s="808"/>
      <c r="UV904" s="808"/>
      <c r="UW904" s="808"/>
      <c r="UX904" s="808"/>
      <c r="UY904" s="808"/>
      <c r="UZ904" s="808"/>
      <c r="VA904" s="808"/>
      <c r="VB904" s="808"/>
      <c r="VC904" s="808"/>
      <c r="VD904" s="808"/>
      <c r="VE904" s="808"/>
      <c r="VF904" s="808"/>
      <c r="VG904" s="808"/>
      <c r="VH904" s="808"/>
      <c r="VI904" s="808"/>
      <c r="VJ904" s="808"/>
      <c r="VK904" s="808"/>
      <c r="VL904" s="808"/>
      <c r="VM904" s="808"/>
      <c r="VN904" s="808"/>
      <c r="VO904" s="808"/>
      <c r="VP904" s="808"/>
      <c r="VQ904" s="808"/>
      <c r="VR904" s="808"/>
      <c r="VS904" s="808"/>
      <c r="VT904" s="808"/>
      <c r="VU904" s="808"/>
      <c r="VV904" s="808"/>
      <c r="VW904" s="808"/>
      <c r="VX904" s="808"/>
      <c r="VY904" s="808"/>
      <c r="VZ904" s="808"/>
      <c r="WA904" s="808"/>
      <c r="WB904" s="808"/>
      <c r="WC904" s="808"/>
      <c r="WD904" s="808"/>
      <c r="WE904" s="808"/>
      <c r="WF904" s="808"/>
      <c r="WG904" s="808"/>
      <c r="WH904" s="808"/>
      <c r="WI904" s="808"/>
      <c r="WJ904" s="808"/>
      <c r="WK904" s="808"/>
      <c r="WL904" s="808"/>
      <c r="WM904" s="808"/>
      <c r="WN904" s="808"/>
      <c r="WO904" s="808"/>
      <c r="WP904" s="808"/>
      <c r="WQ904" s="808"/>
      <c r="WR904" s="808"/>
      <c r="WS904" s="808"/>
      <c r="WT904" s="808"/>
      <c r="WU904" s="808"/>
      <c r="WV904" s="808"/>
      <c r="WW904" s="808"/>
      <c r="WX904" s="808"/>
      <c r="WY904" s="808"/>
      <c r="WZ904" s="808"/>
      <c r="XA904" s="808"/>
      <c r="XB904" s="808"/>
      <c r="XC904" s="808"/>
      <c r="XD904" s="808"/>
      <c r="XE904" s="808"/>
      <c r="XF904" s="808"/>
      <c r="XG904" s="808"/>
      <c r="XH904" s="808"/>
      <c r="XI904" s="808"/>
      <c r="XJ904" s="808"/>
      <c r="XK904" s="808"/>
      <c r="XL904" s="808"/>
      <c r="XM904" s="808"/>
      <c r="XN904" s="808"/>
      <c r="XO904" s="808"/>
      <c r="XP904" s="808"/>
      <c r="XQ904" s="808"/>
      <c r="XR904" s="808"/>
      <c r="XS904" s="808"/>
      <c r="XT904" s="808"/>
      <c r="XU904" s="808"/>
      <c r="XV904" s="808"/>
      <c r="XW904" s="808"/>
      <c r="XX904" s="808"/>
      <c r="XY904" s="808"/>
      <c r="XZ904" s="808"/>
      <c r="YA904" s="808"/>
      <c r="YB904" s="808"/>
      <c r="YC904" s="808"/>
      <c r="YD904" s="808"/>
      <c r="YE904" s="808"/>
      <c r="YF904" s="808"/>
      <c r="YG904" s="808"/>
      <c r="YH904" s="808"/>
      <c r="YI904" s="808"/>
      <c r="YJ904" s="808"/>
      <c r="YK904" s="808"/>
      <c r="YL904" s="808"/>
      <c r="YM904" s="808"/>
      <c r="YN904" s="808"/>
      <c r="YO904" s="808"/>
      <c r="YP904" s="808"/>
      <c r="YQ904" s="808"/>
      <c r="YR904" s="808"/>
      <c r="YS904" s="808"/>
      <c r="YT904" s="808"/>
      <c r="YU904" s="808"/>
      <c r="YV904" s="808"/>
      <c r="YW904" s="808"/>
      <c r="YX904" s="808"/>
      <c r="YY904" s="808"/>
      <c r="YZ904" s="808"/>
      <c r="ZA904" s="808"/>
      <c r="ZB904" s="808"/>
      <c r="ZC904" s="808"/>
      <c r="ZD904" s="808"/>
      <c r="ZE904" s="808"/>
      <c r="ZF904" s="808"/>
      <c r="ZG904" s="808"/>
      <c r="ZH904" s="808"/>
      <c r="ZI904" s="808"/>
      <c r="ZJ904" s="808"/>
      <c r="ZK904" s="808"/>
      <c r="ZL904" s="808"/>
      <c r="ZM904" s="808"/>
      <c r="ZN904" s="808"/>
      <c r="ZO904" s="808"/>
      <c r="ZP904" s="808"/>
      <c r="ZQ904" s="808"/>
      <c r="ZR904" s="808"/>
      <c r="ZS904" s="808"/>
      <c r="ZT904" s="808"/>
      <c r="ZU904" s="808"/>
      <c r="ZV904" s="808"/>
      <c r="ZW904" s="808"/>
      <c r="ZX904" s="808"/>
      <c r="ZY904" s="808"/>
      <c r="ZZ904" s="808"/>
      <c r="AAA904" s="808"/>
      <c r="AAB904" s="808"/>
      <c r="AAC904" s="808"/>
      <c r="AAD904" s="808"/>
      <c r="AAE904" s="808"/>
      <c r="AAF904" s="808"/>
      <c r="AAG904" s="808"/>
      <c r="AAH904" s="808"/>
      <c r="AAI904" s="808"/>
      <c r="AAJ904" s="808"/>
      <c r="AAK904" s="808"/>
      <c r="AAL904" s="808"/>
      <c r="AAM904" s="808"/>
      <c r="AAN904" s="808"/>
      <c r="AAO904" s="808"/>
      <c r="AAP904" s="808"/>
      <c r="AAQ904" s="808"/>
      <c r="AAR904" s="808"/>
      <c r="AAS904" s="808"/>
      <c r="AAT904" s="808"/>
      <c r="AAU904" s="808"/>
      <c r="AAV904" s="808"/>
      <c r="AAW904" s="808"/>
      <c r="AAX904" s="808"/>
      <c r="AAY904" s="808"/>
      <c r="AAZ904" s="808"/>
      <c r="ABA904" s="808"/>
      <c r="ABB904" s="808"/>
      <c r="ABC904" s="808"/>
      <c r="ABD904" s="808"/>
      <c r="ABE904" s="808"/>
      <c r="ABF904" s="808"/>
      <c r="ABG904" s="808"/>
      <c r="ABH904" s="808"/>
      <c r="ABI904" s="808"/>
      <c r="ABJ904" s="808"/>
      <c r="ABK904" s="808"/>
      <c r="ABL904" s="808"/>
      <c r="ABM904" s="808"/>
      <c r="ABN904" s="808"/>
      <c r="ABO904" s="808"/>
      <c r="ABP904" s="808"/>
      <c r="ABQ904" s="808"/>
      <c r="ABR904" s="808"/>
      <c r="ABS904" s="808"/>
      <c r="ABT904" s="808"/>
      <c r="ABU904" s="808"/>
      <c r="ABV904" s="808"/>
      <c r="ABW904" s="808"/>
      <c r="ABX904" s="808"/>
      <c r="ABY904" s="808"/>
      <c r="ABZ904" s="808"/>
      <c r="ACA904" s="808"/>
      <c r="ACB904" s="808"/>
      <c r="ACC904" s="808"/>
      <c r="ACD904" s="808"/>
      <c r="ACE904" s="808"/>
      <c r="ACF904" s="808"/>
      <c r="ACG904" s="808"/>
      <c r="ACH904" s="808"/>
      <c r="ACI904" s="808"/>
      <c r="ACJ904" s="808"/>
      <c r="ACK904" s="808"/>
      <c r="ACL904" s="808"/>
      <c r="ACM904" s="808"/>
      <c r="ACN904" s="808"/>
      <c r="ACO904" s="808"/>
      <c r="ACP904" s="808"/>
      <c r="ACQ904" s="808"/>
      <c r="ACR904" s="808"/>
      <c r="ACS904" s="808"/>
      <c r="ACT904" s="808"/>
      <c r="ACU904" s="808"/>
      <c r="ACV904" s="808"/>
      <c r="ACW904" s="808"/>
      <c r="ACX904" s="808"/>
      <c r="ACY904" s="808"/>
      <c r="ACZ904" s="808"/>
      <c r="ADA904" s="808"/>
      <c r="ADB904" s="808"/>
      <c r="ADC904" s="808"/>
      <c r="ADD904" s="808"/>
      <c r="ADE904" s="808"/>
      <c r="ADF904" s="808"/>
      <c r="ADG904" s="808"/>
      <c r="ADH904" s="808"/>
      <c r="ADI904" s="808"/>
      <c r="ADJ904" s="808"/>
      <c r="ADK904" s="808"/>
      <c r="ADL904" s="808"/>
      <c r="ADM904" s="808"/>
      <c r="ADN904" s="808"/>
      <c r="ADO904" s="808"/>
      <c r="ADP904" s="808"/>
      <c r="ADQ904" s="808"/>
      <c r="ADR904" s="808"/>
      <c r="ADS904" s="808"/>
      <c r="ADT904" s="808"/>
      <c r="ADU904" s="808"/>
      <c r="ADV904" s="808"/>
      <c r="ADW904" s="808"/>
      <c r="ADX904" s="808"/>
      <c r="ADY904" s="808"/>
      <c r="ADZ904" s="808"/>
      <c r="AEA904" s="808"/>
      <c r="AEB904" s="808"/>
      <c r="AEC904" s="808"/>
      <c r="AED904" s="808"/>
      <c r="AEE904" s="808"/>
      <c r="AEF904" s="808"/>
      <c r="AEG904" s="808"/>
      <c r="AEH904" s="808"/>
      <c r="AEI904" s="808"/>
      <c r="AEJ904" s="808"/>
      <c r="AEK904" s="808"/>
      <c r="AEL904" s="808"/>
      <c r="AEM904" s="808"/>
      <c r="AEN904" s="808"/>
      <c r="AEO904" s="808"/>
      <c r="AEP904" s="808"/>
      <c r="AEQ904" s="808"/>
      <c r="AER904" s="808"/>
      <c r="AES904" s="808"/>
      <c r="AET904" s="808"/>
      <c r="AEU904" s="808"/>
      <c r="AEV904" s="808"/>
      <c r="AEW904" s="808"/>
      <c r="AEX904" s="808"/>
      <c r="AEY904" s="808"/>
      <c r="AEZ904" s="808"/>
      <c r="AFA904" s="808"/>
      <c r="AFB904" s="808"/>
      <c r="AFC904" s="808"/>
      <c r="AFD904" s="808"/>
      <c r="AFE904" s="808"/>
      <c r="AFF904" s="808"/>
      <c r="AFG904" s="808"/>
      <c r="AFH904" s="808"/>
      <c r="AFI904" s="808"/>
      <c r="AFJ904" s="808"/>
      <c r="AFK904" s="808"/>
      <c r="AFL904" s="808"/>
      <c r="AFM904" s="808"/>
      <c r="AFN904" s="808"/>
      <c r="AFO904" s="808"/>
      <c r="AFP904" s="808"/>
      <c r="AFQ904" s="808"/>
      <c r="AFR904" s="808"/>
      <c r="AFS904" s="808"/>
      <c r="AFT904" s="808"/>
      <c r="AFU904" s="808"/>
      <c r="AFV904" s="808"/>
      <c r="AFW904" s="808"/>
      <c r="AFX904" s="808"/>
      <c r="AFY904" s="808"/>
      <c r="AFZ904" s="808"/>
      <c r="AGA904" s="808"/>
      <c r="AGB904" s="808"/>
      <c r="AGC904" s="808"/>
      <c r="AGD904" s="808"/>
      <c r="AGE904" s="808"/>
      <c r="AGF904" s="808"/>
      <c r="AGG904" s="808"/>
      <c r="AGH904" s="808"/>
      <c r="AGI904" s="808"/>
      <c r="AGJ904" s="808"/>
    </row>
    <row r="905" spans="1:868" s="7" customFormat="1">
      <c r="A905" s="609" t="s">
        <v>118</v>
      </c>
      <c r="B905" s="59" t="s">
        <v>446</v>
      </c>
      <c r="C905" s="40" t="s">
        <v>139</v>
      </c>
      <c r="D905" s="34" t="s">
        <v>99</v>
      </c>
      <c r="E905" s="859">
        <v>5.5915505458418391E-2</v>
      </c>
      <c r="F905" s="34">
        <v>2</v>
      </c>
      <c r="G905" s="40" t="s">
        <v>433</v>
      </c>
      <c r="H905" s="29">
        <v>1</v>
      </c>
      <c r="I905" s="9">
        <v>2</v>
      </c>
      <c r="J905" s="9">
        <v>2</v>
      </c>
      <c r="K905" s="9">
        <v>1</v>
      </c>
      <c r="L905" s="9">
        <v>1</v>
      </c>
      <c r="M905" s="9">
        <v>2</v>
      </c>
      <c r="N905" s="185">
        <f t="shared" si="66"/>
        <v>0.35859414261160716</v>
      </c>
      <c r="O905" s="159">
        <f t="shared" si="65"/>
        <v>0.37356464144298934</v>
      </c>
      <c r="P905" s="63"/>
      <c r="Q905" s="808"/>
      <c r="R905" s="808"/>
      <c r="S905" s="808"/>
      <c r="T905" s="808"/>
      <c r="U905" s="808"/>
      <c r="V905" s="808"/>
      <c r="W905" s="808"/>
      <c r="X905" s="808"/>
      <c r="Y905" s="808"/>
      <c r="Z905" s="808"/>
      <c r="AA905" s="808"/>
      <c r="AB905" s="808"/>
      <c r="AC905" s="808"/>
      <c r="AD905" s="808"/>
      <c r="AE905" s="808"/>
      <c r="AF905" s="808"/>
      <c r="AG905" s="808"/>
      <c r="AH905" s="808"/>
      <c r="AI905" s="808"/>
      <c r="AJ905" s="808"/>
      <c r="AK905" s="808"/>
      <c r="AL905" s="808"/>
      <c r="AM905" s="808"/>
      <c r="AN905" s="808"/>
      <c r="AO905" s="808"/>
      <c r="AP905" s="808"/>
      <c r="AQ905" s="808"/>
      <c r="AR905" s="808"/>
      <c r="AS905" s="808"/>
      <c r="AT905" s="808"/>
      <c r="AU905" s="808"/>
      <c r="AV905" s="808"/>
      <c r="AW905" s="808"/>
      <c r="AX905" s="808"/>
      <c r="AY905" s="808"/>
      <c r="AZ905" s="808"/>
      <c r="BA905" s="808"/>
      <c r="BB905" s="808"/>
      <c r="BC905" s="808"/>
      <c r="BD905" s="808"/>
      <c r="BE905" s="808"/>
      <c r="BF905" s="808"/>
      <c r="BG905" s="808"/>
      <c r="BH905" s="808"/>
      <c r="BI905" s="808"/>
      <c r="BJ905" s="808"/>
      <c r="BK905" s="808"/>
      <c r="BL905" s="808"/>
      <c r="BM905" s="808"/>
      <c r="BN905" s="808"/>
      <c r="BO905" s="808"/>
      <c r="BP905" s="808"/>
      <c r="BQ905" s="808"/>
      <c r="BR905" s="808"/>
      <c r="BS905" s="808"/>
      <c r="BT905" s="808"/>
      <c r="BU905" s="808"/>
      <c r="BV905" s="808"/>
      <c r="BW905" s="808"/>
      <c r="BX905" s="808"/>
      <c r="BY905" s="808"/>
      <c r="BZ905" s="808"/>
      <c r="CA905" s="808"/>
      <c r="CB905" s="808"/>
      <c r="CC905" s="808"/>
      <c r="CD905" s="808"/>
      <c r="CE905" s="808"/>
      <c r="CF905" s="808"/>
      <c r="CG905" s="808"/>
      <c r="CH905" s="808"/>
      <c r="CI905" s="808"/>
      <c r="CJ905" s="808"/>
      <c r="CK905" s="808"/>
      <c r="CL905" s="808"/>
      <c r="CM905" s="808"/>
      <c r="CN905" s="808"/>
      <c r="CO905" s="808"/>
      <c r="CP905" s="808"/>
      <c r="CQ905" s="808"/>
      <c r="CR905" s="808"/>
      <c r="CS905" s="808"/>
      <c r="CT905" s="808"/>
      <c r="CU905" s="808"/>
      <c r="CV905" s="808"/>
      <c r="CW905" s="808"/>
      <c r="CX905" s="808"/>
      <c r="CY905" s="808"/>
      <c r="CZ905" s="808"/>
      <c r="DA905" s="808"/>
      <c r="DB905" s="808"/>
      <c r="DC905" s="808"/>
      <c r="DD905" s="808"/>
      <c r="DE905" s="808"/>
      <c r="DF905" s="808"/>
      <c r="DG905" s="808"/>
      <c r="DH905" s="808"/>
      <c r="DI905" s="808"/>
      <c r="DJ905" s="808"/>
      <c r="DK905" s="808"/>
      <c r="DL905" s="808"/>
      <c r="DM905" s="808"/>
      <c r="DN905" s="808"/>
      <c r="DO905" s="808"/>
      <c r="DP905" s="808"/>
      <c r="DQ905" s="808"/>
      <c r="DR905" s="808"/>
      <c r="DS905" s="808"/>
      <c r="DT905" s="808"/>
      <c r="DU905" s="808"/>
      <c r="DV905" s="808"/>
      <c r="DW905" s="808"/>
      <c r="DX905" s="808"/>
      <c r="DY905" s="808"/>
      <c r="DZ905" s="808"/>
      <c r="EA905" s="808"/>
      <c r="EB905" s="808"/>
      <c r="EC905" s="808"/>
      <c r="ED905" s="808"/>
      <c r="EE905" s="808"/>
      <c r="EF905" s="808"/>
      <c r="EG905" s="808"/>
      <c r="EH905" s="808"/>
      <c r="EI905" s="808"/>
      <c r="EJ905" s="808"/>
      <c r="EK905" s="808"/>
      <c r="EL905" s="808"/>
      <c r="EM905" s="808"/>
      <c r="EN905" s="808"/>
      <c r="EO905" s="808"/>
      <c r="EP905" s="808"/>
      <c r="EQ905" s="808"/>
      <c r="ER905" s="808"/>
      <c r="ES905" s="808"/>
      <c r="ET905" s="808"/>
      <c r="EU905" s="808"/>
      <c r="EV905" s="808"/>
      <c r="EW905" s="808"/>
      <c r="EX905" s="808"/>
      <c r="EY905" s="808"/>
      <c r="EZ905" s="808"/>
      <c r="FA905" s="808"/>
      <c r="FB905" s="808"/>
      <c r="FC905" s="808"/>
      <c r="FD905" s="808"/>
      <c r="FE905" s="808"/>
      <c r="FF905" s="808"/>
      <c r="FG905" s="808"/>
      <c r="FH905" s="808"/>
      <c r="FI905" s="808"/>
      <c r="FJ905" s="808"/>
      <c r="FK905" s="808"/>
      <c r="FL905" s="808"/>
      <c r="FM905" s="808"/>
      <c r="FN905" s="808"/>
      <c r="FO905" s="808"/>
      <c r="FP905" s="808"/>
      <c r="FQ905" s="808"/>
      <c r="FR905" s="808"/>
      <c r="FS905" s="808"/>
      <c r="FT905" s="808"/>
      <c r="FU905" s="808"/>
      <c r="FV905" s="808"/>
      <c r="FW905" s="808"/>
      <c r="FX905" s="808"/>
      <c r="FY905" s="808"/>
      <c r="FZ905" s="808"/>
      <c r="GA905" s="808"/>
      <c r="GB905" s="808"/>
      <c r="GC905" s="808"/>
      <c r="GD905" s="808"/>
      <c r="GE905" s="808"/>
      <c r="GF905" s="808"/>
      <c r="GG905" s="808"/>
      <c r="GH905" s="808"/>
      <c r="GI905" s="808"/>
      <c r="GJ905" s="808"/>
      <c r="GK905" s="808"/>
      <c r="GL905" s="808"/>
      <c r="GM905" s="808"/>
      <c r="GN905" s="808"/>
      <c r="GO905" s="808"/>
      <c r="GP905" s="808"/>
      <c r="GQ905" s="808"/>
      <c r="GR905" s="808"/>
      <c r="GS905" s="808"/>
      <c r="GT905" s="808"/>
      <c r="GU905" s="808"/>
      <c r="GV905" s="808"/>
      <c r="GW905" s="808"/>
      <c r="GX905" s="808"/>
      <c r="GY905" s="808"/>
      <c r="GZ905" s="808"/>
      <c r="HA905" s="808"/>
      <c r="HB905" s="808"/>
      <c r="HC905" s="808"/>
      <c r="HD905" s="808"/>
      <c r="HE905" s="808"/>
      <c r="HF905" s="808"/>
      <c r="HG905" s="808"/>
      <c r="HH905" s="808"/>
      <c r="HI905" s="808"/>
      <c r="HJ905" s="808"/>
      <c r="HK905" s="808"/>
      <c r="HL905" s="808"/>
      <c r="HM905" s="808"/>
      <c r="HN905" s="808"/>
      <c r="HO905" s="808"/>
      <c r="HP905" s="808"/>
      <c r="HQ905" s="808"/>
      <c r="HR905" s="808"/>
      <c r="HS905" s="808"/>
      <c r="HT905" s="808"/>
      <c r="HU905" s="808"/>
      <c r="HV905" s="808"/>
      <c r="HW905" s="808"/>
      <c r="HX905" s="808"/>
      <c r="HY905" s="808"/>
      <c r="HZ905" s="808"/>
      <c r="IA905" s="808"/>
      <c r="IB905" s="808"/>
      <c r="IC905" s="808"/>
      <c r="ID905" s="808"/>
      <c r="IE905" s="808"/>
      <c r="IF905" s="808"/>
      <c r="IG905" s="808"/>
      <c r="IH905" s="808"/>
      <c r="II905" s="808"/>
      <c r="IJ905" s="808"/>
      <c r="IK905" s="808"/>
      <c r="IL905" s="808"/>
      <c r="IM905" s="808"/>
      <c r="IN905" s="808"/>
      <c r="IO905" s="808"/>
      <c r="IP905" s="808"/>
      <c r="IQ905" s="808"/>
      <c r="IR905" s="808"/>
      <c r="IS905" s="808"/>
      <c r="IT905" s="808"/>
      <c r="IU905" s="808"/>
      <c r="IV905" s="808"/>
      <c r="IW905" s="808"/>
      <c r="IX905" s="808"/>
      <c r="IY905" s="808"/>
      <c r="IZ905" s="808"/>
      <c r="JA905" s="808"/>
      <c r="JB905" s="808"/>
      <c r="JC905" s="808"/>
      <c r="JD905" s="808"/>
      <c r="JE905" s="808"/>
      <c r="JF905" s="808"/>
      <c r="JG905" s="808"/>
      <c r="JH905" s="808"/>
      <c r="JI905" s="808"/>
      <c r="JJ905" s="808"/>
      <c r="JK905" s="808"/>
      <c r="JL905" s="808"/>
      <c r="JM905" s="808"/>
      <c r="JN905" s="808"/>
      <c r="JO905" s="808"/>
      <c r="JP905" s="808"/>
      <c r="JQ905" s="808"/>
      <c r="JR905" s="808"/>
      <c r="JS905" s="808"/>
      <c r="JT905" s="808"/>
      <c r="JU905" s="808"/>
      <c r="JV905" s="808"/>
      <c r="JW905" s="808"/>
      <c r="JX905" s="808"/>
      <c r="JY905" s="808"/>
      <c r="JZ905" s="808"/>
      <c r="KA905" s="808"/>
      <c r="KB905" s="808"/>
      <c r="KC905" s="808"/>
      <c r="KD905" s="808"/>
      <c r="KE905" s="808"/>
      <c r="KF905" s="808"/>
      <c r="KG905" s="808"/>
      <c r="KH905" s="808"/>
      <c r="KI905" s="808"/>
      <c r="KJ905" s="808"/>
      <c r="KK905" s="808"/>
      <c r="KL905" s="808"/>
      <c r="KM905" s="808"/>
      <c r="KN905" s="808"/>
      <c r="KO905" s="808"/>
      <c r="KP905" s="808"/>
      <c r="KQ905" s="808"/>
      <c r="KR905" s="808"/>
      <c r="KS905" s="808"/>
      <c r="KT905" s="808"/>
      <c r="KU905" s="808"/>
      <c r="KV905" s="808"/>
      <c r="KW905" s="808"/>
      <c r="KX905" s="808"/>
      <c r="KY905" s="808"/>
      <c r="KZ905" s="808"/>
      <c r="LA905" s="808"/>
      <c r="LB905" s="808"/>
      <c r="LC905" s="808"/>
      <c r="LD905" s="808"/>
      <c r="LE905" s="808"/>
      <c r="LF905" s="808"/>
      <c r="LG905" s="808"/>
      <c r="LH905" s="808"/>
      <c r="LI905" s="808"/>
      <c r="LJ905" s="808"/>
      <c r="LK905" s="808"/>
      <c r="LL905" s="808"/>
      <c r="LM905" s="808"/>
      <c r="LN905" s="808"/>
      <c r="LO905" s="808"/>
      <c r="LP905" s="808"/>
      <c r="LQ905" s="808"/>
      <c r="LR905" s="808"/>
      <c r="LS905" s="808"/>
      <c r="LT905" s="808"/>
      <c r="LU905" s="808"/>
      <c r="LV905" s="808"/>
      <c r="LW905" s="808"/>
      <c r="LX905" s="808"/>
      <c r="LY905" s="808"/>
      <c r="LZ905" s="808"/>
      <c r="MA905" s="808"/>
      <c r="MB905" s="808"/>
      <c r="MC905" s="808"/>
      <c r="MD905" s="808"/>
      <c r="ME905" s="808"/>
      <c r="MF905" s="808"/>
      <c r="MG905" s="808"/>
      <c r="MH905" s="808"/>
      <c r="MI905" s="808"/>
      <c r="MJ905" s="808"/>
      <c r="MK905" s="808"/>
      <c r="ML905" s="808"/>
      <c r="MM905" s="808"/>
      <c r="MN905" s="808"/>
      <c r="MO905" s="808"/>
      <c r="MP905" s="808"/>
      <c r="MQ905" s="808"/>
      <c r="MR905" s="808"/>
      <c r="MS905" s="808"/>
      <c r="MT905" s="808"/>
      <c r="MU905" s="808"/>
      <c r="MV905" s="808"/>
      <c r="MW905" s="808"/>
      <c r="MX905" s="808"/>
      <c r="MY905" s="808"/>
      <c r="MZ905" s="808"/>
      <c r="NA905" s="808"/>
      <c r="NB905" s="808"/>
      <c r="NC905" s="808"/>
      <c r="ND905" s="808"/>
      <c r="NE905" s="808"/>
      <c r="NF905" s="808"/>
      <c r="NG905" s="808"/>
      <c r="NH905" s="808"/>
      <c r="NI905" s="808"/>
      <c r="NJ905" s="808"/>
      <c r="NK905" s="808"/>
      <c r="NL905" s="808"/>
      <c r="NM905" s="808"/>
      <c r="NN905" s="808"/>
      <c r="NO905" s="808"/>
      <c r="NP905" s="808"/>
      <c r="NQ905" s="808"/>
      <c r="NR905" s="808"/>
      <c r="NS905" s="808"/>
      <c r="NT905" s="808"/>
      <c r="NU905" s="808"/>
      <c r="NV905" s="808"/>
      <c r="NW905" s="808"/>
      <c r="NX905" s="808"/>
      <c r="NY905" s="808"/>
      <c r="NZ905" s="808"/>
      <c r="OA905" s="808"/>
      <c r="OB905" s="808"/>
      <c r="OC905" s="808"/>
      <c r="OD905" s="808"/>
      <c r="OE905" s="808"/>
      <c r="OF905" s="808"/>
      <c r="OG905" s="808"/>
      <c r="OH905" s="808"/>
      <c r="OI905" s="808"/>
      <c r="OJ905" s="808"/>
      <c r="OK905" s="808"/>
      <c r="OL905" s="808"/>
      <c r="OM905" s="808"/>
      <c r="ON905" s="808"/>
      <c r="OO905" s="808"/>
      <c r="OP905" s="808"/>
      <c r="OQ905" s="808"/>
      <c r="OR905" s="808"/>
      <c r="OS905" s="808"/>
      <c r="OT905" s="808"/>
      <c r="OU905" s="808"/>
      <c r="OV905" s="808"/>
      <c r="OW905" s="808"/>
      <c r="OX905" s="808"/>
      <c r="OY905" s="808"/>
      <c r="OZ905" s="808"/>
      <c r="PA905" s="808"/>
      <c r="PB905" s="808"/>
      <c r="PC905" s="808"/>
      <c r="PD905" s="808"/>
      <c r="PE905" s="808"/>
      <c r="PF905" s="808"/>
      <c r="PG905" s="808"/>
      <c r="PH905" s="808"/>
      <c r="PI905" s="808"/>
      <c r="PJ905" s="808"/>
      <c r="PK905" s="808"/>
      <c r="PL905" s="808"/>
      <c r="PM905" s="808"/>
      <c r="PN905" s="808"/>
      <c r="PO905" s="808"/>
      <c r="PP905" s="808"/>
      <c r="PQ905" s="808"/>
      <c r="PR905" s="808"/>
      <c r="PS905" s="808"/>
      <c r="PT905" s="808"/>
      <c r="PU905" s="808"/>
      <c r="PV905" s="808"/>
      <c r="PW905" s="808"/>
      <c r="PX905" s="808"/>
      <c r="PY905" s="808"/>
      <c r="PZ905" s="808"/>
      <c r="QA905" s="808"/>
      <c r="QB905" s="808"/>
      <c r="QC905" s="808"/>
      <c r="QD905" s="808"/>
      <c r="QE905" s="808"/>
      <c r="QF905" s="808"/>
      <c r="QG905" s="808"/>
      <c r="QH905" s="808"/>
      <c r="QI905" s="808"/>
      <c r="QJ905" s="808"/>
      <c r="QK905" s="808"/>
      <c r="QL905" s="808"/>
      <c r="QM905" s="808"/>
      <c r="QN905" s="808"/>
      <c r="QO905" s="808"/>
      <c r="QP905" s="808"/>
      <c r="QQ905" s="808"/>
      <c r="QR905" s="808"/>
      <c r="QS905" s="808"/>
      <c r="QT905" s="808"/>
      <c r="QU905" s="808"/>
      <c r="QV905" s="808"/>
      <c r="QW905" s="808"/>
      <c r="QX905" s="808"/>
      <c r="QY905" s="808"/>
      <c r="QZ905" s="808"/>
      <c r="RA905" s="808"/>
      <c r="RB905" s="808"/>
      <c r="RC905" s="808"/>
      <c r="RD905" s="808"/>
      <c r="RE905" s="808"/>
      <c r="RF905" s="808"/>
      <c r="RG905" s="808"/>
      <c r="RH905" s="808"/>
      <c r="RI905" s="808"/>
      <c r="RJ905" s="808"/>
      <c r="RK905" s="808"/>
      <c r="RL905" s="808"/>
      <c r="RM905" s="808"/>
      <c r="RN905" s="808"/>
      <c r="RO905" s="808"/>
      <c r="RP905" s="808"/>
      <c r="RQ905" s="808"/>
      <c r="RR905" s="808"/>
      <c r="RS905" s="808"/>
      <c r="RT905" s="808"/>
      <c r="RU905" s="808"/>
      <c r="RV905" s="808"/>
      <c r="RW905" s="808"/>
      <c r="RX905" s="808"/>
      <c r="RY905" s="808"/>
      <c r="RZ905" s="808"/>
      <c r="SA905" s="808"/>
      <c r="SB905" s="808"/>
      <c r="SC905" s="808"/>
      <c r="SD905" s="808"/>
      <c r="SE905" s="808"/>
      <c r="SF905" s="808"/>
      <c r="SG905" s="808"/>
      <c r="SH905" s="808"/>
      <c r="SI905" s="808"/>
      <c r="SJ905" s="808"/>
      <c r="SK905" s="808"/>
      <c r="SL905" s="808"/>
      <c r="SM905" s="808"/>
      <c r="SN905" s="808"/>
      <c r="SO905" s="808"/>
      <c r="SP905" s="808"/>
      <c r="SQ905" s="808"/>
      <c r="SR905" s="808"/>
      <c r="SS905" s="808"/>
      <c r="ST905" s="808"/>
      <c r="SU905" s="808"/>
      <c r="SV905" s="808"/>
      <c r="SW905" s="808"/>
      <c r="SX905" s="808"/>
      <c r="SY905" s="808"/>
      <c r="SZ905" s="808"/>
      <c r="TA905" s="808"/>
      <c r="TB905" s="808"/>
      <c r="TC905" s="808"/>
      <c r="TD905" s="808"/>
      <c r="TE905" s="808"/>
      <c r="TF905" s="808"/>
      <c r="TG905" s="808"/>
      <c r="TH905" s="808"/>
      <c r="TI905" s="808"/>
      <c r="TJ905" s="808"/>
      <c r="TK905" s="808"/>
      <c r="TL905" s="808"/>
      <c r="TM905" s="808"/>
      <c r="TN905" s="808"/>
      <c r="TO905" s="808"/>
      <c r="TP905" s="808"/>
      <c r="TQ905" s="808"/>
      <c r="TR905" s="808"/>
      <c r="TS905" s="808"/>
      <c r="TT905" s="808"/>
      <c r="TU905" s="808"/>
      <c r="TV905" s="808"/>
      <c r="TW905" s="808"/>
      <c r="TX905" s="808"/>
      <c r="TY905" s="808"/>
      <c r="TZ905" s="808"/>
      <c r="UA905" s="808"/>
      <c r="UB905" s="808"/>
      <c r="UC905" s="808"/>
      <c r="UD905" s="808"/>
      <c r="UE905" s="808"/>
      <c r="UF905" s="808"/>
      <c r="UG905" s="808"/>
      <c r="UH905" s="808"/>
      <c r="UI905" s="808"/>
      <c r="UJ905" s="808"/>
      <c r="UK905" s="808"/>
      <c r="UL905" s="808"/>
      <c r="UM905" s="808"/>
      <c r="UN905" s="808"/>
      <c r="UO905" s="808"/>
      <c r="UP905" s="808"/>
      <c r="UQ905" s="808"/>
      <c r="UR905" s="808"/>
      <c r="US905" s="808"/>
      <c r="UT905" s="808"/>
      <c r="UU905" s="808"/>
      <c r="UV905" s="808"/>
      <c r="UW905" s="808"/>
      <c r="UX905" s="808"/>
      <c r="UY905" s="808"/>
      <c r="UZ905" s="808"/>
      <c r="VA905" s="808"/>
      <c r="VB905" s="808"/>
      <c r="VC905" s="808"/>
      <c r="VD905" s="808"/>
      <c r="VE905" s="808"/>
      <c r="VF905" s="808"/>
      <c r="VG905" s="808"/>
      <c r="VH905" s="808"/>
      <c r="VI905" s="808"/>
      <c r="VJ905" s="808"/>
      <c r="VK905" s="808"/>
      <c r="VL905" s="808"/>
      <c r="VM905" s="808"/>
      <c r="VN905" s="808"/>
      <c r="VO905" s="808"/>
      <c r="VP905" s="808"/>
      <c r="VQ905" s="808"/>
      <c r="VR905" s="808"/>
      <c r="VS905" s="808"/>
      <c r="VT905" s="808"/>
      <c r="VU905" s="808"/>
      <c r="VV905" s="808"/>
      <c r="VW905" s="808"/>
      <c r="VX905" s="808"/>
      <c r="VY905" s="808"/>
      <c r="VZ905" s="808"/>
      <c r="WA905" s="808"/>
      <c r="WB905" s="808"/>
      <c r="WC905" s="808"/>
      <c r="WD905" s="808"/>
      <c r="WE905" s="808"/>
      <c r="WF905" s="808"/>
      <c r="WG905" s="808"/>
      <c r="WH905" s="808"/>
      <c r="WI905" s="808"/>
      <c r="WJ905" s="808"/>
      <c r="WK905" s="808"/>
      <c r="WL905" s="808"/>
      <c r="WM905" s="808"/>
      <c r="WN905" s="808"/>
      <c r="WO905" s="808"/>
      <c r="WP905" s="808"/>
      <c r="WQ905" s="808"/>
      <c r="WR905" s="808"/>
      <c r="WS905" s="808"/>
      <c r="WT905" s="808"/>
      <c r="WU905" s="808"/>
      <c r="WV905" s="808"/>
      <c r="WW905" s="808"/>
      <c r="WX905" s="808"/>
      <c r="WY905" s="808"/>
      <c r="WZ905" s="808"/>
      <c r="XA905" s="808"/>
      <c r="XB905" s="808"/>
      <c r="XC905" s="808"/>
      <c r="XD905" s="808"/>
      <c r="XE905" s="808"/>
      <c r="XF905" s="808"/>
      <c r="XG905" s="808"/>
      <c r="XH905" s="808"/>
      <c r="XI905" s="808"/>
      <c r="XJ905" s="808"/>
      <c r="XK905" s="808"/>
      <c r="XL905" s="808"/>
      <c r="XM905" s="808"/>
      <c r="XN905" s="808"/>
      <c r="XO905" s="808"/>
      <c r="XP905" s="808"/>
      <c r="XQ905" s="808"/>
      <c r="XR905" s="808"/>
      <c r="XS905" s="808"/>
      <c r="XT905" s="808"/>
      <c r="XU905" s="808"/>
      <c r="XV905" s="808"/>
      <c r="XW905" s="808"/>
      <c r="XX905" s="808"/>
      <c r="XY905" s="808"/>
      <c r="XZ905" s="808"/>
      <c r="YA905" s="808"/>
      <c r="YB905" s="808"/>
      <c r="YC905" s="808"/>
      <c r="YD905" s="808"/>
      <c r="YE905" s="808"/>
      <c r="YF905" s="808"/>
      <c r="YG905" s="808"/>
      <c r="YH905" s="808"/>
      <c r="YI905" s="808"/>
      <c r="YJ905" s="808"/>
      <c r="YK905" s="808"/>
      <c r="YL905" s="808"/>
      <c r="YM905" s="808"/>
      <c r="YN905" s="808"/>
      <c r="YO905" s="808"/>
      <c r="YP905" s="808"/>
      <c r="YQ905" s="808"/>
      <c r="YR905" s="808"/>
      <c r="YS905" s="808"/>
      <c r="YT905" s="808"/>
      <c r="YU905" s="808"/>
      <c r="YV905" s="808"/>
      <c r="YW905" s="808"/>
      <c r="YX905" s="808"/>
      <c r="YY905" s="808"/>
      <c r="YZ905" s="808"/>
      <c r="ZA905" s="808"/>
      <c r="ZB905" s="808"/>
      <c r="ZC905" s="808"/>
      <c r="ZD905" s="808"/>
      <c r="ZE905" s="808"/>
      <c r="ZF905" s="808"/>
      <c r="ZG905" s="808"/>
      <c r="ZH905" s="808"/>
      <c r="ZI905" s="808"/>
      <c r="ZJ905" s="808"/>
      <c r="ZK905" s="808"/>
      <c r="ZL905" s="808"/>
      <c r="ZM905" s="808"/>
      <c r="ZN905" s="808"/>
      <c r="ZO905" s="808"/>
      <c r="ZP905" s="808"/>
      <c r="ZQ905" s="808"/>
      <c r="ZR905" s="808"/>
      <c r="ZS905" s="808"/>
      <c r="ZT905" s="808"/>
      <c r="ZU905" s="808"/>
      <c r="ZV905" s="808"/>
      <c r="ZW905" s="808"/>
      <c r="ZX905" s="808"/>
      <c r="ZY905" s="808"/>
      <c r="ZZ905" s="808"/>
      <c r="AAA905" s="808"/>
      <c r="AAB905" s="808"/>
      <c r="AAC905" s="808"/>
      <c r="AAD905" s="808"/>
      <c r="AAE905" s="808"/>
      <c r="AAF905" s="808"/>
      <c r="AAG905" s="808"/>
      <c r="AAH905" s="808"/>
      <c r="AAI905" s="808"/>
      <c r="AAJ905" s="808"/>
      <c r="AAK905" s="808"/>
      <c r="AAL905" s="808"/>
      <c r="AAM905" s="808"/>
      <c r="AAN905" s="808"/>
      <c r="AAO905" s="808"/>
      <c r="AAP905" s="808"/>
      <c r="AAQ905" s="808"/>
      <c r="AAR905" s="808"/>
      <c r="AAS905" s="808"/>
      <c r="AAT905" s="808"/>
      <c r="AAU905" s="808"/>
      <c r="AAV905" s="808"/>
      <c r="AAW905" s="808"/>
      <c r="AAX905" s="808"/>
      <c r="AAY905" s="808"/>
      <c r="AAZ905" s="808"/>
      <c r="ABA905" s="808"/>
      <c r="ABB905" s="808"/>
      <c r="ABC905" s="808"/>
      <c r="ABD905" s="808"/>
      <c r="ABE905" s="808"/>
      <c r="ABF905" s="808"/>
      <c r="ABG905" s="808"/>
      <c r="ABH905" s="808"/>
      <c r="ABI905" s="808"/>
      <c r="ABJ905" s="808"/>
      <c r="ABK905" s="808"/>
      <c r="ABL905" s="808"/>
      <c r="ABM905" s="808"/>
      <c r="ABN905" s="808"/>
      <c r="ABO905" s="808"/>
      <c r="ABP905" s="808"/>
      <c r="ABQ905" s="808"/>
      <c r="ABR905" s="808"/>
      <c r="ABS905" s="808"/>
      <c r="ABT905" s="808"/>
      <c r="ABU905" s="808"/>
      <c r="ABV905" s="808"/>
      <c r="ABW905" s="808"/>
      <c r="ABX905" s="808"/>
      <c r="ABY905" s="808"/>
      <c r="ABZ905" s="808"/>
      <c r="ACA905" s="808"/>
      <c r="ACB905" s="808"/>
      <c r="ACC905" s="808"/>
      <c r="ACD905" s="808"/>
      <c r="ACE905" s="808"/>
      <c r="ACF905" s="808"/>
      <c r="ACG905" s="808"/>
      <c r="ACH905" s="808"/>
      <c r="ACI905" s="808"/>
      <c r="ACJ905" s="808"/>
      <c r="ACK905" s="808"/>
      <c r="ACL905" s="808"/>
      <c r="ACM905" s="808"/>
      <c r="ACN905" s="808"/>
      <c r="ACO905" s="808"/>
      <c r="ACP905" s="808"/>
      <c r="ACQ905" s="808"/>
      <c r="ACR905" s="808"/>
      <c r="ACS905" s="808"/>
      <c r="ACT905" s="808"/>
      <c r="ACU905" s="808"/>
      <c r="ACV905" s="808"/>
      <c r="ACW905" s="808"/>
      <c r="ACX905" s="808"/>
      <c r="ACY905" s="808"/>
      <c r="ACZ905" s="808"/>
      <c r="ADA905" s="808"/>
      <c r="ADB905" s="808"/>
      <c r="ADC905" s="808"/>
      <c r="ADD905" s="808"/>
      <c r="ADE905" s="808"/>
      <c r="ADF905" s="808"/>
      <c r="ADG905" s="808"/>
      <c r="ADH905" s="808"/>
      <c r="ADI905" s="808"/>
      <c r="ADJ905" s="808"/>
      <c r="ADK905" s="808"/>
      <c r="ADL905" s="808"/>
      <c r="ADM905" s="808"/>
      <c r="ADN905" s="808"/>
      <c r="ADO905" s="808"/>
      <c r="ADP905" s="808"/>
      <c r="ADQ905" s="808"/>
      <c r="ADR905" s="808"/>
      <c r="ADS905" s="808"/>
      <c r="ADT905" s="808"/>
      <c r="ADU905" s="808"/>
      <c r="ADV905" s="808"/>
      <c r="ADW905" s="808"/>
      <c r="ADX905" s="808"/>
      <c r="ADY905" s="808"/>
      <c r="ADZ905" s="808"/>
      <c r="AEA905" s="808"/>
      <c r="AEB905" s="808"/>
      <c r="AEC905" s="808"/>
      <c r="AED905" s="808"/>
      <c r="AEE905" s="808"/>
      <c r="AEF905" s="808"/>
      <c r="AEG905" s="808"/>
      <c r="AEH905" s="808"/>
      <c r="AEI905" s="808"/>
      <c r="AEJ905" s="808"/>
      <c r="AEK905" s="808"/>
      <c r="AEL905" s="808"/>
      <c r="AEM905" s="808"/>
      <c r="AEN905" s="808"/>
      <c r="AEO905" s="808"/>
      <c r="AEP905" s="808"/>
      <c r="AEQ905" s="808"/>
      <c r="AER905" s="808"/>
      <c r="AES905" s="808"/>
      <c r="AET905" s="808"/>
      <c r="AEU905" s="808"/>
      <c r="AEV905" s="808"/>
      <c r="AEW905" s="808"/>
      <c r="AEX905" s="808"/>
      <c r="AEY905" s="808"/>
      <c r="AEZ905" s="808"/>
      <c r="AFA905" s="808"/>
      <c r="AFB905" s="808"/>
      <c r="AFC905" s="808"/>
      <c r="AFD905" s="808"/>
      <c r="AFE905" s="808"/>
      <c r="AFF905" s="808"/>
      <c r="AFG905" s="808"/>
      <c r="AFH905" s="808"/>
      <c r="AFI905" s="808"/>
      <c r="AFJ905" s="808"/>
      <c r="AFK905" s="808"/>
      <c r="AFL905" s="808"/>
      <c r="AFM905" s="808"/>
      <c r="AFN905" s="808"/>
      <c r="AFO905" s="808"/>
      <c r="AFP905" s="808"/>
      <c r="AFQ905" s="808"/>
      <c r="AFR905" s="808"/>
      <c r="AFS905" s="808"/>
      <c r="AFT905" s="808"/>
      <c r="AFU905" s="808"/>
      <c r="AFV905" s="808"/>
      <c r="AFW905" s="808"/>
      <c r="AFX905" s="808"/>
      <c r="AFY905" s="808"/>
      <c r="AFZ905" s="808"/>
      <c r="AGA905" s="808"/>
      <c r="AGB905" s="808"/>
      <c r="AGC905" s="808"/>
      <c r="AGD905" s="808"/>
      <c r="AGE905" s="808"/>
      <c r="AGF905" s="808"/>
      <c r="AGG905" s="808"/>
      <c r="AGH905" s="808"/>
      <c r="AGI905" s="808"/>
      <c r="AGJ905" s="808"/>
    </row>
    <row r="906" spans="1:868" s="808" customFormat="1">
      <c r="A906" s="609" t="s">
        <v>445</v>
      </c>
      <c r="B906" s="59" t="s">
        <v>447</v>
      </c>
      <c r="C906" s="40" t="s">
        <v>139</v>
      </c>
      <c r="D906" s="34" t="s">
        <v>99</v>
      </c>
      <c r="E906" s="257">
        <v>0.01</v>
      </c>
      <c r="F906" s="34">
        <v>2</v>
      </c>
      <c r="G906" s="40" t="s">
        <v>433</v>
      </c>
      <c r="H906" s="29">
        <v>1</v>
      </c>
      <c r="I906" s="9">
        <v>2</v>
      </c>
      <c r="J906" s="9">
        <v>2</v>
      </c>
      <c r="K906" s="9">
        <v>1</v>
      </c>
      <c r="L906" s="9">
        <v>1</v>
      </c>
      <c r="M906" s="9">
        <v>1</v>
      </c>
      <c r="N906" s="185">
        <f t="shared" si="66"/>
        <v>0.16933510251023262</v>
      </c>
      <c r="O906" s="159">
        <f t="shared" si="65"/>
        <v>0.19908580854301616</v>
      </c>
      <c r="P906" s="63" t="s">
        <v>847</v>
      </c>
    </row>
    <row r="907" spans="1:868" s="808" customFormat="1">
      <c r="A907" s="609" t="s">
        <v>445</v>
      </c>
      <c r="B907" s="59" t="s">
        <v>448</v>
      </c>
      <c r="C907" s="40" t="s">
        <v>139</v>
      </c>
      <c r="D907" s="34" t="s">
        <v>99</v>
      </c>
      <c r="E907" s="257" t="s">
        <v>150</v>
      </c>
      <c r="F907" s="34">
        <v>1</v>
      </c>
      <c r="G907" s="40" t="s">
        <v>433</v>
      </c>
      <c r="H907" s="29"/>
      <c r="I907" s="9"/>
      <c r="J907" s="9"/>
      <c r="K907" s="9"/>
      <c r="L907" s="9"/>
      <c r="M907" s="9"/>
      <c r="N907" s="185" t="str">
        <f t="shared" si="66"/>
        <v/>
      </c>
      <c r="O907" s="159" t="str">
        <f t="shared" si="65"/>
        <v/>
      </c>
      <c r="P907" s="63"/>
    </row>
    <row r="908" spans="1:868" s="808" customFormat="1">
      <c r="A908" s="609" t="s">
        <v>447</v>
      </c>
      <c r="B908" s="59" t="s">
        <v>258</v>
      </c>
      <c r="C908" s="40" t="s">
        <v>139</v>
      </c>
      <c r="D908" s="34" t="s">
        <v>99</v>
      </c>
      <c r="E908" s="257">
        <v>1</v>
      </c>
      <c r="F908" s="34">
        <v>2</v>
      </c>
      <c r="G908" s="40" t="s">
        <v>433</v>
      </c>
      <c r="H908" s="29">
        <v>1</v>
      </c>
      <c r="I908" s="9">
        <v>2</v>
      </c>
      <c r="J908" s="9">
        <v>2</v>
      </c>
      <c r="K908" s="9">
        <v>1</v>
      </c>
      <c r="L908" s="9">
        <v>1</v>
      </c>
      <c r="M908" s="9">
        <v>1</v>
      </c>
      <c r="N908" s="185">
        <f t="shared" si="66"/>
        <v>0.16933510251023262</v>
      </c>
      <c r="O908" s="159">
        <f t="shared" si="65"/>
        <v>0.19908580854301616</v>
      </c>
      <c r="P908" s="63" t="s">
        <v>848</v>
      </c>
    </row>
    <row r="909" spans="1:868" s="808" customFormat="1">
      <c r="A909" s="609" t="s">
        <v>446</v>
      </c>
      <c r="B909" s="59" t="s">
        <v>449</v>
      </c>
      <c r="C909" s="40" t="s">
        <v>139</v>
      </c>
      <c r="D909" s="34" t="s">
        <v>99</v>
      </c>
      <c r="E909" s="257">
        <v>0.01</v>
      </c>
      <c r="F909" s="34">
        <v>2</v>
      </c>
      <c r="G909" s="40" t="s">
        <v>433</v>
      </c>
      <c r="H909" s="29">
        <v>1</v>
      </c>
      <c r="I909" s="9">
        <v>2</v>
      </c>
      <c r="J909" s="9">
        <v>2</v>
      </c>
      <c r="K909" s="9">
        <v>1</v>
      </c>
      <c r="L909" s="9">
        <v>1</v>
      </c>
      <c r="M909" s="9">
        <v>1</v>
      </c>
      <c r="N909" s="185">
        <f t="shared" si="66"/>
        <v>0.16933510251023262</v>
      </c>
      <c r="O909" s="159">
        <f t="shared" si="65"/>
        <v>0.19908580854301616</v>
      </c>
      <c r="P909" s="63" t="s">
        <v>849</v>
      </c>
    </row>
    <row r="910" spans="1:868" s="808" customFormat="1">
      <c r="A910" s="609" t="s">
        <v>446</v>
      </c>
      <c r="B910" s="59" t="s">
        <v>450</v>
      </c>
      <c r="C910" s="40" t="s">
        <v>139</v>
      </c>
      <c r="D910" s="34" t="s">
        <v>99</v>
      </c>
      <c r="E910" s="257" t="s">
        <v>150</v>
      </c>
      <c r="F910" s="34">
        <v>1</v>
      </c>
      <c r="G910" s="40" t="s">
        <v>433</v>
      </c>
      <c r="H910" s="29"/>
      <c r="I910" s="9"/>
      <c r="J910" s="9"/>
      <c r="K910" s="9"/>
      <c r="L910" s="9"/>
      <c r="M910" s="9"/>
      <c r="N910" s="185" t="str">
        <f t="shared" si="66"/>
        <v/>
      </c>
      <c r="O910" s="159" t="str">
        <f t="shared" si="65"/>
        <v/>
      </c>
      <c r="P910" s="63"/>
    </row>
    <row r="911" spans="1:868" s="808" customFormat="1">
      <c r="A911" s="609" t="s">
        <v>449</v>
      </c>
      <c r="B911" s="59" t="s">
        <v>258</v>
      </c>
      <c r="C911" s="40" t="s">
        <v>139</v>
      </c>
      <c r="D911" s="34" t="s">
        <v>99</v>
      </c>
      <c r="E911" s="257">
        <v>1</v>
      </c>
      <c r="F911" s="34">
        <v>2</v>
      </c>
      <c r="G911" s="40" t="s">
        <v>433</v>
      </c>
      <c r="H911" s="29">
        <v>1</v>
      </c>
      <c r="I911" s="9">
        <v>2</v>
      </c>
      <c r="J911" s="9">
        <v>2</v>
      </c>
      <c r="K911" s="9">
        <v>1</v>
      </c>
      <c r="L911" s="9">
        <v>1</v>
      </c>
      <c r="M911" s="9">
        <v>1</v>
      </c>
      <c r="N911" s="185">
        <f t="shared" si="66"/>
        <v>0.16933510251023262</v>
      </c>
      <c r="O911" s="159">
        <f t="shared" si="65"/>
        <v>0.19908580854301616</v>
      </c>
      <c r="P911" s="63" t="s">
        <v>848</v>
      </c>
    </row>
    <row r="912" spans="1:868" s="808" customFormat="1">
      <c r="A912" s="609" t="s">
        <v>448</v>
      </c>
      <c r="B912" s="59" t="s">
        <v>258</v>
      </c>
      <c r="C912" s="40" t="s">
        <v>139</v>
      </c>
      <c r="D912" s="34" t="s">
        <v>99</v>
      </c>
      <c r="E912" s="257">
        <v>0.01</v>
      </c>
      <c r="F912" s="34">
        <v>2</v>
      </c>
      <c r="G912" s="40" t="s">
        <v>433</v>
      </c>
      <c r="H912" s="29">
        <v>1</v>
      </c>
      <c r="I912" s="9">
        <v>2</v>
      </c>
      <c r="J912" s="9">
        <v>2</v>
      </c>
      <c r="K912" s="9">
        <v>1</v>
      </c>
      <c r="L912" s="9">
        <v>1</v>
      </c>
      <c r="M912" s="9">
        <v>1</v>
      </c>
      <c r="N912" s="185">
        <f t="shared" si="66"/>
        <v>0.16933510251023262</v>
      </c>
      <c r="O912" s="159">
        <f t="shared" ref="O912:O943" si="67">IF( OR( ISBLANK(I912),ISBLANK(J912), ISBLANK(K912), ISBLANK(L912), ISBLANK(M912) ), "", 1.5*SQRT( EXP(2.21*(I912-1)) + EXP(2.21*(J912-1)) + EXP(2.21*(K912-1)) + EXP(2.21*(L912-1)) + EXP(2.21*M912)   )/100*2.45 )</f>
        <v>0.19908580854301616</v>
      </c>
      <c r="P912" s="63" t="s">
        <v>850</v>
      </c>
    </row>
    <row r="913" spans="1:18" s="808" customFormat="1">
      <c r="A913" s="609" t="s">
        <v>448</v>
      </c>
      <c r="B913" s="59" t="s">
        <v>334</v>
      </c>
      <c r="C913" s="40" t="s">
        <v>139</v>
      </c>
      <c r="D913" s="34" t="s">
        <v>99</v>
      </c>
      <c r="E913" s="257" t="s">
        <v>150</v>
      </c>
      <c r="F913" s="34">
        <v>1</v>
      </c>
      <c r="G913" s="40" t="s">
        <v>433</v>
      </c>
      <c r="H913" s="29"/>
      <c r="I913" s="9"/>
      <c r="J913" s="9"/>
      <c r="K913" s="9"/>
      <c r="L913" s="9"/>
      <c r="M913" s="9"/>
      <c r="N913" s="185" t="str">
        <f t="shared" si="66"/>
        <v/>
      </c>
      <c r="O913" s="159" t="str">
        <f t="shared" si="67"/>
        <v/>
      </c>
      <c r="P913" s="63"/>
    </row>
    <row r="914" spans="1:18" s="808" customFormat="1">
      <c r="A914" s="609" t="s">
        <v>450</v>
      </c>
      <c r="B914" s="59" t="s">
        <v>258</v>
      </c>
      <c r="C914" s="40" t="s">
        <v>139</v>
      </c>
      <c r="D914" s="34" t="s">
        <v>99</v>
      </c>
      <c r="E914" s="257">
        <v>0.05</v>
      </c>
      <c r="F914" s="34">
        <v>2</v>
      </c>
      <c r="G914" s="40" t="s">
        <v>433</v>
      </c>
      <c r="H914" s="29">
        <v>1</v>
      </c>
      <c r="I914" s="9">
        <v>2</v>
      </c>
      <c r="J914" s="9">
        <v>2</v>
      </c>
      <c r="K914" s="9">
        <v>1</v>
      </c>
      <c r="L914" s="9">
        <v>1</v>
      </c>
      <c r="M914" s="9">
        <v>1</v>
      </c>
      <c r="N914" s="185">
        <f t="shared" si="66"/>
        <v>0.16933510251023262</v>
      </c>
      <c r="O914" s="159">
        <f t="shared" si="67"/>
        <v>0.19908580854301616</v>
      </c>
      <c r="P914" s="63" t="s">
        <v>851</v>
      </c>
    </row>
    <row r="915" spans="1:18" s="808" customFormat="1">
      <c r="A915" s="609" t="s">
        <v>450</v>
      </c>
      <c r="B915" s="59" t="s">
        <v>334</v>
      </c>
      <c r="C915" s="40" t="s">
        <v>139</v>
      </c>
      <c r="D915" s="34" t="s">
        <v>99</v>
      </c>
      <c r="E915" s="257" t="s">
        <v>150</v>
      </c>
      <c r="F915" s="34">
        <v>1</v>
      </c>
      <c r="G915" s="40" t="s">
        <v>433</v>
      </c>
      <c r="H915" s="29"/>
      <c r="I915" s="9"/>
      <c r="J915" s="9"/>
      <c r="K915" s="9"/>
      <c r="L915" s="9"/>
      <c r="M915" s="9"/>
      <c r="N915" s="185" t="str">
        <f t="shared" si="66"/>
        <v/>
      </c>
      <c r="O915" s="159" t="str">
        <f t="shared" si="67"/>
        <v/>
      </c>
      <c r="P915" s="63"/>
    </row>
    <row r="916" spans="1:18" s="808" customFormat="1">
      <c r="A916" s="609" t="s">
        <v>432</v>
      </c>
      <c r="B916" s="59" t="s">
        <v>452</v>
      </c>
      <c r="C916" s="40" t="s">
        <v>139</v>
      </c>
      <c r="D916" s="34" t="s">
        <v>99</v>
      </c>
      <c r="E916" s="257">
        <f>0.5*0.97</f>
        <v>0.48499999999999999</v>
      </c>
      <c r="F916" s="34">
        <v>2</v>
      </c>
      <c r="G916" s="40" t="s">
        <v>433</v>
      </c>
      <c r="H916" s="29">
        <v>1</v>
      </c>
      <c r="I916" s="9">
        <v>2</v>
      </c>
      <c r="J916" s="9">
        <v>2</v>
      </c>
      <c r="K916" s="9">
        <v>1</v>
      </c>
      <c r="L916" s="9">
        <v>1</v>
      </c>
      <c r="M916" s="9">
        <v>1</v>
      </c>
      <c r="N916" s="185">
        <f t="shared" si="66"/>
        <v>0.16933510251023262</v>
      </c>
      <c r="O916" s="159">
        <f t="shared" si="67"/>
        <v>0.19908580854301616</v>
      </c>
      <c r="P916" s="63" t="s">
        <v>852</v>
      </c>
    </row>
    <row r="917" spans="1:18" s="808" customFormat="1">
      <c r="A917" s="609" t="s">
        <v>432</v>
      </c>
      <c r="B917" s="59" t="s">
        <v>453</v>
      </c>
      <c r="C917" s="40" t="s">
        <v>139</v>
      </c>
      <c r="D917" s="34" t="s">
        <v>99</v>
      </c>
      <c r="E917" s="257">
        <f>0.5*0.97</f>
        <v>0.48499999999999999</v>
      </c>
      <c r="F917" s="34">
        <v>2</v>
      </c>
      <c r="G917" s="40" t="s">
        <v>433</v>
      </c>
      <c r="H917" s="29">
        <v>1</v>
      </c>
      <c r="I917" s="9">
        <v>2</v>
      </c>
      <c r="J917" s="9">
        <v>2</v>
      </c>
      <c r="K917" s="9">
        <v>1</v>
      </c>
      <c r="L917" s="9">
        <v>1</v>
      </c>
      <c r="M917" s="9">
        <v>1</v>
      </c>
      <c r="N917" s="185">
        <f t="shared" si="66"/>
        <v>0.16933510251023262</v>
      </c>
      <c r="O917" s="159">
        <f t="shared" si="67"/>
        <v>0.19908580854301616</v>
      </c>
      <c r="P917" s="63" t="s">
        <v>853</v>
      </c>
    </row>
    <row r="918" spans="1:18" s="808" customFormat="1">
      <c r="A918" s="609" t="s">
        <v>432</v>
      </c>
      <c r="B918" s="59" t="s">
        <v>223</v>
      </c>
      <c r="C918" s="40" t="s">
        <v>139</v>
      </c>
      <c r="D918" s="34" t="s">
        <v>99</v>
      </c>
      <c r="E918" s="257">
        <v>0.03</v>
      </c>
      <c r="F918" s="34">
        <v>1</v>
      </c>
      <c r="G918" s="40" t="s">
        <v>433</v>
      </c>
      <c r="H918" s="29">
        <v>1</v>
      </c>
      <c r="I918" s="9">
        <v>2</v>
      </c>
      <c r="J918" s="9">
        <v>2</v>
      </c>
      <c r="K918" s="9">
        <v>1</v>
      </c>
      <c r="L918" s="9">
        <v>1</v>
      </c>
      <c r="M918" s="9">
        <v>1</v>
      </c>
      <c r="N918" s="185">
        <f t="shared" si="66"/>
        <v>0.16933510251023262</v>
      </c>
      <c r="O918" s="159">
        <f t="shared" si="67"/>
        <v>0.19908580854301616</v>
      </c>
      <c r="P918" s="63" t="s">
        <v>854</v>
      </c>
    </row>
    <row r="919" spans="1:18" s="808" customFormat="1">
      <c r="A919" s="609" t="s">
        <v>452</v>
      </c>
      <c r="B919" s="59" t="s">
        <v>455</v>
      </c>
      <c r="C919" s="40" t="s">
        <v>139</v>
      </c>
      <c r="D919" s="34" t="s">
        <v>99</v>
      </c>
      <c r="E919" s="257">
        <v>0.03</v>
      </c>
      <c r="F919" s="34">
        <v>2</v>
      </c>
      <c r="G919" s="40" t="s">
        <v>433</v>
      </c>
      <c r="H919" s="29">
        <v>1</v>
      </c>
      <c r="I919" s="9">
        <v>2</v>
      </c>
      <c r="J919" s="9">
        <v>2</v>
      </c>
      <c r="K919" s="9">
        <v>1</v>
      </c>
      <c r="L919" s="9">
        <v>1</v>
      </c>
      <c r="M919" s="9">
        <v>1</v>
      </c>
      <c r="N919" s="185">
        <f t="shared" si="66"/>
        <v>0.16933510251023262</v>
      </c>
      <c r="O919" s="159">
        <f t="shared" si="67"/>
        <v>0.19908580854301616</v>
      </c>
      <c r="P919" s="63" t="s">
        <v>855</v>
      </c>
    </row>
    <row r="920" spans="1:18" s="808" customFormat="1">
      <c r="A920" s="609" t="s">
        <v>452</v>
      </c>
      <c r="B920" s="59" t="s">
        <v>454</v>
      </c>
      <c r="C920" s="40" t="s">
        <v>139</v>
      </c>
      <c r="D920" s="34" t="s">
        <v>99</v>
      </c>
      <c r="E920" s="257" t="s">
        <v>150</v>
      </c>
      <c r="F920" s="34">
        <v>1</v>
      </c>
      <c r="G920" s="40" t="s">
        <v>433</v>
      </c>
      <c r="H920" s="29"/>
      <c r="I920" s="9"/>
      <c r="J920" s="9"/>
      <c r="K920" s="9"/>
      <c r="L920" s="9"/>
      <c r="M920" s="9"/>
      <c r="N920" s="185" t="str">
        <f t="shared" si="66"/>
        <v/>
      </c>
      <c r="O920" s="159" t="str">
        <f t="shared" si="67"/>
        <v/>
      </c>
      <c r="P920" s="63"/>
    </row>
    <row r="921" spans="1:18" s="808" customFormat="1">
      <c r="A921" s="609" t="s">
        <v>455</v>
      </c>
      <c r="B921" s="59" t="s">
        <v>231</v>
      </c>
      <c r="C921" s="40" t="s">
        <v>139</v>
      </c>
      <c r="D921" s="34" t="s">
        <v>99</v>
      </c>
      <c r="E921" s="257">
        <v>0.05</v>
      </c>
      <c r="F921" s="34">
        <v>2</v>
      </c>
      <c r="G921" s="40" t="s">
        <v>157</v>
      </c>
      <c r="H921" s="29">
        <v>1</v>
      </c>
      <c r="I921" s="9">
        <v>2</v>
      </c>
      <c r="J921" s="9">
        <v>2</v>
      </c>
      <c r="K921" s="9">
        <v>1</v>
      </c>
      <c r="L921" s="9">
        <v>3</v>
      </c>
      <c r="M921" s="9">
        <v>3</v>
      </c>
      <c r="N921" s="185">
        <f t="shared" si="66"/>
        <v>1.0725046436742278</v>
      </c>
      <c r="O921" s="159">
        <f t="shared" si="67"/>
        <v>1.0776024280428556</v>
      </c>
      <c r="P921" s="63" t="s">
        <v>1937</v>
      </c>
      <c r="R921" s="836"/>
    </row>
    <row r="922" spans="1:18" s="808" customFormat="1">
      <c r="A922" s="609" t="s">
        <v>455</v>
      </c>
      <c r="B922" s="59" t="s">
        <v>232</v>
      </c>
      <c r="C922" s="40" t="s">
        <v>139</v>
      </c>
      <c r="D922" s="34" t="s">
        <v>99</v>
      </c>
      <c r="E922" s="257">
        <v>0.39400000000000002</v>
      </c>
      <c r="F922" s="34">
        <v>2</v>
      </c>
      <c r="G922" s="40" t="s">
        <v>433</v>
      </c>
      <c r="H922" s="29">
        <v>1</v>
      </c>
      <c r="I922" s="9">
        <v>2</v>
      </c>
      <c r="J922" s="9">
        <v>2</v>
      </c>
      <c r="K922" s="9">
        <v>1</v>
      </c>
      <c r="L922" s="9">
        <v>1</v>
      </c>
      <c r="M922" s="9">
        <v>1</v>
      </c>
      <c r="N922" s="185">
        <f t="shared" si="66"/>
        <v>0.16933510251023262</v>
      </c>
      <c r="O922" s="159">
        <f t="shared" si="67"/>
        <v>0.19908580854301616</v>
      </c>
      <c r="P922" s="63" t="s">
        <v>1961</v>
      </c>
    </row>
    <row r="923" spans="1:18" s="808" customFormat="1">
      <c r="A923" s="609" t="s">
        <v>455</v>
      </c>
      <c r="B923" s="59" t="s">
        <v>251</v>
      </c>
      <c r="C923" s="40" t="s">
        <v>139</v>
      </c>
      <c r="D923" s="34" t="s">
        <v>99</v>
      </c>
      <c r="E923" s="257">
        <v>0.52200000000000002</v>
      </c>
      <c r="F923" s="34">
        <v>1</v>
      </c>
      <c r="G923" s="40" t="s">
        <v>433</v>
      </c>
      <c r="H923" s="29">
        <v>1</v>
      </c>
      <c r="I923" s="9">
        <v>2</v>
      </c>
      <c r="J923" s="9">
        <v>2</v>
      </c>
      <c r="K923" s="9">
        <v>1</v>
      </c>
      <c r="L923" s="9">
        <v>1</v>
      </c>
      <c r="M923" s="9">
        <v>1</v>
      </c>
      <c r="N923" s="185">
        <f t="shared" si="66"/>
        <v>0.16933510251023262</v>
      </c>
      <c r="O923" s="159">
        <f t="shared" si="67"/>
        <v>0.19908580854301616</v>
      </c>
      <c r="P923" s="63" t="s">
        <v>1962</v>
      </c>
    </row>
    <row r="924" spans="1:18" s="808" customFormat="1">
      <c r="A924" s="609" t="s">
        <v>455</v>
      </c>
      <c r="B924" s="59" t="s">
        <v>258</v>
      </c>
      <c r="C924" s="40" t="s">
        <v>139</v>
      </c>
      <c r="D924" s="34" t="s">
        <v>99</v>
      </c>
      <c r="E924" s="257">
        <v>3.4000000000000002E-2</v>
      </c>
      <c r="F924" s="34">
        <v>2</v>
      </c>
      <c r="G924" s="40" t="s">
        <v>433</v>
      </c>
      <c r="H924" s="29">
        <v>1</v>
      </c>
      <c r="I924" s="9">
        <v>2</v>
      </c>
      <c r="J924" s="9">
        <v>2</v>
      </c>
      <c r="K924" s="9">
        <v>1</v>
      </c>
      <c r="L924" s="9">
        <v>1</v>
      </c>
      <c r="M924" s="9">
        <v>1</v>
      </c>
      <c r="N924" s="185">
        <f t="shared" si="66"/>
        <v>0.16933510251023262</v>
      </c>
      <c r="O924" s="159">
        <f t="shared" si="67"/>
        <v>0.19908580854301616</v>
      </c>
      <c r="P924" s="63" t="s">
        <v>1963</v>
      </c>
    </row>
    <row r="925" spans="1:18" s="808" customFormat="1">
      <c r="A925" s="609" t="s">
        <v>453</v>
      </c>
      <c r="B925" s="59" t="s">
        <v>456</v>
      </c>
      <c r="C925" s="40" t="s">
        <v>139</v>
      </c>
      <c r="D925" s="34" t="s">
        <v>99</v>
      </c>
      <c r="E925" s="257">
        <f>0.1*E919</f>
        <v>3.0000000000000001E-3</v>
      </c>
      <c r="F925" s="34">
        <v>2</v>
      </c>
      <c r="G925" s="40" t="s">
        <v>433</v>
      </c>
      <c r="H925" s="29">
        <v>1</v>
      </c>
      <c r="I925" s="9">
        <v>2</v>
      </c>
      <c r="J925" s="9">
        <v>2</v>
      </c>
      <c r="K925" s="9">
        <v>1</v>
      </c>
      <c r="L925" s="9">
        <v>1</v>
      </c>
      <c r="M925" s="9">
        <v>1</v>
      </c>
      <c r="N925" s="185">
        <f t="shared" si="66"/>
        <v>0.16933510251023262</v>
      </c>
      <c r="O925" s="159">
        <f t="shared" si="67"/>
        <v>0.19908580854301616</v>
      </c>
      <c r="P925" s="63" t="s">
        <v>856</v>
      </c>
    </row>
    <row r="926" spans="1:18" s="808" customFormat="1">
      <c r="A926" s="609" t="s">
        <v>453</v>
      </c>
      <c r="B926" s="59" t="s">
        <v>451</v>
      </c>
      <c r="C926" s="40" t="s">
        <v>139</v>
      </c>
      <c r="D926" s="34" t="s">
        <v>99</v>
      </c>
      <c r="E926" s="257" t="s">
        <v>150</v>
      </c>
      <c r="F926" s="34">
        <v>1</v>
      </c>
      <c r="G926" s="40" t="s">
        <v>433</v>
      </c>
      <c r="H926" s="29"/>
      <c r="I926" s="9"/>
      <c r="J926" s="9"/>
      <c r="K926" s="9"/>
      <c r="L926" s="9"/>
      <c r="M926" s="9"/>
      <c r="N926" s="185" t="str">
        <f t="shared" ref="N926:N957" si="68">IF( OR( ISBLANK(H926),ISBLANK(J926), ISBLANK(K926), ISBLANK(L926), ISBLANK(M926) ), "", 1.5*SQRT(   EXP(2.21*(H926-1)) + EXP(2.21*(J926-1)) + EXP(2.21*(K926-1)) + EXP(2.21*(L926-1)) + EXP(2.21*M926)   )/100*2.45 )</f>
        <v/>
      </c>
      <c r="O926" s="159" t="str">
        <f t="shared" si="67"/>
        <v/>
      </c>
      <c r="P926" s="63" t="s">
        <v>1938</v>
      </c>
    </row>
    <row r="927" spans="1:18" s="808" customFormat="1">
      <c r="A927" s="609" t="s">
        <v>456</v>
      </c>
      <c r="B927" s="59" t="s">
        <v>228</v>
      </c>
      <c r="C927" s="40" t="s">
        <v>139</v>
      </c>
      <c r="D927" s="34" t="s">
        <v>99</v>
      </c>
      <c r="E927" s="257">
        <v>1</v>
      </c>
      <c r="F927" s="34">
        <v>2</v>
      </c>
      <c r="G927" s="40" t="s">
        <v>433</v>
      </c>
      <c r="H927" s="29">
        <v>1</v>
      </c>
      <c r="I927" s="9">
        <v>2</v>
      </c>
      <c r="J927" s="9">
        <v>2</v>
      </c>
      <c r="K927" s="9">
        <v>1</v>
      </c>
      <c r="L927" s="9">
        <v>1</v>
      </c>
      <c r="M927" s="9">
        <v>1</v>
      </c>
      <c r="N927" s="185">
        <f t="shared" si="68"/>
        <v>0.16933510251023262</v>
      </c>
      <c r="O927" s="159">
        <f t="shared" si="67"/>
        <v>0.19908580854301616</v>
      </c>
      <c r="P927" s="63" t="s">
        <v>857</v>
      </c>
    </row>
    <row r="928" spans="1:18" s="808" customFormat="1">
      <c r="A928" s="609" t="s">
        <v>454</v>
      </c>
      <c r="B928" s="59" t="s">
        <v>231</v>
      </c>
      <c r="C928" s="40" t="s">
        <v>139</v>
      </c>
      <c r="D928" s="34" t="s">
        <v>99</v>
      </c>
      <c r="E928" s="257">
        <v>0</v>
      </c>
      <c r="F928" s="34">
        <v>2</v>
      </c>
      <c r="G928" s="40" t="s">
        <v>433</v>
      </c>
      <c r="H928" s="29">
        <v>1</v>
      </c>
      <c r="I928" s="9">
        <v>2</v>
      </c>
      <c r="J928" s="9">
        <v>2</v>
      </c>
      <c r="K928" s="9">
        <v>1</v>
      </c>
      <c r="L928" s="9">
        <v>1</v>
      </c>
      <c r="M928" s="9">
        <v>1</v>
      </c>
      <c r="N928" s="185">
        <f t="shared" si="68"/>
        <v>0.16933510251023262</v>
      </c>
      <c r="O928" s="159">
        <f t="shared" si="67"/>
        <v>0.19908580854301616</v>
      </c>
      <c r="P928" s="63" t="s">
        <v>1979</v>
      </c>
    </row>
    <row r="929" spans="1:16" s="808" customFormat="1">
      <c r="A929" s="609" t="s">
        <v>454</v>
      </c>
      <c r="B929" s="59" t="s">
        <v>232</v>
      </c>
      <c r="C929" s="40" t="s">
        <v>139</v>
      </c>
      <c r="D929" s="34" t="s">
        <v>99</v>
      </c>
      <c r="E929" s="257">
        <v>0</v>
      </c>
      <c r="F929" s="34">
        <v>2</v>
      </c>
      <c r="G929" s="40" t="s">
        <v>433</v>
      </c>
      <c r="H929" s="29">
        <v>1</v>
      </c>
      <c r="I929" s="9">
        <v>2</v>
      </c>
      <c r="J929" s="9">
        <v>2</v>
      </c>
      <c r="K929" s="9">
        <v>1</v>
      </c>
      <c r="L929" s="9">
        <v>1</v>
      </c>
      <c r="M929" s="9">
        <v>1</v>
      </c>
      <c r="N929" s="185">
        <f t="shared" si="68"/>
        <v>0.16933510251023262</v>
      </c>
      <c r="O929" s="159">
        <f t="shared" si="67"/>
        <v>0.19908580854301616</v>
      </c>
      <c r="P929" s="63" t="s">
        <v>1979</v>
      </c>
    </row>
    <row r="930" spans="1:16" s="808" customFormat="1">
      <c r="A930" s="609" t="s">
        <v>454</v>
      </c>
      <c r="B930" s="59" t="s">
        <v>251</v>
      </c>
      <c r="C930" s="40" t="s">
        <v>139</v>
      </c>
      <c r="D930" s="34" t="s">
        <v>99</v>
      </c>
      <c r="E930" s="257">
        <v>0</v>
      </c>
      <c r="F930" s="34">
        <v>2</v>
      </c>
      <c r="G930" s="40" t="s">
        <v>433</v>
      </c>
      <c r="H930" s="29">
        <v>1</v>
      </c>
      <c r="I930" s="9">
        <v>2</v>
      </c>
      <c r="J930" s="9">
        <v>2</v>
      </c>
      <c r="K930" s="9">
        <v>1</v>
      </c>
      <c r="L930" s="9">
        <v>1</v>
      </c>
      <c r="M930" s="9">
        <v>1</v>
      </c>
      <c r="N930" s="185">
        <f t="shared" si="68"/>
        <v>0.16933510251023262</v>
      </c>
      <c r="O930" s="159">
        <f t="shared" si="67"/>
        <v>0.19908580854301616</v>
      </c>
      <c r="P930" s="63" t="s">
        <v>1979</v>
      </c>
    </row>
    <row r="931" spans="1:16" s="808" customFormat="1">
      <c r="A931" s="609" t="s">
        <v>454</v>
      </c>
      <c r="B931" s="59" t="s">
        <v>258</v>
      </c>
      <c r="C931" s="40" t="s">
        <v>139</v>
      </c>
      <c r="D931" s="34" t="s">
        <v>99</v>
      </c>
      <c r="E931" s="257">
        <v>0</v>
      </c>
      <c r="F931" s="34">
        <v>2</v>
      </c>
      <c r="G931" s="40" t="s">
        <v>433</v>
      </c>
      <c r="H931" s="29">
        <v>1</v>
      </c>
      <c r="I931" s="9">
        <v>2</v>
      </c>
      <c r="J931" s="9">
        <v>2</v>
      </c>
      <c r="K931" s="9">
        <v>1</v>
      </c>
      <c r="L931" s="9">
        <v>1</v>
      </c>
      <c r="M931" s="9">
        <v>1</v>
      </c>
      <c r="N931" s="185">
        <f t="shared" si="68"/>
        <v>0.16933510251023262</v>
      </c>
      <c r="O931" s="159">
        <f t="shared" si="67"/>
        <v>0.19908580854301616</v>
      </c>
      <c r="P931" s="63" t="s">
        <v>1979</v>
      </c>
    </row>
    <row r="932" spans="1:16" s="808" customFormat="1">
      <c r="A932" s="609" t="s">
        <v>454</v>
      </c>
      <c r="B932" s="59" t="s">
        <v>334</v>
      </c>
      <c r="C932" s="40" t="s">
        <v>139</v>
      </c>
      <c r="D932" s="34" t="s">
        <v>99</v>
      </c>
      <c r="E932" s="257" t="s">
        <v>150</v>
      </c>
      <c r="F932" s="34">
        <v>1</v>
      </c>
      <c r="G932" s="40" t="s">
        <v>433</v>
      </c>
      <c r="H932" s="29"/>
      <c r="I932" s="9"/>
      <c r="J932" s="9"/>
      <c r="K932" s="9"/>
      <c r="L932" s="9"/>
      <c r="M932" s="9"/>
      <c r="N932" s="185" t="str">
        <f t="shared" si="68"/>
        <v/>
      </c>
      <c r="O932" s="159" t="str">
        <f t="shared" si="67"/>
        <v/>
      </c>
      <c r="P932" s="63"/>
    </row>
    <row r="933" spans="1:16" s="808" customFormat="1">
      <c r="A933" s="609" t="s">
        <v>451</v>
      </c>
      <c r="B933" s="59" t="s">
        <v>228</v>
      </c>
      <c r="C933" s="40" t="s">
        <v>139</v>
      </c>
      <c r="D933" s="34" t="s">
        <v>99</v>
      </c>
      <c r="E933" s="257">
        <v>0</v>
      </c>
      <c r="F933" s="34">
        <v>2</v>
      </c>
      <c r="G933" s="40" t="s">
        <v>433</v>
      </c>
      <c r="H933" s="29">
        <v>1</v>
      </c>
      <c r="I933" s="9">
        <v>2</v>
      </c>
      <c r="J933" s="9">
        <v>2</v>
      </c>
      <c r="K933" s="9">
        <v>1</v>
      </c>
      <c r="L933" s="9">
        <v>1</v>
      </c>
      <c r="M933" s="9">
        <v>1</v>
      </c>
      <c r="N933" s="185">
        <f t="shared" si="68"/>
        <v>0.16933510251023262</v>
      </c>
      <c r="O933" s="159">
        <f t="shared" si="67"/>
        <v>0.19908580854301616</v>
      </c>
      <c r="P933" s="63" t="s">
        <v>858</v>
      </c>
    </row>
    <row r="934" spans="1:16" s="808" customFormat="1">
      <c r="A934" s="609" t="s">
        <v>451</v>
      </c>
      <c r="B934" s="59" t="s">
        <v>334</v>
      </c>
      <c r="C934" s="40" t="s">
        <v>139</v>
      </c>
      <c r="D934" s="34" t="s">
        <v>99</v>
      </c>
      <c r="E934" s="257" t="s">
        <v>150</v>
      </c>
      <c r="F934" s="34">
        <v>1</v>
      </c>
      <c r="G934" s="40" t="s">
        <v>433</v>
      </c>
      <c r="H934" s="29"/>
      <c r="I934" s="9"/>
      <c r="J934" s="9"/>
      <c r="K934" s="9"/>
      <c r="L934" s="9"/>
      <c r="M934" s="9"/>
      <c r="N934" s="185" t="str">
        <f t="shared" si="68"/>
        <v/>
      </c>
      <c r="O934" s="159" t="str">
        <f t="shared" si="67"/>
        <v/>
      </c>
      <c r="P934" s="63" t="s">
        <v>1939</v>
      </c>
    </row>
    <row r="935" spans="1:16" s="808" customFormat="1">
      <c r="A935" s="609" t="s">
        <v>434</v>
      </c>
      <c r="B935" s="59" t="s">
        <v>457</v>
      </c>
      <c r="C935" s="40" t="s">
        <v>139</v>
      </c>
      <c r="D935" s="34" t="s">
        <v>99</v>
      </c>
      <c r="E935" s="257">
        <f>0.97*0.4</f>
        <v>0.38800000000000001</v>
      </c>
      <c r="F935" s="34">
        <v>2</v>
      </c>
      <c r="G935" s="40" t="s">
        <v>433</v>
      </c>
      <c r="H935" s="29">
        <v>1</v>
      </c>
      <c r="I935" s="9">
        <v>2</v>
      </c>
      <c r="J935" s="9">
        <v>2</v>
      </c>
      <c r="K935" s="9">
        <v>1</v>
      </c>
      <c r="L935" s="9">
        <v>1</v>
      </c>
      <c r="M935" s="9">
        <v>1</v>
      </c>
      <c r="N935" s="185">
        <f t="shared" si="68"/>
        <v>0.16933510251023262</v>
      </c>
      <c r="O935" s="159">
        <f t="shared" si="67"/>
        <v>0.19908580854301616</v>
      </c>
      <c r="P935" s="63" t="s">
        <v>859</v>
      </c>
    </row>
    <row r="936" spans="1:16" s="808" customFormat="1">
      <c r="A936" s="609" t="s">
        <v>434</v>
      </c>
      <c r="B936" s="59" t="s">
        <v>458</v>
      </c>
      <c r="C936" s="40" t="s">
        <v>139</v>
      </c>
      <c r="D936" s="34" t="s">
        <v>99</v>
      </c>
      <c r="E936" s="257">
        <f>0.97*0.6</f>
        <v>0.58199999999999996</v>
      </c>
      <c r="F936" s="34">
        <v>2</v>
      </c>
      <c r="G936" s="40" t="s">
        <v>433</v>
      </c>
      <c r="H936" s="29">
        <v>1</v>
      </c>
      <c r="I936" s="9">
        <v>2</v>
      </c>
      <c r="J936" s="9">
        <v>2</v>
      </c>
      <c r="K936" s="9">
        <v>1</v>
      </c>
      <c r="L936" s="9">
        <v>1</v>
      </c>
      <c r="M936" s="9">
        <v>1</v>
      </c>
      <c r="N936" s="185">
        <f t="shared" si="68"/>
        <v>0.16933510251023262</v>
      </c>
      <c r="O936" s="159">
        <f t="shared" si="67"/>
        <v>0.19908580854301616</v>
      </c>
      <c r="P936" s="63" t="s">
        <v>860</v>
      </c>
    </row>
    <row r="937" spans="1:16" s="808" customFormat="1">
      <c r="A937" s="609" t="s">
        <v>434</v>
      </c>
      <c r="B937" s="59" t="s">
        <v>223</v>
      </c>
      <c r="C937" s="40" t="s">
        <v>139</v>
      </c>
      <c r="D937" s="34" t="s">
        <v>99</v>
      </c>
      <c r="E937" s="958" t="s">
        <v>150</v>
      </c>
      <c r="F937" s="34">
        <v>1</v>
      </c>
      <c r="G937" s="40" t="s">
        <v>433</v>
      </c>
      <c r="H937" s="29">
        <v>1</v>
      </c>
      <c r="I937" s="9">
        <v>2</v>
      </c>
      <c r="J937" s="9">
        <v>2</v>
      </c>
      <c r="K937" s="9">
        <v>1</v>
      </c>
      <c r="L937" s="9">
        <v>1</v>
      </c>
      <c r="M937" s="9">
        <v>1</v>
      </c>
      <c r="N937" s="185">
        <f t="shared" si="68"/>
        <v>0.16933510251023262</v>
      </c>
      <c r="O937" s="159">
        <f t="shared" si="67"/>
        <v>0.19908580854301616</v>
      </c>
      <c r="P937" s="63" t="s">
        <v>854</v>
      </c>
    </row>
    <row r="938" spans="1:16" s="808" customFormat="1">
      <c r="A938" s="609" t="s">
        <v>457</v>
      </c>
      <c r="B938" s="59" t="s">
        <v>459</v>
      </c>
      <c r="C938" s="40" t="s">
        <v>139</v>
      </c>
      <c r="D938" s="34" t="s">
        <v>99</v>
      </c>
      <c r="E938" s="257">
        <v>0.03</v>
      </c>
      <c r="F938" s="34">
        <v>2</v>
      </c>
      <c r="G938" s="40" t="s">
        <v>433</v>
      </c>
      <c r="H938" s="29">
        <v>1</v>
      </c>
      <c r="I938" s="9">
        <v>2</v>
      </c>
      <c r="J938" s="9">
        <v>2</v>
      </c>
      <c r="K938" s="9">
        <v>1</v>
      </c>
      <c r="L938" s="9">
        <v>1</v>
      </c>
      <c r="M938" s="9">
        <v>1</v>
      </c>
      <c r="N938" s="185">
        <f t="shared" si="68"/>
        <v>0.16933510251023262</v>
      </c>
      <c r="O938" s="159">
        <f t="shared" si="67"/>
        <v>0.19908580854301616</v>
      </c>
      <c r="P938" s="63" t="s">
        <v>855</v>
      </c>
    </row>
    <row r="939" spans="1:16" s="808" customFormat="1">
      <c r="A939" s="609" t="s">
        <v>457</v>
      </c>
      <c r="B939" s="59" t="s">
        <v>460</v>
      </c>
      <c r="C939" s="40" t="s">
        <v>139</v>
      </c>
      <c r="D939" s="34" t="s">
        <v>99</v>
      </c>
      <c r="E939" s="257" t="s">
        <v>150</v>
      </c>
      <c r="F939" s="34">
        <v>1</v>
      </c>
      <c r="G939" s="40" t="s">
        <v>433</v>
      </c>
      <c r="H939" s="29"/>
      <c r="I939" s="9"/>
      <c r="J939" s="9"/>
      <c r="K939" s="9"/>
      <c r="L939" s="9"/>
      <c r="M939" s="9"/>
      <c r="N939" s="185" t="str">
        <f t="shared" si="68"/>
        <v/>
      </c>
      <c r="O939" s="159" t="str">
        <f t="shared" si="67"/>
        <v/>
      </c>
      <c r="P939" s="63" t="s">
        <v>1940</v>
      </c>
    </row>
    <row r="940" spans="1:16" s="808" customFormat="1">
      <c r="A940" s="609" t="s">
        <v>459</v>
      </c>
      <c r="B940" s="59" t="s">
        <v>231</v>
      </c>
      <c r="C940" s="40" t="s">
        <v>139</v>
      </c>
      <c r="D940" s="34" t="s">
        <v>99</v>
      </c>
      <c r="E940" s="257">
        <v>0.05</v>
      </c>
      <c r="F940" s="34">
        <v>2</v>
      </c>
      <c r="G940" s="40" t="s">
        <v>157</v>
      </c>
      <c r="H940" s="29">
        <v>1</v>
      </c>
      <c r="I940" s="9">
        <v>2</v>
      </c>
      <c r="J940" s="9">
        <v>2</v>
      </c>
      <c r="K940" s="9">
        <v>1</v>
      </c>
      <c r="L940" s="9">
        <v>3</v>
      </c>
      <c r="M940" s="9">
        <v>3</v>
      </c>
      <c r="N940" s="185">
        <f t="shared" si="68"/>
        <v>1.0725046436742278</v>
      </c>
      <c r="O940" s="159">
        <f t="shared" si="67"/>
        <v>1.0776024280428556</v>
      </c>
      <c r="P940" s="63" t="s">
        <v>1937</v>
      </c>
    </row>
    <row r="941" spans="1:16" s="808" customFormat="1">
      <c r="A941" s="609" t="s">
        <v>459</v>
      </c>
      <c r="B941" s="59" t="s">
        <v>232</v>
      </c>
      <c r="C941" s="40" t="s">
        <v>139</v>
      </c>
      <c r="D941" s="34" t="s">
        <v>99</v>
      </c>
      <c r="E941" s="257">
        <v>0.39400000000000002</v>
      </c>
      <c r="F941" s="34">
        <v>2</v>
      </c>
      <c r="G941" s="40" t="s">
        <v>433</v>
      </c>
      <c r="H941" s="29">
        <v>1</v>
      </c>
      <c r="I941" s="9">
        <v>2</v>
      </c>
      <c r="J941" s="9">
        <v>2</v>
      </c>
      <c r="K941" s="9">
        <v>1</v>
      </c>
      <c r="L941" s="9">
        <v>1</v>
      </c>
      <c r="M941" s="9">
        <v>1</v>
      </c>
      <c r="N941" s="185">
        <f t="shared" si="68"/>
        <v>0.16933510251023262</v>
      </c>
      <c r="O941" s="159">
        <f t="shared" si="67"/>
        <v>0.19908580854301616</v>
      </c>
      <c r="P941" s="63" t="s">
        <v>1961</v>
      </c>
    </row>
    <row r="942" spans="1:16" s="808" customFormat="1">
      <c r="A942" s="609" t="s">
        <v>459</v>
      </c>
      <c r="B942" s="59" t="s">
        <v>251</v>
      </c>
      <c r="C942" s="40" t="s">
        <v>139</v>
      </c>
      <c r="D942" s="34" t="s">
        <v>99</v>
      </c>
      <c r="E942" s="257">
        <v>0.52200000000000002</v>
      </c>
      <c r="F942" s="34">
        <v>1</v>
      </c>
      <c r="G942" s="40" t="s">
        <v>433</v>
      </c>
      <c r="H942" s="29">
        <v>1</v>
      </c>
      <c r="I942" s="9">
        <v>2</v>
      </c>
      <c r="J942" s="9">
        <v>2</v>
      </c>
      <c r="K942" s="9">
        <v>1</v>
      </c>
      <c r="L942" s="9">
        <v>1</v>
      </c>
      <c r="M942" s="9">
        <v>1</v>
      </c>
      <c r="N942" s="185">
        <f t="shared" si="68"/>
        <v>0.16933510251023262</v>
      </c>
      <c r="O942" s="159">
        <f t="shared" si="67"/>
        <v>0.19908580854301616</v>
      </c>
      <c r="P942" s="63" t="s">
        <v>1962</v>
      </c>
    </row>
    <row r="943" spans="1:16" s="808" customFormat="1">
      <c r="A943" s="609" t="s">
        <v>459</v>
      </c>
      <c r="B943" s="59" t="s">
        <v>258</v>
      </c>
      <c r="C943" s="40" t="s">
        <v>139</v>
      </c>
      <c r="D943" s="34" t="s">
        <v>99</v>
      </c>
      <c r="E943" s="257">
        <v>3.4000000000000002E-2</v>
      </c>
      <c r="F943" s="34">
        <v>2</v>
      </c>
      <c r="G943" s="40" t="s">
        <v>433</v>
      </c>
      <c r="H943" s="29">
        <v>1</v>
      </c>
      <c r="I943" s="9">
        <v>2</v>
      </c>
      <c r="J943" s="9">
        <v>2</v>
      </c>
      <c r="K943" s="9">
        <v>1</v>
      </c>
      <c r="L943" s="9">
        <v>1</v>
      </c>
      <c r="M943" s="9">
        <v>1</v>
      </c>
      <c r="N943" s="185">
        <f t="shared" si="68"/>
        <v>0.16933510251023262</v>
      </c>
      <c r="O943" s="159">
        <f t="shared" si="67"/>
        <v>0.19908580854301616</v>
      </c>
      <c r="P943" s="63" t="s">
        <v>1963</v>
      </c>
    </row>
    <row r="944" spans="1:16" s="808" customFormat="1">
      <c r="A944" s="609" t="s">
        <v>458</v>
      </c>
      <c r="B944" s="59" t="s">
        <v>461</v>
      </c>
      <c r="C944" s="40" t="s">
        <v>139</v>
      </c>
      <c r="D944" s="34" t="s">
        <v>99</v>
      </c>
      <c r="E944" s="257">
        <f>0.1*E938</f>
        <v>3.0000000000000001E-3</v>
      </c>
      <c r="F944" s="34">
        <v>2</v>
      </c>
      <c r="G944" s="40" t="s">
        <v>433</v>
      </c>
      <c r="H944" s="29">
        <v>1</v>
      </c>
      <c r="I944" s="9">
        <v>2</v>
      </c>
      <c r="J944" s="9">
        <v>2</v>
      </c>
      <c r="K944" s="9">
        <v>1</v>
      </c>
      <c r="L944" s="9">
        <v>1</v>
      </c>
      <c r="M944" s="9">
        <v>1</v>
      </c>
      <c r="N944" s="185">
        <f t="shared" si="68"/>
        <v>0.16933510251023262</v>
      </c>
      <c r="O944" s="159">
        <f t="shared" ref="O944:O980" si="69">IF( OR( ISBLANK(I944),ISBLANK(J944), ISBLANK(K944), ISBLANK(L944), ISBLANK(M944) ), "", 1.5*SQRT( EXP(2.21*(I944-1)) + EXP(2.21*(J944-1)) + EXP(2.21*(K944-1)) + EXP(2.21*(L944-1)) + EXP(2.21*M944)   )/100*2.45 )</f>
        <v>0.19908580854301616</v>
      </c>
      <c r="P944" s="63" t="s">
        <v>856</v>
      </c>
    </row>
    <row r="945" spans="1:16" s="808" customFormat="1">
      <c r="A945" s="609" t="s">
        <v>458</v>
      </c>
      <c r="B945" s="59" t="s">
        <v>462</v>
      </c>
      <c r="C945" s="40" t="s">
        <v>139</v>
      </c>
      <c r="D945" s="34" t="s">
        <v>99</v>
      </c>
      <c r="E945" s="257" t="s">
        <v>150</v>
      </c>
      <c r="F945" s="34">
        <v>1</v>
      </c>
      <c r="G945" s="40" t="s">
        <v>433</v>
      </c>
      <c r="H945" s="29"/>
      <c r="I945" s="9"/>
      <c r="J945" s="9"/>
      <c r="K945" s="9"/>
      <c r="L945" s="9"/>
      <c r="M945" s="9"/>
      <c r="N945" s="185" t="str">
        <f t="shared" si="68"/>
        <v/>
      </c>
      <c r="O945" s="159" t="str">
        <f t="shared" si="69"/>
        <v/>
      </c>
      <c r="P945" s="63" t="s">
        <v>1940</v>
      </c>
    </row>
    <row r="946" spans="1:16" s="808" customFormat="1">
      <c r="A946" s="609" t="s">
        <v>461</v>
      </c>
      <c r="B946" s="59" t="s">
        <v>228</v>
      </c>
      <c r="C946" s="40" t="s">
        <v>139</v>
      </c>
      <c r="D946" s="34" t="s">
        <v>99</v>
      </c>
      <c r="E946" s="257">
        <v>1</v>
      </c>
      <c r="F946" s="34">
        <v>2</v>
      </c>
      <c r="G946" s="40" t="s">
        <v>433</v>
      </c>
      <c r="H946" s="29">
        <v>1</v>
      </c>
      <c r="I946" s="9">
        <v>2</v>
      </c>
      <c r="J946" s="9">
        <v>2</v>
      </c>
      <c r="K946" s="9">
        <v>1</v>
      </c>
      <c r="L946" s="9">
        <v>1</v>
      </c>
      <c r="M946" s="9">
        <v>1</v>
      </c>
      <c r="N946" s="185">
        <f t="shared" si="68"/>
        <v>0.16933510251023262</v>
      </c>
      <c r="O946" s="159">
        <f t="shared" si="69"/>
        <v>0.19908580854301616</v>
      </c>
      <c r="P946" s="63" t="s">
        <v>857</v>
      </c>
    </row>
    <row r="947" spans="1:16" s="808" customFormat="1">
      <c r="A947" s="609" t="s">
        <v>460</v>
      </c>
      <c r="B947" s="59" t="s">
        <v>231</v>
      </c>
      <c r="C947" s="40" t="s">
        <v>139</v>
      </c>
      <c r="D947" s="34" t="s">
        <v>99</v>
      </c>
      <c r="E947" s="257">
        <v>1.6000000000000001E-3</v>
      </c>
      <c r="F947" s="34">
        <v>2</v>
      </c>
      <c r="G947" s="40" t="s">
        <v>1997</v>
      </c>
      <c r="H947" s="29">
        <v>1</v>
      </c>
      <c r="I947" s="9">
        <v>2</v>
      </c>
      <c r="J947" s="9">
        <v>2</v>
      </c>
      <c r="K947" s="9">
        <v>1</v>
      </c>
      <c r="L947" s="9">
        <v>3</v>
      </c>
      <c r="M947" s="9">
        <v>3</v>
      </c>
      <c r="N947" s="185">
        <f t="shared" si="68"/>
        <v>1.0725046436742278</v>
      </c>
      <c r="O947" s="159">
        <f t="shared" si="69"/>
        <v>1.0776024280428556</v>
      </c>
      <c r="P947" s="63" t="s">
        <v>1976</v>
      </c>
    </row>
    <row r="948" spans="1:16" s="808" customFormat="1">
      <c r="A948" s="609" t="s">
        <v>460</v>
      </c>
      <c r="B948" s="59" t="s">
        <v>232</v>
      </c>
      <c r="C948" s="40" t="s">
        <v>139</v>
      </c>
      <c r="D948" s="34" t="s">
        <v>99</v>
      </c>
      <c r="E948" s="257">
        <v>1.26E-2</v>
      </c>
      <c r="F948" s="34">
        <v>2</v>
      </c>
      <c r="G948" s="40" t="s">
        <v>433</v>
      </c>
      <c r="H948" s="29">
        <v>1</v>
      </c>
      <c r="I948" s="9">
        <v>2</v>
      </c>
      <c r="J948" s="9">
        <v>2</v>
      </c>
      <c r="K948" s="9">
        <v>1</v>
      </c>
      <c r="L948" s="9">
        <v>1</v>
      </c>
      <c r="M948" s="9">
        <v>1</v>
      </c>
      <c r="N948" s="185">
        <f t="shared" si="68"/>
        <v>0.16933510251023262</v>
      </c>
      <c r="O948" s="159">
        <f t="shared" si="69"/>
        <v>0.19908580854301616</v>
      </c>
      <c r="P948" s="63" t="s">
        <v>1977</v>
      </c>
    </row>
    <row r="949" spans="1:16" s="808" customFormat="1">
      <c r="A949" s="609" t="s">
        <v>460</v>
      </c>
      <c r="B949" s="59" t="s">
        <v>251</v>
      </c>
      <c r="C949" s="40" t="s">
        <v>139</v>
      </c>
      <c r="D949" s="34" t="s">
        <v>99</v>
      </c>
      <c r="E949" s="257">
        <v>1.67E-2</v>
      </c>
      <c r="F949" s="34">
        <v>2</v>
      </c>
      <c r="G949" s="40" t="s">
        <v>433</v>
      </c>
      <c r="H949" s="29">
        <v>1</v>
      </c>
      <c r="I949" s="9">
        <v>2</v>
      </c>
      <c r="J949" s="9">
        <v>2</v>
      </c>
      <c r="K949" s="9">
        <v>1</v>
      </c>
      <c r="L949" s="9">
        <v>1</v>
      </c>
      <c r="M949" s="9">
        <v>1</v>
      </c>
      <c r="N949" s="185">
        <f t="shared" si="68"/>
        <v>0.16933510251023262</v>
      </c>
      <c r="O949" s="159">
        <f t="shared" si="69"/>
        <v>0.19908580854301616</v>
      </c>
      <c r="P949" s="63" t="s">
        <v>1981</v>
      </c>
    </row>
    <row r="950" spans="1:16" s="808" customFormat="1">
      <c r="A950" s="609" t="s">
        <v>460</v>
      </c>
      <c r="B950" s="59" t="s">
        <v>258</v>
      </c>
      <c r="C950" s="40" t="s">
        <v>139</v>
      </c>
      <c r="D950" s="34" t="s">
        <v>99</v>
      </c>
      <c r="E950" s="257">
        <v>1.1000000000000001E-3</v>
      </c>
      <c r="F950" s="34">
        <v>2</v>
      </c>
      <c r="G950" s="40" t="s">
        <v>433</v>
      </c>
      <c r="H950" s="29">
        <v>1</v>
      </c>
      <c r="I950" s="9">
        <v>2</v>
      </c>
      <c r="J950" s="9">
        <v>2</v>
      </c>
      <c r="K950" s="9">
        <v>1</v>
      </c>
      <c r="L950" s="9">
        <v>1</v>
      </c>
      <c r="M950" s="9">
        <v>1</v>
      </c>
      <c r="N950" s="185">
        <f t="shared" si="68"/>
        <v>0.16933510251023262</v>
      </c>
      <c r="O950" s="159">
        <f t="shared" si="69"/>
        <v>0.19908580854301616</v>
      </c>
      <c r="P950" s="63" t="s">
        <v>1978</v>
      </c>
    </row>
    <row r="951" spans="1:16" s="808" customFormat="1">
      <c r="A951" s="609" t="s">
        <v>460</v>
      </c>
      <c r="B951" s="59" t="s">
        <v>334</v>
      </c>
      <c r="C951" s="40" t="s">
        <v>139</v>
      </c>
      <c r="D951" s="34" t="s">
        <v>99</v>
      </c>
      <c r="E951" s="257" t="s">
        <v>150</v>
      </c>
      <c r="F951" s="34">
        <v>1</v>
      </c>
      <c r="G951" s="40" t="s">
        <v>433</v>
      </c>
      <c r="H951" s="29"/>
      <c r="I951" s="9"/>
      <c r="J951" s="9"/>
      <c r="K951" s="9"/>
      <c r="L951" s="9"/>
      <c r="M951" s="9"/>
      <c r="N951" s="185" t="str">
        <f t="shared" si="68"/>
        <v/>
      </c>
      <c r="O951" s="159" t="str">
        <f t="shared" si="69"/>
        <v/>
      </c>
      <c r="P951" s="63"/>
    </row>
    <row r="952" spans="1:16" s="808" customFormat="1">
      <c r="A952" s="609" t="s">
        <v>462</v>
      </c>
      <c r="B952" s="59" t="s">
        <v>228</v>
      </c>
      <c r="C952" s="40" t="s">
        <v>139</v>
      </c>
      <c r="D952" s="34" t="s">
        <v>99</v>
      </c>
      <c r="E952" s="257">
        <v>3.2000000000000001E-2</v>
      </c>
      <c r="F952" s="34">
        <v>2</v>
      </c>
      <c r="G952" s="40" t="s">
        <v>433</v>
      </c>
      <c r="H952" s="29">
        <v>1</v>
      </c>
      <c r="I952" s="9">
        <v>2</v>
      </c>
      <c r="J952" s="9">
        <v>2</v>
      </c>
      <c r="K952" s="9">
        <v>1</v>
      </c>
      <c r="L952" s="9">
        <v>1</v>
      </c>
      <c r="M952" s="9">
        <v>1</v>
      </c>
      <c r="N952" s="185">
        <f t="shared" si="68"/>
        <v>0.16933510251023262</v>
      </c>
      <c r="O952" s="159">
        <f t="shared" si="69"/>
        <v>0.19908580854301616</v>
      </c>
      <c r="P952" s="63" t="s">
        <v>861</v>
      </c>
    </row>
    <row r="953" spans="1:16" s="808" customFormat="1">
      <c r="A953" s="609" t="s">
        <v>462</v>
      </c>
      <c r="B953" s="59" t="s">
        <v>334</v>
      </c>
      <c r="C953" s="40" t="s">
        <v>139</v>
      </c>
      <c r="D953" s="34" t="s">
        <v>99</v>
      </c>
      <c r="E953" s="257" t="s">
        <v>150</v>
      </c>
      <c r="F953" s="34">
        <v>1</v>
      </c>
      <c r="G953" s="40" t="s">
        <v>433</v>
      </c>
      <c r="H953" s="29"/>
      <c r="I953" s="9"/>
      <c r="J953" s="9"/>
      <c r="K953" s="9"/>
      <c r="L953" s="9"/>
      <c r="M953" s="9"/>
      <c r="N953" s="185" t="str">
        <f t="shared" si="68"/>
        <v/>
      </c>
      <c r="O953" s="159" t="str">
        <f t="shared" si="69"/>
        <v/>
      </c>
      <c r="P953" s="63" t="s">
        <v>1941</v>
      </c>
    </row>
    <row r="954" spans="1:16" s="808" customFormat="1">
      <c r="A954" s="609" t="s">
        <v>435</v>
      </c>
      <c r="B954" s="59" t="s">
        <v>463</v>
      </c>
      <c r="C954" s="40" t="s">
        <v>139</v>
      </c>
      <c r="D954" s="34" t="s">
        <v>99</v>
      </c>
      <c r="E954" s="257">
        <f>0.97*0.25</f>
        <v>0.24249999999999999</v>
      </c>
      <c r="F954" s="34">
        <v>2</v>
      </c>
      <c r="G954" s="40" t="s">
        <v>433</v>
      </c>
      <c r="H954" s="29">
        <v>1</v>
      </c>
      <c r="I954" s="9">
        <v>2</v>
      </c>
      <c r="J954" s="9">
        <v>2</v>
      </c>
      <c r="K954" s="9">
        <v>1</v>
      </c>
      <c r="L954" s="9">
        <v>1</v>
      </c>
      <c r="M954" s="9">
        <v>1</v>
      </c>
      <c r="N954" s="185">
        <f t="shared" si="68"/>
        <v>0.16933510251023262</v>
      </c>
      <c r="O954" s="159">
        <f t="shared" si="69"/>
        <v>0.19908580854301616</v>
      </c>
      <c r="P954" s="63" t="s">
        <v>862</v>
      </c>
    </row>
    <row r="955" spans="1:16" s="808" customFormat="1">
      <c r="A955" s="609" t="s">
        <v>435</v>
      </c>
      <c r="B955" s="59" t="s">
        <v>464</v>
      </c>
      <c r="C955" s="40" t="s">
        <v>139</v>
      </c>
      <c r="D955" s="34" t="s">
        <v>99</v>
      </c>
      <c r="E955" s="257">
        <f>0.97*0.75</f>
        <v>0.72750000000000004</v>
      </c>
      <c r="F955" s="34">
        <v>2</v>
      </c>
      <c r="G955" s="40" t="s">
        <v>433</v>
      </c>
      <c r="H955" s="29">
        <v>1</v>
      </c>
      <c r="I955" s="9">
        <v>2</v>
      </c>
      <c r="J955" s="9">
        <v>2</v>
      </c>
      <c r="K955" s="9">
        <v>1</v>
      </c>
      <c r="L955" s="9">
        <v>1</v>
      </c>
      <c r="M955" s="9">
        <v>1</v>
      </c>
      <c r="N955" s="185">
        <f t="shared" si="68"/>
        <v>0.16933510251023262</v>
      </c>
      <c r="O955" s="159">
        <f t="shared" si="69"/>
        <v>0.19908580854301616</v>
      </c>
      <c r="P955" s="63" t="s">
        <v>863</v>
      </c>
    </row>
    <row r="956" spans="1:16" s="808" customFormat="1">
      <c r="A956" s="609" t="s">
        <v>435</v>
      </c>
      <c r="B956" s="59" t="s">
        <v>223</v>
      </c>
      <c r="C956" s="40" t="s">
        <v>139</v>
      </c>
      <c r="D956" s="34" t="s">
        <v>99</v>
      </c>
      <c r="E956" s="257">
        <v>0.03</v>
      </c>
      <c r="F956" s="34">
        <v>1</v>
      </c>
      <c r="G956" s="40" t="s">
        <v>433</v>
      </c>
      <c r="H956" s="29">
        <v>1</v>
      </c>
      <c r="I956" s="9">
        <v>2</v>
      </c>
      <c r="J956" s="9">
        <v>2</v>
      </c>
      <c r="K956" s="9">
        <v>1</v>
      </c>
      <c r="L956" s="9">
        <v>1</v>
      </c>
      <c r="M956" s="9">
        <v>1</v>
      </c>
      <c r="N956" s="185">
        <f t="shared" si="68"/>
        <v>0.16933510251023262</v>
      </c>
      <c r="O956" s="159">
        <f t="shared" si="69"/>
        <v>0.19908580854301616</v>
      </c>
      <c r="P956" s="63" t="s">
        <v>854</v>
      </c>
    </row>
    <row r="957" spans="1:16" s="808" customFormat="1">
      <c r="A957" s="609" t="s">
        <v>463</v>
      </c>
      <c r="B957" s="59" t="s">
        <v>466</v>
      </c>
      <c r="C957" s="40" t="s">
        <v>139</v>
      </c>
      <c r="D957" s="34" t="s">
        <v>99</v>
      </c>
      <c r="E957" s="257">
        <v>0.03</v>
      </c>
      <c r="F957" s="34">
        <v>2</v>
      </c>
      <c r="G957" s="40" t="s">
        <v>433</v>
      </c>
      <c r="H957" s="29">
        <v>1</v>
      </c>
      <c r="I957" s="9">
        <v>2</v>
      </c>
      <c r="J957" s="9">
        <v>2</v>
      </c>
      <c r="K957" s="9">
        <v>1</v>
      </c>
      <c r="L957" s="9">
        <v>1</v>
      </c>
      <c r="M957" s="9">
        <v>1</v>
      </c>
      <c r="N957" s="185">
        <f t="shared" si="68"/>
        <v>0.16933510251023262</v>
      </c>
      <c r="O957" s="159">
        <f t="shared" si="69"/>
        <v>0.19908580854301616</v>
      </c>
      <c r="P957" s="63" t="s">
        <v>855</v>
      </c>
    </row>
    <row r="958" spans="1:16" s="808" customFormat="1">
      <c r="A958" s="609" t="s">
        <v>463</v>
      </c>
      <c r="B958" s="59" t="s">
        <v>467</v>
      </c>
      <c r="C958" s="40" t="s">
        <v>139</v>
      </c>
      <c r="D958" s="34" t="s">
        <v>99</v>
      </c>
      <c r="E958" s="257" t="s">
        <v>150</v>
      </c>
      <c r="F958" s="34">
        <v>1</v>
      </c>
      <c r="G958" s="40" t="s">
        <v>433</v>
      </c>
      <c r="H958" s="29"/>
      <c r="I958" s="9"/>
      <c r="J958" s="9"/>
      <c r="K958" s="9"/>
      <c r="L958" s="9"/>
      <c r="M958" s="9"/>
      <c r="N958" s="185" t="str">
        <f t="shared" ref="N958:N980" si="70">IF( OR( ISBLANK(H958),ISBLANK(J958), ISBLANK(K958), ISBLANK(L958), ISBLANK(M958) ), "", 1.5*SQRT(   EXP(2.21*(H958-1)) + EXP(2.21*(J958-1)) + EXP(2.21*(K958-1)) + EXP(2.21*(L958-1)) + EXP(2.21*M958)   )/100*2.45 )</f>
        <v/>
      </c>
      <c r="O958" s="159" t="str">
        <f t="shared" si="69"/>
        <v/>
      </c>
      <c r="P958" s="63" t="s">
        <v>1942</v>
      </c>
    </row>
    <row r="959" spans="1:16" s="808" customFormat="1">
      <c r="A959" s="609" t="s">
        <v>466</v>
      </c>
      <c r="B959" s="59" t="s">
        <v>231</v>
      </c>
      <c r="C959" s="40" t="s">
        <v>139</v>
      </c>
      <c r="D959" s="34" t="s">
        <v>99</v>
      </c>
      <c r="E959" s="257">
        <v>0.05</v>
      </c>
      <c r="F959" s="34">
        <v>2</v>
      </c>
      <c r="G959" s="40" t="s">
        <v>157</v>
      </c>
      <c r="H959" s="29">
        <v>1</v>
      </c>
      <c r="I959" s="9">
        <v>2</v>
      </c>
      <c r="J959" s="9">
        <v>2</v>
      </c>
      <c r="K959" s="9">
        <v>1</v>
      </c>
      <c r="L959" s="9">
        <v>3</v>
      </c>
      <c r="M959" s="9">
        <v>3</v>
      </c>
      <c r="N959" s="185">
        <f t="shared" si="70"/>
        <v>1.0725046436742278</v>
      </c>
      <c r="O959" s="159">
        <f t="shared" si="69"/>
        <v>1.0776024280428556</v>
      </c>
      <c r="P959" s="63" t="s">
        <v>1937</v>
      </c>
    </row>
    <row r="960" spans="1:16" s="808" customFormat="1">
      <c r="A960" s="609" t="s">
        <v>466</v>
      </c>
      <c r="B960" s="59" t="s">
        <v>232</v>
      </c>
      <c r="C960" s="40" t="s">
        <v>139</v>
      </c>
      <c r="D960" s="34" t="s">
        <v>99</v>
      </c>
      <c r="E960" s="257">
        <v>0.39400000000000002</v>
      </c>
      <c r="F960" s="34">
        <v>2</v>
      </c>
      <c r="G960" s="40" t="s">
        <v>433</v>
      </c>
      <c r="H960" s="29">
        <v>1</v>
      </c>
      <c r="I960" s="9">
        <v>2</v>
      </c>
      <c r="J960" s="9">
        <v>2</v>
      </c>
      <c r="K960" s="9">
        <v>1</v>
      </c>
      <c r="L960" s="9">
        <v>1</v>
      </c>
      <c r="M960" s="9">
        <v>1</v>
      </c>
      <c r="N960" s="185">
        <f t="shared" si="70"/>
        <v>0.16933510251023262</v>
      </c>
      <c r="O960" s="159">
        <f t="shared" si="69"/>
        <v>0.19908580854301616</v>
      </c>
      <c r="P960" s="63" t="s">
        <v>1961</v>
      </c>
    </row>
    <row r="961" spans="1:16" s="808" customFormat="1">
      <c r="A961" s="609" t="s">
        <v>466</v>
      </c>
      <c r="B961" s="59" t="s">
        <v>251</v>
      </c>
      <c r="C961" s="40" t="s">
        <v>139</v>
      </c>
      <c r="D961" s="34" t="s">
        <v>99</v>
      </c>
      <c r="E961" s="257">
        <v>0.52200000000000002</v>
      </c>
      <c r="F961" s="34">
        <v>1</v>
      </c>
      <c r="G961" s="40" t="s">
        <v>433</v>
      </c>
      <c r="H961" s="29">
        <v>1</v>
      </c>
      <c r="I961" s="9">
        <v>2</v>
      </c>
      <c r="J961" s="9">
        <v>2</v>
      </c>
      <c r="K961" s="9">
        <v>1</v>
      </c>
      <c r="L961" s="9">
        <v>1</v>
      </c>
      <c r="M961" s="9">
        <v>1</v>
      </c>
      <c r="N961" s="185">
        <f t="shared" si="70"/>
        <v>0.16933510251023262</v>
      </c>
      <c r="O961" s="159">
        <f t="shared" si="69"/>
        <v>0.19908580854301616</v>
      </c>
      <c r="P961" s="63" t="s">
        <v>1962</v>
      </c>
    </row>
    <row r="962" spans="1:16" s="808" customFormat="1">
      <c r="A962" s="609" t="s">
        <v>466</v>
      </c>
      <c r="B962" s="59" t="s">
        <v>258</v>
      </c>
      <c r="C962" s="40" t="s">
        <v>139</v>
      </c>
      <c r="D962" s="34" t="s">
        <v>99</v>
      </c>
      <c r="E962" s="257">
        <v>3.4000000000000002E-2</v>
      </c>
      <c r="F962" s="34">
        <v>2</v>
      </c>
      <c r="G962" s="40" t="s">
        <v>433</v>
      </c>
      <c r="H962" s="29">
        <v>1</v>
      </c>
      <c r="I962" s="9">
        <v>2</v>
      </c>
      <c r="J962" s="9">
        <v>2</v>
      </c>
      <c r="K962" s="9">
        <v>1</v>
      </c>
      <c r="L962" s="9">
        <v>1</v>
      </c>
      <c r="M962" s="9">
        <v>1</v>
      </c>
      <c r="N962" s="185">
        <f t="shared" si="70"/>
        <v>0.16933510251023262</v>
      </c>
      <c r="O962" s="159">
        <f t="shared" si="69"/>
        <v>0.19908580854301616</v>
      </c>
      <c r="P962" s="63" t="s">
        <v>1963</v>
      </c>
    </row>
    <row r="963" spans="1:16" s="808" customFormat="1">
      <c r="A963" s="609" t="s">
        <v>464</v>
      </c>
      <c r="B963" s="59" t="s">
        <v>468</v>
      </c>
      <c r="C963" s="40" t="s">
        <v>139</v>
      </c>
      <c r="D963" s="34" t="s">
        <v>99</v>
      </c>
      <c r="E963" s="257">
        <f>0.1*E957</f>
        <v>3.0000000000000001E-3</v>
      </c>
      <c r="F963" s="34">
        <v>2</v>
      </c>
      <c r="G963" s="40" t="s">
        <v>433</v>
      </c>
      <c r="H963" s="29">
        <v>1</v>
      </c>
      <c r="I963" s="9">
        <v>2</v>
      </c>
      <c r="J963" s="9">
        <v>2</v>
      </c>
      <c r="K963" s="9">
        <v>1</v>
      </c>
      <c r="L963" s="9">
        <v>1</v>
      </c>
      <c r="M963" s="9">
        <v>1</v>
      </c>
      <c r="N963" s="185">
        <f t="shared" si="70"/>
        <v>0.16933510251023262</v>
      </c>
      <c r="O963" s="159">
        <f t="shared" si="69"/>
        <v>0.19908580854301616</v>
      </c>
      <c r="P963" s="63" t="s">
        <v>856</v>
      </c>
    </row>
    <row r="964" spans="1:16" s="808" customFormat="1">
      <c r="A964" s="609" t="s">
        <v>464</v>
      </c>
      <c r="B964" s="59" t="s">
        <v>469</v>
      </c>
      <c r="C964" s="40" t="s">
        <v>139</v>
      </c>
      <c r="D964" s="34" t="s">
        <v>99</v>
      </c>
      <c r="E964" s="257" t="s">
        <v>150</v>
      </c>
      <c r="F964" s="34">
        <v>1</v>
      </c>
      <c r="G964" s="40" t="s">
        <v>433</v>
      </c>
      <c r="H964" s="29"/>
      <c r="I964" s="9"/>
      <c r="J964" s="9"/>
      <c r="K964" s="9"/>
      <c r="L964" s="9"/>
      <c r="M964" s="9"/>
      <c r="N964" s="185" t="str">
        <f t="shared" si="70"/>
        <v/>
      </c>
      <c r="O964" s="159" t="str">
        <f t="shared" si="69"/>
        <v/>
      </c>
      <c r="P964" s="63" t="s">
        <v>1942</v>
      </c>
    </row>
    <row r="965" spans="1:16" s="808" customFormat="1">
      <c r="A965" s="609" t="s">
        <v>468</v>
      </c>
      <c r="B965" s="59" t="s">
        <v>228</v>
      </c>
      <c r="C965" s="40" t="s">
        <v>139</v>
      </c>
      <c r="D965" s="34" t="s">
        <v>99</v>
      </c>
      <c r="E965" s="257">
        <v>1</v>
      </c>
      <c r="F965" s="34">
        <v>2</v>
      </c>
      <c r="G965" s="40" t="s">
        <v>433</v>
      </c>
      <c r="H965" s="29">
        <v>1</v>
      </c>
      <c r="I965" s="9">
        <v>2</v>
      </c>
      <c r="J965" s="9">
        <v>2</v>
      </c>
      <c r="K965" s="9">
        <v>1</v>
      </c>
      <c r="L965" s="9">
        <v>1</v>
      </c>
      <c r="M965" s="9">
        <v>1</v>
      </c>
      <c r="N965" s="185">
        <f t="shared" si="70"/>
        <v>0.16933510251023262</v>
      </c>
      <c r="O965" s="159">
        <f t="shared" si="69"/>
        <v>0.19908580854301616</v>
      </c>
      <c r="P965" s="63" t="s">
        <v>857</v>
      </c>
    </row>
    <row r="966" spans="1:16" s="808" customFormat="1">
      <c r="A966" s="609" t="s">
        <v>467</v>
      </c>
      <c r="B966" s="59" t="s">
        <v>231</v>
      </c>
      <c r="C966" s="40" t="s">
        <v>139</v>
      </c>
      <c r="D966" s="34" t="s">
        <v>99</v>
      </c>
      <c r="E966" s="257">
        <v>1.6000000000000001E-3</v>
      </c>
      <c r="F966" s="34">
        <v>2</v>
      </c>
      <c r="G966" s="40" t="s">
        <v>1997</v>
      </c>
      <c r="H966" s="29">
        <v>1</v>
      </c>
      <c r="I966" s="9">
        <v>2</v>
      </c>
      <c r="J966" s="9">
        <v>2</v>
      </c>
      <c r="K966" s="9">
        <v>1</v>
      </c>
      <c r="L966" s="9">
        <v>3</v>
      </c>
      <c r="M966" s="9">
        <v>3</v>
      </c>
      <c r="N966" s="185">
        <f t="shared" si="70"/>
        <v>1.0725046436742278</v>
      </c>
      <c r="O966" s="159">
        <f t="shared" si="69"/>
        <v>1.0776024280428556</v>
      </c>
      <c r="P966" s="63" t="s">
        <v>1970</v>
      </c>
    </row>
    <row r="967" spans="1:16" s="808" customFormat="1">
      <c r="A967" s="609" t="s">
        <v>467</v>
      </c>
      <c r="B967" s="59" t="s">
        <v>232</v>
      </c>
      <c r="C967" s="40" t="s">
        <v>139</v>
      </c>
      <c r="D967" s="34" t="s">
        <v>99</v>
      </c>
      <c r="E967" s="257">
        <v>1.26E-2</v>
      </c>
      <c r="F967" s="34">
        <v>2</v>
      </c>
      <c r="G967" s="40" t="s">
        <v>433</v>
      </c>
      <c r="H967" s="29">
        <v>1</v>
      </c>
      <c r="I967" s="9">
        <v>2</v>
      </c>
      <c r="J967" s="9">
        <v>2</v>
      </c>
      <c r="K967" s="9">
        <v>1</v>
      </c>
      <c r="L967" s="9">
        <v>1</v>
      </c>
      <c r="M967" s="9">
        <v>1</v>
      </c>
      <c r="N967" s="185">
        <f t="shared" si="70"/>
        <v>0.16933510251023262</v>
      </c>
      <c r="O967" s="159">
        <f t="shared" si="69"/>
        <v>0.19908580854301616</v>
      </c>
      <c r="P967" s="63" t="s">
        <v>1971</v>
      </c>
    </row>
    <row r="968" spans="1:16" s="808" customFormat="1">
      <c r="A968" s="609" t="s">
        <v>467</v>
      </c>
      <c r="B968" s="59" t="s">
        <v>251</v>
      </c>
      <c r="C968" s="40" t="s">
        <v>139</v>
      </c>
      <c r="D968" s="34" t="s">
        <v>99</v>
      </c>
      <c r="E968" s="257">
        <v>1.67E-2</v>
      </c>
      <c r="F968" s="34">
        <v>2</v>
      </c>
      <c r="G968" s="40" t="s">
        <v>433</v>
      </c>
      <c r="H968" s="29">
        <v>1</v>
      </c>
      <c r="I968" s="9">
        <v>2</v>
      </c>
      <c r="J968" s="9">
        <v>2</v>
      </c>
      <c r="K968" s="9">
        <v>1</v>
      </c>
      <c r="L968" s="9">
        <v>1</v>
      </c>
      <c r="M968" s="9">
        <v>1</v>
      </c>
      <c r="N968" s="185">
        <f t="shared" si="70"/>
        <v>0.16933510251023262</v>
      </c>
      <c r="O968" s="159">
        <f t="shared" si="69"/>
        <v>0.19908580854301616</v>
      </c>
      <c r="P968" s="63" t="s">
        <v>1982</v>
      </c>
    </row>
    <row r="969" spans="1:16" s="808" customFormat="1">
      <c r="A969" s="609" t="s">
        <v>467</v>
      </c>
      <c r="B969" s="59" t="s">
        <v>258</v>
      </c>
      <c r="C969" s="40" t="s">
        <v>139</v>
      </c>
      <c r="D969" s="34" t="s">
        <v>99</v>
      </c>
      <c r="E969" s="257">
        <v>1.1000000000000001E-3</v>
      </c>
      <c r="F969" s="34">
        <v>2</v>
      </c>
      <c r="G969" s="40" t="s">
        <v>433</v>
      </c>
      <c r="H969" s="29">
        <v>1</v>
      </c>
      <c r="I969" s="9">
        <v>2</v>
      </c>
      <c r="J969" s="9">
        <v>2</v>
      </c>
      <c r="K969" s="9">
        <v>1</v>
      </c>
      <c r="L969" s="9">
        <v>1</v>
      </c>
      <c r="M969" s="9">
        <v>1</v>
      </c>
      <c r="N969" s="185">
        <f t="shared" si="70"/>
        <v>0.16933510251023262</v>
      </c>
      <c r="O969" s="159">
        <f t="shared" si="69"/>
        <v>0.19908580854301616</v>
      </c>
      <c r="P969" s="63" t="s">
        <v>1972</v>
      </c>
    </row>
    <row r="970" spans="1:16" s="808" customFormat="1">
      <c r="A970" s="609" t="s">
        <v>467</v>
      </c>
      <c r="B970" s="59" t="s">
        <v>334</v>
      </c>
      <c r="C970" s="40" t="s">
        <v>139</v>
      </c>
      <c r="D970" s="34" t="s">
        <v>99</v>
      </c>
      <c r="E970" s="257" t="s">
        <v>150</v>
      </c>
      <c r="F970" s="34">
        <v>1</v>
      </c>
      <c r="G970" s="40" t="s">
        <v>433</v>
      </c>
      <c r="H970" s="29"/>
      <c r="I970" s="9"/>
      <c r="J970" s="9"/>
      <c r="K970" s="9"/>
      <c r="L970" s="9"/>
      <c r="M970" s="9"/>
      <c r="N970" s="185" t="str">
        <f t="shared" si="70"/>
        <v/>
      </c>
      <c r="O970" s="159" t="str">
        <f t="shared" si="69"/>
        <v/>
      </c>
      <c r="P970" s="63"/>
    </row>
    <row r="971" spans="1:16" s="808" customFormat="1">
      <c r="A971" s="609" t="s">
        <v>469</v>
      </c>
      <c r="B971" s="59" t="s">
        <v>228</v>
      </c>
      <c r="C971" s="40" t="s">
        <v>139</v>
      </c>
      <c r="D971" s="34" t="s">
        <v>99</v>
      </c>
      <c r="E971" s="257">
        <v>3.2000000000000001E-2</v>
      </c>
      <c r="F971" s="34">
        <v>2</v>
      </c>
      <c r="G971" s="40" t="s">
        <v>433</v>
      </c>
      <c r="H971" s="29">
        <v>1</v>
      </c>
      <c r="I971" s="9">
        <v>2</v>
      </c>
      <c r="J971" s="9">
        <v>2</v>
      </c>
      <c r="K971" s="9">
        <v>1</v>
      </c>
      <c r="L971" s="9">
        <v>1</v>
      </c>
      <c r="M971" s="9">
        <v>1</v>
      </c>
      <c r="N971" s="185">
        <f t="shared" si="70"/>
        <v>0.16933510251023262</v>
      </c>
      <c r="O971" s="159">
        <f t="shared" si="69"/>
        <v>0.19908580854301616</v>
      </c>
      <c r="P971" s="63" t="s">
        <v>861</v>
      </c>
    </row>
    <row r="972" spans="1:16" s="808" customFormat="1">
      <c r="A972" s="609" t="s">
        <v>469</v>
      </c>
      <c r="B972" s="59" t="s">
        <v>334</v>
      </c>
      <c r="C972" s="40" t="s">
        <v>139</v>
      </c>
      <c r="D972" s="34" t="s">
        <v>99</v>
      </c>
      <c r="E972" s="257" t="s">
        <v>150</v>
      </c>
      <c r="F972" s="34">
        <v>1</v>
      </c>
      <c r="G972" s="40" t="s">
        <v>433</v>
      </c>
      <c r="H972" s="29"/>
      <c r="I972" s="9"/>
      <c r="J972" s="9"/>
      <c r="K972" s="9"/>
      <c r="L972" s="9"/>
      <c r="M972" s="9"/>
      <c r="N972" s="185" t="str">
        <f t="shared" si="70"/>
        <v/>
      </c>
      <c r="O972" s="159" t="str">
        <f t="shared" si="69"/>
        <v/>
      </c>
      <c r="P972" s="63" t="s">
        <v>1943</v>
      </c>
    </row>
    <row r="973" spans="1:16" s="808" customFormat="1">
      <c r="A973" s="609" t="s">
        <v>436</v>
      </c>
      <c r="B973" s="59" t="s">
        <v>470</v>
      </c>
      <c r="C973" s="40" t="s">
        <v>139</v>
      </c>
      <c r="D973" s="34" t="s">
        <v>99</v>
      </c>
      <c r="E973" s="257">
        <f>0.97*0.07</f>
        <v>6.7900000000000002E-2</v>
      </c>
      <c r="F973" s="34">
        <v>2</v>
      </c>
      <c r="G973" s="40" t="s">
        <v>433</v>
      </c>
      <c r="H973" s="29">
        <v>1</v>
      </c>
      <c r="I973" s="9">
        <v>2</v>
      </c>
      <c r="J973" s="9">
        <v>2</v>
      </c>
      <c r="K973" s="9">
        <v>1</v>
      </c>
      <c r="L973" s="9">
        <v>1</v>
      </c>
      <c r="M973" s="9">
        <v>1</v>
      </c>
      <c r="N973" s="185">
        <f t="shared" si="70"/>
        <v>0.16933510251023262</v>
      </c>
      <c r="O973" s="159">
        <f t="shared" si="69"/>
        <v>0.19908580854301616</v>
      </c>
      <c r="P973" s="63" t="s">
        <v>864</v>
      </c>
    </row>
    <row r="974" spans="1:16" s="808" customFormat="1">
      <c r="A974" s="609" t="s">
        <v>436</v>
      </c>
      <c r="B974" s="59" t="s">
        <v>471</v>
      </c>
      <c r="C974" s="40" t="s">
        <v>139</v>
      </c>
      <c r="D974" s="34" t="s">
        <v>99</v>
      </c>
      <c r="E974" s="257">
        <f>0.97*0.93</f>
        <v>0.90210000000000001</v>
      </c>
      <c r="F974" s="34">
        <v>2</v>
      </c>
      <c r="G974" s="40" t="s">
        <v>433</v>
      </c>
      <c r="H974" s="29">
        <v>1</v>
      </c>
      <c r="I974" s="9">
        <v>2</v>
      </c>
      <c r="J974" s="9">
        <v>2</v>
      </c>
      <c r="K974" s="9">
        <v>1</v>
      </c>
      <c r="L974" s="9">
        <v>1</v>
      </c>
      <c r="M974" s="9">
        <v>1</v>
      </c>
      <c r="N974" s="185">
        <f t="shared" si="70"/>
        <v>0.16933510251023262</v>
      </c>
      <c r="O974" s="159">
        <f t="shared" si="69"/>
        <v>0.19908580854301616</v>
      </c>
      <c r="P974" s="63" t="s">
        <v>865</v>
      </c>
    </row>
    <row r="975" spans="1:16" s="808" customFormat="1">
      <c r="A975" s="609" t="s">
        <v>436</v>
      </c>
      <c r="B975" s="59" t="s">
        <v>223</v>
      </c>
      <c r="C975" s="40" t="s">
        <v>139</v>
      </c>
      <c r="D975" s="34" t="s">
        <v>99</v>
      </c>
      <c r="E975" s="257">
        <v>0.03</v>
      </c>
      <c r="F975" s="34">
        <v>1</v>
      </c>
      <c r="G975" s="40" t="s">
        <v>433</v>
      </c>
      <c r="H975" s="29">
        <v>1</v>
      </c>
      <c r="I975" s="9">
        <v>2</v>
      </c>
      <c r="J975" s="9">
        <v>2</v>
      </c>
      <c r="K975" s="9">
        <v>1</v>
      </c>
      <c r="L975" s="9">
        <v>1</v>
      </c>
      <c r="M975" s="9">
        <v>1</v>
      </c>
      <c r="N975" s="185">
        <f t="shared" si="70"/>
        <v>0.16933510251023262</v>
      </c>
      <c r="O975" s="159">
        <f t="shared" si="69"/>
        <v>0.19908580854301616</v>
      </c>
      <c r="P975" s="63" t="s">
        <v>854</v>
      </c>
    </row>
    <row r="976" spans="1:16" s="808" customFormat="1">
      <c r="A976" s="609" t="s">
        <v>470</v>
      </c>
      <c r="B976" s="59" t="s">
        <v>473</v>
      </c>
      <c r="C976" s="40" t="s">
        <v>139</v>
      </c>
      <c r="D976" s="34" t="s">
        <v>99</v>
      </c>
      <c r="E976" s="257">
        <v>0.03</v>
      </c>
      <c r="F976" s="34">
        <v>2</v>
      </c>
      <c r="G976" s="40" t="s">
        <v>433</v>
      </c>
      <c r="H976" s="29">
        <v>1</v>
      </c>
      <c r="I976" s="9">
        <v>2</v>
      </c>
      <c r="J976" s="9">
        <v>2</v>
      </c>
      <c r="K976" s="9">
        <v>1</v>
      </c>
      <c r="L976" s="9">
        <v>1</v>
      </c>
      <c r="M976" s="9">
        <v>1</v>
      </c>
      <c r="N976" s="185">
        <f t="shared" si="70"/>
        <v>0.16933510251023262</v>
      </c>
      <c r="O976" s="159">
        <f t="shared" si="69"/>
        <v>0.19908580854301616</v>
      </c>
      <c r="P976" s="63" t="s">
        <v>855</v>
      </c>
    </row>
    <row r="977" spans="1:16" s="808" customFormat="1">
      <c r="A977" s="609" t="s">
        <v>470</v>
      </c>
      <c r="B977" s="59" t="s">
        <v>474</v>
      </c>
      <c r="C977" s="40" t="s">
        <v>139</v>
      </c>
      <c r="D977" s="34" t="s">
        <v>99</v>
      </c>
      <c r="E977" s="257" t="s">
        <v>150</v>
      </c>
      <c r="F977" s="34">
        <v>1</v>
      </c>
      <c r="G977" s="40" t="s">
        <v>433</v>
      </c>
      <c r="H977" s="29"/>
      <c r="I977" s="9"/>
      <c r="J977" s="9"/>
      <c r="K977" s="9"/>
      <c r="L977" s="9"/>
      <c r="M977" s="9"/>
      <c r="N977" s="185" t="str">
        <f t="shared" si="70"/>
        <v/>
      </c>
      <c r="O977" s="159" t="str">
        <f t="shared" si="69"/>
        <v/>
      </c>
      <c r="P977" s="63" t="s">
        <v>1944</v>
      </c>
    </row>
    <row r="978" spans="1:16" s="808" customFormat="1">
      <c r="A978" s="609" t="s">
        <v>473</v>
      </c>
      <c r="B978" s="59" t="s">
        <v>231</v>
      </c>
      <c r="C978" s="40" t="s">
        <v>139</v>
      </c>
      <c r="D978" s="34" t="s">
        <v>99</v>
      </c>
      <c r="E978" s="257">
        <v>0.05</v>
      </c>
      <c r="F978" s="34">
        <v>2</v>
      </c>
      <c r="G978" s="40" t="s">
        <v>157</v>
      </c>
      <c r="H978" s="29">
        <v>1</v>
      </c>
      <c r="I978" s="9">
        <v>2</v>
      </c>
      <c r="J978" s="9">
        <v>2</v>
      </c>
      <c r="K978" s="9">
        <v>1</v>
      </c>
      <c r="L978" s="9">
        <v>3</v>
      </c>
      <c r="M978" s="9">
        <v>3</v>
      </c>
      <c r="N978" s="185">
        <f t="shared" si="70"/>
        <v>1.0725046436742278</v>
      </c>
      <c r="O978" s="159">
        <f t="shared" si="69"/>
        <v>1.0776024280428556</v>
      </c>
      <c r="P978" s="63" t="s">
        <v>1937</v>
      </c>
    </row>
    <row r="979" spans="1:16" s="808" customFormat="1">
      <c r="A979" s="609" t="s">
        <v>473</v>
      </c>
      <c r="B979" s="59" t="s">
        <v>232</v>
      </c>
      <c r="C979" s="40" t="s">
        <v>139</v>
      </c>
      <c r="D979" s="34" t="s">
        <v>99</v>
      </c>
      <c r="E979" s="257">
        <v>0.39400000000000002</v>
      </c>
      <c r="F979" s="34">
        <v>2</v>
      </c>
      <c r="G979" s="40" t="s">
        <v>433</v>
      </c>
      <c r="H979" s="29">
        <v>1</v>
      </c>
      <c r="I979" s="9">
        <v>2</v>
      </c>
      <c r="J979" s="9">
        <v>2</v>
      </c>
      <c r="K979" s="9">
        <v>1</v>
      </c>
      <c r="L979" s="9">
        <v>1</v>
      </c>
      <c r="M979" s="9">
        <v>1</v>
      </c>
      <c r="N979" s="185">
        <f t="shared" si="70"/>
        <v>0.16933510251023262</v>
      </c>
      <c r="O979" s="159">
        <f t="shared" si="69"/>
        <v>0.19908580854301616</v>
      </c>
      <c r="P979" s="63" t="s">
        <v>1961</v>
      </c>
    </row>
    <row r="980" spans="1:16" s="808" customFormat="1">
      <c r="A980" s="609" t="s">
        <v>473</v>
      </c>
      <c r="B980" s="59" t="s">
        <v>251</v>
      </c>
      <c r="C980" s="40" t="s">
        <v>139</v>
      </c>
      <c r="D980" s="34" t="s">
        <v>99</v>
      </c>
      <c r="E980" s="257">
        <v>0.52200000000000002</v>
      </c>
      <c r="F980" s="34">
        <v>1</v>
      </c>
      <c r="G980" s="40" t="s">
        <v>433</v>
      </c>
      <c r="H980" s="29">
        <v>1</v>
      </c>
      <c r="I980" s="9">
        <v>2</v>
      </c>
      <c r="J980" s="9">
        <v>2</v>
      </c>
      <c r="K980" s="9">
        <v>1</v>
      </c>
      <c r="L980" s="9">
        <v>1</v>
      </c>
      <c r="M980" s="9">
        <v>1</v>
      </c>
      <c r="N980" s="185">
        <f t="shared" si="70"/>
        <v>0.16933510251023262</v>
      </c>
      <c r="O980" s="159">
        <f t="shared" si="69"/>
        <v>0.19908580854301616</v>
      </c>
      <c r="P980" s="63" t="s">
        <v>1962</v>
      </c>
    </row>
    <row r="981" spans="1:16" s="808" customFormat="1">
      <c r="A981" s="609" t="s">
        <v>473</v>
      </c>
      <c r="B981" s="59" t="s">
        <v>258</v>
      </c>
      <c r="C981" s="40" t="s">
        <v>139</v>
      </c>
      <c r="D981" s="34" t="s">
        <v>99</v>
      </c>
      <c r="E981" s="257">
        <v>3.4000000000000002E-2</v>
      </c>
      <c r="F981" s="34">
        <v>2</v>
      </c>
      <c r="G981" s="40" t="s">
        <v>433</v>
      </c>
      <c r="H981" s="29">
        <v>1</v>
      </c>
      <c r="I981" s="9">
        <v>2</v>
      </c>
      <c r="J981" s="9">
        <v>2</v>
      </c>
      <c r="K981" s="9">
        <v>1</v>
      </c>
      <c r="L981" s="9">
        <v>1</v>
      </c>
      <c r="M981" s="9">
        <v>1</v>
      </c>
      <c r="N981" s="185"/>
      <c r="O981" s="159"/>
      <c r="P981" s="63" t="s">
        <v>1963</v>
      </c>
    </row>
    <row r="982" spans="1:16" s="808" customFormat="1">
      <c r="A982" s="609" t="s">
        <v>471</v>
      </c>
      <c r="B982" s="59" t="s">
        <v>475</v>
      </c>
      <c r="C982" s="40" t="s">
        <v>139</v>
      </c>
      <c r="D982" s="34" t="s">
        <v>99</v>
      </c>
      <c r="E982" s="257">
        <f>0.1*E976</f>
        <v>3.0000000000000001E-3</v>
      </c>
      <c r="F982" s="34">
        <v>2</v>
      </c>
      <c r="G982" s="40" t="s">
        <v>433</v>
      </c>
      <c r="H982" s="29">
        <v>1</v>
      </c>
      <c r="I982" s="9">
        <v>2</v>
      </c>
      <c r="J982" s="9">
        <v>2</v>
      </c>
      <c r="K982" s="9">
        <v>1</v>
      </c>
      <c r="L982" s="9">
        <v>1</v>
      </c>
      <c r="M982" s="9">
        <v>1</v>
      </c>
      <c r="N982" s="185">
        <f t="shared" ref="N982:N999" si="71">IF( OR( ISBLANK(H982),ISBLANK(J982), ISBLANK(K982), ISBLANK(L982), ISBLANK(M982) ), "", 1.5*SQRT(   EXP(2.21*(H982-1)) + EXP(2.21*(J982-1)) + EXP(2.21*(K982-1)) + EXP(2.21*(L982-1)) + EXP(2.21*M982)   )/100*2.45 )</f>
        <v>0.16933510251023262</v>
      </c>
      <c r="O982" s="159">
        <f t="shared" ref="O982:O999" si="72">IF( OR( ISBLANK(I982),ISBLANK(J982), ISBLANK(K982), ISBLANK(L982), ISBLANK(M982) ), "", 1.5*SQRT( EXP(2.21*(I982-1)) + EXP(2.21*(J982-1)) + EXP(2.21*(K982-1)) + EXP(2.21*(L982-1)) + EXP(2.21*M982)   )/100*2.45 )</f>
        <v>0.19908580854301616</v>
      </c>
      <c r="P982" s="63" t="s">
        <v>856</v>
      </c>
    </row>
    <row r="983" spans="1:16" s="808" customFormat="1">
      <c r="A983" s="609" t="s">
        <v>471</v>
      </c>
      <c r="B983" s="59" t="s">
        <v>476</v>
      </c>
      <c r="C983" s="40" t="s">
        <v>139</v>
      </c>
      <c r="D983" s="34" t="s">
        <v>99</v>
      </c>
      <c r="E983" s="257" t="s">
        <v>150</v>
      </c>
      <c r="F983" s="34">
        <v>1</v>
      </c>
      <c r="G983" s="40" t="s">
        <v>433</v>
      </c>
      <c r="H983" s="29"/>
      <c r="I983" s="9"/>
      <c r="J983" s="9"/>
      <c r="K983" s="9"/>
      <c r="L983" s="9"/>
      <c r="M983" s="9"/>
      <c r="N983" s="185" t="str">
        <f t="shared" si="71"/>
        <v/>
      </c>
      <c r="O983" s="159" t="str">
        <f t="shared" si="72"/>
        <v/>
      </c>
      <c r="P983" s="63" t="s">
        <v>1944</v>
      </c>
    </row>
    <row r="984" spans="1:16" s="808" customFormat="1">
      <c r="A984" s="609" t="s">
        <v>475</v>
      </c>
      <c r="B984" s="59" t="s">
        <v>228</v>
      </c>
      <c r="C984" s="40" t="s">
        <v>139</v>
      </c>
      <c r="D984" s="34" t="s">
        <v>99</v>
      </c>
      <c r="E984" s="257">
        <v>1</v>
      </c>
      <c r="F984" s="34">
        <v>2</v>
      </c>
      <c r="G984" s="40" t="s">
        <v>433</v>
      </c>
      <c r="H984" s="29">
        <v>1</v>
      </c>
      <c r="I984" s="9">
        <v>2</v>
      </c>
      <c r="J984" s="9">
        <v>2</v>
      </c>
      <c r="K984" s="9">
        <v>1</v>
      </c>
      <c r="L984" s="9">
        <v>1</v>
      </c>
      <c r="M984" s="9">
        <v>1</v>
      </c>
      <c r="N984" s="185">
        <f t="shared" si="71"/>
        <v>0.16933510251023262</v>
      </c>
      <c r="O984" s="159">
        <f t="shared" si="72"/>
        <v>0.19908580854301616</v>
      </c>
      <c r="P984" s="63" t="s">
        <v>857</v>
      </c>
    </row>
    <row r="985" spans="1:16" s="808" customFormat="1">
      <c r="A985" s="609" t="s">
        <v>474</v>
      </c>
      <c r="B985" s="59" t="s">
        <v>231</v>
      </c>
      <c r="C985" s="40" t="s">
        <v>139</v>
      </c>
      <c r="D985" s="34" t="s">
        <v>99</v>
      </c>
      <c r="E985" s="257">
        <v>0</v>
      </c>
      <c r="F985" s="34">
        <v>2</v>
      </c>
      <c r="G985" s="40" t="s">
        <v>433</v>
      </c>
      <c r="H985" s="29">
        <v>1</v>
      </c>
      <c r="I985" s="9">
        <v>2</v>
      </c>
      <c r="J985" s="9">
        <v>2</v>
      </c>
      <c r="K985" s="9">
        <v>1</v>
      </c>
      <c r="L985" s="9">
        <v>1</v>
      </c>
      <c r="M985" s="9">
        <v>1</v>
      </c>
      <c r="N985" s="185">
        <f t="shared" si="71"/>
        <v>0.16933510251023262</v>
      </c>
      <c r="O985" s="159">
        <f t="shared" si="72"/>
        <v>0.19908580854301616</v>
      </c>
      <c r="P985" s="63" t="s">
        <v>1969</v>
      </c>
    </row>
    <row r="986" spans="1:16" s="808" customFormat="1">
      <c r="A986" s="609" t="s">
        <v>474</v>
      </c>
      <c r="B986" s="59" t="s">
        <v>232</v>
      </c>
      <c r="C986" s="40" t="s">
        <v>139</v>
      </c>
      <c r="D986" s="34" t="s">
        <v>99</v>
      </c>
      <c r="E986" s="257">
        <v>0</v>
      </c>
      <c r="F986" s="34">
        <v>2</v>
      </c>
      <c r="G986" s="40" t="s">
        <v>433</v>
      </c>
      <c r="H986" s="29">
        <v>1</v>
      </c>
      <c r="I986" s="9">
        <v>2</v>
      </c>
      <c r="J986" s="9">
        <v>2</v>
      </c>
      <c r="K986" s="9">
        <v>1</v>
      </c>
      <c r="L986" s="9">
        <v>1</v>
      </c>
      <c r="M986" s="9">
        <v>1</v>
      </c>
      <c r="N986" s="185">
        <f t="shared" si="71"/>
        <v>0.16933510251023262</v>
      </c>
      <c r="O986" s="159">
        <f t="shared" si="72"/>
        <v>0.19908580854301616</v>
      </c>
      <c r="P986" s="63" t="s">
        <v>1969</v>
      </c>
    </row>
    <row r="987" spans="1:16" s="808" customFormat="1">
      <c r="A987" s="609" t="s">
        <v>474</v>
      </c>
      <c r="B987" s="59" t="s">
        <v>251</v>
      </c>
      <c r="C987" s="40" t="s">
        <v>139</v>
      </c>
      <c r="D987" s="34" t="s">
        <v>99</v>
      </c>
      <c r="E987" s="257">
        <v>0</v>
      </c>
      <c r="F987" s="34">
        <v>2</v>
      </c>
      <c r="G987" s="40" t="s">
        <v>433</v>
      </c>
      <c r="H987" s="29">
        <v>1</v>
      </c>
      <c r="I987" s="9">
        <v>2</v>
      </c>
      <c r="J987" s="9">
        <v>2</v>
      </c>
      <c r="K987" s="9">
        <v>1</v>
      </c>
      <c r="L987" s="9">
        <v>1</v>
      </c>
      <c r="M987" s="9">
        <v>1</v>
      </c>
      <c r="N987" s="185">
        <f t="shared" si="71"/>
        <v>0.16933510251023262</v>
      </c>
      <c r="O987" s="159">
        <f t="shared" si="72"/>
        <v>0.19908580854301616</v>
      </c>
      <c r="P987" s="63" t="s">
        <v>1969</v>
      </c>
    </row>
    <row r="988" spans="1:16" s="808" customFormat="1">
      <c r="A988" s="609" t="s">
        <v>474</v>
      </c>
      <c r="B988" s="59" t="s">
        <v>258</v>
      </c>
      <c r="C988" s="40" t="s">
        <v>139</v>
      </c>
      <c r="D988" s="34" t="s">
        <v>99</v>
      </c>
      <c r="E988" s="257">
        <v>0</v>
      </c>
      <c r="F988" s="34">
        <v>2</v>
      </c>
      <c r="G988" s="40" t="s">
        <v>433</v>
      </c>
      <c r="H988" s="29">
        <v>1</v>
      </c>
      <c r="I988" s="9">
        <v>2</v>
      </c>
      <c r="J988" s="9">
        <v>2</v>
      </c>
      <c r="K988" s="9">
        <v>1</v>
      </c>
      <c r="L988" s="9">
        <v>1</v>
      </c>
      <c r="M988" s="9">
        <v>1</v>
      </c>
      <c r="N988" s="185">
        <f t="shared" si="71"/>
        <v>0.16933510251023262</v>
      </c>
      <c r="O988" s="159">
        <f t="shared" si="72"/>
        <v>0.19908580854301616</v>
      </c>
      <c r="P988" s="63" t="s">
        <v>1969</v>
      </c>
    </row>
    <row r="989" spans="1:16" s="808" customFormat="1">
      <c r="A989" s="609" t="s">
        <v>474</v>
      </c>
      <c r="B989" s="59" t="s">
        <v>334</v>
      </c>
      <c r="C989" s="40" t="s">
        <v>139</v>
      </c>
      <c r="D989" s="34" t="s">
        <v>99</v>
      </c>
      <c r="E989" s="257" t="s">
        <v>150</v>
      </c>
      <c r="F989" s="34">
        <v>1</v>
      </c>
      <c r="G989" s="40" t="s">
        <v>433</v>
      </c>
      <c r="H989" s="29"/>
      <c r="I989" s="9"/>
      <c r="J989" s="9"/>
      <c r="K989" s="9"/>
      <c r="L989" s="9"/>
      <c r="M989" s="9"/>
      <c r="N989" s="185" t="str">
        <f t="shared" si="71"/>
        <v/>
      </c>
      <c r="O989" s="159" t="str">
        <f t="shared" si="72"/>
        <v/>
      </c>
      <c r="P989" s="63"/>
    </row>
    <row r="990" spans="1:16" s="808" customFormat="1">
      <c r="A990" s="609" t="s">
        <v>476</v>
      </c>
      <c r="B990" s="59" t="s">
        <v>228</v>
      </c>
      <c r="C990" s="40" t="s">
        <v>139</v>
      </c>
      <c r="D990" s="34" t="s">
        <v>99</v>
      </c>
      <c r="E990" s="257">
        <v>0</v>
      </c>
      <c r="F990" s="34">
        <v>2</v>
      </c>
      <c r="G990" s="40" t="s">
        <v>433</v>
      </c>
      <c r="H990" s="29">
        <v>1</v>
      </c>
      <c r="I990" s="9">
        <v>2</v>
      </c>
      <c r="J990" s="9">
        <v>2</v>
      </c>
      <c r="K990" s="9">
        <v>1</v>
      </c>
      <c r="L990" s="9">
        <v>1</v>
      </c>
      <c r="M990" s="9">
        <v>1</v>
      </c>
      <c r="N990" s="185">
        <f t="shared" si="71"/>
        <v>0.16933510251023262</v>
      </c>
      <c r="O990" s="159">
        <f t="shared" si="72"/>
        <v>0.19908580854301616</v>
      </c>
      <c r="P990" s="63" t="s">
        <v>858</v>
      </c>
    </row>
    <row r="991" spans="1:16" s="808" customFormat="1">
      <c r="A991" s="609" t="s">
        <v>476</v>
      </c>
      <c r="B991" s="59" t="s">
        <v>334</v>
      </c>
      <c r="C991" s="40" t="s">
        <v>139</v>
      </c>
      <c r="D991" s="34" t="s">
        <v>99</v>
      </c>
      <c r="E991" s="257" t="s">
        <v>150</v>
      </c>
      <c r="F991" s="34">
        <v>1</v>
      </c>
      <c r="G991" s="40" t="s">
        <v>433</v>
      </c>
      <c r="H991" s="29"/>
      <c r="I991" s="9"/>
      <c r="J991" s="9"/>
      <c r="K991" s="9"/>
      <c r="L991" s="9"/>
      <c r="M991" s="9"/>
      <c r="N991" s="185" t="str">
        <f t="shared" si="71"/>
        <v/>
      </c>
      <c r="O991" s="159" t="str">
        <f t="shared" si="72"/>
        <v/>
      </c>
      <c r="P991" s="63" t="s">
        <v>1945</v>
      </c>
    </row>
    <row r="992" spans="1:16" s="808" customFormat="1">
      <c r="A992" s="609" t="s">
        <v>437</v>
      </c>
      <c r="B992" s="59" t="s">
        <v>478</v>
      </c>
      <c r="C992" s="40" t="s">
        <v>139</v>
      </c>
      <c r="D992" s="34" t="s">
        <v>99</v>
      </c>
      <c r="E992" s="257">
        <f>0.97*0.03</f>
        <v>2.9099999999999997E-2</v>
      </c>
      <c r="F992" s="34">
        <v>2</v>
      </c>
      <c r="G992" s="40" t="s">
        <v>433</v>
      </c>
      <c r="H992" s="29">
        <v>1</v>
      </c>
      <c r="I992" s="9">
        <v>2</v>
      </c>
      <c r="J992" s="9">
        <v>2</v>
      </c>
      <c r="K992" s="9">
        <v>1</v>
      </c>
      <c r="L992" s="9">
        <v>1</v>
      </c>
      <c r="M992" s="9">
        <v>1</v>
      </c>
      <c r="N992" s="185">
        <f t="shared" si="71"/>
        <v>0.16933510251023262</v>
      </c>
      <c r="O992" s="159">
        <f t="shared" si="72"/>
        <v>0.19908580854301616</v>
      </c>
      <c r="P992" s="63" t="s">
        <v>866</v>
      </c>
    </row>
    <row r="993" spans="1:16" s="808" customFormat="1">
      <c r="A993" s="609" t="s">
        <v>437</v>
      </c>
      <c r="B993" s="59" t="s">
        <v>479</v>
      </c>
      <c r="C993" s="40" t="s">
        <v>139</v>
      </c>
      <c r="D993" s="34" t="s">
        <v>99</v>
      </c>
      <c r="E993" s="257">
        <f>0.97*0.97</f>
        <v>0.94089999999999996</v>
      </c>
      <c r="F993" s="34">
        <v>2</v>
      </c>
      <c r="G993" s="40" t="s">
        <v>433</v>
      </c>
      <c r="H993" s="29">
        <v>1</v>
      </c>
      <c r="I993" s="9">
        <v>2</v>
      </c>
      <c r="J993" s="9">
        <v>2</v>
      </c>
      <c r="K993" s="9">
        <v>1</v>
      </c>
      <c r="L993" s="9">
        <v>1</v>
      </c>
      <c r="M993" s="9">
        <v>1</v>
      </c>
      <c r="N993" s="185">
        <f t="shared" si="71"/>
        <v>0.16933510251023262</v>
      </c>
      <c r="O993" s="159">
        <f t="shared" si="72"/>
        <v>0.19908580854301616</v>
      </c>
      <c r="P993" s="63" t="s">
        <v>867</v>
      </c>
    </row>
    <row r="994" spans="1:16" s="808" customFormat="1">
      <c r="A994" s="609" t="s">
        <v>437</v>
      </c>
      <c r="B994" s="59" t="s">
        <v>223</v>
      </c>
      <c r="C994" s="40" t="s">
        <v>139</v>
      </c>
      <c r="D994" s="34" t="s">
        <v>99</v>
      </c>
      <c r="E994" s="257">
        <v>0.03</v>
      </c>
      <c r="F994" s="34">
        <v>1</v>
      </c>
      <c r="G994" s="40" t="s">
        <v>433</v>
      </c>
      <c r="H994" s="29">
        <v>1</v>
      </c>
      <c r="I994" s="9">
        <v>2</v>
      </c>
      <c r="J994" s="9">
        <v>2</v>
      </c>
      <c r="K994" s="9">
        <v>1</v>
      </c>
      <c r="L994" s="9">
        <v>1</v>
      </c>
      <c r="M994" s="9">
        <v>1</v>
      </c>
      <c r="N994" s="185">
        <f t="shared" si="71"/>
        <v>0.16933510251023262</v>
      </c>
      <c r="O994" s="159">
        <f t="shared" si="72"/>
        <v>0.19908580854301616</v>
      </c>
      <c r="P994" s="63" t="s">
        <v>854</v>
      </c>
    </row>
    <row r="995" spans="1:16" s="808" customFormat="1">
      <c r="A995" s="609" t="s">
        <v>478</v>
      </c>
      <c r="B995" s="59" t="s">
        <v>481</v>
      </c>
      <c r="C995" s="40" t="s">
        <v>139</v>
      </c>
      <c r="D995" s="34" t="s">
        <v>99</v>
      </c>
      <c r="E995" s="257">
        <v>0.03</v>
      </c>
      <c r="F995" s="34">
        <v>2</v>
      </c>
      <c r="G995" s="40" t="s">
        <v>433</v>
      </c>
      <c r="H995" s="29">
        <v>1</v>
      </c>
      <c r="I995" s="9">
        <v>2</v>
      </c>
      <c r="J995" s="9">
        <v>2</v>
      </c>
      <c r="K995" s="9">
        <v>1</v>
      </c>
      <c r="L995" s="9">
        <v>1</v>
      </c>
      <c r="M995" s="9">
        <v>1</v>
      </c>
      <c r="N995" s="185">
        <f t="shared" si="71"/>
        <v>0.16933510251023262</v>
      </c>
      <c r="O995" s="159">
        <f t="shared" si="72"/>
        <v>0.19908580854301616</v>
      </c>
      <c r="P995" s="63" t="s">
        <v>855</v>
      </c>
    </row>
    <row r="996" spans="1:16" s="808" customFormat="1">
      <c r="A996" s="609" t="s">
        <v>478</v>
      </c>
      <c r="B996" s="59" t="s">
        <v>482</v>
      </c>
      <c r="C996" s="40" t="s">
        <v>139</v>
      </c>
      <c r="D996" s="34" t="s">
        <v>99</v>
      </c>
      <c r="E996" s="257" t="s">
        <v>150</v>
      </c>
      <c r="F996" s="34">
        <v>1</v>
      </c>
      <c r="G996" s="40" t="s">
        <v>433</v>
      </c>
      <c r="H996" s="29"/>
      <c r="I996" s="9"/>
      <c r="J996" s="9"/>
      <c r="K996" s="9"/>
      <c r="L996" s="9"/>
      <c r="M996" s="9"/>
      <c r="N996" s="185" t="str">
        <f t="shared" si="71"/>
        <v/>
      </c>
      <c r="O996" s="159" t="str">
        <f t="shared" si="72"/>
        <v/>
      </c>
      <c r="P996" s="63" t="s">
        <v>1946</v>
      </c>
    </row>
    <row r="997" spans="1:16" s="808" customFormat="1">
      <c r="A997" s="609" t="s">
        <v>481</v>
      </c>
      <c r="B997" s="59" t="s">
        <v>231</v>
      </c>
      <c r="C997" s="40" t="s">
        <v>139</v>
      </c>
      <c r="D997" s="34" t="s">
        <v>99</v>
      </c>
      <c r="E997" s="257">
        <v>0.05</v>
      </c>
      <c r="F997" s="34">
        <v>2</v>
      </c>
      <c r="G997" s="40" t="s">
        <v>157</v>
      </c>
      <c r="H997" s="29">
        <v>1</v>
      </c>
      <c r="I997" s="9">
        <v>2</v>
      </c>
      <c r="J997" s="9">
        <v>2</v>
      </c>
      <c r="K997" s="9">
        <v>1</v>
      </c>
      <c r="L997" s="9">
        <v>3</v>
      </c>
      <c r="M997" s="9">
        <v>3</v>
      </c>
      <c r="N997" s="185">
        <f t="shared" si="71"/>
        <v>1.0725046436742278</v>
      </c>
      <c r="O997" s="159">
        <f t="shared" si="72"/>
        <v>1.0776024280428556</v>
      </c>
      <c r="P997" s="63" t="s">
        <v>1937</v>
      </c>
    </row>
    <row r="998" spans="1:16" s="808" customFormat="1">
      <c r="A998" s="609" t="s">
        <v>481</v>
      </c>
      <c r="B998" s="59" t="s">
        <v>232</v>
      </c>
      <c r="C998" s="40" t="s">
        <v>139</v>
      </c>
      <c r="D998" s="34" t="s">
        <v>99</v>
      </c>
      <c r="E998" s="257">
        <v>0.39400000000000002</v>
      </c>
      <c r="F998" s="34">
        <v>2</v>
      </c>
      <c r="G998" s="40" t="s">
        <v>433</v>
      </c>
      <c r="H998" s="29">
        <v>1</v>
      </c>
      <c r="I998" s="9">
        <v>2</v>
      </c>
      <c r="J998" s="9">
        <v>2</v>
      </c>
      <c r="K998" s="9">
        <v>1</v>
      </c>
      <c r="L998" s="9">
        <v>1</v>
      </c>
      <c r="M998" s="9">
        <v>1</v>
      </c>
      <c r="N998" s="185">
        <f t="shared" si="71"/>
        <v>0.16933510251023262</v>
      </c>
      <c r="O998" s="159">
        <f t="shared" si="72"/>
        <v>0.19908580854301616</v>
      </c>
      <c r="P998" s="63" t="s">
        <v>1961</v>
      </c>
    </row>
    <row r="999" spans="1:16" s="808" customFormat="1">
      <c r="A999" s="609" t="s">
        <v>481</v>
      </c>
      <c r="B999" s="59" t="s">
        <v>251</v>
      </c>
      <c r="C999" s="40" t="s">
        <v>139</v>
      </c>
      <c r="D999" s="34" t="s">
        <v>99</v>
      </c>
      <c r="E999" s="257">
        <v>0.52200000000000002</v>
      </c>
      <c r="F999" s="34">
        <v>1</v>
      </c>
      <c r="G999" s="40" t="s">
        <v>433</v>
      </c>
      <c r="H999" s="29">
        <v>1</v>
      </c>
      <c r="I999" s="9">
        <v>2</v>
      </c>
      <c r="J999" s="9">
        <v>2</v>
      </c>
      <c r="K999" s="9">
        <v>1</v>
      </c>
      <c r="L999" s="9">
        <v>1</v>
      </c>
      <c r="M999" s="9">
        <v>1</v>
      </c>
      <c r="N999" s="185">
        <f t="shared" si="71"/>
        <v>0.16933510251023262</v>
      </c>
      <c r="O999" s="159">
        <f t="shared" si="72"/>
        <v>0.19908580854301616</v>
      </c>
      <c r="P999" s="63" t="s">
        <v>1962</v>
      </c>
    </row>
    <row r="1000" spans="1:16" s="808" customFormat="1">
      <c r="A1000" s="609" t="s">
        <v>481</v>
      </c>
      <c r="B1000" s="59" t="s">
        <v>258</v>
      </c>
      <c r="C1000" s="40" t="s">
        <v>139</v>
      </c>
      <c r="D1000" s="34" t="s">
        <v>99</v>
      </c>
      <c r="E1000" s="257">
        <v>3.4000000000000002E-2</v>
      </c>
      <c r="F1000" s="34">
        <v>2</v>
      </c>
      <c r="G1000" s="40" t="s">
        <v>433</v>
      </c>
      <c r="H1000" s="29">
        <v>1</v>
      </c>
      <c r="I1000" s="9">
        <v>2</v>
      </c>
      <c r="J1000" s="9">
        <v>2</v>
      </c>
      <c r="K1000" s="9">
        <v>1</v>
      </c>
      <c r="L1000" s="9">
        <v>1</v>
      </c>
      <c r="M1000" s="9">
        <v>1</v>
      </c>
      <c r="N1000" s="185"/>
      <c r="O1000" s="159"/>
      <c r="P1000" s="63" t="s">
        <v>1963</v>
      </c>
    </row>
    <row r="1001" spans="1:16" s="808" customFormat="1">
      <c r="A1001" s="609" t="s">
        <v>479</v>
      </c>
      <c r="B1001" s="59" t="s">
        <v>483</v>
      </c>
      <c r="C1001" s="40" t="s">
        <v>139</v>
      </c>
      <c r="D1001" s="34" t="s">
        <v>99</v>
      </c>
      <c r="E1001" s="257">
        <f>0.1*E995</f>
        <v>3.0000000000000001E-3</v>
      </c>
      <c r="F1001" s="34">
        <v>2</v>
      </c>
      <c r="G1001" s="40" t="s">
        <v>433</v>
      </c>
      <c r="H1001" s="29">
        <v>1</v>
      </c>
      <c r="I1001" s="9">
        <v>2</v>
      </c>
      <c r="J1001" s="9">
        <v>2</v>
      </c>
      <c r="K1001" s="9">
        <v>1</v>
      </c>
      <c r="L1001" s="9">
        <v>1</v>
      </c>
      <c r="M1001" s="9">
        <v>1</v>
      </c>
      <c r="N1001" s="185">
        <f t="shared" ref="N1001:N1018" si="73">IF( OR( ISBLANK(H1001),ISBLANK(J1001), ISBLANK(K1001), ISBLANK(L1001), ISBLANK(M1001) ), "", 1.5*SQRT(   EXP(2.21*(H1001-1)) + EXP(2.21*(J1001-1)) + EXP(2.21*(K1001-1)) + EXP(2.21*(L1001-1)) + EXP(2.21*M1001)   )/100*2.45 )</f>
        <v>0.16933510251023262</v>
      </c>
      <c r="O1001" s="159">
        <f t="shared" ref="O1001:O1018" si="74">IF( OR( ISBLANK(I1001),ISBLANK(J1001), ISBLANK(K1001), ISBLANK(L1001), ISBLANK(M1001) ), "", 1.5*SQRT( EXP(2.21*(I1001-1)) + EXP(2.21*(J1001-1)) + EXP(2.21*(K1001-1)) + EXP(2.21*(L1001-1)) + EXP(2.21*M1001)   )/100*2.45 )</f>
        <v>0.19908580854301616</v>
      </c>
      <c r="P1001" s="63" t="s">
        <v>856</v>
      </c>
    </row>
    <row r="1002" spans="1:16" s="808" customFormat="1">
      <c r="A1002" s="609" t="s">
        <v>479</v>
      </c>
      <c r="B1002" s="59" t="s">
        <v>484</v>
      </c>
      <c r="C1002" s="40" t="s">
        <v>139</v>
      </c>
      <c r="D1002" s="34" t="s">
        <v>99</v>
      </c>
      <c r="E1002" s="257" t="s">
        <v>150</v>
      </c>
      <c r="F1002" s="34">
        <v>1</v>
      </c>
      <c r="G1002" s="40" t="s">
        <v>433</v>
      </c>
      <c r="H1002" s="29"/>
      <c r="I1002" s="9"/>
      <c r="J1002" s="9"/>
      <c r="K1002" s="9"/>
      <c r="L1002" s="9"/>
      <c r="M1002" s="9"/>
      <c r="N1002" s="185" t="str">
        <f t="shared" si="73"/>
        <v/>
      </c>
      <c r="O1002" s="159" t="str">
        <f t="shared" si="74"/>
        <v/>
      </c>
      <c r="P1002" s="63" t="s">
        <v>1946</v>
      </c>
    </row>
    <row r="1003" spans="1:16" s="808" customFormat="1">
      <c r="A1003" s="609" t="s">
        <v>483</v>
      </c>
      <c r="B1003" s="59" t="s">
        <v>228</v>
      </c>
      <c r="C1003" s="40" t="s">
        <v>139</v>
      </c>
      <c r="D1003" s="34" t="s">
        <v>99</v>
      </c>
      <c r="E1003" s="257">
        <v>1</v>
      </c>
      <c r="F1003" s="34">
        <v>2</v>
      </c>
      <c r="G1003" s="40" t="s">
        <v>433</v>
      </c>
      <c r="H1003" s="29">
        <v>1</v>
      </c>
      <c r="I1003" s="9">
        <v>2</v>
      </c>
      <c r="J1003" s="9">
        <v>2</v>
      </c>
      <c r="K1003" s="9">
        <v>1</v>
      </c>
      <c r="L1003" s="9">
        <v>1</v>
      </c>
      <c r="M1003" s="9">
        <v>1</v>
      </c>
      <c r="N1003" s="185">
        <f t="shared" si="73"/>
        <v>0.16933510251023262</v>
      </c>
      <c r="O1003" s="159">
        <f t="shared" si="74"/>
        <v>0.19908580854301616</v>
      </c>
      <c r="P1003" s="63" t="s">
        <v>857</v>
      </c>
    </row>
    <row r="1004" spans="1:16" s="808" customFormat="1">
      <c r="A1004" s="609" t="s">
        <v>482</v>
      </c>
      <c r="B1004" s="59" t="s">
        <v>231</v>
      </c>
      <c r="C1004" s="40" t="s">
        <v>139</v>
      </c>
      <c r="D1004" s="34" t="s">
        <v>99</v>
      </c>
      <c r="E1004" s="257">
        <v>0</v>
      </c>
      <c r="F1004" s="34">
        <v>2</v>
      </c>
      <c r="G1004" s="40" t="s">
        <v>433</v>
      </c>
      <c r="H1004" s="29">
        <v>1</v>
      </c>
      <c r="I1004" s="9">
        <v>2</v>
      </c>
      <c r="J1004" s="9">
        <v>2</v>
      </c>
      <c r="K1004" s="9">
        <v>1</v>
      </c>
      <c r="L1004" s="9">
        <v>1</v>
      </c>
      <c r="M1004" s="9">
        <v>1</v>
      </c>
      <c r="N1004" s="185">
        <f t="shared" si="73"/>
        <v>0.16933510251023262</v>
      </c>
      <c r="O1004" s="159">
        <f t="shared" si="74"/>
        <v>0.19908580854301616</v>
      </c>
      <c r="P1004" s="63" t="s">
        <v>1968</v>
      </c>
    </row>
    <row r="1005" spans="1:16" s="808" customFormat="1">
      <c r="A1005" s="609" t="s">
        <v>482</v>
      </c>
      <c r="B1005" s="59" t="s">
        <v>232</v>
      </c>
      <c r="C1005" s="40" t="s">
        <v>139</v>
      </c>
      <c r="D1005" s="34" t="s">
        <v>99</v>
      </c>
      <c r="E1005" s="257">
        <v>0</v>
      </c>
      <c r="F1005" s="34">
        <v>2</v>
      </c>
      <c r="G1005" s="40" t="s">
        <v>433</v>
      </c>
      <c r="H1005" s="29">
        <v>1</v>
      </c>
      <c r="I1005" s="9">
        <v>2</v>
      </c>
      <c r="J1005" s="9">
        <v>2</v>
      </c>
      <c r="K1005" s="9">
        <v>1</v>
      </c>
      <c r="L1005" s="9">
        <v>1</v>
      </c>
      <c r="M1005" s="9">
        <v>1</v>
      </c>
      <c r="N1005" s="185">
        <f t="shared" si="73"/>
        <v>0.16933510251023262</v>
      </c>
      <c r="O1005" s="159">
        <f t="shared" si="74"/>
        <v>0.19908580854301616</v>
      </c>
      <c r="P1005" s="63" t="s">
        <v>1968</v>
      </c>
    </row>
    <row r="1006" spans="1:16" s="808" customFormat="1">
      <c r="A1006" s="609" t="s">
        <v>482</v>
      </c>
      <c r="B1006" s="59" t="s">
        <v>251</v>
      </c>
      <c r="C1006" s="40" t="s">
        <v>139</v>
      </c>
      <c r="D1006" s="34" t="s">
        <v>99</v>
      </c>
      <c r="E1006" s="257">
        <v>0</v>
      </c>
      <c r="F1006" s="34">
        <v>2</v>
      </c>
      <c r="G1006" s="40" t="s">
        <v>433</v>
      </c>
      <c r="H1006" s="29">
        <v>1</v>
      </c>
      <c r="I1006" s="9">
        <v>2</v>
      </c>
      <c r="J1006" s="9">
        <v>2</v>
      </c>
      <c r="K1006" s="9">
        <v>1</v>
      </c>
      <c r="L1006" s="9">
        <v>1</v>
      </c>
      <c r="M1006" s="9">
        <v>1</v>
      </c>
      <c r="N1006" s="185">
        <f t="shared" si="73"/>
        <v>0.16933510251023262</v>
      </c>
      <c r="O1006" s="159">
        <f t="shared" si="74"/>
        <v>0.19908580854301616</v>
      </c>
      <c r="P1006" s="63" t="s">
        <v>1968</v>
      </c>
    </row>
    <row r="1007" spans="1:16" s="808" customFormat="1">
      <c r="A1007" s="609" t="s">
        <v>482</v>
      </c>
      <c r="B1007" s="59" t="s">
        <v>258</v>
      </c>
      <c r="C1007" s="40" t="s">
        <v>139</v>
      </c>
      <c r="D1007" s="34" t="s">
        <v>99</v>
      </c>
      <c r="E1007" s="257">
        <v>0</v>
      </c>
      <c r="F1007" s="34">
        <v>2</v>
      </c>
      <c r="G1007" s="40" t="s">
        <v>433</v>
      </c>
      <c r="H1007" s="29">
        <v>1</v>
      </c>
      <c r="I1007" s="9">
        <v>2</v>
      </c>
      <c r="J1007" s="9">
        <v>2</v>
      </c>
      <c r="K1007" s="9">
        <v>1</v>
      </c>
      <c r="L1007" s="9">
        <v>1</v>
      </c>
      <c r="M1007" s="9">
        <v>1</v>
      </c>
      <c r="N1007" s="185">
        <f t="shared" si="73"/>
        <v>0.16933510251023262</v>
      </c>
      <c r="O1007" s="159">
        <f t="shared" si="74"/>
        <v>0.19908580854301616</v>
      </c>
      <c r="P1007" s="63" t="s">
        <v>1968</v>
      </c>
    </row>
    <row r="1008" spans="1:16" s="808" customFormat="1">
      <c r="A1008" s="609" t="s">
        <v>482</v>
      </c>
      <c r="B1008" s="59" t="s">
        <v>334</v>
      </c>
      <c r="C1008" s="40" t="s">
        <v>139</v>
      </c>
      <c r="D1008" s="34" t="s">
        <v>99</v>
      </c>
      <c r="E1008" s="257" t="s">
        <v>150</v>
      </c>
      <c r="F1008" s="34">
        <v>1</v>
      </c>
      <c r="G1008" s="40" t="s">
        <v>433</v>
      </c>
      <c r="H1008" s="29"/>
      <c r="I1008" s="9"/>
      <c r="J1008" s="9"/>
      <c r="K1008" s="9"/>
      <c r="L1008" s="9"/>
      <c r="M1008" s="9"/>
      <c r="N1008" s="185" t="str">
        <f t="shared" si="73"/>
        <v/>
      </c>
      <c r="O1008" s="159" t="str">
        <f t="shared" si="74"/>
        <v/>
      </c>
      <c r="P1008" s="63"/>
    </row>
    <row r="1009" spans="1:16" s="808" customFormat="1">
      <c r="A1009" s="609" t="s">
        <v>484</v>
      </c>
      <c r="B1009" s="59" t="s">
        <v>228</v>
      </c>
      <c r="C1009" s="40" t="s">
        <v>139</v>
      </c>
      <c r="D1009" s="34" t="s">
        <v>99</v>
      </c>
      <c r="E1009" s="257">
        <v>0</v>
      </c>
      <c r="F1009" s="34">
        <v>2</v>
      </c>
      <c r="G1009" s="40" t="s">
        <v>433</v>
      </c>
      <c r="H1009" s="29">
        <v>1</v>
      </c>
      <c r="I1009" s="9">
        <v>2</v>
      </c>
      <c r="J1009" s="9">
        <v>2</v>
      </c>
      <c r="K1009" s="9">
        <v>1</v>
      </c>
      <c r="L1009" s="9">
        <v>1</v>
      </c>
      <c r="M1009" s="9">
        <v>1</v>
      </c>
      <c r="N1009" s="185">
        <f t="shared" si="73"/>
        <v>0.16933510251023262</v>
      </c>
      <c r="O1009" s="159">
        <f t="shared" si="74"/>
        <v>0.19908580854301616</v>
      </c>
      <c r="P1009" s="63" t="s">
        <v>858</v>
      </c>
    </row>
    <row r="1010" spans="1:16" s="808" customFormat="1">
      <c r="A1010" s="609" t="s">
        <v>484</v>
      </c>
      <c r="B1010" s="59" t="s">
        <v>334</v>
      </c>
      <c r="C1010" s="40" t="s">
        <v>139</v>
      </c>
      <c r="D1010" s="34" t="s">
        <v>99</v>
      </c>
      <c r="E1010" s="257" t="s">
        <v>150</v>
      </c>
      <c r="F1010" s="34">
        <v>1</v>
      </c>
      <c r="G1010" s="40" t="s">
        <v>433</v>
      </c>
      <c r="H1010" s="29"/>
      <c r="I1010" s="9"/>
      <c r="J1010" s="9"/>
      <c r="K1010" s="9"/>
      <c r="L1010" s="9"/>
      <c r="M1010" s="9"/>
      <c r="N1010" s="185" t="str">
        <f t="shared" si="73"/>
        <v/>
      </c>
      <c r="O1010" s="159" t="str">
        <f t="shared" si="74"/>
        <v/>
      </c>
      <c r="P1010" s="63" t="s">
        <v>1947</v>
      </c>
    </row>
    <row r="1011" spans="1:16" s="808" customFormat="1">
      <c r="A1011" s="609" t="s">
        <v>438</v>
      </c>
      <c r="B1011" s="59" t="s">
        <v>485</v>
      </c>
      <c r="C1011" s="40" t="s">
        <v>139</v>
      </c>
      <c r="D1011" s="34" t="s">
        <v>99</v>
      </c>
      <c r="E1011" s="257">
        <f>0.97*0.1</f>
        <v>9.7000000000000003E-2</v>
      </c>
      <c r="F1011" s="34">
        <v>2</v>
      </c>
      <c r="G1011" s="40" t="s">
        <v>433</v>
      </c>
      <c r="H1011" s="29">
        <v>1</v>
      </c>
      <c r="I1011" s="9">
        <v>2</v>
      </c>
      <c r="J1011" s="9">
        <v>2</v>
      </c>
      <c r="K1011" s="9">
        <v>1</v>
      </c>
      <c r="L1011" s="9">
        <v>1</v>
      </c>
      <c r="M1011" s="9">
        <v>1</v>
      </c>
      <c r="N1011" s="185">
        <f t="shared" si="73"/>
        <v>0.16933510251023262</v>
      </c>
      <c r="O1011" s="159">
        <f t="shared" si="74"/>
        <v>0.19908580854301616</v>
      </c>
      <c r="P1011" s="63" t="s">
        <v>868</v>
      </c>
    </row>
    <row r="1012" spans="1:16" s="808" customFormat="1">
      <c r="A1012" s="609" t="s">
        <v>438</v>
      </c>
      <c r="B1012" s="59" t="s">
        <v>486</v>
      </c>
      <c r="C1012" s="40" t="s">
        <v>139</v>
      </c>
      <c r="D1012" s="34" t="s">
        <v>99</v>
      </c>
      <c r="E1012" s="257">
        <f>0.97*0.9</f>
        <v>0.873</v>
      </c>
      <c r="F1012" s="34">
        <v>2</v>
      </c>
      <c r="G1012" s="40" t="s">
        <v>433</v>
      </c>
      <c r="H1012" s="29">
        <v>1</v>
      </c>
      <c r="I1012" s="9">
        <v>2</v>
      </c>
      <c r="J1012" s="9">
        <v>2</v>
      </c>
      <c r="K1012" s="9">
        <v>1</v>
      </c>
      <c r="L1012" s="9">
        <v>1</v>
      </c>
      <c r="M1012" s="9">
        <v>1</v>
      </c>
      <c r="N1012" s="185">
        <f t="shared" si="73"/>
        <v>0.16933510251023262</v>
      </c>
      <c r="O1012" s="159">
        <f t="shared" si="74"/>
        <v>0.19908580854301616</v>
      </c>
      <c r="P1012" s="63" t="s">
        <v>869</v>
      </c>
    </row>
    <row r="1013" spans="1:16" s="808" customFormat="1">
      <c r="A1013" s="609" t="s">
        <v>438</v>
      </c>
      <c r="B1013" s="59" t="s">
        <v>223</v>
      </c>
      <c r="C1013" s="40" t="s">
        <v>139</v>
      </c>
      <c r="D1013" s="34" t="s">
        <v>99</v>
      </c>
      <c r="E1013" s="257">
        <v>0.03</v>
      </c>
      <c r="F1013" s="34">
        <v>1</v>
      </c>
      <c r="G1013" s="40" t="s">
        <v>433</v>
      </c>
      <c r="H1013" s="29">
        <v>1</v>
      </c>
      <c r="I1013" s="9">
        <v>2</v>
      </c>
      <c r="J1013" s="9">
        <v>2</v>
      </c>
      <c r="K1013" s="9">
        <v>1</v>
      </c>
      <c r="L1013" s="9">
        <v>1</v>
      </c>
      <c r="M1013" s="9">
        <v>1</v>
      </c>
      <c r="N1013" s="185">
        <f t="shared" si="73"/>
        <v>0.16933510251023262</v>
      </c>
      <c r="O1013" s="159">
        <f t="shared" si="74"/>
        <v>0.19908580854301616</v>
      </c>
      <c r="P1013" s="63" t="s">
        <v>854</v>
      </c>
    </row>
    <row r="1014" spans="1:16" s="808" customFormat="1">
      <c r="A1014" s="609" t="s">
        <v>485</v>
      </c>
      <c r="B1014" s="59" t="s">
        <v>487</v>
      </c>
      <c r="C1014" s="40" t="s">
        <v>139</v>
      </c>
      <c r="D1014" s="34" t="s">
        <v>99</v>
      </c>
      <c r="E1014" s="257">
        <v>0.03</v>
      </c>
      <c r="F1014" s="34">
        <v>2</v>
      </c>
      <c r="G1014" s="40" t="s">
        <v>433</v>
      </c>
      <c r="H1014" s="29">
        <v>1</v>
      </c>
      <c r="I1014" s="9">
        <v>2</v>
      </c>
      <c r="J1014" s="9">
        <v>2</v>
      </c>
      <c r="K1014" s="9">
        <v>1</v>
      </c>
      <c r="L1014" s="9">
        <v>1</v>
      </c>
      <c r="M1014" s="9">
        <v>1</v>
      </c>
      <c r="N1014" s="185">
        <f t="shared" si="73"/>
        <v>0.16933510251023262</v>
      </c>
      <c r="O1014" s="159">
        <f t="shared" si="74"/>
        <v>0.19908580854301616</v>
      </c>
      <c r="P1014" s="63" t="s">
        <v>855</v>
      </c>
    </row>
    <row r="1015" spans="1:16" s="808" customFormat="1">
      <c r="A1015" s="609" t="s">
        <v>485</v>
      </c>
      <c r="B1015" s="59" t="s">
        <v>480</v>
      </c>
      <c r="C1015" s="40" t="s">
        <v>139</v>
      </c>
      <c r="D1015" s="34" t="s">
        <v>99</v>
      </c>
      <c r="E1015" s="257" t="s">
        <v>150</v>
      </c>
      <c r="F1015" s="34">
        <v>1</v>
      </c>
      <c r="G1015" s="40" t="s">
        <v>433</v>
      </c>
      <c r="H1015" s="29"/>
      <c r="I1015" s="9"/>
      <c r="J1015" s="9"/>
      <c r="K1015" s="9"/>
      <c r="L1015" s="9"/>
      <c r="M1015" s="9"/>
      <c r="N1015" s="185" t="str">
        <f t="shared" si="73"/>
        <v/>
      </c>
      <c r="O1015" s="159" t="str">
        <f t="shared" si="74"/>
        <v/>
      </c>
      <c r="P1015" s="63" t="s">
        <v>1948</v>
      </c>
    </row>
    <row r="1016" spans="1:16" s="808" customFormat="1">
      <c r="A1016" s="609" t="s">
        <v>487</v>
      </c>
      <c r="B1016" s="59" t="s">
        <v>231</v>
      </c>
      <c r="C1016" s="40" t="s">
        <v>139</v>
      </c>
      <c r="D1016" s="34" t="s">
        <v>99</v>
      </c>
      <c r="E1016" s="257">
        <v>0.05</v>
      </c>
      <c r="F1016" s="34">
        <v>2</v>
      </c>
      <c r="G1016" s="40" t="s">
        <v>157</v>
      </c>
      <c r="H1016" s="29">
        <v>1</v>
      </c>
      <c r="I1016" s="9">
        <v>2</v>
      </c>
      <c r="J1016" s="9">
        <v>2</v>
      </c>
      <c r="K1016" s="9">
        <v>1</v>
      </c>
      <c r="L1016" s="9">
        <v>3</v>
      </c>
      <c r="M1016" s="9">
        <v>3</v>
      </c>
      <c r="N1016" s="185">
        <f t="shared" si="73"/>
        <v>1.0725046436742278</v>
      </c>
      <c r="O1016" s="159">
        <f t="shared" si="74"/>
        <v>1.0776024280428556</v>
      </c>
      <c r="P1016" s="63" t="s">
        <v>1937</v>
      </c>
    </row>
    <row r="1017" spans="1:16" s="808" customFormat="1">
      <c r="A1017" s="609" t="s">
        <v>487</v>
      </c>
      <c r="B1017" s="59" t="s">
        <v>232</v>
      </c>
      <c r="C1017" s="40" t="s">
        <v>139</v>
      </c>
      <c r="D1017" s="34" t="s">
        <v>99</v>
      </c>
      <c r="E1017" s="257">
        <v>0.39400000000000002</v>
      </c>
      <c r="F1017" s="34">
        <v>2</v>
      </c>
      <c r="G1017" s="40" t="s">
        <v>433</v>
      </c>
      <c r="H1017" s="29">
        <v>1</v>
      </c>
      <c r="I1017" s="9">
        <v>2</v>
      </c>
      <c r="J1017" s="9">
        <v>2</v>
      </c>
      <c r="K1017" s="9">
        <v>1</v>
      </c>
      <c r="L1017" s="9">
        <v>1</v>
      </c>
      <c r="M1017" s="9">
        <v>1</v>
      </c>
      <c r="N1017" s="185">
        <f t="shared" si="73"/>
        <v>0.16933510251023262</v>
      </c>
      <c r="O1017" s="159">
        <f t="shared" si="74"/>
        <v>0.19908580854301616</v>
      </c>
      <c r="P1017" s="63" t="s">
        <v>1961</v>
      </c>
    </row>
    <row r="1018" spans="1:16" s="808" customFormat="1">
      <c r="A1018" s="609" t="s">
        <v>487</v>
      </c>
      <c r="B1018" s="59" t="s">
        <v>251</v>
      </c>
      <c r="C1018" s="40" t="s">
        <v>139</v>
      </c>
      <c r="D1018" s="34" t="s">
        <v>99</v>
      </c>
      <c r="E1018" s="257">
        <v>0.52200000000000002</v>
      </c>
      <c r="F1018" s="34">
        <v>1</v>
      </c>
      <c r="G1018" s="40" t="s">
        <v>433</v>
      </c>
      <c r="H1018" s="29">
        <v>1</v>
      </c>
      <c r="I1018" s="9">
        <v>2</v>
      </c>
      <c r="J1018" s="9">
        <v>2</v>
      </c>
      <c r="K1018" s="9">
        <v>1</v>
      </c>
      <c r="L1018" s="9">
        <v>1</v>
      </c>
      <c r="M1018" s="9">
        <v>1</v>
      </c>
      <c r="N1018" s="185">
        <f t="shared" si="73"/>
        <v>0.16933510251023262</v>
      </c>
      <c r="O1018" s="159">
        <f t="shared" si="74"/>
        <v>0.19908580854301616</v>
      </c>
      <c r="P1018" s="63" t="s">
        <v>1962</v>
      </c>
    </row>
    <row r="1019" spans="1:16" s="808" customFormat="1">
      <c r="A1019" s="609" t="s">
        <v>487</v>
      </c>
      <c r="B1019" s="59" t="s">
        <v>258</v>
      </c>
      <c r="C1019" s="40" t="s">
        <v>139</v>
      </c>
      <c r="D1019" s="34" t="s">
        <v>99</v>
      </c>
      <c r="E1019" s="257">
        <v>3.4000000000000002E-2</v>
      </c>
      <c r="F1019" s="34">
        <v>2</v>
      </c>
      <c r="G1019" s="40" t="s">
        <v>433</v>
      </c>
      <c r="H1019" s="29">
        <v>1</v>
      </c>
      <c r="I1019" s="9">
        <v>2</v>
      </c>
      <c r="J1019" s="9">
        <v>2</v>
      </c>
      <c r="K1019" s="9">
        <v>1</v>
      </c>
      <c r="L1019" s="9">
        <v>1</v>
      </c>
      <c r="M1019" s="9">
        <v>1</v>
      </c>
      <c r="N1019" s="185"/>
      <c r="O1019" s="159"/>
      <c r="P1019" s="63" t="s">
        <v>1963</v>
      </c>
    </row>
    <row r="1020" spans="1:16" s="808" customFormat="1">
      <c r="A1020" s="609" t="s">
        <v>486</v>
      </c>
      <c r="B1020" s="59" t="s">
        <v>488</v>
      </c>
      <c r="C1020" s="40" t="s">
        <v>139</v>
      </c>
      <c r="D1020" s="34" t="s">
        <v>99</v>
      </c>
      <c r="E1020" s="257">
        <f>0.1*E1014</f>
        <v>3.0000000000000001E-3</v>
      </c>
      <c r="F1020" s="34">
        <v>2</v>
      </c>
      <c r="G1020" s="40" t="s">
        <v>433</v>
      </c>
      <c r="H1020" s="29">
        <v>1</v>
      </c>
      <c r="I1020" s="9">
        <v>2</v>
      </c>
      <c r="J1020" s="9">
        <v>2</v>
      </c>
      <c r="K1020" s="9">
        <v>1</v>
      </c>
      <c r="L1020" s="9">
        <v>1</v>
      </c>
      <c r="M1020" s="9">
        <v>1</v>
      </c>
      <c r="N1020" s="185">
        <f t="shared" ref="N1020:N1037" si="75">IF( OR( ISBLANK(H1020),ISBLANK(J1020), ISBLANK(K1020), ISBLANK(L1020), ISBLANK(M1020) ), "", 1.5*SQRT(   EXP(2.21*(H1020-1)) + EXP(2.21*(J1020-1)) + EXP(2.21*(K1020-1)) + EXP(2.21*(L1020-1)) + EXP(2.21*M1020)   )/100*2.45 )</f>
        <v>0.16933510251023262</v>
      </c>
      <c r="O1020" s="159">
        <f t="shared" ref="O1020:O1037" si="76">IF( OR( ISBLANK(I1020),ISBLANK(J1020), ISBLANK(K1020), ISBLANK(L1020), ISBLANK(M1020) ), "", 1.5*SQRT( EXP(2.21*(I1020-1)) + EXP(2.21*(J1020-1)) + EXP(2.21*(K1020-1)) + EXP(2.21*(L1020-1)) + EXP(2.21*M1020)   )/100*2.45 )</f>
        <v>0.19908580854301616</v>
      </c>
      <c r="P1020" s="63" t="s">
        <v>856</v>
      </c>
    </row>
    <row r="1021" spans="1:16" s="808" customFormat="1">
      <c r="A1021" s="609" t="s">
        <v>486</v>
      </c>
      <c r="B1021" s="59" t="s">
        <v>477</v>
      </c>
      <c r="C1021" s="40" t="s">
        <v>139</v>
      </c>
      <c r="D1021" s="34" t="s">
        <v>99</v>
      </c>
      <c r="E1021" s="257" t="s">
        <v>150</v>
      </c>
      <c r="F1021" s="34">
        <v>1</v>
      </c>
      <c r="G1021" s="40" t="s">
        <v>433</v>
      </c>
      <c r="H1021" s="29"/>
      <c r="I1021" s="9"/>
      <c r="J1021" s="9"/>
      <c r="K1021" s="9"/>
      <c r="L1021" s="9"/>
      <c r="M1021" s="9"/>
      <c r="N1021" s="185" t="str">
        <f t="shared" si="75"/>
        <v/>
      </c>
      <c r="O1021" s="159" t="str">
        <f t="shared" si="76"/>
        <v/>
      </c>
      <c r="P1021" s="63" t="s">
        <v>1948</v>
      </c>
    </row>
    <row r="1022" spans="1:16" s="808" customFormat="1">
      <c r="A1022" s="609" t="s">
        <v>488</v>
      </c>
      <c r="B1022" s="59" t="s">
        <v>228</v>
      </c>
      <c r="C1022" s="40" t="s">
        <v>139</v>
      </c>
      <c r="D1022" s="34" t="s">
        <v>99</v>
      </c>
      <c r="E1022" s="257">
        <v>1</v>
      </c>
      <c r="F1022" s="34">
        <v>2</v>
      </c>
      <c r="G1022" s="40" t="s">
        <v>433</v>
      </c>
      <c r="H1022" s="29">
        <v>1</v>
      </c>
      <c r="I1022" s="9">
        <v>2</v>
      </c>
      <c r="J1022" s="9">
        <v>2</v>
      </c>
      <c r="K1022" s="9">
        <v>1</v>
      </c>
      <c r="L1022" s="9">
        <v>1</v>
      </c>
      <c r="M1022" s="9">
        <v>1</v>
      </c>
      <c r="N1022" s="185">
        <f t="shared" si="75"/>
        <v>0.16933510251023262</v>
      </c>
      <c r="O1022" s="159">
        <f t="shared" si="76"/>
        <v>0.19908580854301616</v>
      </c>
      <c r="P1022" s="63" t="s">
        <v>857</v>
      </c>
    </row>
    <row r="1023" spans="1:16" s="808" customFormat="1">
      <c r="A1023" s="609" t="s">
        <v>480</v>
      </c>
      <c r="B1023" s="59" t="s">
        <v>231</v>
      </c>
      <c r="C1023" s="40" t="s">
        <v>139</v>
      </c>
      <c r="D1023" s="34" t="s">
        <v>99</v>
      </c>
      <c r="E1023" s="257">
        <v>0</v>
      </c>
      <c r="F1023" s="34">
        <v>2</v>
      </c>
      <c r="G1023" s="40" t="s">
        <v>433</v>
      </c>
      <c r="H1023" s="29">
        <v>1</v>
      </c>
      <c r="I1023" s="9">
        <v>2</v>
      </c>
      <c r="J1023" s="9">
        <v>2</v>
      </c>
      <c r="K1023" s="9">
        <v>1</v>
      </c>
      <c r="L1023" s="9">
        <v>1</v>
      </c>
      <c r="M1023" s="9">
        <v>1</v>
      </c>
      <c r="N1023" s="185">
        <f t="shared" si="75"/>
        <v>0.16933510251023262</v>
      </c>
      <c r="O1023" s="159">
        <f t="shared" si="76"/>
        <v>0.19908580854301616</v>
      </c>
      <c r="P1023" s="63" t="s">
        <v>1967</v>
      </c>
    </row>
    <row r="1024" spans="1:16" s="808" customFormat="1">
      <c r="A1024" s="609" t="s">
        <v>480</v>
      </c>
      <c r="B1024" s="59" t="s">
        <v>232</v>
      </c>
      <c r="C1024" s="40" t="s">
        <v>139</v>
      </c>
      <c r="D1024" s="34" t="s">
        <v>99</v>
      </c>
      <c r="E1024" s="257">
        <v>0</v>
      </c>
      <c r="F1024" s="34">
        <v>2</v>
      </c>
      <c r="G1024" s="40" t="s">
        <v>433</v>
      </c>
      <c r="H1024" s="29">
        <v>1</v>
      </c>
      <c r="I1024" s="9">
        <v>2</v>
      </c>
      <c r="J1024" s="9">
        <v>2</v>
      </c>
      <c r="K1024" s="9">
        <v>1</v>
      </c>
      <c r="L1024" s="9">
        <v>1</v>
      </c>
      <c r="M1024" s="9">
        <v>1</v>
      </c>
      <c r="N1024" s="185">
        <f t="shared" si="75"/>
        <v>0.16933510251023262</v>
      </c>
      <c r="O1024" s="159">
        <f t="shared" si="76"/>
        <v>0.19908580854301616</v>
      </c>
      <c r="P1024" s="63" t="s">
        <v>1967</v>
      </c>
    </row>
    <row r="1025" spans="1:16" s="808" customFormat="1">
      <c r="A1025" s="609" t="s">
        <v>480</v>
      </c>
      <c r="B1025" s="59" t="s">
        <v>251</v>
      </c>
      <c r="C1025" s="40" t="s">
        <v>139</v>
      </c>
      <c r="D1025" s="34" t="s">
        <v>99</v>
      </c>
      <c r="E1025" s="257">
        <v>0</v>
      </c>
      <c r="F1025" s="34">
        <v>2</v>
      </c>
      <c r="G1025" s="40" t="s">
        <v>433</v>
      </c>
      <c r="H1025" s="29">
        <v>1</v>
      </c>
      <c r="I1025" s="9">
        <v>2</v>
      </c>
      <c r="J1025" s="9">
        <v>2</v>
      </c>
      <c r="K1025" s="9">
        <v>1</v>
      </c>
      <c r="L1025" s="9">
        <v>1</v>
      </c>
      <c r="M1025" s="9">
        <v>1</v>
      </c>
      <c r="N1025" s="185">
        <f t="shared" si="75"/>
        <v>0.16933510251023262</v>
      </c>
      <c r="O1025" s="159">
        <f t="shared" si="76"/>
        <v>0.19908580854301616</v>
      </c>
      <c r="P1025" s="63" t="s">
        <v>1967</v>
      </c>
    </row>
    <row r="1026" spans="1:16" s="808" customFormat="1">
      <c r="A1026" s="609" t="s">
        <v>480</v>
      </c>
      <c r="B1026" s="59" t="s">
        <v>258</v>
      </c>
      <c r="C1026" s="40" t="s">
        <v>139</v>
      </c>
      <c r="D1026" s="34" t="s">
        <v>99</v>
      </c>
      <c r="E1026" s="257">
        <v>0</v>
      </c>
      <c r="F1026" s="34">
        <v>2</v>
      </c>
      <c r="G1026" s="40" t="s">
        <v>433</v>
      </c>
      <c r="H1026" s="29">
        <v>1</v>
      </c>
      <c r="I1026" s="9">
        <v>2</v>
      </c>
      <c r="J1026" s="9">
        <v>2</v>
      </c>
      <c r="K1026" s="9">
        <v>1</v>
      </c>
      <c r="L1026" s="9">
        <v>1</v>
      </c>
      <c r="M1026" s="9">
        <v>1</v>
      </c>
      <c r="N1026" s="185">
        <f t="shared" si="75"/>
        <v>0.16933510251023262</v>
      </c>
      <c r="O1026" s="159">
        <f t="shared" si="76"/>
        <v>0.19908580854301616</v>
      </c>
      <c r="P1026" s="63" t="s">
        <v>1967</v>
      </c>
    </row>
    <row r="1027" spans="1:16" s="808" customFormat="1">
      <c r="A1027" s="609" t="s">
        <v>480</v>
      </c>
      <c r="B1027" s="59" t="s">
        <v>334</v>
      </c>
      <c r="C1027" s="40" t="s">
        <v>139</v>
      </c>
      <c r="D1027" s="34" t="s">
        <v>99</v>
      </c>
      <c r="E1027" s="257" t="s">
        <v>150</v>
      </c>
      <c r="F1027" s="34">
        <v>1</v>
      </c>
      <c r="G1027" s="40" t="s">
        <v>433</v>
      </c>
      <c r="H1027" s="29"/>
      <c r="I1027" s="9"/>
      <c r="J1027" s="9"/>
      <c r="K1027" s="9"/>
      <c r="L1027" s="9"/>
      <c r="M1027" s="9"/>
      <c r="N1027" s="185" t="str">
        <f t="shared" si="75"/>
        <v/>
      </c>
      <c r="O1027" s="159" t="str">
        <f t="shared" si="76"/>
        <v/>
      </c>
      <c r="P1027" s="63"/>
    </row>
    <row r="1028" spans="1:16" s="808" customFormat="1">
      <c r="A1028" s="609" t="s">
        <v>477</v>
      </c>
      <c r="B1028" s="59" t="s">
        <v>228</v>
      </c>
      <c r="C1028" s="40" t="s">
        <v>139</v>
      </c>
      <c r="D1028" s="34" t="s">
        <v>99</v>
      </c>
      <c r="E1028" s="257">
        <v>0</v>
      </c>
      <c r="F1028" s="34">
        <v>2</v>
      </c>
      <c r="G1028" s="40" t="s">
        <v>433</v>
      </c>
      <c r="H1028" s="29">
        <v>1</v>
      </c>
      <c r="I1028" s="9">
        <v>2</v>
      </c>
      <c r="J1028" s="9">
        <v>2</v>
      </c>
      <c r="K1028" s="9">
        <v>1</v>
      </c>
      <c r="L1028" s="9">
        <v>1</v>
      </c>
      <c r="M1028" s="9">
        <v>1</v>
      </c>
      <c r="N1028" s="185">
        <f t="shared" si="75"/>
        <v>0.16933510251023262</v>
      </c>
      <c r="O1028" s="159">
        <f t="shared" si="76"/>
        <v>0.19908580854301616</v>
      </c>
      <c r="P1028" s="63" t="s">
        <v>858</v>
      </c>
    </row>
    <row r="1029" spans="1:16" s="808" customFormat="1">
      <c r="A1029" s="609" t="s">
        <v>477</v>
      </c>
      <c r="B1029" s="59" t="s">
        <v>334</v>
      </c>
      <c r="C1029" s="40" t="s">
        <v>139</v>
      </c>
      <c r="D1029" s="34" t="s">
        <v>99</v>
      </c>
      <c r="E1029" s="257" t="s">
        <v>150</v>
      </c>
      <c r="F1029" s="34">
        <v>1</v>
      </c>
      <c r="G1029" s="40" t="s">
        <v>433</v>
      </c>
      <c r="H1029" s="29"/>
      <c r="I1029" s="9"/>
      <c r="J1029" s="9"/>
      <c r="K1029" s="9"/>
      <c r="L1029" s="9"/>
      <c r="M1029" s="9"/>
      <c r="N1029" s="185" t="str">
        <f t="shared" si="75"/>
        <v/>
      </c>
      <c r="O1029" s="159" t="str">
        <f t="shared" si="76"/>
        <v/>
      </c>
      <c r="P1029" s="63" t="s">
        <v>1949</v>
      </c>
    </row>
    <row r="1030" spans="1:16" s="808" customFormat="1">
      <c r="A1030" s="609" t="s">
        <v>439</v>
      </c>
      <c r="B1030" s="59" t="s">
        <v>491</v>
      </c>
      <c r="C1030" s="40" t="s">
        <v>139</v>
      </c>
      <c r="D1030" s="34" t="s">
        <v>99</v>
      </c>
      <c r="E1030" s="257">
        <f>0.97*0.25</f>
        <v>0.24249999999999999</v>
      </c>
      <c r="F1030" s="34">
        <v>2</v>
      </c>
      <c r="G1030" s="40" t="s">
        <v>433</v>
      </c>
      <c r="H1030" s="29">
        <v>1</v>
      </c>
      <c r="I1030" s="9">
        <v>2</v>
      </c>
      <c r="J1030" s="9">
        <v>2</v>
      </c>
      <c r="K1030" s="9">
        <v>1</v>
      </c>
      <c r="L1030" s="9">
        <v>1</v>
      </c>
      <c r="M1030" s="9">
        <v>1</v>
      </c>
      <c r="N1030" s="185">
        <f t="shared" si="75"/>
        <v>0.16933510251023262</v>
      </c>
      <c r="O1030" s="159">
        <f t="shared" si="76"/>
        <v>0.19908580854301616</v>
      </c>
      <c r="P1030" s="63" t="s">
        <v>862</v>
      </c>
    </row>
    <row r="1031" spans="1:16" s="808" customFormat="1">
      <c r="A1031" s="609" t="s">
        <v>439</v>
      </c>
      <c r="B1031" s="59" t="s">
        <v>492</v>
      </c>
      <c r="C1031" s="40" t="s">
        <v>139</v>
      </c>
      <c r="D1031" s="34" t="s">
        <v>99</v>
      </c>
      <c r="E1031" s="257">
        <f>0.97*0.75</f>
        <v>0.72750000000000004</v>
      </c>
      <c r="F1031" s="34">
        <v>2</v>
      </c>
      <c r="G1031" s="40" t="s">
        <v>433</v>
      </c>
      <c r="H1031" s="29">
        <v>1</v>
      </c>
      <c r="I1031" s="9">
        <v>2</v>
      </c>
      <c r="J1031" s="9">
        <v>2</v>
      </c>
      <c r="K1031" s="9">
        <v>1</v>
      </c>
      <c r="L1031" s="9">
        <v>1</v>
      </c>
      <c r="M1031" s="9">
        <v>1</v>
      </c>
      <c r="N1031" s="185">
        <f t="shared" si="75"/>
        <v>0.16933510251023262</v>
      </c>
      <c r="O1031" s="159">
        <f t="shared" si="76"/>
        <v>0.19908580854301616</v>
      </c>
      <c r="P1031" s="63" t="s">
        <v>869</v>
      </c>
    </row>
    <row r="1032" spans="1:16" s="808" customFormat="1">
      <c r="A1032" s="609" t="s">
        <v>439</v>
      </c>
      <c r="B1032" s="59" t="s">
        <v>223</v>
      </c>
      <c r="C1032" s="40" t="s">
        <v>139</v>
      </c>
      <c r="D1032" s="34" t="s">
        <v>99</v>
      </c>
      <c r="E1032" s="257">
        <v>0.03</v>
      </c>
      <c r="F1032" s="34">
        <v>1</v>
      </c>
      <c r="G1032" s="40" t="s">
        <v>433</v>
      </c>
      <c r="H1032" s="29">
        <v>1</v>
      </c>
      <c r="I1032" s="9">
        <v>2</v>
      </c>
      <c r="J1032" s="9">
        <v>2</v>
      </c>
      <c r="K1032" s="9">
        <v>1</v>
      </c>
      <c r="L1032" s="9">
        <v>1</v>
      </c>
      <c r="M1032" s="9">
        <v>1</v>
      </c>
      <c r="N1032" s="185">
        <f t="shared" si="75"/>
        <v>0.16933510251023262</v>
      </c>
      <c r="O1032" s="159">
        <f t="shared" si="76"/>
        <v>0.19908580854301616</v>
      </c>
      <c r="P1032" s="63" t="s">
        <v>854</v>
      </c>
    </row>
    <row r="1033" spans="1:16" s="808" customFormat="1">
      <c r="A1033" s="609" t="s">
        <v>491</v>
      </c>
      <c r="B1033" s="59" t="s">
        <v>493</v>
      </c>
      <c r="C1033" s="40" t="s">
        <v>139</v>
      </c>
      <c r="D1033" s="34" t="s">
        <v>99</v>
      </c>
      <c r="E1033" s="257">
        <v>0.03</v>
      </c>
      <c r="F1033" s="34">
        <v>2</v>
      </c>
      <c r="G1033" s="40" t="s">
        <v>433</v>
      </c>
      <c r="H1033" s="29">
        <v>1</v>
      </c>
      <c r="I1033" s="9">
        <v>2</v>
      </c>
      <c r="J1033" s="9">
        <v>2</v>
      </c>
      <c r="K1033" s="9">
        <v>1</v>
      </c>
      <c r="L1033" s="9">
        <v>1</v>
      </c>
      <c r="M1033" s="9">
        <v>1</v>
      </c>
      <c r="N1033" s="185">
        <f t="shared" si="75"/>
        <v>0.16933510251023262</v>
      </c>
      <c r="O1033" s="159">
        <f t="shared" si="76"/>
        <v>0.19908580854301616</v>
      </c>
      <c r="P1033" s="63" t="s">
        <v>855</v>
      </c>
    </row>
    <row r="1034" spans="1:16" s="808" customFormat="1">
      <c r="A1034" s="609" t="s">
        <v>491</v>
      </c>
      <c r="B1034" s="59" t="s">
        <v>490</v>
      </c>
      <c r="C1034" s="40" t="s">
        <v>139</v>
      </c>
      <c r="D1034" s="34" t="s">
        <v>99</v>
      </c>
      <c r="E1034" s="257" t="s">
        <v>150</v>
      </c>
      <c r="F1034" s="34">
        <v>1</v>
      </c>
      <c r="G1034" s="40" t="s">
        <v>433</v>
      </c>
      <c r="H1034" s="29"/>
      <c r="I1034" s="9"/>
      <c r="J1034" s="9"/>
      <c r="K1034" s="9"/>
      <c r="L1034" s="9"/>
      <c r="M1034" s="9"/>
      <c r="N1034" s="185" t="str">
        <f t="shared" si="75"/>
        <v/>
      </c>
      <c r="O1034" s="159" t="str">
        <f t="shared" si="76"/>
        <v/>
      </c>
      <c r="P1034" s="63" t="s">
        <v>1983</v>
      </c>
    </row>
    <row r="1035" spans="1:16" s="808" customFormat="1">
      <c r="A1035" s="609" t="s">
        <v>493</v>
      </c>
      <c r="B1035" s="59" t="s">
        <v>231</v>
      </c>
      <c r="C1035" s="40" t="s">
        <v>139</v>
      </c>
      <c r="D1035" s="34" t="s">
        <v>99</v>
      </c>
      <c r="E1035" s="257">
        <v>0.05</v>
      </c>
      <c r="F1035" s="34">
        <v>2</v>
      </c>
      <c r="G1035" s="40" t="s">
        <v>157</v>
      </c>
      <c r="H1035" s="29">
        <v>1</v>
      </c>
      <c r="I1035" s="9">
        <v>2</v>
      </c>
      <c r="J1035" s="9">
        <v>2</v>
      </c>
      <c r="K1035" s="9">
        <v>1</v>
      </c>
      <c r="L1035" s="9">
        <v>3</v>
      </c>
      <c r="M1035" s="9">
        <v>3</v>
      </c>
      <c r="N1035" s="185">
        <f t="shared" si="75"/>
        <v>1.0725046436742278</v>
      </c>
      <c r="O1035" s="159">
        <f t="shared" si="76"/>
        <v>1.0776024280428556</v>
      </c>
      <c r="P1035" s="63" t="s">
        <v>1937</v>
      </c>
    </row>
    <row r="1036" spans="1:16" s="808" customFormat="1">
      <c r="A1036" s="609" t="s">
        <v>493</v>
      </c>
      <c r="B1036" s="59" t="s">
        <v>232</v>
      </c>
      <c r="C1036" s="40" t="s">
        <v>139</v>
      </c>
      <c r="D1036" s="34" t="s">
        <v>99</v>
      </c>
      <c r="E1036" s="257">
        <v>0.39400000000000002</v>
      </c>
      <c r="F1036" s="34">
        <v>2</v>
      </c>
      <c r="G1036" s="40" t="s">
        <v>433</v>
      </c>
      <c r="H1036" s="29">
        <v>1</v>
      </c>
      <c r="I1036" s="9">
        <v>2</v>
      </c>
      <c r="J1036" s="9">
        <v>2</v>
      </c>
      <c r="K1036" s="9">
        <v>1</v>
      </c>
      <c r="L1036" s="9">
        <v>1</v>
      </c>
      <c r="M1036" s="9">
        <v>1</v>
      </c>
      <c r="N1036" s="185">
        <f t="shared" si="75"/>
        <v>0.16933510251023262</v>
      </c>
      <c r="O1036" s="159">
        <f t="shared" si="76"/>
        <v>0.19908580854301616</v>
      </c>
      <c r="P1036" s="63" t="s">
        <v>1961</v>
      </c>
    </row>
    <row r="1037" spans="1:16" s="808" customFormat="1">
      <c r="A1037" s="609" t="s">
        <v>493</v>
      </c>
      <c r="B1037" s="59" t="s">
        <v>251</v>
      </c>
      <c r="C1037" s="40" t="s">
        <v>139</v>
      </c>
      <c r="D1037" s="34" t="s">
        <v>99</v>
      </c>
      <c r="E1037" s="257">
        <v>0.52200000000000002</v>
      </c>
      <c r="F1037" s="34">
        <v>1</v>
      </c>
      <c r="G1037" s="40" t="s">
        <v>433</v>
      </c>
      <c r="H1037" s="29">
        <v>1</v>
      </c>
      <c r="I1037" s="9">
        <v>2</v>
      </c>
      <c r="J1037" s="9">
        <v>2</v>
      </c>
      <c r="K1037" s="9">
        <v>1</v>
      </c>
      <c r="L1037" s="9">
        <v>1</v>
      </c>
      <c r="M1037" s="9">
        <v>1</v>
      </c>
      <c r="N1037" s="185">
        <f t="shared" si="75"/>
        <v>0.16933510251023262</v>
      </c>
      <c r="O1037" s="159">
        <f t="shared" si="76"/>
        <v>0.19908580854301616</v>
      </c>
      <c r="P1037" s="63" t="s">
        <v>1962</v>
      </c>
    </row>
    <row r="1038" spans="1:16" s="808" customFormat="1">
      <c r="A1038" s="609" t="s">
        <v>493</v>
      </c>
      <c r="B1038" s="59" t="s">
        <v>258</v>
      </c>
      <c r="C1038" s="40" t="s">
        <v>139</v>
      </c>
      <c r="D1038" s="34" t="s">
        <v>99</v>
      </c>
      <c r="E1038" s="257">
        <v>3.4000000000000002E-2</v>
      </c>
      <c r="F1038" s="34">
        <v>2</v>
      </c>
      <c r="G1038" s="40" t="s">
        <v>433</v>
      </c>
      <c r="H1038" s="29">
        <v>1</v>
      </c>
      <c r="I1038" s="9">
        <v>2</v>
      </c>
      <c r="J1038" s="9">
        <v>2</v>
      </c>
      <c r="K1038" s="9">
        <v>1</v>
      </c>
      <c r="L1038" s="9">
        <v>1</v>
      </c>
      <c r="M1038" s="9">
        <v>1</v>
      </c>
      <c r="N1038" s="185"/>
      <c r="O1038" s="159"/>
      <c r="P1038" s="63" t="s">
        <v>1963</v>
      </c>
    </row>
    <row r="1039" spans="1:16" s="808" customFormat="1">
      <c r="A1039" s="609" t="s">
        <v>492</v>
      </c>
      <c r="B1039" s="59" t="s">
        <v>494</v>
      </c>
      <c r="C1039" s="40" t="s">
        <v>139</v>
      </c>
      <c r="D1039" s="34" t="s">
        <v>99</v>
      </c>
      <c r="E1039" s="257">
        <f>0.1*E1033</f>
        <v>3.0000000000000001E-3</v>
      </c>
      <c r="F1039" s="34">
        <v>2</v>
      </c>
      <c r="G1039" s="40" t="s">
        <v>433</v>
      </c>
      <c r="H1039" s="29">
        <v>1</v>
      </c>
      <c r="I1039" s="9">
        <v>2</v>
      </c>
      <c r="J1039" s="9">
        <v>2</v>
      </c>
      <c r="K1039" s="9">
        <v>1</v>
      </c>
      <c r="L1039" s="9">
        <v>1</v>
      </c>
      <c r="M1039" s="9">
        <v>1</v>
      </c>
      <c r="N1039" s="185">
        <f t="shared" ref="N1039:N1056" si="77">IF( OR( ISBLANK(H1039),ISBLANK(J1039), ISBLANK(K1039), ISBLANK(L1039), ISBLANK(M1039) ), "", 1.5*SQRT(   EXP(2.21*(H1039-1)) + EXP(2.21*(J1039-1)) + EXP(2.21*(K1039-1)) + EXP(2.21*(L1039-1)) + EXP(2.21*M1039)   )/100*2.45 )</f>
        <v>0.16933510251023262</v>
      </c>
      <c r="O1039" s="159">
        <f t="shared" ref="O1039:O1056" si="78">IF( OR( ISBLANK(I1039),ISBLANK(J1039), ISBLANK(K1039), ISBLANK(L1039), ISBLANK(M1039) ), "", 1.5*SQRT( EXP(2.21*(I1039-1)) + EXP(2.21*(J1039-1)) + EXP(2.21*(K1039-1)) + EXP(2.21*(L1039-1)) + EXP(2.21*M1039)   )/100*2.45 )</f>
        <v>0.19908580854301616</v>
      </c>
      <c r="P1039" s="63" t="s">
        <v>856</v>
      </c>
    </row>
    <row r="1040" spans="1:16" s="808" customFormat="1">
      <c r="A1040" s="609" t="s">
        <v>492</v>
      </c>
      <c r="B1040" s="59" t="s">
        <v>489</v>
      </c>
      <c r="C1040" s="40" t="s">
        <v>139</v>
      </c>
      <c r="D1040" s="34" t="s">
        <v>99</v>
      </c>
      <c r="E1040" s="257" t="s">
        <v>150</v>
      </c>
      <c r="F1040" s="34">
        <v>1</v>
      </c>
      <c r="G1040" s="40" t="s">
        <v>433</v>
      </c>
      <c r="H1040" s="29">
        <v>1</v>
      </c>
      <c r="I1040" s="9">
        <v>2</v>
      </c>
      <c r="J1040" s="9">
        <v>2</v>
      </c>
      <c r="K1040" s="9">
        <v>1</v>
      </c>
      <c r="L1040" s="9">
        <v>1</v>
      </c>
      <c r="M1040" s="9">
        <v>1</v>
      </c>
      <c r="N1040" s="185">
        <f t="shared" si="77"/>
        <v>0.16933510251023262</v>
      </c>
      <c r="O1040" s="159">
        <f t="shared" si="78"/>
        <v>0.19908580854301616</v>
      </c>
      <c r="P1040" s="63" t="s">
        <v>1983</v>
      </c>
    </row>
    <row r="1041" spans="1:16" s="808" customFormat="1">
      <c r="A1041" s="609" t="s">
        <v>494</v>
      </c>
      <c r="B1041" s="59" t="s">
        <v>228</v>
      </c>
      <c r="C1041" s="40" t="s">
        <v>139</v>
      </c>
      <c r="D1041" s="34" t="s">
        <v>99</v>
      </c>
      <c r="E1041" s="257">
        <v>1</v>
      </c>
      <c r="F1041" s="34">
        <v>2</v>
      </c>
      <c r="G1041" s="40" t="s">
        <v>433</v>
      </c>
      <c r="H1041" s="29"/>
      <c r="I1041" s="9"/>
      <c r="J1041" s="9"/>
      <c r="K1041" s="9"/>
      <c r="L1041" s="9"/>
      <c r="M1041" s="9"/>
      <c r="N1041" s="185" t="str">
        <f t="shared" si="77"/>
        <v/>
      </c>
      <c r="O1041" s="159" t="str">
        <f t="shared" si="78"/>
        <v/>
      </c>
      <c r="P1041" s="63" t="s">
        <v>857</v>
      </c>
    </row>
    <row r="1042" spans="1:16" s="808" customFormat="1">
      <c r="A1042" s="609" t="s">
        <v>490</v>
      </c>
      <c r="B1042" s="59" t="s">
        <v>231</v>
      </c>
      <c r="C1042" s="40" t="s">
        <v>139</v>
      </c>
      <c r="D1042" s="34" t="s">
        <v>99</v>
      </c>
      <c r="E1042" s="257">
        <v>1.6000000000000001E-3</v>
      </c>
      <c r="F1042" s="34">
        <v>2</v>
      </c>
      <c r="G1042" s="40" t="s">
        <v>1997</v>
      </c>
      <c r="H1042" s="29">
        <v>1</v>
      </c>
      <c r="I1042" s="9">
        <v>2</v>
      </c>
      <c r="J1042" s="9">
        <v>2</v>
      </c>
      <c r="K1042" s="9">
        <v>1</v>
      </c>
      <c r="L1042" s="9">
        <v>3</v>
      </c>
      <c r="M1042" s="9">
        <v>3</v>
      </c>
      <c r="N1042" s="185">
        <f t="shared" si="77"/>
        <v>1.0725046436742278</v>
      </c>
      <c r="O1042" s="159">
        <f t="shared" si="78"/>
        <v>1.0776024280428556</v>
      </c>
      <c r="P1042" s="63" t="s">
        <v>1973</v>
      </c>
    </row>
    <row r="1043" spans="1:16" s="808" customFormat="1">
      <c r="A1043" s="609" t="s">
        <v>490</v>
      </c>
      <c r="B1043" s="59" t="s">
        <v>232</v>
      </c>
      <c r="C1043" s="40" t="s">
        <v>139</v>
      </c>
      <c r="D1043" s="34" t="s">
        <v>99</v>
      </c>
      <c r="E1043" s="257">
        <v>1.26E-2</v>
      </c>
      <c r="F1043" s="34">
        <v>2</v>
      </c>
      <c r="G1043" s="40" t="s">
        <v>433</v>
      </c>
      <c r="H1043" s="29">
        <v>1</v>
      </c>
      <c r="I1043" s="9">
        <v>2</v>
      </c>
      <c r="J1043" s="9">
        <v>2</v>
      </c>
      <c r="K1043" s="9">
        <v>1</v>
      </c>
      <c r="L1043" s="9">
        <v>1</v>
      </c>
      <c r="M1043" s="9">
        <v>1</v>
      </c>
      <c r="N1043" s="185">
        <f t="shared" si="77"/>
        <v>0.16933510251023262</v>
      </c>
      <c r="O1043" s="159">
        <f t="shared" si="78"/>
        <v>0.19908580854301616</v>
      </c>
      <c r="P1043" s="63" t="s">
        <v>1974</v>
      </c>
    </row>
    <row r="1044" spans="1:16" s="808" customFormat="1">
      <c r="A1044" s="609" t="s">
        <v>490</v>
      </c>
      <c r="B1044" s="59" t="s">
        <v>251</v>
      </c>
      <c r="C1044" s="40" t="s">
        <v>139</v>
      </c>
      <c r="D1044" s="34" t="s">
        <v>99</v>
      </c>
      <c r="E1044" s="257">
        <v>1.67E-2</v>
      </c>
      <c r="F1044" s="34">
        <v>2</v>
      </c>
      <c r="G1044" s="40" t="s">
        <v>433</v>
      </c>
      <c r="H1044" s="29">
        <v>1</v>
      </c>
      <c r="I1044" s="9">
        <v>2</v>
      </c>
      <c r="J1044" s="9">
        <v>2</v>
      </c>
      <c r="K1044" s="9">
        <v>1</v>
      </c>
      <c r="L1044" s="9">
        <v>1</v>
      </c>
      <c r="M1044" s="9">
        <v>1</v>
      </c>
      <c r="N1044" s="185">
        <f t="shared" si="77"/>
        <v>0.16933510251023262</v>
      </c>
      <c r="O1044" s="159">
        <f t="shared" si="78"/>
        <v>0.19908580854301616</v>
      </c>
      <c r="P1044" s="63" t="s">
        <v>1980</v>
      </c>
    </row>
    <row r="1045" spans="1:16" s="808" customFormat="1">
      <c r="A1045" s="609" t="s">
        <v>490</v>
      </c>
      <c r="B1045" s="59" t="s">
        <v>258</v>
      </c>
      <c r="C1045" s="40" t="s">
        <v>139</v>
      </c>
      <c r="D1045" s="34" t="s">
        <v>99</v>
      </c>
      <c r="E1045" s="257">
        <v>1.1000000000000001E-3</v>
      </c>
      <c r="F1045" s="34">
        <v>2</v>
      </c>
      <c r="G1045" s="40" t="s">
        <v>433</v>
      </c>
      <c r="H1045" s="29">
        <v>1</v>
      </c>
      <c r="I1045" s="9">
        <v>2</v>
      </c>
      <c r="J1045" s="9">
        <v>2</v>
      </c>
      <c r="K1045" s="9">
        <v>1</v>
      </c>
      <c r="L1045" s="9">
        <v>1</v>
      </c>
      <c r="M1045" s="9">
        <v>1</v>
      </c>
      <c r="N1045" s="185">
        <f t="shared" si="77"/>
        <v>0.16933510251023262</v>
      </c>
      <c r="O1045" s="159">
        <f t="shared" si="78"/>
        <v>0.19908580854301616</v>
      </c>
      <c r="P1045" s="63" t="s">
        <v>1975</v>
      </c>
    </row>
    <row r="1046" spans="1:16" s="808" customFormat="1">
      <c r="A1046" s="609" t="s">
        <v>490</v>
      </c>
      <c r="B1046" s="59" t="s">
        <v>334</v>
      </c>
      <c r="C1046" s="40" t="s">
        <v>139</v>
      </c>
      <c r="D1046" s="34" t="s">
        <v>99</v>
      </c>
      <c r="E1046" s="257" t="s">
        <v>150</v>
      </c>
      <c r="F1046" s="34">
        <v>1</v>
      </c>
      <c r="G1046" s="40" t="s">
        <v>433</v>
      </c>
      <c r="H1046" s="29"/>
      <c r="I1046" s="9"/>
      <c r="J1046" s="9"/>
      <c r="K1046" s="9"/>
      <c r="L1046" s="9"/>
      <c r="M1046" s="9"/>
      <c r="N1046" s="185" t="str">
        <f t="shared" si="77"/>
        <v/>
      </c>
      <c r="O1046" s="159" t="str">
        <f t="shared" si="78"/>
        <v/>
      </c>
      <c r="P1046" s="63"/>
    </row>
    <row r="1047" spans="1:16" s="808" customFormat="1">
      <c r="A1047" s="609" t="s">
        <v>489</v>
      </c>
      <c r="B1047" s="59" t="s">
        <v>228</v>
      </c>
      <c r="C1047" s="40" t="s">
        <v>139</v>
      </c>
      <c r="D1047" s="34" t="s">
        <v>99</v>
      </c>
      <c r="E1047" s="257">
        <v>3.2000000000000001E-2</v>
      </c>
      <c r="F1047" s="34">
        <v>2</v>
      </c>
      <c r="G1047" s="40" t="s">
        <v>433</v>
      </c>
      <c r="H1047" s="29">
        <v>1</v>
      </c>
      <c r="I1047" s="9">
        <v>2</v>
      </c>
      <c r="J1047" s="9">
        <v>2</v>
      </c>
      <c r="K1047" s="9">
        <v>1</v>
      </c>
      <c r="L1047" s="9">
        <v>1</v>
      </c>
      <c r="M1047" s="9">
        <v>1</v>
      </c>
      <c r="N1047" s="185">
        <f t="shared" si="77"/>
        <v>0.16933510251023262</v>
      </c>
      <c r="O1047" s="159">
        <f t="shared" si="78"/>
        <v>0.19908580854301616</v>
      </c>
      <c r="P1047" s="63" t="s">
        <v>861</v>
      </c>
    </row>
    <row r="1048" spans="1:16" s="808" customFormat="1">
      <c r="A1048" s="609" t="s">
        <v>489</v>
      </c>
      <c r="B1048" s="59" t="s">
        <v>334</v>
      </c>
      <c r="C1048" s="40" t="s">
        <v>139</v>
      </c>
      <c r="D1048" s="34" t="s">
        <v>99</v>
      </c>
      <c r="E1048" s="257" t="s">
        <v>150</v>
      </c>
      <c r="F1048" s="34">
        <v>1</v>
      </c>
      <c r="G1048" s="40" t="s">
        <v>433</v>
      </c>
      <c r="H1048" s="29"/>
      <c r="I1048" s="9"/>
      <c r="J1048" s="9"/>
      <c r="K1048" s="9"/>
      <c r="L1048" s="9"/>
      <c r="M1048" s="9"/>
      <c r="N1048" s="185" t="str">
        <f t="shared" si="77"/>
        <v/>
      </c>
      <c r="O1048" s="159" t="str">
        <f t="shared" si="78"/>
        <v/>
      </c>
      <c r="P1048" s="63" t="s">
        <v>1984</v>
      </c>
    </row>
    <row r="1049" spans="1:16" s="808" customFormat="1">
      <c r="A1049" s="609" t="s">
        <v>440</v>
      </c>
      <c r="B1049" s="59" t="s">
        <v>495</v>
      </c>
      <c r="C1049" s="40" t="s">
        <v>139</v>
      </c>
      <c r="D1049" s="34" t="s">
        <v>99</v>
      </c>
      <c r="E1049" s="257">
        <f>0.85*0.4</f>
        <v>0.34</v>
      </c>
      <c r="F1049" s="34">
        <v>2</v>
      </c>
      <c r="G1049" s="40" t="s">
        <v>433</v>
      </c>
      <c r="H1049" s="29">
        <v>1</v>
      </c>
      <c r="I1049" s="9">
        <v>2</v>
      </c>
      <c r="J1049" s="9">
        <v>2</v>
      </c>
      <c r="K1049" s="9">
        <v>1</v>
      </c>
      <c r="L1049" s="9">
        <v>1</v>
      </c>
      <c r="M1049" s="9">
        <v>1</v>
      </c>
      <c r="N1049" s="185">
        <f t="shared" si="77"/>
        <v>0.16933510251023262</v>
      </c>
      <c r="O1049" s="159">
        <f t="shared" si="78"/>
        <v>0.19908580854301616</v>
      </c>
      <c r="P1049" s="63" t="s">
        <v>870</v>
      </c>
    </row>
    <row r="1050" spans="1:16" s="808" customFormat="1">
      <c r="A1050" s="609" t="s">
        <v>440</v>
      </c>
      <c r="B1050" s="59" t="s">
        <v>496</v>
      </c>
      <c r="C1050" s="40" t="s">
        <v>139</v>
      </c>
      <c r="D1050" s="34" t="s">
        <v>99</v>
      </c>
      <c r="E1050" s="257">
        <f>0.85*0.6</f>
        <v>0.51</v>
      </c>
      <c r="F1050" s="34">
        <v>2</v>
      </c>
      <c r="G1050" s="40" t="s">
        <v>433</v>
      </c>
      <c r="H1050" s="29">
        <v>1</v>
      </c>
      <c r="I1050" s="9">
        <v>2</v>
      </c>
      <c r="J1050" s="9">
        <v>2</v>
      </c>
      <c r="K1050" s="9">
        <v>1</v>
      </c>
      <c r="L1050" s="9">
        <v>1</v>
      </c>
      <c r="M1050" s="9">
        <v>1</v>
      </c>
      <c r="N1050" s="185">
        <f t="shared" si="77"/>
        <v>0.16933510251023262</v>
      </c>
      <c r="O1050" s="159">
        <f t="shared" si="78"/>
        <v>0.19908580854301616</v>
      </c>
      <c r="P1050" s="63" t="s">
        <v>871</v>
      </c>
    </row>
    <row r="1051" spans="1:16" s="808" customFormat="1">
      <c r="A1051" s="609" t="s">
        <v>440</v>
      </c>
      <c r="B1051" s="59" t="s">
        <v>223</v>
      </c>
      <c r="C1051" s="40" t="s">
        <v>139</v>
      </c>
      <c r="D1051" s="34" t="s">
        <v>99</v>
      </c>
      <c r="E1051" s="257">
        <v>0.15</v>
      </c>
      <c r="F1051" s="34">
        <v>1</v>
      </c>
      <c r="G1051" s="40" t="s">
        <v>433</v>
      </c>
      <c r="H1051" s="29">
        <v>1</v>
      </c>
      <c r="I1051" s="9">
        <v>2</v>
      </c>
      <c r="J1051" s="9">
        <v>2</v>
      </c>
      <c r="K1051" s="9">
        <v>1</v>
      </c>
      <c r="L1051" s="9">
        <v>1</v>
      </c>
      <c r="M1051" s="9">
        <v>1</v>
      </c>
      <c r="N1051" s="185">
        <f t="shared" si="77"/>
        <v>0.16933510251023262</v>
      </c>
      <c r="O1051" s="159">
        <f t="shared" si="78"/>
        <v>0.19908580854301616</v>
      </c>
      <c r="P1051" s="63" t="s">
        <v>872</v>
      </c>
    </row>
    <row r="1052" spans="1:16" s="808" customFormat="1">
      <c r="A1052" s="609" t="s">
        <v>495</v>
      </c>
      <c r="B1052" s="59" t="s">
        <v>497</v>
      </c>
      <c r="C1052" s="40" t="s">
        <v>139</v>
      </c>
      <c r="D1052" s="34" t="s">
        <v>99</v>
      </c>
      <c r="E1052" s="257">
        <v>0.03</v>
      </c>
      <c r="F1052" s="34">
        <v>2</v>
      </c>
      <c r="G1052" s="40" t="s">
        <v>433</v>
      </c>
      <c r="H1052" s="29">
        <v>1</v>
      </c>
      <c r="I1052" s="9">
        <v>2</v>
      </c>
      <c r="J1052" s="9">
        <v>2</v>
      </c>
      <c r="K1052" s="9">
        <v>1</v>
      </c>
      <c r="L1052" s="9">
        <v>1</v>
      </c>
      <c r="M1052" s="9">
        <v>1</v>
      </c>
      <c r="N1052" s="185">
        <f t="shared" si="77"/>
        <v>0.16933510251023262</v>
      </c>
      <c r="O1052" s="159">
        <f t="shared" si="78"/>
        <v>0.19908580854301616</v>
      </c>
      <c r="P1052" s="63" t="s">
        <v>855</v>
      </c>
    </row>
    <row r="1053" spans="1:16" s="808" customFormat="1">
      <c r="A1053" s="609" t="s">
        <v>495</v>
      </c>
      <c r="B1053" s="59" t="s">
        <v>498</v>
      </c>
      <c r="C1053" s="40" t="s">
        <v>139</v>
      </c>
      <c r="D1053" s="34" t="s">
        <v>99</v>
      </c>
      <c r="E1053" s="257" t="s">
        <v>150</v>
      </c>
      <c r="F1053" s="34">
        <v>1</v>
      </c>
      <c r="G1053" s="40" t="s">
        <v>433</v>
      </c>
      <c r="H1053" s="29"/>
      <c r="I1053" s="9"/>
      <c r="J1053" s="9"/>
      <c r="K1053" s="9"/>
      <c r="L1053" s="9"/>
      <c r="M1053" s="9"/>
      <c r="N1053" s="185" t="str">
        <f t="shared" si="77"/>
        <v/>
      </c>
      <c r="O1053" s="159" t="str">
        <f t="shared" si="78"/>
        <v/>
      </c>
      <c r="P1053" s="63" t="s">
        <v>1950</v>
      </c>
    </row>
    <row r="1054" spans="1:16" s="808" customFormat="1">
      <c r="A1054" s="609" t="s">
        <v>497</v>
      </c>
      <c r="B1054" s="59" t="s">
        <v>231</v>
      </c>
      <c r="C1054" s="40" t="s">
        <v>139</v>
      </c>
      <c r="D1054" s="34" t="s">
        <v>99</v>
      </c>
      <c r="E1054" s="257">
        <v>0.05</v>
      </c>
      <c r="F1054" s="34">
        <v>2</v>
      </c>
      <c r="G1054" s="40" t="s">
        <v>157</v>
      </c>
      <c r="H1054" s="29">
        <v>1</v>
      </c>
      <c r="I1054" s="9">
        <v>2</v>
      </c>
      <c r="J1054" s="9">
        <v>2</v>
      </c>
      <c r="K1054" s="9">
        <v>1</v>
      </c>
      <c r="L1054" s="9">
        <v>3</v>
      </c>
      <c r="M1054" s="9">
        <v>3</v>
      </c>
      <c r="N1054" s="185">
        <f t="shared" si="77"/>
        <v>1.0725046436742278</v>
      </c>
      <c r="O1054" s="159">
        <f t="shared" si="78"/>
        <v>1.0776024280428556</v>
      </c>
      <c r="P1054" s="63" t="s">
        <v>1937</v>
      </c>
    </row>
    <row r="1055" spans="1:16" s="808" customFormat="1">
      <c r="A1055" s="609" t="s">
        <v>497</v>
      </c>
      <c r="B1055" s="59" t="s">
        <v>232</v>
      </c>
      <c r="C1055" s="40" t="s">
        <v>139</v>
      </c>
      <c r="D1055" s="34" t="s">
        <v>99</v>
      </c>
      <c r="E1055" s="257">
        <v>0.39400000000000002</v>
      </c>
      <c r="F1055" s="34">
        <v>2</v>
      </c>
      <c r="G1055" s="40" t="s">
        <v>433</v>
      </c>
      <c r="H1055" s="29">
        <v>1</v>
      </c>
      <c r="I1055" s="9">
        <v>2</v>
      </c>
      <c r="J1055" s="9">
        <v>2</v>
      </c>
      <c r="K1055" s="9">
        <v>1</v>
      </c>
      <c r="L1055" s="9">
        <v>1</v>
      </c>
      <c r="M1055" s="9">
        <v>1</v>
      </c>
      <c r="N1055" s="185">
        <f t="shared" si="77"/>
        <v>0.16933510251023262</v>
      </c>
      <c r="O1055" s="159">
        <f t="shared" si="78"/>
        <v>0.19908580854301616</v>
      </c>
      <c r="P1055" s="63" t="s">
        <v>1961</v>
      </c>
    </row>
    <row r="1056" spans="1:16" s="808" customFormat="1">
      <c r="A1056" s="609" t="s">
        <v>497</v>
      </c>
      <c r="B1056" s="59" t="s">
        <v>251</v>
      </c>
      <c r="C1056" s="40" t="s">
        <v>139</v>
      </c>
      <c r="D1056" s="34" t="s">
        <v>99</v>
      </c>
      <c r="E1056" s="257">
        <v>0.52200000000000002</v>
      </c>
      <c r="F1056" s="34">
        <v>1</v>
      </c>
      <c r="G1056" s="40" t="s">
        <v>433</v>
      </c>
      <c r="H1056" s="29">
        <v>1</v>
      </c>
      <c r="I1056" s="9">
        <v>2</v>
      </c>
      <c r="J1056" s="9">
        <v>2</v>
      </c>
      <c r="K1056" s="9">
        <v>1</v>
      </c>
      <c r="L1056" s="9">
        <v>1</v>
      </c>
      <c r="M1056" s="9">
        <v>1</v>
      </c>
      <c r="N1056" s="185">
        <f t="shared" si="77"/>
        <v>0.16933510251023262</v>
      </c>
      <c r="O1056" s="159">
        <f t="shared" si="78"/>
        <v>0.19908580854301616</v>
      </c>
      <c r="P1056" s="63" t="s">
        <v>1962</v>
      </c>
    </row>
    <row r="1057" spans="1:20" s="808" customFormat="1">
      <c r="A1057" s="609" t="s">
        <v>497</v>
      </c>
      <c r="B1057" s="59" t="s">
        <v>258</v>
      </c>
      <c r="C1057" s="40" t="s">
        <v>139</v>
      </c>
      <c r="D1057" s="34" t="s">
        <v>99</v>
      </c>
      <c r="E1057" s="257">
        <v>3.4000000000000002E-2</v>
      </c>
      <c r="F1057" s="34">
        <v>2</v>
      </c>
      <c r="G1057" s="40" t="s">
        <v>433</v>
      </c>
      <c r="H1057" s="29">
        <v>1</v>
      </c>
      <c r="I1057" s="9">
        <v>2</v>
      </c>
      <c r="J1057" s="9">
        <v>2</v>
      </c>
      <c r="K1057" s="9">
        <v>1</v>
      </c>
      <c r="L1057" s="9">
        <v>1</v>
      </c>
      <c r="M1057" s="9">
        <v>1</v>
      </c>
      <c r="N1057" s="185"/>
      <c r="O1057" s="159"/>
      <c r="P1057" s="63" t="s">
        <v>1963</v>
      </c>
    </row>
    <row r="1058" spans="1:20" s="808" customFormat="1">
      <c r="A1058" s="609" t="s">
        <v>496</v>
      </c>
      <c r="B1058" s="59" t="s">
        <v>499</v>
      </c>
      <c r="C1058" s="40" t="s">
        <v>139</v>
      </c>
      <c r="D1058" s="34" t="s">
        <v>99</v>
      </c>
      <c r="E1058" s="257">
        <f>0.1*E1052</f>
        <v>3.0000000000000001E-3</v>
      </c>
      <c r="F1058" s="34">
        <v>2</v>
      </c>
      <c r="G1058" s="40" t="s">
        <v>433</v>
      </c>
      <c r="H1058" s="29">
        <v>1</v>
      </c>
      <c r="I1058" s="9">
        <v>2</v>
      </c>
      <c r="J1058" s="9">
        <v>2</v>
      </c>
      <c r="K1058" s="9">
        <v>1</v>
      </c>
      <c r="L1058" s="9">
        <v>1</v>
      </c>
      <c r="M1058" s="9">
        <v>1</v>
      </c>
      <c r="N1058" s="185">
        <f t="shared" ref="N1058:N1075" si="79">IF( OR( ISBLANK(H1058),ISBLANK(J1058), ISBLANK(K1058), ISBLANK(L1058), ISBLANK(M1058) ), "", 1.5*SQRT(   EXP(2.21*(H1058-1)) + EXP(2.21*(J1058-1)) + EXP(2.21*(K1058-1)) + EXP(2.21*(L1058-1)) + EXP(2.21*M1058)   )/100*2.45 )</f>
        <v>0.16933510251023262</v>
      </c>
      <c r="O1058" s="159">
        <f t="shared" ref="O1058:O1075" si="80">IF( OR( ISBLANK(I1058),ISBLANK(J1058), ISBLANK(K1058), ISBLANK(L1058), ISBLANK(M1058) ), "", 1.5*SQRT( EXP(2.21*(I1058-1)) + EXP(2.21*(J1058-1)) + EXP(2.21*(K1058-1)) + EXP(2.21*(L1058-1)) + EXP(2.21*M1058)   )/100*2.45 )</f>
        <v>0.19908580854301616</v>
      </c>
      <c r="P1058" s="63" t="s">
        <v>856</v>
      </c>
    </row>
    <row r="1059" spans="1:20" s="808" customFormat="1">
      <c r="A1059" s="609" t="s">
        <v>496</v>
      </c>
      <c r="B1059" s="59" t="s">
        <v>500</v>
      </c>
      <c r="C1059" s="40" t="s">
        <v>139</v>
      </c>
      <c r="D1059" s="34" t="s">
        <v>99</v>
      </c>
      <c r="E1059" s="257" t="s">
        <v>150</v>
      </c>
      <c r="F1059" s="34">
        <v>1</v>
      </c>
      <c r="G1059" s="40" t="s">
        <v>433</v>
      </c>
      <c r="H1059" s="29"/>
      <c r="I1059" s="9"/>
      <c r="J1059" s="9"/>
      <c r="K1059" s="9"/>
      <c r="L1059" s="9"/>
      <c r="M1059" s="9"/>
      <c r="N1059" s="185" t="str">
        <f t="shared" si="79"/>
        <v/>
      </c>
      <c r="O1059" s="159" t="str">
        <f t="shared" si="80"/>
        <v/>
      </c>
      <c r="P1059" s="63" t="s">
        <v>1950</v>
      </c>
    </row>
    <row r="1060" spans="1:20" s="808" customFormat="1">
      <c r="A1060" s="609" t="s">
        <v>499</v>
      </c>
      <c r="B1060" s="59" t="s">
        <v>228</v>
      </c>
      <c r="C1060" s="40" t="s">
        <v>139</v>
      </c>
      <c r="D1060" s="34" t="s">
        <v>99</v>
      </c>
      <c r="E1060" s="257">
        <v>1</v>
      </c>
      <c r="F1060" s="34">
        <v>2</v>
      </c>
      <c r="G1060" s="40" t="s">
        <v>433</v>
      </c>
      <c r="H1060" s="29">
        <v>1</v>
      </c>
      <c r="I1060" s="9">
        <v>2</v>
      </c>
      <c r="J1060" s="9">
        <v>2</v>
      </c>
      <c r="K1060" s="9">
        <v>1</v>
      </c>
      <c r="L1060" s="9">
        <v>1</v>
      </c>
      <c r="M1060" s="9">
        <v>1</v>
      </c>
      <c r="N1060" s="185">
        <f t="shared" si="79"/>
        <v>0.16933510251023262</v>
      </c>
      <c r="O1060" s="159">
        <f t="shared" si="80"/>
        <v>0.19908580854301616</v>
      </c>
      <c r="P1060" s="63" t="s">
        <v>857</v>
      </c>
    </row>
    <row r="1061" spans="1:20" s="808" customFormat="1">
      <c r="A1061" s="609" t="s">
        <v>498</v>
      </c>
      <c r="B1061" s="59" t="s">
        <v>231</v>
      </c>
      <c r="C1061" s="40" t="s">
        <v>139</v>
      </c>
      <c r="D1061" s="34" t="s">
        <v>99</v>
      </c>
      <c r="E1061" s="257">
        <v>3.2000000000000002E-3</v>
      </c>
      <c r="F1061" s="34">
        <v>2</v>
      </c>
      <c r="G1061" s="40" t="s">
        <v>1997</v>
      </c>
      <c r="H1061" s="29">
        <v>1</v>
      </c>
      <c r="I1061" s="9">
        <v>2</v>
      </c>
      <c r="J1061" s="9">
        <v>2</v>
      </c>
      <c r="K1061" s="9">
        <v>1</v>
      </c>
      <c r="L1061" s="9">
        <v>3</v>
      </c>
      <c r="M1061" s="9">
        <v>3</v>
      </c>
      <c r="N1061" s="185">
        <f t="shared" si="79"/>
        <v>1.0725046436742278</v>
      </c>
      <c r="O1061" s="159">
        <f t="shared" si="80"/>
        <v>1.0776024280428556</v>
      </c>
      <c r="P1061" s="63" t="s">
        <v>1985</v>
      </c>
      <c r="T1061" s="7"/>
    </row>
    <row r="1062" spans="1:20" s="808" customFormat="1">
      <c r="A1062" s="609" t="s">
        <v>498</v>
      </c>
      <c r="B1062" s="59" t="s">
        <v>232</v>
      </c>
      <c r="C1062" s="40" t="s">
        <v>139</v>
      </c>
      <c r="D1062" s="34" t="s">
        <v>99</v>
      </c>
      <c r="E1062" s="257">
        <v>2.5215999999999999E-2</v>
      </c>
      <c r="F1062" s="34">
        <v>2</v>
      </c>
      <c r="G1062" s="40" t="s">
        <v>433</v>
      </c>
      <c r="H1062" s="29">
        <v>1</v>
      </c>
      <c r="I1062" s="9">
        <v>2</v>
      </c>
      <c r="J1062" s="9">
        <v>2</v>
      </c>
      <c r="K1062" s="9">
        <v>1</v>
      </c>
      <c r="L1062" s="9">
        <v>1</v>
      </c>
      <c r="M1062" s="9">
        <v>1</v>
      </c>
      <c r="N1062" s="185">
        <f t="shared" si="79"/>
        <v>0.16933510251023262</v>
      </c>
      <c r="O1062" s="159">
        <f t="shared" si="80"/>
        <v>0.19908580854301616</v>
      </c>
      <c r="P1062" s="63" t="s">
        <v>1988</v>
      </c>
      <c r="R1062" s="837"/>
      <c r="T1062" s="7"/>
    </row>
    <row r="1063" spans="1:20" s="808" customFormat="1">
      <c r="A1063" s="609" t="s">
        <v>498</v>
      </c>
      <c r="B1063" s="59" t="s">
        <v>251</v>
      </c>
      <c r="C1063" s="40" t="s">
        <v>139</v>
      </c>
      <c r="D1063" s="34" t="s">
        <v>99</v>
      </c>
      <c r="E1063" s="257">
        <v>3.3408E-2</v>
      </c>
      <c r="F1063" s="34">
        <v>2</v>
      </c>
      <c r="G1063" s="40" t="s">
        <v>433</v>
      </c>
      <c r="H1063" s="29">
        <v>1</v>
      </c>
      <c r="I1063" s="9">
        <v>2</v>
      </c>
      <c r="J1063" s="9">
        <v>2</v>
      </c>
      <c r="K1063" s="9">
        <v>1</v>
      </c>
      <c r="L1063" s="9">
        <v>1</v>
      </c>
      <c r="M1063" s="9">
        <v>1</v>
      </c>
      <c r="N1063" s="185">
        <f t="shared" si="79"/>
        <v>0.16933510251023262</v>
      </c>
      <c r="O1063" s="159">
        <f t="shared" si="80"/>
        <v>0.19908580854301616</v>
      </c>
      <c r="P1063" s="63" t="s">
        <v>1986</v>
      </c>
      <c r="T1063" s="7"/>
    </row>
    <row r="1064" spans="1:20" s="808" customFormat="1">
      <c r="A1064" s="609" t="s">
        <v>498</v>
      </c>
      <c r="B1064" s="59" t="s">
        <v>258</v>
      </c>
      <c r="C1064" s="40" t="s">
        <v>139</v>
      </c>
      <c r="D1064" s="34" t="s">
        <v>99</v>
      </c>
      <c r="E1064" s="257">
        <v>2.176E-3</v>
      </c>
      <c r="F1064" s="34">
        <v>2</v>
      </c>
      <c r="G1064" s="40" t="s">
        <v>433</v>
      </c>
      <c r="H1064" s="29">
        <v>1</v>
      </c>
      <c r="I1064" s="9">
        <v>2</v>
      </c>
      <c r="J1064" s="9">
        <v>2</v>
      </c>
      <c r="K1064" s="9">
        <v>1</v>
      </c>
      <c r="L1064" s="9">
        <v>1</v>
      </c>
      <c r="M1064" s="9">
        <v>1</v>
      </c>
      <c r="N1064" s="185">
        <f t="shared" si="79"/>
        <v>0.16933510251023262</v>
      </c>
      <c r="O1064" s="159">
        <f t="shared" si="80"/>
        <v>0.19908580854301616</v>
      </c>
      <c r="P1064" s="63" t="s">
        <v>1987</v>
      </c>
      <c r="T1064" s="7"/>
    </row>
    <row r="1065" spans="1:20" s="808" customFormat="1">
      <c r="A1065" s="609" t="s">
        <v>498</v>
      </c>
      <c r="B1065" s="59" t="s">
        <v>334</v>
      </c>
      <c r="C1065" s="40" t="s">
        <v>139</v>
      </c>
      <c r="D1065" s="34" t="s">
        <v>99</v>
      </c>
      <c r="E1065" s="257" t="s">
        <v>150</v>
      </c>
      <c r="F1065" s="34">
        <v>1</v>
      </c>
      <c r="G1065" s="40" t="s">
        <v>433</v>
      </c>
      <c r="H1065" s="29"/>
      <c r="I1065" s="9"/>
      <c r="J1065" s="9"/>
      <c r="K1065" s="9"/>
      <c r="L1065" s="9"/>
      <c r="M1065" s="9"/>
      <c r="N1065" s="185" t="str">
        <f t="shared" si="79"/>
        <v/>
      </c>
      <c r="O1065" s="159" t="str">
        <f t="shared" si="80"/>
        <v/>
      </c>
      <c r="P1065" s="63"/>
      <c r="T1065" s="7"/>
    </row>
    <row r="1066" spans="1:20" s="808" customFormat="1">
      <c r="A1066" s="609" t="s">
        <v>500</v>
      </c>
      <c r="B1066" s="59" t="s">
        <v>228</v>
      </c>
      <c r="C1066" s="40" t="s">
        <v>139</v>
      </c>
      <c r="D1066" s="34" t="s">
        <v>99</v>
      </c>
      <c r="E1066" s="257">
        <v>6.4000000000000001E-2</v>
      </c>
      <c r="F1066" s="34">
        <v>2</v>
      </c>
      <c r="G1066" s="40" t="s">
        <v>433</v>
      </c>
      <c r="H1066" s="29">
        <v>1</v>
      </c>
      <c r="I1066" s="9">
        <v>2</v>
      </c>
      <c r="J1066" s="9">
        <v>2</v>
      </c>
      <c r="K1066" s="9">
        <v>1</v>
      </c>
      <c r="L1066" s="9">
        <v>1</v>
      </c>
      <c r="M1066" s="9">
        <v>1</v>
      </c>
      <c r="N1066" s="185">
        <f t="shared" si="79"/>
        <v>0.16933510251023262</v>
      </c>
      <c r="O1066" s="159">
        <f t="shared" si="80"/>
        <v>0.19908580854301616</v>
      </c>
      <c r="P1066" s="63" t="s">
        <v>873</v>
      </c>
    </row>
    <row r="1067" spans="1:20" s="808" customFormat="1">
      <c r="A1067" s="609" t="s">
        <v>500</v>
      </c>
      <c r="B1067" s="59" t="s">
        <v>334</v>
      </c>
      <c r="C1067" s="40" t="s">
        <v>139</v>
      </c>
      <c r="D1067" s="34" t="s">
        <v>99</v>
      </c>
      <c r="E1067" s="257" t="s">
        <v>150</v>
      </c>
      <c r="F1067" s="34">
        <v>1</v>
      </c>
      <c r="G1067" s="40" t="s">
        <v>433</v>
      </c>
      <c r="H1067" s="29"/>
      <c r="I1067" s="9"/>
      <c r="J1067" s="9"/>
      <c r="K1067" s="9"/>
      <c r="L1067" s="9"/>
      <c r="M1067" s="9"/>
      <c r="N1067" s="185" t="str">
        <f t="shared" si="79"/>
        <v/>
      </c>
      <c r="O1067" s="159" t="str">
        <f t="shared" si="80"/>
        <v/>
      </c>
      <c r="P1067" s="63" t="s">
        <v>1951</v>
      </c>
    </row>
    <row r="1068" spans="1:20" s="808" customFormat="1">
      <c r="A1068" s="609" t="s">
        <v>441</v>
      </c>
      <c r="B1068" s="59" t="s">
        <v>501</v>
      </c>
      <c r="C1068" s="40" t="s">
        <v>139</v>
      </c>
      <c r="D1068" s="34" t="s">
        <v>99</v>
      </c>
      <c r="E1068" s="257">
        <f>0.85*0.6</f>
        <v>0.51</v>
      </c>
      <c r="F1068" s="34">
        <v>2</v>
      </c>
      <c r="G1068" s="40" t="s">
        <v>433</v>
      </c>
      <c r="H1068" s="29">
        <v>1</v>
      </c>
      <c r="I1068" s="9">
        <v>2</v>
      </c>
      <c r="J1068" s="9">
        <v>2</v>
      </c>
      <c r="K1068" s="9">
        <v>1</v>
      </c>
      <c r="L1068" s="9">
        <v>1</v>
      </c>
      <c r="M1068" s="9">
        <v>1</v>
      </c>
      <c r="N1068" s="185">
        <f t="shared" si="79"/>
        <v>0.16933510251023262</v>
      </c>
      <c r="O1068" s="159">
        <f t="shared" si="80"/>
        <v>0.19908580854301616</v>
      </c>
      <c r="P1068" s="63" t="s">
        <v>874</v>
      </c>
    </row>
    <row r="1069" spans="1:20" s="808" customFormat="1">
      <c r="A1069" s="609" t="s">
        <v>441</v>
      </c>
      <c r="B1069" s="59" t="s">
        <v>502</v>
      </c>
      <c r="C1069" s="40" t="s">
        <v>139</v>
      </c>
      <c r="D1069" s="34" t="s">
        <v>99</v>
      </c>
      <c r="E1069" s="257">
        <f>0.85*0.4</f>
        <v>0.34</v>
      </c>
      <c r="F1069" s="34">
        <v>2</v>
      </c>
      <c r="G1069" s="40" t="s">
        <v>433</v>
      </c>
      <c r="H1069" s="29">
        <v>1</v>
      </c>
      <c r="I1069" s="9">
        <v>2</v>
      </c>
      <c r="J1069" s="9">
        <v>2</v>
      </c>
      <c r="K1069" s="9">
        <v>1</v>
      </c>
      <c r="L1069" s="9">
        <v>1</v>
      </c>
      <c r="M1069" s="9">
        <v>1</v>
      </c>
      <c r="N1069" s="185">
        <f t="shared" si="79"/>
        <v>0.16933510251023262</v>
      </c>
      <c r="O1069" s="159">
        <f t="shared" si="80"/>
        <v>0.19908580854301616</v>
      </c>
      <c r="P1069" s="63" t="s">
        <v>875</v>
      </c>
    </row>
    <row r="1070" spans="1:20" s="808" customFormat="1">
      <c r="A1070" s="609" t="s">
        <v>441</v>
      </c>
      <c r="B1070" s="59" t="s">
        <v>223</v>
      </c>
      <c r="C1070" s="40" t="s">
        <v>139</v>
      </c>
      <c r="D1070" s="34" t="s">
        <v>99</v>
      </c>
      <c r="E1070" s="257">
        <v>0.15</v>
      </c>
      <c r="F1070" s="34">
        <v>1</v>
      </c>
      <c r="G1070" s="40" t="s">
        <v>433</v>
      </c>
      <c r="H1070" s="29">
        <v>1</v>
      </c>
      <c r="I1070" s="9">
        <v>2</v>
      </c>
      <c r="J1070" s="9">
        <v>2</v>
      </c>
      <c r="K1070" s="9">
        <v>1</v>
      </c>
      <c r="L1070" s="9">
        <v>1</v>
      </c>
      <c r="M1070" s="9">
        <v>1</v>
      </c>
      <c r="N1070" s="185">
        <f t="shared" si="79"/>
        <v>0.16933510251023262</v>
      </c>
      <c r="O1070" s="159">
        <f t="shared" si="80"/>
        <v>0.19908580854301616</v>
      </c>
      <c r="P1070" s="63" t="s">
        <v>872</v>
      </c>
    </row>
    <row r="1071" spans="1:20" s="808" customFormat="1">
      <c r="A1071" s="609" t="s">
        <v>501</v>
      </c>
      <c r="B1071" s="59" t="s">
        <v>503</v>
      </c>
      <c r="C1071" s="40" t="s">
        <v>139</v>
      </c>
      <c r="D1071" s="34" t="s">
        <v>99</v>
      </c>
      <c r="E1071" s="257">
        <v>0.15</v>
      </c>
      <c r="F1071" s="34">
        <v>2</v>
      </c>
      <c r="G1071" s="40" t="s">
        <v>433</v>
      </c>
      <c r="H1071" s="29">
        <v>1</v>
      </c>
      <c r="I1071" s="9">
        <v>2</v>
      </c>
      <c r="J1071" s="9">
        <v>2</v>
      </c>
      <c r="K1071" s="9">
        <v>1</v>
      </c>
      <c r="L1071" s="9">
        <v>1</v>
      </c>
      <c r="M1071" s="9">
        <v>1</v>
      </c>
      <c r="N1071" s="185">
        <f t="shared" si="79"/>
        <v>0.16933510251023262</v>
      </c>
      <c r="O1071" s="159">
        <f t="shared" si="80"/>
        <v>0.19908580854301616</v>
      </c>
      <c r="P1071" s="63" t="s">
        <v>876</v>
      </c>
    </row>
    <row r="1072" spans="1:20" s="808" customFormat="1">
      <c r="A1072" s="609" t="s">
        <v>501</v>
      </c>
      <c r="B1072" s="59" t="s">
        <v>504</v>
      </c>
      <c r="C1072" s="40" t="s">
        <v>139</v>
      </c>
      <c r="D1072" s="34" t="s">
        <v>99</v>
      </c>
      <c r="E1072" s="257" t="s">
        <v>150</v>
      </c>
      <c r="F1072" s="34">
        <v>1</v>
      </c>
      <c r="G1072" s="40" t="s">
        <v>433</v>
      </c>
      <c r="H1072" s="29"/>
      <c r="I1072" s="9"/>
      <c r="J1072" s="9"/>
      <c r="K1072" s="9"/>
      <c r="L1072" s="9"/>
      <c r="M1072" s="9"/>
      <c r="N1072" s="185" t="str">
        <f t="shared" si="79"/>
        <v/>
      </c>
      <c r="O1072" s="159" t="str">
        <f t="shared" si="80"/>
        <v/>
      </c>
      <c r="P1072" s="63" t="s">
        <v>1952</v>
      </c>
    </row>
    <row r="1073" spans="1:16" s="808" customFormat="1">
      <c r="A1073" s="609" t="s">
        <v>503</v>
      </c>
      <c r="B1073" s="59" t="s">
        <v>231</v>
      </c>
      <c r="C1073" s="40" t="s">
        <v>139</v>
      </c>
      <c r="D1073" s="34" t="s">
        <v>99</v>
      </c>
      <c r="E1073" s="257">
        <v>0.05</v>
      </c>
      <c r="F1073" s="34">
        <v>2</v>
      </c>
      <c r="G1073" s="40" t="s">
        <v>157</v>
      </c>
      <c r="H1073" s="29">
        <v>1</v>
      </c>
      <c r="I1073" s="9">
        <v>2</v>
      </c>
      <c r="J1073" s="9">
        <v>2</v>
      </c>
      <c r="K1073" s="9">
        <v>1</v>
      </c>
      <c r="L1073" s="9">
        <v>3</v>
      </c>
      <c r="M1073" s="9">
        <v>3</v>
      </c>
      <c r="N1073" s="185">
        <f t="shared" si="79"/>
        <v>1.0725046436742278</v>
      </c>
      <c r="O1073" s="159">
        <f t="shared" si="80"/>
        <v>1.0776024280428556</v>
      </c>
      <c r="P1073" s="63" t="s">
        <v>1937</v>
      </c>
    </row>
    <row r="1074" spans="1:16" s="808" customFormat="1">
      <c r="A1074" s="609" t="s">
        <v>503</v>
      </c>
      <c r="B1074" s="59" t="s">
        <v>232</v>
      </c>
      <c r="C1074" s="40" t="s">
        <v>139</v>
      </c>
      <c r="D1074" s="34" t="s">
        <v>99</v>
      </c>
      <c r="E1074" s="257">
        <v>0.39400000000000002</v>
      </c>
      <c r="F1074" s="34">
        <v>2</v>
      </c>
      <c r="G1074" s="40" t="s">
        <v>433</v>
      </c>
      <c r="H1074" s="29">
        <v>1</v>
      </c>
      <c r="I1074" s="9">
        <v>2</v>
      </c>
      <c r="J1074" s="9">
        <v>2</v>
      </c>
      <c r="K1074" s="9">
        <v>1</v>
      </c>
      <c r="L1074" s="9">
        <v>1</v>
      </c>
      <c r="M1074" s="9">
        <v>1</v>
      </c>
      <c r="N1074" s="185">
        <f t="shared" si="79"/>
        <v>0.16933510251023262</v>
      </c>
      <c r="O1074" s="159">
        <f t="shared" si="80"/>
        <v>0.19908580854301616</v>
      </c>
      <c r="P1074" s="63" t="s">
        <v>1961</v>
      </c>
    </row>
    <row r="1075" spans="1:16" s="808" customFormat="1">
      <c r="A1075" s="609" t="s">
        <v>503</v>
      </c>
      <c r="B1075" s="59" t="s">
        <v>251</v>
      </c>
      <c r="C1075" s="40" t="s">
        <v>139</v>
      </c>
      <c r="D1075" s="34" t="s">
        <v>99</v>
      </c>
      <c r="E1075" s="257">
        <v>0.52200000000000002</v>
      </c>
      <c r="F1075" s="34">
        <v>1</v>
      </c>
      <c r="G1075" s="40" t="s">
        <v>433</v>
      </c>
      <c r="H1075" s="29">
        <v>1</v>
      </c>
      <c r="I1075" s="9">
        <v>2</v>
      </c>
      <c r="J1075" s="9">
        <v>2</v>
      </c>
      <c r="K1075" s="9">
        <v>1</v>
      </c>
      <c r="L1075" s="9">
        <v>1</v>
      </c>
      <c r="M1075" s="9">
        <v>1</v>
      </c>
      <c r="N1075" s="185">
        <f t="shared" si="79"/>
        <v>0.16933510251023262</v>
      </c>
      <c r="O1075" s="159">
        <f t="shared" si="80"/>
        <v>0.19908580854301616</v>
      </c>
      <c r="P1075" s="63" t="s">
        <v>1962</v>
      </c>
    </row>
    <row r="1076" spans="1:16" s="808" customFormat="1">
      <c r="A1076" s="609" t="s">
        <v>503</v>
      </c>
      <c r="B1076" s="59" t="s">
        <v>258</v>
      </c>
      <c r="C1076" s="40" t="s">
        <v>139</v>
      </c>
      <c r="D1076" s="34" t="s">
        <v>99</v>
      </c>
      <c r="E1076" s="257">
        <v>3.4000000000000002E-2</v>
      </c>
      <c r="F1076" s="34">
        <v>2</v>
      </c>
      <c r="G1076" s="40" t="s">
        <v>433</v>
      </c>
      <c r="H1076" s="29">
        <v>1</v>
      </c>
      <c r="I1076" s="9">
        <v>2</v>
      </c>
      <c r="J1076" s="9">
        <v>2</v>
      </c>
      <c r="K1076" s="9">
        <v>1</v>
      </c>
      <c r="L1076" s="9">
        <v>1</v>
      </c>
      <c r="M1076" s="9">
        <v>1</v>
      </c>
      <c r="N1076" s="185"/>
      <c r="O1076" s="159"/>
      <c r="P1076" s="63" t="s">
        <v>1963</v>
      </c>
    </row>
    <row r="1077" spans="1:16" s="808" customFormat="1">
      <c r="A1077" s="609" t="s">
        <v>502</v>
      </c>
      <c r="B1077" s="59" t="s">
        <v>505</v>
      </c>
      <c r="C1077" s="40" t="s">
        <v>139</v>
      </c>
      <c r="D1077" s="34" t="s">
        <v>99</v>
      </c>
      <c r="E1077" s="257">
        <f>0.1*E1071</f>
        <v>1.4999999999999999E-2</v>
      </c>
      <c r="F1077" s="34">
        <v>2</v>
      </c>
      <c r="G1077" s="40" t="s">
        <v>433</v>
      </c>
      <c r="H1077" s="29">
        <v>1</v>
      </c>
      <c r="I1077" s="9">
        <v>2</v>
      </c>
      <c r="J1077" s="9">
        <v>2</v>
      </c>
      <c r="K1077" s="9">
        <v>1</v>
      </c>
      <c r="L1077" s="9">
        <v>1</v>
      </c>
      <c r="M1077" s="9">
        <v>1</v>
      </c>
      <c r="N1077" s="185">
        <f t="shared" ref="N1077:N1094" si="81">IF( OR( ISBLANK(H1077),ISBLANK(J1077), ISBLANK(K1077), ISBLANK(L1077), ISBLANK(M1077) ), "", 1.5*SQRT(   EXP(2.21*(H1077-1)) + EXP(2.21*(J1077-1)) + EXP(2.21*(K1077-1)) + EXP(2.21*(L1077-1)) + EXP(2.21*M1077)   )/100*2.45 )</f>
        <v>0.16933510251023262</v>
      </c>
      <c r="O1077" s="159">
        <f t="shared" ref="O1077:O1094" si="82">IF( OR( ISBLANK(I1077),ISBLANK(J1077), ISBLANK(K1077), ISBLANK(L1077), ISBLANK(M1077) ), "", 1.5*SQRT( EXP(2.21*(I1077-1)) + EXP(2.21*(J1077-1)) + EXP(2.21*(K1077-1)) + EXP(2.21*(L1077-1)) + EXP(2.21*M1077)   )/100*2.45 )</f>
        <v>0.19908580854301616</v>
      </c>
      <c r="P1077" s="63" t="s">
        <v>856</v>
      </c>
    </row>
    <row r="1078" spans="1:16" s="808" customFormat="1">
      <c r="A1078" s="609" t="s">
        <v>502</v>
      </c>
      <c r="B1078" s="59" t="s">
        <v>506</v>
      </c>
      <c r="C1078" s="40" t="s">
        <v>139</v>
      </c>
      <c r="D1078" s="34" t="s">
        <v>99</v>
      </c>
      <c r="E1078" s="257" t="s">
        <v>150</v>
      </c>
      <c r="F1078" s="34">
        <v>1</v>
      </c>
      <c r="G1078" s="40" t="s">
        <v>433</v>
      </c>
      <c r="H1078" s="29"/>
      <c r="I1078" s="9"/>
      <c r="J1078" s="9"/>
      <c r="K1078" s="9"/>
      <c r="L1078" s="9"/>
      <c r="M1078" s="9"/>
      <c r="N1078" s="185" t="str">
        <f t="shared" si="81"/>
        <v/>
      </c>
      <c r="O1078" s="159" t="str">
        <f t="shared" si="82"/>
        <v/>
      </c>
      <c r="P1078" s="63" t="s">
        <v>1952</v>
      </c>
    </row>
    <row r="1079" spans="1:16" s="808" customFormat="1">
      <c r="A1079" s="609" t="s">
        <v>505</v>
      </c>
      <c r="B1079" s="59" t="s">
        <v>228</v>
      </c>
      <c r="C1079" s="40" t="s">
        <v>139</v>
      </c>
      <c r="D1079" s="34" t="s">
        <v>99</v>
      </c>
      <c r="E1079" s="257">
        <v>1</v>
      </c>
      <c r="F1079" s="34">
        <v>2</v>
      </c>
      <c r="G1079" s="40" t="s">
        <v>433</v>
      </c>
      <c r="H1079" s="29">
        <v>1</v>
      </c>
      <c r="I1079" s="9">
        <v>2</v>
      </c>
      <c r="J1079" s="9">
        <v>2</v>
      </c>
      <c r="K1079" s="9">
        <v>1</v>
      </c>
      <c r="L1079" s="9">
        <v>1</v>
      </c>
      <c r="M1079" s="9">
        <v>1</v>
      </c>
      <c r="N1079" s="185">
        <f t="shared" si="81"/>
        <v>0.16933510251023262</v>
      </c>
      <c r="O1079" s="159">
        <f t="shared" si="82"/>
        <v>0.19908580854301616</v>
      </c>
      <c r="P1079" s="63" t="s">
        <v>857</v>
      </c>
    </row>
    <row r="1080" spans="1:16" s="808" customFormat="1">
      <c r="A1080" s="609" t="s">
        <v>504</v>
      </c>
      <c r="B1080" s="59" t="s">
        <v>231</v>
      </c>
      <c r="C1080" s="40" t="s">
        <v>139</v>
      </c>
      <c r="D1080" s="34" t="s">
        <v>99</v>
      </c>
      <c r="E1080" s="257">
        <v>0</v>
      </c>
      <c r="F1080" s="34">
        <v>2</v>
      </c>
      <c r="G1080" s="40" t="s">
        <v>433</v>
      </c>
      <c r="H1080" s="29">
        <v>1</v>
      </c>
      <c r="I1080" s="9">
        <v>2</v>
      </c>
      <c r="J1080" s="9">
        <v>2</v>
      </c>
      <c r="K1080" s="9">
        <v>1</v>
      </c>
      <c r="L1080" s="9">
        <v>1</v>
      </c>
      <c r="M1080" s="9">
        <v>1</v>
      </c>
      <c r="N1080" s="185">
        <f t="shared" si="81"/>
        <v>0.16933510251023262</v>
      </c>
      <c r="O1080" s="159">
        <f t="shared" si="82"/>
        <v>0.19908580854301616</v>
      </c>
      <c r="P1080" s="63" t="s">
        <v>1966</v>
      </c>
    </row>
    <row r="1081" spans="1:16" s="808" customFormat="1">
      <c r="A1081" s="609" t="s">
        <v>504</v>
      </c>
      <c r="B1081" s="59" t="s">
        <v>232</v>
      </c>
      <c r="C1081" s="40" t="s">
        <v>139</v>
      </c>
      <c r="D1081" s="34" t="s">
        <v>99</v>
      </c>
      <c r="E1081" s="257">
        <v>0</v>
      </c>
      <c r="F1081" s="34">
        <v>2</v>
      </c>
      <c r="G1081" s="40" t="s">
        <v>433</v>
      </c>
      <c r="H1081" s="29">
        <v>1</v>
      </c>
      <c r="I1081" s="9">
        <v>2</v>
      </c>
      <c r="J1081" s="9">
        <v>2</v>
      </c>
      <c r="K1081" s="9">
        <v>1</v>
      </c>
      <c r="L1081" s="9">
        <v>1</v>
      </c>
      <c r="M1081" s="9">
        <v>1</v>
      </c>
      <c r="N1081" s="185">
        <f t="shared" si="81"/>
        <v>0.16933510251023262</v>
      </c>
      <c r="O1081" s="159">
        <f t="shared" si="82"/>
        <v>0.19908580854301616</v>
      </c>
      <c r="P1081" s="63" t="s">
        <v>1966</v>
      </c>
    </row>
    <row r="1082" spans="1:16" s="808" customFormat="1">
      <c r="A1082" s="609" t="s">
        <v>504</v>
      </c>
      <c r="B1082" s="59" t="s">
        <v>251</v>
      </c>
      <c r="C1082" s="40" t="s">
        <v>139</v>
      </c>
      <c r="D1082" s="34" t="s">
        <v>99</v>
      </c>
      <c r="E1082" s="257">
        <v>0</v>
      </c>
      <c r="F1082" s="34">
        <v>2</v>
      </c>
      <c r="G1082" s="40" t="s">
        <v>433</v>
      </c>
      <c r="H1082" s="29">
        <v>1</v>
      </c>
      <c r="I1082" s="9">
        <v>2</v>
      </c>
      <c r="J1082" s="9">
        <v>2</v>
      </c>
      <c r="K1082" s="9">
        <v>1</v>
      </c>
      <c r="L1082" s="9">
        <v>1</v>
      </c>
      <c r="M1082" s="9">
        <v>1</v>
      </c>
      <c r="N1082" s="185">
        <f t="shared" si="81"/>
        <v>0.16933510251023262</v>
      </c>
      <c r="O1082" s="159">
        <f t="shared" si="82"/>
        <v>0.19908580854301616</v>
      </c>
      <c r="P1082" s="63" t="s">
        <v>1966</v>
      </c>
    </row>
    <row r="1083" spans="1:16" s="808" customFormat="1">
      <c r="A1083" s="609" t="s">
        <v>504</v>
      </c>
      <c r="B1083" s="59" t="s">
        <v>258</v>
      </c>
      <c r="C1083" s="40" t="s">
        <v>139</v>
      </c>
      <c r="D1083" s="34" t="s">
        <v>99</v>
      </c>
      <c r="E1083" s="257">
        <v>0</v>
      </c>
      <c r="F1083" s="34">
        <v>2</v>
      </c>
      <c r="G1083" s="40" t="s">
        <v>433</v>
      </c>
      <c r="H1083" s="29">
        <v>1</v>
      </c>
      <c r="I1083" s="9">
        <v>2</v>
      </c>
      <c r="J1083" s="9">
        <v>2</v>
      </c>
      <c r="K1083" s="9">
        <v>1</v>
      </c>
      <c r="L1083" s="9">
        <v>1</v>
      </c>
      <c r="M1083" s="9">
        <v>1</v>
      </c>
      <c r="N1083" s="185">
        <f t="shared" si="81"/>
        <v>0.16933510251023262</v>
      </c>
      <c r="O1083" s="159">
        <f t="shared" si="82"/>
        <v>0.19908580854301616</v>
      </c>
      <c r="P1083" s="63" t="s">
        <v>1966</v>
      </c>
    </row>
    <row r="1084" spans="1:16" s="808" customFormat="1">
      <c r="A1084" s="609" t="s">
        <v>504</v>
      </c>
      <c r="B1084" s="59" t="s">
        <v>334</v>
      </c>
      <c r="C1084" s="40" t="s">
        <v>139</v>
      </c>
      <c r="D1084" s="34" t="s">
        <v>99</v>
      </c>
      <c r="E1084" s="257" t="s">
        <v>150</v>
      </c>
      <c r="F1084" s="34">
        <v>1</v>
      </c>
      <c r="G1084" s="40" t="s">
        <v>433</v>
      </c>
      <c r="H1084" s="29"/>
      <c r="I1084" s="9"/>
      <c r="J1084" s="9"/>
      <c r="K1084" s="9"/>
      <c r="L1084" s="9"/>
      <c r="M1084" s="9"/>
      <c r="N1084" s="185" t="str">
        <f t="shared" si="81"/>
        <v/>
      </c>
      <c r="O1084" s="159" t="str">
        <f t="shared" si="82"/>
        <v/>
      </c>
      <c r="P1084" s="63"/>
    </row>
    <row r="1085" spans="1:16" s="808" customFormat="1">
      <c r="A1085" s="609" t="s">
        <v>506</v>
      </c>
      <c r="B1085" s="59" t="s">
        <v>228</v>
      </c>
      <c r="C1085" s="40" t="s">
        <v>139</v>
      </c>
      <c r="D1085" s="34" t="s">
        <v>99</v>
      </c>
      <c r="E1085" s="257">
        <v>0</v>
      </c>
      <c r="F1085" s="34">
        <v>2</v>
      </c>
      <c r="G1085" s="40" t="s">
        <v>433</v>
      </c>
      <c r="H1085" s="29">
        <v>1</v>
      </c>
      <c r="I1085" s="9">
        <v>2</v>
      </c>
      <c r="J1085" s="9">
        <v>2</v>
      </c>
      <c r="K1085" s="9">
        <v>1</v>
      </c>
      <c r="L1085" s="9">
        <v>1</v>
      </c>
      <c r="M1085" s="9">
        <v>1</v>
      </c>
      <c r="N1085" s="185">
        <f t="shared" si="81"/>
        <v>0.16933510251023262</v>
      </c>
      <c r="O1085" s="159">
        <f t="shared" si="82"/>
        <v>0.19908580854301616</v>
      </c>
      <c r="P1085" s="63" t="s">
        <v>858</v>
      </c>
    </row>
    <row r="1086" spans="1:16" s="808" customFormat="1">
      <c r="A1086" s="609" t="s">
        <v>506</v>
      </c>
      <c r="B1086" s="59" t="s">
        <v>334</v>
      </c>
      <c r="C1086" s="40" t="s">
        <v>139</v>
      </c>
      <c r="D1086" s="34" t="s">
        <v>99</v>
      </c>
      <c r="E1086" s="257" t="s">
        <v>150</v>
      </c>
      <c r="F1086" s="34">
        <v>1</v>
      </c>
      <c r="G1086" s="40" t="s">
        <v>433</v>
      </c>
      <c r="H1086" s="29">
        <v>1</v>
      </c>
      <c r="I1086" s="9">
        <v>2</v>
      </c>
      <c r="J1086" s="9">
        <v>2</v>
      </c>
      <c r="K1086" s="9">
        <v>1</v>
      </c>
      <c r="L1086" s="9">
        <v>1</v>
      </c>
      <c r="M1086" s="9">
        <v>1</v>
      </c>
      <c r="N1086" s="185">
        <f t="shared" si="81"/>
        <v>0.16933510251023262</v>
      </c>
      <c r="O1086" s="159">
        <f t="shared" si="82"/>
        <v>0.19908580854301616</v>
      </c>
      <c r="P1086" s="63" t="s">
        <v>1953</v>
      </c>
    </row>
    <row r="1087" spans="1:16" s="808" customFormat="1">
      <c r="A1087" s="609" t="s">
        <v>442</v>
      </c>
      <c r="B1087" s="59" t="s">
        <v>507</v>
      </c>
      <c r="C1087" s="40" t="s">
        <v>139</v>
      </c>
      <c r="D1087" s="34" t="s">
        <v>99</v>
      </c>
      <c r="E1087" s="257">
        <v>0</v>
      </c>
      <c r="F1087" s="34">
        <v>2</v>
      </c>
      <c r="G1087" s="40" t="s">
        <v>433</v>
      </c>
      <c r="H1087" s="29">
        <v>1</v>
      </c>
      <c r="I1087" s="9">
        <v>2</v>
      </c>
      <c r="J1087" s="9">
        <v>2</v>
      </c>
      <c r="K1087" s="9">
        <v>1</v>
      </c>
      <c r="L1087" s="9">
        <v>1</v>
      </c>
      <c r="M1087" s="9">
        <v>1</v>
      </c>
      <c r="N1087" s="185">
        <f t="shared" si="81"/>
        <v>0.16933510251023262</v>
      </c>
      <c r="O1087" s="159">
        <f t="shared" si="82"/>
        <v>0.19908580854301616</v>
      </c>
      <c r="P1087" s="63" t="s">
        <v>877</v>
      </c>
    </row>
    <row r="1088" spans="1:16" s="808" customFormat="1">
      <c r="A1088" s="609" t="s">
        <v>442</v>
      </c>
      <c r="B1088" s="59" t="s">
        <v>508</v>
      </c>
      <c r="C1088" s="40" t="s">
        <v>139</v>
      </c>
      <c r="D1088" s="34" t="s">
        <v>99</v>
      </c>
      <c r="E1088" s="257">
        <v>0.85</v>
      </c>
      <c r="F1088" s="34">
        <v>2</v>
      </c>
      <c r="G1088" s="40" t="s">
        <v>433</v>
      </c>
      <c r="H1088" s="29">
        <v>1</v>
      </c>
      <c r="I1088" s="9">
        <v>2</v>
      </c>
      <c r="J1088" s="9">
        <v>2</v>
      </c>
      <c r="K1088" s="9">
        <v>1</v>
      </c>
      <c r="L1088" s="9">
        <v>1</v>
      </c>
      <c r="M1088" s="9">
        <v>1</v>
      </c>
      <c r="N1088" s="185">
        <f t="shared" si="81"/>
        <v>0.16933510251023262</v>
      </c>
      <c r="O1088" s="159">
        <f t="shared" si="82"/>
        <v>0.19908580854301616</v>
      </c>
      <c r="P1088" s="63" t="s">
        <v>878</v>
      </c>
    </row>
    <row r="1089" spans="1:16" s="808" customFormat="1">
      <c r="A1089" s="609" t="s">
        <v>442</v>
      </c>
      <c r="B1089" s="59" t="s">
        <v>223</v>
      </c>
      <c r="C1089" s="40" t="s">
        <v>139</v>
      </c>
      <c r="D1089" s="34" t="s">
        <v>99</v>
      </c>
      <c r="E1089" s="257">
        <v>0.15</v>
      </c>
      <c r="F1089" s="34">
        <v>1</v>
      </c>
      <c r="G1089" s="40" t="s">
        <v>433</v>
      </c>
      <c r="H1089" s="29">
        <v>1</v>
      </c>
      <c r="I1089" s="9">
        <v>2</v>
      </c>
      <c r="J1089" s="9">
        <v>2</v>
      </c>
      <c r="K1089" s="9">
        <v>1</v>
      </c>
      <c r="L1089" s="9">
        <v>1</v>
      </c>
      <c r="M1089" s="9">
        <v>1</v>
      </c>
      <c r="N1089" s="185">
        <f t="shared" si="81"/>
        <v>0.16933510251023262</v>
      </c>
      <c r="O1089" s="159">
        <f t="shared" si="82"/>
        <v>0.19908580854301616</v>
      </c>
      <c r="P1089" s="63" t="s">
        <v>872</v>
      </c>
    </row>
    <row r="1090" spans="1:16" s="808" customFormat="1">
      <c r="A1090" s="609" t="s">
        <v>507</v>
      </c>
      <c r="B1090" s="59" t="s">
        <v>510</v>
      </c>
      <c r="C1090" s="40" t="s">
        <v>139</v>
      </c>
      <c r="D1090" s="34" t="s">
        <v>99</v>
      </c>
      <c r="E1090" s="257">
        <v>0.03</v>
      </c>
      <c r="F1090" s="34">
        <v>2</v>
      </c>
      <c r="G1090" s="40" t="s">
        <v>433</v>
      </c>
      <c r="H1090" s="29">
        <v>1</v>
      </c>
      <c r="I1090" s="9">
        <v>2</v>
      </c>
      <c r="J1090" s="9">
        <v>2</v>
      </c>
      <c r="K1090" s="9">
        <v>1</v>
      </c>
      <c r="L1090" s="9">
        <v>1</v>
      </c>
      <c r="M1090" s="9">
        <v>1</v>
      </c>
      <c r="N1090" s="185">
        <f t="shared" si="81"/>
        <v>0.16933510251023262</v>
      </c>
      <c r="O1090" s="159">
        <f t="shared" si="82"/>
        <v>0.19908580854301616</v>
      </c>
      <c r="P1090" s="63" t="s">
        <v>855</v>
      </c>
    </row>
    <row r="1091" spans="1:16" s="808" customFormat="1">
      <c r="A1091" s="609" t="s">
        <v>507</v>
      </c>
      <c r="B1091" s="59" t="s">
        <v>511</v>
      </c>
      <c r="C1091" s="40" t="s">
        <v>139</v>
      </c>
      <c r="D1091" s="34" t="s">
        <v>99</v>
      </c>
      <c r="E1091" s="257" t="s">
        <v>150</v>
      </c>
      <c r="F1091" s="34">
        <v>1</v>
      </c>
      <c r="G1091" s="40" t="s">
        <v>433</v>
      </c>
      <c r="H1091" s="29"/>
      <c r="I1091" s="9"/>
      <c r="J1091" s="9"/>
      <c r="K1091" s="9"/>
      <c r="L1091" s="9"/>
      <c r="M1091" s="9"/>
      <c r="N1091" s="185" t="str">
        <f t="shared" si="81"/>
        <v/>
      </c>
      <c r="O1091" s="159" t="str">
        <f t="shared" si="82"/>
        <v/>
      </c>
      <c r="P1091" s="63" t="s">
        <v>1954</v>
      </c>
    </row>
    <row r="1092" spans="1:16" s="808" customFormat="1">
      <c r="A1092" s="609" t="s">
        <v>510</v>
      </c>
      <c r="B1092" s="59" t="s">
        <v>231</v>
      </c>
      <c r="C1092" s="40" t="s">
        <v>139</v>
      </c>
      <c r="D1092" s="34" t="s">
        <v>99</v>
      </c>
      <c r="E1092" s="257">
        <v>0.05</v>
      </c>
      <c r="F1092" s="34">
        <v>2</v>
      </c>
      <c r="G1092" s="40" t="s">
        <v>157</v>
      </c>
      <c r="H1092" s="29">
        <v>1</v>
      </c>
      <c r="I1092" s="9">
        <v>2</v>
      </c>
      <c r="J1092" s="9">
        <v>2</v>
      </c>
      <c r="K1092" s="9">
        <v>1</v>
      </c>
      <c r="L1092" s="9">
        <v>3</v>
      </c>
      <c r="M1092" s="9">
        <v>3</v>
      </c>
      <c r="N1092" s="185">
        <f t="shared" si="81"/>
        <v>1.0725046436742278</v>
      </c>
      <c r="O1092" s="159">
        <f t="shared" si="82"/>
        <v>1.0776024280428556</v>
      </c>
      <c r="P1092" s="63" t="s">
        <v>1937</v>
      </c>
    </row>
    <row r="1093" spans="1:16" s="808" customFormat="1">
      <c r="A1093" s="609" t="s">
        <v>510</v>
      </c>
      <c r="B1093" s="59" t="s">
        <v>232</v>
      </c>
      <c r="C1093" s="40" t="s">
        <v>139</v>
      </c>
      <c r="D1093" s="34" t="s">
        <v>99</v>
      </c>
      <c r="E1093" s="257">
        <v>0.39400000000000002</v>
      </c>
      <c r="F1093" s="34">
        <v>2</v>
      </c>
      <c r="G1093" s="40" t="s">
        <v>433</v>
      </c>
      <c r="H1093" s="29">
        <v>1</v>
      </c>
      <c r="I1093" s="9">
        <v>2</v>
      </c>
      <c r="J1093" s="9">
        <v>2</v>
      </c>
      <c r="K1093" s="9">
        <v>1</v>
      </c>
      <c r="L1093" s="9">
        <v>1</v>
      </c>
      <c r="M1093" s="9">
        <v>1</v>
      </c>
      <c r="N1093" s="185">
        <f t="shared" si="81"/>
        <v>0.16933510251023262</v>
      </c>
      <c r="O1093" s="159">
        <f t="shared" si="82"/>
        <v>0.19908580854301616</v>
      </c>
      <c r="P1093" s="63" t="s">
        <v>1961</v>
      </c>
    </row>
    <row r="1094" spans="1:16" s="808" customFormat="1">
      <c r="A1094" s="609" t="s">
        <v>510</v>
      </c>
      <c r="B1094" s="59" t="s">
        <v>251</v>
      </c>
      <c r="C1094" s="40" t="s">
        <v>139</v>
      </c>
      <c r="D1094" s="34" t="s">
        <v>99</v>
      </c>
      <c r="E1094" s="257">
        <v>0.52200000000000002</v>
      </c>
      <c r="F1094" s="34">
        <v>1</v>
      </c>
      <c r="G1094" s="40" t="s">
        <v>433</v>
      </c>
      <c r="H1094" s="29">
        <v>1</v>
      </c>
      <c r="I1094" s="9">
        <v>2</v>
      </c>
      <c r="J1094" s="9">
        <v>2</v>
      </c>
      <c r="K1094" s="9">
        <v>1</v>
      </c>
      <c r="L1094" s="9">
        <v>1</v>
      </c>
      <c r="M1094" s="9">
        <v>1</v>
      </c>
      <c r="N1094" s="185">
        <f t="shared" si="81"/>
        <v>0.16933510251023262</v>
      </c>
      <c r="O1094" s="159">
        <f t="shared" si="82"/>
        <v>0.19908580854301616</v>
      </c>
      <c r="P1094" s="63" t="s">
        <v>1962</v>
      </c>
    </row>
    <row r="1095" spans="1:16" s="808" customFormat="1">
      <c r="A1095" s="609" t="s">
        <v>510</v>
      </c>
      <c r="B1095" s="59" t="s">
        <v>258</v>
      </c>
      <c r="C1095" s="40" t="s">
        <v>139</v>
      </c>
      <c r="D1095" s="34" t="s">
        <v>99</v>
      </c>
      <c r="E1095" s="257">
        <v>3.4000000000000002E-2</v>
      </c>
      <c r="F1095" s="34">
        <v>2</v>
      </c>
      <c r="G1095" s="40" t="s">
        <v>433</v>
      </c>
      <c r="H1095" s="29">
        <v>1</v>
      </c>
      <c r="I1095" s="9">
        <v>2</v>
      </c>
      <c r="J1095" s="9">
        <v>2</v>
      </c>
      <c r="K1095" s="9">
        <v>1</v>
      </c>
      <c r="L1095" s="9">
        <v>1</v>
      </c>
      <c r="M1095" s="9">
        <v>1</v>
      </c>
      <c r="N1095" s="185"/>
      <c r="O1095" s="159"/>
      <c r="P1095" s="63" t="s">
        <v>1963</v>
      </c>
    </row>
    <row r="1096" spans="1:16" s="808" customFormat="1">
      <c r="A1096" s="609" t="s">
        <v>508</v>
      </c>
      <c r="B1096" s="59" t="s">
        <v>512</v>
      </c>
      <c r="C1096" s="40" t="s">
        <v>139</v>
      </c>
      <c r="D1096" s="34" t="s">
        <v>99</v>
      </c>
      <c r="E1096" s="257" t="s">
        <v>150</v>
      </c>
      <c r="F1096" s="34">
        <v>1</v>
      </c>
      <c r="G1096" s="40" t="s">
        <v>433</v>
      </c>
      <c r="H1096" s="29">
        <v>1</v>
      </c>
      <c r="I1096" s="9">
        <v>2</v>
      </c>
      <c r="J1096" s="9">
        <v>2</v>
      </c>
      <c r="K1096" s="9">
        <v>1</v>
      </c>
      <c r="L1096" s="9">
        <v>1</v>
      </c>
      <c r="M1096" s="9">
        <v>1</v>
      </c>
      <c r="N1096" s="185">
        <f t="shared" ref="N1096:N1116" si="83">IF( OR( ISBLANK(H1096),ISBLANK(J1096), ISBLANK(K1096), ISBLANK(L1096), ISBLANK(M1096) ), "", 1.5*SQRT(   EXP(2.21*(H1096-1)) + EXP(2.21*(J1096-1)) + EXP(2.21*(K1096-1)) + EXP(2.21*(L1096-1)) + EXP(2.21*M1096)   )/100*2.45 )</f>
        <v>0.16933510251023262</v>
      </c>
      <c r="O1096" s="159">
        <f t="shared" ref="O1096:O1116" si="84">IF( OR( ISBLANK(I1096),ISBLANK(J1096), ISBLANK(K1096), ISBLANK(L1096), ISBLANK(M1096) ), "", 1.5*SQRT( EXP(2.21*(I1096-1)) + EXP(2.21*(J1096-1)) + EXP(2.21*(K1096-1)) + EXP(2.21*(L1096-1)) + EXP(2.21*M1096)   )/100*2.45 )</f>
        <v>0.19908580854301616</v>
      </c>
      <c r="P1096" s="63" t="s">
        <v>1955</v>
      </c>
    </row>
    <row r="1097" spans="1:16" s="808" customFormat="1">
      <c r="A1097" s="609" t="s">
        <v>508</v>
      </c>
      <c r="B1097" s="59" t="s">
        <v>513</v>
      </c>
      <c r="C1097" s="40" t="s">
        <v>139</v>
      </c>
      <c r="D1097" s="34" t="s">
        <v>99</v>
      </c>
      <c r="E1097" s="257">
        <f>0.016*0.091</f>
        <v>1.456E-3</v>
      </c>
      <c r="F1097" s="34">
        <v>2</v>
      </c>
      <c r="G1097" s="40" t="s">
        <v>433</v>
      </c>
      <c r="H1097" s="29">
        <v>1</v>
      </c>
      <c r="I1097" s="9">
        <v>2</v>
      </c>
      <c r="J1097" s="9">
        <v>2</v>
      </c>
      <c r="K1097" s="9">
        <v>1</v>
      </c>
      <c r="L1097" s="9">
        <v>1</v>
      </c>
      <c r="M1097" s="9">
        <v>1</v>
      </c>
      <c r="N1097" s="185">
        <f t="shared" si="83"/>
        <v>0.16933510251023262</v>
      </c>
      <c r="O1097" s="159">
        <f t="shared" si="84"/>
        <v>0.19908580854301616</v>
      </c>
      <c r="P1097" s="63" t="s">
        <v>879</v>
      </c>
    </row>
    <row r="1098" spans="1:16" s="808" customFormat="1">
      <c r="A1098" s="609" t="s">
        <v>512</v>
      </c>
      <c r="B1098" s="59" t="s">
        <v>514</v>
      </c>
      <c r="C1098" s="40" t="s">
        <v>139</v>
      </c>
      <c r="D1098" s="34" t="s">
        <v>99</v>
      </c>
      <c r="E1098" s="257">
        <f>0.1*E1090</f>
        <v>3.0000000000000001E-3</v>
      </c>
      <c r="F1098" s="34">
        <v>2</v>
      </c>
      <c r="G1098" s="40" t="s">
        <v>433</v>
      </c>
      <c r="H1098" s="29">
        <v>1</v>
      </c>
      <c r="I1098" s="9">
        <v>2</v>
      </c>
      <c r="J1098" s="9">
        <v>2</v>
      </c>
      <c r="K1098" s="9">
        <v>1</v>
      </c>
      <c r="L1098" s="9">
        <v>1</v>
      </c>
      <c r="M1098" s="9">
        <v>1</v>
      </c>
      <c r="N1098" s="185">
        <f t="shared" si="83"/>
        <v>0.16933510251023262</v>
      </c>
      <c r="O1098" s="159">
        <f t="shared" si="84"/>
        <v>0.19908580854301616</v>
      </c>
      <c r="P1098" s="63" t="s">
        <v>856</v>
      </c>
    </row>
    <row r="1099" spans="1:16" s="808" customFormat="1">
      <c r="A1099" s="609" t="s">
        <v>512</v>
      </c>
      <c r="B1099" s="59" t="s">
        <v>509</v>
      </c>
      <c r="C1099" s="40" t="s">
        <v>139</v>
      </c>
      <c r="D1099" s="34" t="s">
        <v>99</v>
      </c>
      <c r="E1099" s="257" t="s">
        <v>150</v>
      </c>
      <c r="F1099" s="34">
        <v>1</v>
      </c>
      <c r="G1099" s="40" t="s">
        <v>433</v>
      </c>
      <c r="H1099" s="29"/>
      <c r="I1099" s="9"/>
      <c r="J1099" s="9"/>
      <c r="K1099" s="9"/>
      <c r="L1099" s="9"/>
      <c r="M1099" s="9"/>
      <c r="N1099" s="185" t="str">
        <f t="shared" si="83"/>
        <v/>
      </c>
      <c r="O1099" s="159" t="str">
        <f t="shared" si="84"/>
        <v/>
      </c>
      <c r="P1099" s="63" t="s">
        <v>1956</v>
      </c>
    </row>
    <row r="1100" spans="1:16" s="808" customFormat="1">
      <c r="A1100" s="609" t="s">
        <v>514</v>
      </c>
      <c r="B1100" s="59" t="s">
        <v>228</v>
      </c>
      <c r="C1100" s="40" t="s">
        <v>139</v>
      </c>
      <c r="D1100" s="34" t="s">
        <v>99</v>
      </c>
      <c r="E1100" s="257">
        <v>1</v>
      </c>
      <c r="F1100" s="34">
        <v>2</v>
      </c>
      <c r="G1100" s="40" t="s">
        <v>433</v>
      </c>
      <c r="H1100" s="29">
        <v>1</v>
      </c>
      <c r="I1100" s="9">
        <v>2</v>
      </c>
      <c r="J1100" s="9">
        <v>2</v>
      </c>
      <c r="K1100" s="9">
        <v>1</v>
      </c>
      <c r="L1100" s="9">
        <v>1</v>
      </c>
      <c r="M1100" s="9">
        <v>1</v>
      </c>
      <c r="N1100" s="185">
        <f t="shared" si="83"/>
        <v>0.16933510251023262</v>
      </c>
      <c r="O1100" s="159">
        <f t="shared" si="84"/>
        <v>0.19908580854301616</v>
      </c>
      <c r="P1100" s="63" t="s">
        <v>857</v>
      </c>
    </row>
    <row r="1101" spans="1:16" s="808" customFormat="1">
      <c r="A1101" s="609" t="s">
        <v>513</v>
      </c>
      <c r="B1101" s="59" t="s">
        <v>232</v>
      </c>
      <c r="C1101" s="40" t="s">
        <v>139</v>
      </c>
      <c r="D1101" s="34" t="s">
        <v>99</v>
      </c>
      <c r="E1101" s="257">
        <v>1</v>
      </c>
      <c r="F1101" s="34">
        <v>1</v>
      </c>
      <c r="G1101" s="40" t="s">
        <v>433</v>
      </c>
      <c r="H1101" s="29">
        <v>1</v>
      </c>
      <c r="I1101" s="9">
        <v>2</v>
      </c>
      <c r="J1101" s="9">
        <v>2</v>
      </c>
      <c r="K1101" s="9">
        <v>1</v>
      </c>
      <c r="L1101" s="9">
        <v>1</v>
      </c>
      <c r="M1101" s="9">
        <v>1</v>
      </c>
      <c r="N1101" s="185">
        <f t="shared" si="83"/>
        <v>0.16933510251023262</v>
      </c>
      <c r="O1101" s="159">
        <f t="shared" si="84"/>
        <v>0.19908580854301616</v>
      </c>
      <c r="P1101" s="63" t="s">
        <v>857</v>
      </c>
    </row>
    <row r="1102" spans="1:16" s="808" customFormat="1">
      <c r="A1102" s="609" t="s">
        <v>511</v>
      </c>
      <c r="B1102" s="59" t="s">
        <v>231</v>
      </c>
      <c r="C1102" s="40" t="s">
        <v>139</v>
      </c>
      <c r="D1102" s="34" t="s">
        <v>99</v>
      </c>
      <c r="E1102" s="257">
        <v>0</v>
      </c>
      <c r="F1102" s="34">
        <v>2</v>
      </c>
      <c r="G1102" s="40" t="s">
        <v>433</v>
      </c>
      <c r="H1102" s="29">
        <v>1</v>
      </c>
      <c r="I1102" s="9">
        <v>2</v>
      </c>
      <c r="J1102" s="9">
        <v>2</v>
      </c>
      <c r="K1102" s="9">
        <v>1</v>
      </c>
      <c r="L1102" s="9">
        <v>1</v>
      </c>
      <c r="M1102" s="9">
        <v>1</v>
      </c>
      <c r="N1102" s="185">
        <f t="shared" si="83"/>
        <v>0.16933510251023262</v>
      </c>
      <c r="O1102" s="159">
        <f t="shared" si="84"/>
        <v>0.19908580854301616</v>
      </c>
      <c r="P1102" s="63" t="s">
        <v>1965</v>
      </c>
    </row>
    <row r="1103" spans="1:16" s="808" customFormat="1">
      <c r="A1103" s="609" t="s">
        <v>511</v>
      </c>
      <c r="B1103" s="59" t="s">
        <v>232</v>
      </c>
      <c r="C1103" s="40" t="s">
        <v>139</v>
      </c>
      <c r="D1103" s="34" t="s">
        <v>99</v>
      </c>
      <c r="E1103" s="257">
        <v>0</v>
      </c>
      <c r="F1103" s="34">
        <v>2</v>
      </c>
      <c r="G1103" s="40" t="s">
        <v>433</v>
      </c>
      <c r="H1103" s="29">
        <v>1</v>
      </c>
      <c r="I1103" s="9">
        <v>2</v>
      </c>
      <c r="J1103" s="9">
        <v>2</v>
      </c>
      <c r="K1103" s="9">
        <v>1</v>
      </c>
      <c r="L1103" s="9">
        <v>1</v>
      </c>
      <c r="M1103" s="9">
        <v>1</v>
      </c>
      <c r="N1103" s="185">
        <f t="shared" si="83"/>
        <v>0.16933510251023262</v>
      </c>
      <c r="O1103" s="159">
        <f t="shared" si="84"/>
        <v>0.19908580854301616</v>
      </c>
      <c r="P1103" s="63" t="s">
        <v>1965</v>
      </c>
    </row>
    <row r="1104" spans="1:16" s="808" customFormat="1">
      <c r="A1104" s="609" t="s">
        <v>511</v>
      </c>
      <c r="B1104" s="59" t="s">
        <v>251</v>
      </c>
      <c r="C1104" s="40" t="s">
        <v>139</v>
      </c>
      <c r="D1104" s="34" t="s">
        <v>99</v>
      </c>
      <c r="E1104" s="257">
        <v>0</v>
      </c>
      <c r="F1104" s="34">
        <v>2</v>
      </c>
      <c r="G1104" s="40" t="s">
        <v>433</v>
      </c>
      <c r="H1104" s="29">
        <v>1</v>
      </c>
      <c r="I1104" s="9">
        <v>2</v>
      </c>
      <c r="J1104" s="9">
        <v>2</v>
      </c>
      <c r="K1104" s="9">
        <v>1</v>
      </c>
      <c r="L1104" s="9">
        <v>1</v>
      </c>
      <c r="M1104" s="9">
        <v>1</v>
      </c>
      <c r="N1104" s="185">
        <f t="shared" si="83"/>
        <v>0.16933510251023262</v>
      </c>
      <c r="O1104" s="159">
        <f t="shared" si="84"/>
        <v>0.19908580854301616</v>
      </c>
      <c r="P1104" s="63" t="s">
        <v>1965</v>
      </c>
    </row>
    <row r="1105" spans="1:16" s="808" customFormat="1">
      <c r="A1105" s="609" t="s">
        <v>511</v>
      </c>
      <c r="B1105" s="59" t="s">
        <v>258</v>
      </c>
      <c r="C1105" s="40" t="s">
        <v>139</v>
      </c>
      <c r="D1105" s="34" t="s">
        <v>99</v>
      </c>
      <c r="E1105" s="257">
        <v>0</v>
      </c>
      <c r="F1105" s="34">
        <v>2</v>
      </c>
      <c r="G1105" s="40" t="s">
        <v>433</v>
      </c>
      <c r="H1105" s="29">
        <v>1</v>
      </c>
      <c r="I1105" s="9">
        <v>2</v>
      </c>
      <c r="J1105" s="9">
        <v>2</v>
      </c>
      <c r="K1105" s="9">
        <v>1</v>
      </c>
      <c r="L1105" s="9">
        <v>1</v>
      </c>
      <c r="M1105" s="9">
        <v>1</v>
      </c>
      <c r="N1105" s="185">
        <f t="shared" si="83"/>
        <v>0.16933510251023262</v>
      </c>
      <c r="O1105" s="159">
        <f t="shared" si="84"/>
        <v>0.19908580854301616</v>
      </c>
      <c r="P1105" s="63" t="s">
        <v>1965</v>
      </c>
    </row>
    <row r="1106" spans="1:16" s="808" customFormat="1">
      <c r="A1106" s="609" t="s">
        <v>511</v>
      </c>
      <c r="B1106" s="59" t="s">
        <v>334</v>
      </c>
      <c r="C1106" s="40" t="s">
        <v>139</v>
      </c>
      <c r="D1106" s="34" t="s">
        <v>99</v>
      </c>
      <c r="E1106" s="257" t="s">
        <v>150</v>
      </c>
      <c r="F1106" s="34">
        <v>1</v>
      </c>
      <c r="G1106" s="40" t="s">
        <v>433</v>
      </c>
      <c r="H1106" s="29"/>
      <c r="I1106" s="9"/>
      <c r="J1106" s="9"/>
      <c r="K1106" s="9"/>
      <c r="L1106" s="9"/>
      <c r="M1106" s="9"/>
      <c r="N1106" s="185" t="str">
        <f t="shared" si="83"/>
        <v/>
      </c>
      <c r="O1106" s="159" t="str">
        <f t="shared" si="84"/>
        <v/>
      </c>
      <c r="P1106" s="63"/>
    </row>
    <row r="1107" spans="1:16" s="808" customFormat="1">
      <c r="A1107" s="609" t="s">
        <v>509</v>
      </c>
      <c r="B1107" s="59" t="s">
        <v>228</v>
      </c>
      <c r="C1107" s="40" t="s">
        <v>139</v>
      </c>
      <c r="D1107" s="34" t="s">
        <v>99</v>
      </c>
      <c r="E1107" s="257">
        <v>0</v>
      </c>
      <c r="F1107" s="34">
        <v>2</v>
      </c>
      <c r="G1107" s="40" t="s">
        <v>433</v>
      </c>
      <c r="H1107" s="29">
        <v>1</v>
      </c>
      <c r="I1107" s="9">
        <v>2</v>
      </c>
      <c r="J1107" s="9">
        <v>2</v>
      </c>
      <c r="K1107" s="9">
        <v>1</v>
      </c>
      <c r="L1107" s="9">
        <v>1</v>
      </c>
      <c r="M1107" s="9">
        <v>1</v>
      </c>
      <c r="N1107" s="185">
        <f t="shared" si="83"/>
        <v>0.16933510251023262</v>
      </c>
      <c r="O1107" s="159">
        <f t="shared" si="84"/>
        <v>0.19908580854301616</v>
      </c>
      <c r="P1107" s="63" t="s">
        <v>858</v>
      </c>
    </row>
    <row r="1108" spans="1:16" s="808" customFormat="1">
      <c r="A1108" s="609" t="s">
        <v>509</v>
      </c>
      <c r="B1108" s="59" t="s">
        <v>334</v>
      </c>
      <c r="C1108" s="40" t="s">
        <v>139</v>
      </c>
      <c r="D1108" s="34" t="s">
        <v>99</v>
      </c>
      <c r="E1108" s="257" t="s">
        <v>150</v>
      </c>
      <c r="F1108" s="34">
        <v>1</v>
      </c>
      <c r="G1108" s="40" t="s">
        <v>433</v>
      </c>
      <c r="H1108" s="29"/>
      <c r="I1108" s="9"/>
      <c r="J1108" s="9"/>
      <c r="K1108" s="9"/>
      <c r="L1108" s="9"/>
      <c r="M1108" s="9"/>
      <c r="N1108" s="185" t="str">
        <f t="shared" si="83"/>
        <v/>
      </c>
      <c r="O1108" s="159" t="str">
        <f t="shared" si="84"/>
        <v/>
      </c>
      <c r="P1108" s="63" t="s">
        <v>1957</v>
      </c>
    </row>
    <row r="1109" spans="1:16" s="808" customFormat="1">
      <c r="A1109" s="609" t="s">
        <v>443</v>
      </c>
      <c r="B1109" s="59" t="s">
        <v>515</v>
      </c>
      <c r="C1109" s="40" t="s">
        <v>139</v>
      </c>
      <c r="D1109" s="34" t="s">
        <v>99</v>
      </c>
      <c r="E1109" s="257">
        <v>0</v>
      </c>
      <c r="F1109" s="34">
        <v>2</v>
      </c>
      <c r="G1109" s="40" t="s">
        <v>433</v>
      </c>
      <c r="H1109" s="29">
        <v>1</v>
      </c>
      <c r="I1109" s="9">
        <v>2</v>
      </c>
      <c r="J1109" s="9">
        <v>2</v>
      </c>
      <c r="K1109" s="9">
        <v>1</v>
      </c>
      <c r="L1109" s="9">
        <v>1</v>
      </c>
      <c r="M1109" s="9">
        <v>1</v>
      </c>
      <c r="N1109" s="185">
        <f t="shared" si="83"/>
        <v>0.16933510251023262</v>
      </c>
      <c r="O1109" s="159">
        <f t="shared" si="84"/>
        <v>0.19908580854301616</v>
      </c>
      <c r="P1109" s="63" t="s">
        <v>877</v>
      </c>
    </row>
    <row r="1110" spans="1:16" s="808" customFormat="1">
      <c r="A1110" s="609" t="s">
        <v>443</v>
      </c>
      <c r="B1110" s="59" t="s">
        <v>516</v>
      </c>
      <c r="C1110" s="40" t="s">
        <v>139</v>
      </c>
      <c r="D1110" s="34" t="s">
        <v>99</v>
      </c>
      <c r="E1110" s="257">
        <v>0.85</v>
      </c>
      <c r="F1110" s="34">
        <v>2</v>
      </c>
      <c r="G1110" s="40" t="s">
        <v>433</v>
      </c>
      <c r="H1110" s="29">
        <v>1</v>
      </c>
      <c r="I1110" s="9">
        <v>2</v>
      </c>
      <c r="J1110" s="9">
        <v>2</v>
      </c>
      <c r="K1110" s="9">
        <v>1</v>
      </c>
      <c r="L1110" s="9">
        <v>1</v>
      </c>
      <c r="M1110" s="9">
        <v>1</v>
      </c>
      <c r="N1110" s="185">
        <f t="shared" si="83"/>
        <v>0.16933510251023262</v>
      </c>
      <c r="O1110" s="159">
        <f t="shared" si="84"/>
        <v>0.19908580854301616</v>
      </c>
      <c r="P1110" s="63" t="s">
        <v>878</v>
      </c>
    </row>
    <row r="1111" spans="1:16" s="808" customFormat="1">
      <c r="A1111" s="609" t="s">
        <v>443</v>
      </c>
      <c r="B1111" s="59" t="s">
        <v>223</v>
      </c>
      <c r="C1111" s="40" t="s">
        <v>139</v>
      </c>
      <c r="D1111" s="34" t="s">
        <v>99</v>
      </c>
      <c r="E1111" s="257">
        <v>0.15</v>
      </c>
      <c r="F1111" s="34">
        <v>1</v>
      </c>
      <c r="G1111" s="40" t="s">
        <v>433</v>
      </c>
      <c r="H1111" s="29">
        <v>1</v>
      </c>
      <c r="I1111" s="9">
        <v>2</v>
      </c>
      <c r="J1111" s="9">
        <v>2</v>
      </c>
      <c r="K1111" s="9">
        <v>1</v>
      </c>
      <c r="L1111" s="9">
        <v>1</v>
      </c>
      <c r="M1111" s="9">
        <v>1</v>
      </c>
      <c r="N1111" s="185">
        <f t="shared" si="83"/>
        <v>0.16933510251023262</v>
      </c>
      <c r="O1111" s="159">
        <f t="shared" si="84"/>
        <v>0.19908580854301616</v>
      </c>
      <c r="P1111" s="63" t="s">
        <v>872</v>
      </c>
    </row>
    <row r="1112" spans="1:16" s="808" customFormat="1">
      <c r="A1112" s="609" t="s">
        <v>515</v>
      </c>
      <c r="B1112" s="59" t="s">
        <v>517</v>
      </c>
      <c r="C1112" s="40" t="s">
        <v>139</v>
      </c>
      <c r="D1112" s="34" t="s">
        <v>99</v>
      </c>
      <c r="E1112" s="257">
        <v>0.03</v>
      </c>
      <c r="F1112" s="34">
        <v>2</v>
      </c>
      <c r="G1112" s="40" t="s">
        <v>433</v>
      </c>
      <c r="H1112" s="29">
        <v>1</v>
      </c>
      <c r="I1112" s="9">
        <v>2</v>
      </c>
      <c r="J1112" s="9">
        <v>2</v>
      </c>
      <c r="K1112" s="9">
        <v>1</v>
      </c>
      <c r="L1112" s="9">
        <v>1</v>
      </c>
      <c r="M1112" s="9">
        <v>1</v>
      </c>
      <c r="N1112" s="185">
        <f t="shared" si="83"/>
        <v>0.16933510251023262</v>
      </c>
      <c r="O1112" s="159">
        <f t="shared" si="84"/>
        <v>0.19908580854301616</v>
      </c>
      <c r="P1112" s="63" t="s">
        <v>855</v>
      </c>
    </row>
    <row r="1113" spans="1:16" s="808" customFormat="1">
      <c r="A1113" s="609" t="s">
        <v>515</v>
      </c>
      <c r="B1113" s="59" t="s">
        <v>518</v>
      </c>
      <c r="C1113" s="40" t="s">
        <v>139</v>
      </c>
      <c r="D1113" s="34" t="s">
        <v>99</v>
      </c>
      <c r="E1113" s="257" t="s">
        <v>150</v>
      </c>
      <c r="F1113" s="34">
        <v>1</v>
      </c>
      <c r="G1113" s="40" t="s">
        <v>433</v>
      </c>
      <c r="H1113" s="29"/>
      <c r="I1113" s="9"/>
      <c r="J1113" s="9"/>
      <c r="K1113" s="9"/>
      <c r="L1113" s="9"/>
      <c r="M1113" s="9"/>
      <c r="N1113" s="185" t="str">
        <f t="shared" si="83"/>
        <v/>
      </c>
      <c r="O1113" s="159" t="str">
        <f t="shared" si="84"/>
        <v/>
      </c>
      <c r="P1113" s="63" t="s">
        <v>1950</v>
      </c>
    </row>
    <row r="1114" spans="1:16" s="808" customFormat="1">
      <c r="A1114" s="609" t="s">
        <v>517</v>
      </c>
      <c r="B1114" s="59" t="s">
        <v>231</v>
      </c>
      <c r="C1114" s="40" t="s">
        <v>139</v>
      </c>
      <c r="D1114" s="34" t="s">
        <v>99</v>
      </c>
      <c r="E1114" s="257">
        <v>0.05</v>
      </c>
      <c r="F1114" s="34">
        <v>2</v>
      </c>
      <c r="G1114" s="40" t="s">
        <v>157</v>
      </c>
      <c r="H1114" s="29">
        <v>1</v>
      </c>
      <c r="I1114" s="9">
        <v>2</v>
      </c>
      <c r="J1114" s="9">
        <v>2</v>
      </c>
      <c r="K1114" s="9">
        <v>1</v>
      </c>
      <c r="L1114" s="9">
        <v>3</v>
      </c>
      <c r="M1114" s="9">
        <v>3</v>
      </c>
      <c r="N1114" s="185">
        <f t="shared" si="83"/>
        <v>1.0725046436742278</v>
      </c>
      <c r="O1114" s="159">
        <f t="shared" si="84"/>
        <v>1.0776024280428556</v>
      </c>
      <c r="P1114" s="63" t="s">
        <v>1937</v>
      </c>
    </row>
    <row r="1115" spans="1:16" s="808" customFormat="1">
      <c r="A1115" s="609" t="s">
        <v>517</v>
      </c>
      <c r="B1115" s="59" t="s">
        <v>232</v>
      </c>
      <c r="C1115" s="40" t="s">
        <v>139</v>
      </c>
      <c r="D1115" s="34" t="s">
        <v>99</v>
      </c>
      <c r="E1115" s="257">
        <v>0.39400000000000002</v>
      </c>
      <c r="F1115" s="34">
        <v>2</v>
      </c>
      <c r="G1115" s="40" t="s">
        <v>433</v>
      </c>
      <c r="H1115" s="29">
        <v>1</v>
      </c>
      <c r="I1115" s="9">
        <v>2</v>
      </c>
      <c r="J1115" s="9">
        <v>2</v>
      </c>
      <c r="K1115" s="9">
        <v>1</v>
      </c>
      <c r="L1115" s="9">
        <v>1</v>
      </c>
      <c r="M1115" s="9">
        <v>1</v>
      </c>
      <c r="N1115" s="185">
        <f t="shared" si="83"/>
        <v>0.16933510251023262</v>
      </c>
      <c r="O1115" s="159">
        <f t="shared" si="84"/>
        <v>0.19908580854301616</v>
      </c>
      <c r="P1115" s="63" t="s">
        <v>1961</v>
      </c>
    </row>
    <row r="1116" spans="1:16" s="808" customFormat="1">
      <c r="A1116" s="609" t="s">
        <v>517</v>
      </c>
      <c r="B1116" s="59" t="s">
        <v>251</v>
      </c>
      <c r="C1116" s="40" t="s">
        <v>139</v>
      </c>
      <c r="D1116" s="34" t="s">
        <v>99</v>
      </c>
      <c r="E1116" s="257">
        <v>0.52200000000000002</v>
      </c>
      <c r="F1116" s="34">
        <v>1</v>
      </c>
      <c r="G1116" s="40" t="s">
        <v>433</v>
      </c>
      <c r="H1116" s="29">
        <v>1</v>
      </c>
      <c r="I1116" s="9">
        <v>2</v>
      </c>
      <c r="J1116" s="9">
        <v>2</v>
      </c>
      <c r="K1116" s="9">
        <v>1</v>
      </c>
      <c r="L1116" s="9">
        <v>1</v>
      </c>
      <c r="M1116" s="9">
        <v>1</v>
      </c>
      <c r="N1116" s="185">
        <f t="shared" si="83"/>
        <v>0.16933510251023262</v>
      </c>
      <c r="O1116" s="159">
        <f t="shared" si="84"/>
        <v>0.19908580854301616</v>
      </c>
      <c r="P1116" s="63" t="s">
        <v>1962</v>
      </c>
    </row>
    <row r="1117" spans="1:16" s="808" customFormat="1">
      <c r="A1117" s="609" t="s">
        <v>517</v>
      </c>
      <c r="B1117" s="59" t="s">
        <v>258</v>
      </c>
      <c r="C1117" s="40" t="s">
        <v>139</v>
      </c>
      <c r="D1117" s="34" t="s">
        <v>99</v>
      </c>
      <c r="E1117" s="257">
        <v>3.4000000000000002E-2</v>
      </c>
      <c r="F1117" s="34">
        <v>2</v>
      </c>
      <c r="G1117" s="40" t="s">
        <v>433</v>
      </c>
      <c r="H1117" s="29">
        <v>1</v>
      </c>
      <c r="I1117" s="9">
        <v>2</v>
      </c>
      <c r="J1117" s="9">
        <v>2</v>
      </c>
      <c r="K1117" s="9">
        <v>1</v>
      </c>
      <c r="L1117" s="9">
        <v>1</v>
      </c>
      <c r="M1117" s="9">
        <v>1</v>
      </c>
      <c r="N1117" s="185"/>
      <c r="O1117" s="159"/>
      <c r="P1117" s="63" t="s">
        <v>1963</v>
      </c>
    </row>
    <row r="1118" spans="1:16" s="808" customFormat="1">
      <c r="A1118" s="609" t="s">
        <v>516</v>
      </c>
      <c r="B1118" s="59" t="s">
        <v>519</v>
      </c>
      <c r="C1118" s="40" t="s">
        <v>139</v>
      </c>
      <c r="D1118" s="34" t="s">
        <v>99</v>
      </c>
      <c r="E1118" s="257">
        <f>0.1*E1112</f>
        <v>3.0000000000000001E-3</v>
      </c>
      <c r="F1118" s="34">
        <v>2</v>
      </c>
      <c r="G1118" s="40" t="s">
        <v>433</v>
      </c>
      <c r="H1118" s="29">
        <v>1</v>
      </c>
      <c r="I1118" s="9">
        <v>2</v>
      </c>
      <c r="J1118" s="9">
        <v>2</v>
      </c>
      <c r="K1118" s="9">
        <v>1</v>
      </c>
      <c r="L1118" s="9">
        <v>1</v>
      </c>
      <c r="M1118" s="9">
        <v>1</v>
      </c>
      <c r="N1118" s="185">
        <f t="shared" ref="N1118:N1135" si="85">IF( OR( ISBLANK(H1118),ISBLANK(J1118), ISBLANK(K1118), ISBLANK(L1118), ISBLANK(M1118) ), "", 1.5*SQRT(   EXP(2.21*(H1118-1)) + EXP(2.21*(J1118-1)) + EXP(2.21*(K1118-1)) + EXP(2.21*(L1118-1)) + EXP(2.21*M1118)   )/100*2.45 )</f>
        <v>0.16933510251023262</v>
      </c>
      <c r="O1118" s="159">
        <f t="shared" ref="O1118:O1135" si="86">IF( OR( ISBLANK(I1118),ISBLANK(J1118), ISBLANK(K1118), ISBLANK(L1118), ISBLANK(M1118) ), "", 1.5*SQRT( EXP(2.21*(I1118-1)) + EXP(2.21*(J1118-1)) + EXP(2.21*(K1118-1)) + EXP(2.21*(L1118-1)) + EXP(2.21*M1118)   )/100*2.45 )</f>
        <v>0.19908580854301616</v>
      </c>
      <c r="P1118" s="63" t="s">
        <v>856</v>
      </c>
    </row>
    <row r="1119" spans="1:16" s="808" customFormat="1">
      <c r="A1119" s="609" t="s">
        <v>516</v>
      </c>
      <c r="B1119" s="59" t="s">
        <v>520</v>
      </c>
      <c r="C1119" s="40" t="s">
        <v>139</v>
      </c>
      <c r="D1119" s="34" t="s">
        <v>99</v>
      </c>
      <c r="E1119" s="257" t="s">
        <v>150</v>
      </c>
      <c r="F1119" s="34">
        <v>1</v>
      </c>
      <c r="G1119" s="40" t="s">
        <v>433</v>
      </c>
      <c r="H1119" s="29"/>
      <c r="I1119" s="9"/>
      <c r="J1119" s="9"/>
      <c r="K1119" s="9"/>
      <c r="L1119" s="9"/>
      <c r="M1119" s="9"/>
      <c r="N1119" s="185" t="str">
        <f t="shared" si="85"/>
        <v/>
      </c>
      <c r="O1119" s="159" t="str">
        <f t="shared" si="86"/>
        <v/>
      </c>
      <c r="P1119" s="63" t="s">
        <v>1950</v>
      </c>
    </row>
    <row r="1120" spans="1:16" s="808" customFormat="1">
      <c r="A1120" s="609" t="s">
        <v>519</v>
      </c>
      <c r="B1120" s="59" t="s">
        <v>228</v>
      </c>
      <c r="C1120" s="40" t="s">
        <v>139</v>
      </c>
      <c r="D1120" s="34" t="s">
        <v>99</v>
      </c>
      <c r="E1120" s="257">
        <v>1</v>
      </c>
      <c r="F1120" s="34">
        <v>2</v>
      </c>
      <c r="G1120" s="40" t="s">
        <v>433</v>
      </c>
      <c r="H1120" s="29">
        <v>1</v>
      </c>
      <c r="I1120" s="9">
        <v>2</v>
      </c>
      <c r="J1120" s="9">
        <v>2</v>
      </c>
      <c r="K1120" s="9">
        <v>1</v>
      </c>
      <c r="L1120" s="9">
        <v>1</v>
      </c>
      <c r="M1120" s="9">
        <v>1</v>
      </c>
      <c r="N1120" s="185">
        <f t="shared" si="85"/>
        <v>0.16933510251023262</v>
      </c>
      <c r="O1120" s="159">
        <f t="shared" si="86"/>
        <v>0.19908580854301616</v>
      </c>
      <c r="P1120" s="63" t="s">
        <v>857</v>
      </c>
    </row>
    <row r="1121" spans="1:16" s="808" customFormat="1">
      <c r="A1121" s="609" t="s">
        <v>518</v>
      </c>
      <c r="B1121" s="59" t="s">
        <v>231</v>
      </c>
      <c r="C1121" s="40" t="s">
        <v>139</v>
      </c>
      <c r="D1121" s="34" t="s">
        <v>99</v>
      </c>
      <c r="E1121" s="257">
        <v>0</v>
      </c>
      <c r="F1121" s="34">
        <v>2</v>
      </c>
      <c r="G1121" s="40" t="s">
        <v>433</v>
      </c>
      <c r="H1121" s="29">
        <v>1</v>
      </c>
      <c r="I1121" s="9">
        <v>2</v>
      </c>
      <c r="J1121" s="9">
        <v>2</v>
      </c>
      <c r="K1121" s="9">
        <v>1</v>
      </c>
      <c r="L1121" s="9">
        <v>1</v>
      </c>
      <c r="M1121" s="9">
        <v>1</v>
      </c>
      <c r="N1121" s="185">
        <f t="shared" si="85"/>
        <v>0.16933510251023262</v>
      </c>
      <c r="O1121" s="159">
        <f t="shared" si="86"/>
        <v>0.19908580854301616</v>
      </c>
      <c r="P1121" s="63" t="s">
        <v>1964</v>
      </c>
    </row>
    <row r="1122" spans="1:16" s="808" customFormat="1">
      <c r="A1122" s="609" t="s">
        <v>518</v>
      </c>
      <c r="B1122" s="59" t="s">
        <v>232</v>
      </c>
      <c r="C1122" s="40" t="s">
        <v>139</v>
      </c>
      <c r="D1122" s="34" t="s">
        <v>99</v>
      </c>
      <c r="E1122" s="257">
        <v>0</v>
      </c>
      <c r="F1122" s="34">
        <v>2</v>
      </c>
      <c r="G1122" s="40" t="s">
        <v>433</v>
      </c>
      <c r="H1122" s="29">
        <v>1</v>
      </c>
      <c r="I1122" s="9">
        <v>2</v>
      </c>
      <c r="J1122" s="9">
        <v>2</v>
      </c>
      <c r="K1122" s="9">
        <v>1</v>
      </c>
      <c r="L1122" s="9">
        <v>1</v>
      </c>
      <c r="M1122" s="9">
        <v>1</v>
      </c>
      <c r="N1122" s="185">
        <f t="shared" si="85"/>
        <v>0.16933510251023262</v>
      </c>
      <c r="O1122" s="159">
        <f t="shared" si="86"/>
        <v>0.19908580854301616</v>
      </c>
      <c r="P1122" s="63" t="s">
        <v>1964</v>
      </c>
    </row>
    <row r="1123" spans="1:16" s="808" customFormat="1">
      <c r="A1123" s="609" t="s">
        <v>518</v>
      </c>
      <c r="B1123" s="59" t="s">
        <v>251</v>
      </c>
      <c r="C1123" s="40" t="s">
        <v>139</v>
      </c>
      <c r="D1123" s="34" t="s">
        <v>99</v>
      </c>
      <c r="E1123" s="257">
        <v>0</v>
      </c>
      <c r="F1123" s="34">
        <v>2</v>
      </c>
      <c r="G1123" s="40" t="s">
        <v>433</v>
      </c>
      <c r="H1123" s="29">
        <v>1</v>
      </c>
      <c r="I1123" s="9">
        <v>2</v>
      </c>
      <c r="J1123" s="9">
        <v>2</v>
      </c>
      <c r="K1123" s="9">
        <v>1</v>
      </c>
      <c r="L1123" s="9">
        <v>1</v>
      </c>
      <c r="M1123" s="9">
        <v>1</v>
      </c>
      <c r="N1123" s="185">
        <f t="shared" si="85"/>
        <v>0.16933510251023262</v>
      </c>
      <c r="O1123" s="159">
        <f t="shared" si="86"/>
        <v>0.19908580854301616</v>
      </c>
      <c r="P1123" s="63" t="s">
        <v>1964</v>
      </c>
    </row>
    <row r="1124" spans="1:16" s="808" customFormat="1">
      <c r="A1124" s="609" t="s">
        <v>518</v>
      </c>
      <c r="B1124" s="59" t="s">
        <v>258</v>
      </c>
      <c r="C1124" s="40" t="s">
        <v>139</v>
      </c>
      <c r="D1124" s="34" t="s">
        <v>99</v>
      </c>
      <c r="E1124" s="257">
        <v>0</v>
      </c>
      <c r="F1124" s="34">
        <v>2</v>
      </c>
      <c r="G1124" s="40" t="s">
        <v>433</v>
      </c>
      <c r="H1124" s="29">
        <v>1</v>
      </c>
      <c r="I1124" s="9">
        <v>2</v>
      </c>
      <c r="J1124" s="9">
        <v>2</v>
      </c>
      <c r="K1124" s="9">
        <v>1</v>
      </c>
      <c r="L1124" s="9">
        <v>1</v>
      </c>
      <c r="M1124" s="9">
        <v>1</v>
      </c>
      <c r="N1124" s="185">
        <f t="shared" si="85"/>
        <v>0.16933510251023262</v>
      </c>
      <c r="O1124" s="159">
        <f t="shared" si="86"/>
        <v>0.19908580854301616</v>
      </c>
      <c r="P1124" s="63" t="s">
        <v>1964</v>
      </c>
    </row>
    <row r="1125" spans="1:16" s="808" customFormat="1">
      <c r="A1125" s="609" t="s">
        <v>518</v>
      </c>
      <c r="B1125" s="59" t="s">
        <v>334</v>
      </c>
      <c r="C1125" s="40" t="s">
        <v>139</v>
      </c>
      <c r="D1125" s="34" t="s">
        <v>99</v>
      </c>
      <c r="E1125" s="257" t="s">
        <v>150</v>
      </c>
      <c r="F1125" s="34">
        <v>1</v>
      </c>
      <c r="G1125" s="40" t="s">
        <v>433</v>
      </c>
      <c r="H1125" s="29"/>
      <c r="I1125" s="9"/>
      <c r="J1125" s="9"/>
      <c r="K1125" s="9"/>
      <c r="L1125" s="9"/>
      <c r="M1125" s="9"/>
      <c r="N1125" s="185" t="str">
        <f t="shared" si="85"/>
        <v/>
      </c>
      <c r="O1125" s="159" t="str">
        <f t="shared" si="86"/>
        <v/>
      </c>
      <c r="P1125" s="63"/>
    </row>
    <row r="1126" spans="1:16" s="808" customFormat="1">
      <c r="A1126" s="609" t="s">
        <v>520</v>
      </c>
      <c r="B1126" s="59" t="s">
        <v>228</v>
      </c>
      <c r="C1126" s="40" t="s">
        <v>139</v>
      </c>
      <c r="D1126" s="34" t="s">
        <v>99</v>
      </c>
      <c r="E1126" s="257">
        <v>0</v>
      </c>
      <c r="F1126" s="34">
        <v>2</v>
      </c>
      <c r="G1126" s="40" t="s">
        <v>433</v>
      </c>
      <c r="H1126" s="29">
        <v>1</v>
      </c>
      <c r="I1126" s="9">
        <v>2</v>
      </c>
      <c r="J1126" s="9">
        <v>2</v>
      </c>
      <c r="K1126" s="9">
        <v>1</v>
      </c>
      <c r="L1126" s="9">
        <v>1</v>
      </c>
      <c r="M1126" s="9">
        <v>1</v>
      </c>
      <c r="N1126" s="185">
        <f t="shared" si="85"/>
        <v>0.16933510251023262</v>
      </c>
      <c r="O1126" s="159">
        <f t="shared" si="86"/>
        <v>0.19908580854301616</v>
      </c>
      <c r="P1126" s="63" t="s">
        <v>858</v>
      </c>
    </row>
    <row r="1127" spans="1:16" s="808" customFormat="1">
      <c r="A1127" s="609" t="s">
        <v>520</v>
      </c>
      <c r="B1127" s="59" t="s">
        <v>334</v>
      </c>
      <c r="C1127" s="40" t="s">
        <v>139</v>
      </c>
      <c r="D1127" s="34" t="s">
        <v>99</v>
      </c>
      <c r="E1127" s="257" t="s">
        <v>150</v>
      </c>
      <c r="F1127" s="34">
        <v>1</v>
      </c>
      <c r="G1127" s="40" t="s">
        <v>433</v>
      </c>
      <c r="H1127" s="29"/>
      <c r="I1127" s="9"/>
      <c r="J1127" s="9"/>
      <c r="K1127" s="9"/>
      <c r="L1127" s="9"/>
      <c r="M1127" s="9"/>
      <c r="N1127" s="185" t="str">
        <f t="shared" si="85"/>
        <v/>
      </c>
      <c r="O1127" s="159" t="str">
        <f t="shared" si="86"/>
        <v/>
      </c>
      <c r="P1127" s="63" t="s">
        <v>1958</v>
      </c>
    </row>
    <row r="1128" spans="1:16" s="808" customFormat="1">
      <c r="A1128" s="609" t="s">
        <v>444</v>
      </c>
      <c r="B1128" s="59" t="s">
        <v>521</v>
      </c>
      <c r="C1128" s="40" t="s">
        <v>139</v>
      </c>
      <c r="D1128" s="34" t="s">
        <v>99</v>
      </c>
      <c r="E1128" s="257">
        <v>0</v>
      </c>
      <c r="F1128" s="34">
        <v>2</v>
      </c>
      <c r="G1128" s="40" t="s">
        <v>433</v>
      </c>
      <c r="H1128" s="29">
        <v>1</v>
      </c>
      <c r="I1128" s="9">
        <v>2</v>
      </c>
      <c r="J1128" s="9">
        <v>2</v>
      </c>
      <c r="K1128" s="9">
        <v>1</v>
      </c>
      <c r="L1128" s="9">
        <v>1</v>
      </c>
      <c r="M1128" s="9">
        <v>1</v>
      </c>
      <c r="N1128" s="185">
        <f t="shared" si="85"/>
        <v>0.16933510251023262</v>
      </c>
      <c r="O1128" s="159">
        <f t="shared" si="86"/>
        <v>0.19908580854301616</v>
      </c>
      <c r="P1128" s="63" t="s">
        <v>877</v>
      </c>
    </row>
    <row r="1129" spans="1:16" s="808" customFormat="1">
      <c r="A1129" s="609" t="s">
        <v>444</v>
      </c>
      <c r="B1129" s="59" t="s">
        <v>522</v>
      </c>
      <c r="C1129" s="40" t="s">
        <v>139</v>
      </c>
      <c r="D1129" s="34" t="s">
        <v>99</v>
      </c>
      <c r="E1129" s="257">
        <v>0.85</v>
      </c>
      <c r="F1129" s="34">
        <v>2</v>
      </c>
      <c r="G1129" s="40" t="s">
        <v>433</v>
      </c>
      <c r="H1129" s="29">
        <v>1</v>
      </c>
      <c r="I1129" s="9">
        <v>2</v>
      </c>
      <c r="J1129" s="9">
        <v>2</v>
      </c>
      <c r="K1129" s="9">
        <v>1</v>
      </c>
      <c r="L1129" s="9">
        <v>1</v>
      </c>
      <c r="M1129" s="9">
        <v>1</v>
      </c>
      <c r="N1129" s="185">
        <f t="shared" si="85"/>
        <v>0.16933510251023262</v>
      </c>
      <c r="O1129" s="159">
        <f t="shared" si="86"/>
        <v>0.19908580854301616</v>
      </c>
      <c r="P1129" s="63" t="s">
        <v>878</v>
      </c>
    </row>
    <row r="1130" spans="1:16" s="808" customFormat="1">
      <c r="A1130" s="609" t="s">
        <v>444</v>
      </c>
      <c r="B1130" s="59" t="s">
        <v>223</v>
      </c>
      <c r="C1130" s="40" t="s">
        <v>139</v>
      </c>
      <c r="D1130" s="34" t="s">
        <v>99</v>
      </c>
      <c r="E1130" s="257">
        <v>0.15</v>
      </c>
      <c r="F1130" s="34">
        <v>1</v>
      </c>
      <c r="G1130" s="40" t="s">
        <v>433</v>
      </c>
      <c r="H1130" s="29">
        <v>1</v>
      </c>
      <c r="I1130" s="9">
        <v>2</v>
      </c>
      <c r="J1130" s="9">
        <v>2</v>
      </c>
      <c r="K1130" s="9">
        <v>1</v>
      </c>
      <c r="L1130" s="9">
        <v>1</v>
      </c>
      <c r="M1130" s="9">
        <v>1</v>
      </c>
      <c r="N1130" s="185">
        <f t="shared" si="85"/>
        <v>0.16933510251023262</v>
      </c>
      <c r="O1130" s="159">
        <f t="shared" si="86"/>
        <v>0.19908580854301616</v>
      </c>
      <c r="P1130" s="63" t="s">
        <v>872</v>
      </c>
    </row>
    <row r="1131" spans="1:16" s="808" customFormat="1">
      <c r="A1131" s="609" t="s">
        <v>521</v>
      </c>
      <c r="B1131" s="59" t="s">
        <v>523</v>
      </c>
      <c r="C1131" s="40" t="s">
        <v>139</v>
      </c>
      <c r="D1131" s="34" t="s">
        <v>99</v>
      </c>
      <c r="E1131" s="257">
        <v>0.03</v>
      </c>
      <c r="F1131" s="34">
        <v>2</v>
      </c>
      <c r="G1131" s="40" t="s">
        <v>433</v>
      </c>
      <c r="H1131" s="29">
        <v>1</v>
      </c>
      <c r="I1131" s="9">
        <v>2</v>
      </c>
      <c r="J1131" s="9">
        <v>2</v>
      </c>
      <c r="K1131" s="9">
        <v>1</v>
      </c>
      <c r="L1131" s="9">
        <v>1</v>
      </c>
      <c r="M1131" s="9">
        <v>1</v>
      </c>
      <c r="N1131" s="185">
        <f t="shared" si="85"/>
        <v>0.16933510251023262</v>
      </c>
      <c r="O1131" s="159">
        <f t="shared" si="86"/>
        <v>0.19908580854301616</v>
      </c>
      <c r="P1131" s="63" t="s">
        <v>855</v>
      </c>
    </row>
    <row r="1132" spans="1:16" s="808" customFormat="1">
      <c r="A1132" s="609" t="s">
        <v>521</v>
      </c>
      <c r="B1132" s="59" t="s">
        <v>472</v>
      </c>
      <c r="C1132" s="40" t="s">
        <v>139</v>
      </c>
      <c r="D1132" s="34" t="s">
        <v>99</v>
      </c>
      <c r="E1132" s="257" t="s">
        <v>150</v>
      </c>
      <c r="F1132" s="34">
        <v>1</v>
      </c>
      <c r="G1132" s="40" t="s">
        <v>433</v>
      </c>
      <c r="H1132" s="29"/>
      <c r="I1132" s="9"/>
      <c r="J1132" s="9"/>
      <c r="K1132" s="9"/>
      <c r="L1132" s="9"/>
      <c r="M1132" s="9"/>
      <c r="N1132" s="185" t="str">
        <f t="shared" si="85"/>
        <v/>
      </c>
      <c r="O1132" s="159" t="str">
        <f t="shared" si="86"/>
        <v/>
      </c>
      <c r="P1132" s="63" t="s">
        <v>1959</v>
      </c>
    </row>
    <row r="1133" spans="1:16" s="808" customFormat="1">
      <c r="A1133" s="609" t="s">
        <v>523</v>
      </c>
      <c r="B1133" s="59" t="s">
        <v>231</v>
      </c>
      <c r="C1133" s="40" t="s">
        <v>139</v>
      </c>
      <c r="D1133" s="34" t="s">
        <v>99</v>
      </c>
      <c r="E1133" s="257">
        <v>0.05</v>
      </c>
      <c r="F1133" s="34">
        <v>2</v>
      </c>
      <c r="G1133" s="40" t="s">
        <v>157</v>
      </c>
      <c r="H1133" s="29">
        <v>1</v>
      </c>
      <c r="I1133" s="9">
        <v>2</v>
      </c>
      <c r="J1133" s="9">
        <v>2</v>
      </c>
      <c r="K1133" s="9">
        <v>1</v>
      </c>
      <c r="L1133" s="9">
        <v>3</v>
      </c>
      <c r="M1133" s="9">
        <v>3</v>
      </c>
      <c r="N1133" s="185">
        <f t="shared" si="85"/>
        <v>1.0725046436742278</v>
      </c>
      <c r="O1133" s="159">
        <f t="shared" si="86"/>
        <v>1.0776024280428556</v>
      </c>
      <c r="P1133" s="63" t="s">
        <v>1937</v>
      </c>
    </row>
    <row r="1134" spans="1:16" s="808" customFormat="1">
      <c r="A1134" s="609" t="s">
        <v>523</v>
      </c>
      <c r="B1134" s="59" t="s">
        <v>232</v>
      </c>
      <c r="C1134" s="40" t="s">
        <v>139</v>
      </c>
      <c r="D1134" s="34" t="s">
        <v>99</v>
      </c>
      <c r="E1134" s="257">
        <v>0.39400000000000002</v>
      </c>
      <c r="F1134" s="34">
        <v>2</v>
      </c>
      <c r="G1134" s="40" t="s">
        <v>433</v>
      </c>
      <c r="H1134" s="29">
        <v>1</v>
      </c>
      <c r="I1134" s="9">
        <v>2</v>
      </c>
      <c r="J1134" s="9">
        <v>2</v>
      </c>
      <c r="K1134" s="9">
        <v>1</v>
      </c>
      <c r="L1134" s="9">
        <v>1</v>
      </c>
      <c r="M1134" s="9">
        <v>1</v>
      </c>
      <c r="N1134" s="185">
        <f t="shared" si="85"/>
        <v>0.16933510251023262</v>
      </c>
      <c r="O1134" s="159">
        <f t="shared" si="86"/>
        <v>0.19908580854301616</v>
      </c>
      <c r="P1134" s="63" t="s">
        <v>1961</v>
      </c>
    </row>
    <row r="1135" spans="1:16" s="808" customFormat="1">
      <c r="A1135" s="609" t="s">
        <v>523</v>
      </c>
      <c r="B1135" s="59" t="s">
        <v>251</v>
      </c>
      <c r="C1135" s="40" t="s">
        <v>139</v>
      </c>
      <c r="D1135" s="34" t="s">
        <v>99</v>
      </c>
      <c r="E1135" s="257">
        <v>0.52200000000000002</v>
      </c>
      <c r="F1135" s="34">
        <v>1</v>
      </c>
      <c r="G1135" s="40" t="s">
        <v>433</v>
      </c>
      <c r="H1135" s="29">
        <v>1</v>
      </c>
      <c r="I1135" s="9">
        <v>2</v>
      </c>
      <c r="J1135" s="9">
        <v>2</v>
      </c>
      <c r="K1135" s="9">
        <v>1</v>
      </c>
      <c r="L1135" s="9">
        <v>1</v>
      </c>
      <c r="M1135" s="9">
        <v>1</v>
      </c>
      <c r="N1135" s="185">
        <f t="shared" si="85"/>
        <v>0.16933510251023262</v>
      </c>
      <c r="O1135" s="159">
        <f t="shared" si="86"/>
        <v>0.19908580854301616</v>
      </c>
      <c r="P1135" s="63" t="s">
        <v>1962</v>
      </c>
    </row>
    <row r="1136" spans="1:16" s="808" customFormat="1">
      <c r="A1136" s="609" t="s">
        <v>523</v>
      </c>
      <c r="B1136" s="59" t="s">
        <v>258</v>
      </c>
      <c r="C1136" s="40" t="s">
        <v>139</v>
      </c>
      <c r="D1136" s="34" t="s">
        <v>99</v>
      </c>
      <c r="E1136" s="257">
        <v>3.4000000000000002E-2</v>
      </c>
      <c r="F1136" s="34">
        <v>2</v>
      </c>
      <c r="G1136" s="40" t="s">
        <v>433</v>
      </c>
      <c r="H1136" s="29">
        <v>1</v>
      </c>
      <c r="I1136" s="9">
        <v>2</v>
      </c>
      <c r="J1136" s="9">
        <v>2</v>
      </c>
      <c r="K1136" s="9">
        <v>1</v>
      </c>
      <c r="L1136" s="9">
        <v>1</v>
      </c>
      <c r="M1136" s="9">
        <v>1</v>
      </c>
      <c r="N1136" s="185"/>
      <c r="O1136" s="159"/>
      <c r="P1136" s="63" t="s">
        <v>1963</v>
      </c>
    </row>
    <row r="1137" spans="1:16" s="808" customFormat="1">
      <c r="A1137" s="609" t="s">
        <v>522</v>
      </c>
      <c r="B1137" s="59" t="s">
        <v>524</v>
      </c>
      <c r="C1137" s="40" t="s">
        <v>139</v>
      </c>
      <c r="D1137" s="34" t="s">
        <v>99</v>
      </c>
      <c r="E1137" s="257">
        <f>0.1*E1131</f>
        <v>3.0000000000000001E-3</v>
      </c>
      <c r="F1137" s="34">
        <v>2</v>
      </c>
      <c r="G1137" s="40" t="s">
        <v>433</v>
      </c>
      <c r="H1137" s="29">
        <v>1</v>
      </c>
      <c r="I1137" s="9">
        <v>2</v>
      </c>
      <c r="J1137" s="9">
        <v>2</v>
      </c>
      <c r="K1137" s="9">
        <v>1</v>
      </c>
      <c r="L1137" s="9">
        <v>1</v>
      </c>
      <c r="M1137" s="9">
        <v>1</v>
      </c>
      <c r="N1137" s="185">
        <f t="shared" ref="N1137:N1146" si="87">IF( OR( ISBLANK(H1137),ISBLANK(J1137), ISBLANK(K1137), ISBLANK(L1137), ISBLANK(M1137) ), "", 1.5*SQRT(   EXP(2.21*(H1137-1)) + EXP(2.21*(J1137-1)) + EXP(2.21*(K1137-1)) + EXP(2.21*(L1137-1)) + EXP(2.21*M1137)   )/100*2.45 )</f>
        <v>0.16933510251023262</v>
      </c>
      <c r="O1137" s="159">
        <f t="shared" ref="O1137:O1146" si="88">IF( OR( ISBLANK(I1137),ISBLANK(J1137), ISBLANK(K1137), ISBLANK(L1137), ISBLANK(M1137) ), "", 1.5*SQRT( EXP(2.21*(I1137-1)) + EXP(2.21*(J1137-1)) + EXP(2.21*(K1137-1)) + EXP(2.21*(L1137-1)) + EXP(2.21*M1137)   )/100*2.45 )</f>
        <v>0.19908580854301616</v>
      </c>
      <c r="P1137" s="63" t="s">
        <v>856</v>
      </c>
    </row>
    <row r="1138" spans="1:16" s="808" customFormat="1">
      <c r="A1138" s="609" t="s">
        <v>522</v>
      </c>
      <c r="B1138" s="59" t="s">
        <v>465</v>
      </c>
      <c r="C1138" s="40" t="s">
        <v>139</v>
      </c>
      <c r="D1138" s="34" t="s">
        <v>99</v>
      </c>
      <c r="E1138" s="257" t="s">
        <v>150</v>
      </c>
      <c r="F1138" s="34">
        <v>1</v>
      </c>
      <c r="G1138" s="40" t="s">
        <v>433</v>
      </c>
      <c r="H1138" s="29"/>
      <c r="I1138" s="9"/>
      <c r="J1138" s="9"/>
      <c r="K1138" s="9"/>
      <c r="L1138" s="9"/>
      <c r="M1138" s="9"/>
      <c r="N1138" s="185" t="str">
        <f t="shared" si="87"/>
        <v/>
      </c>
      <c r="O1138" s="159" t="str">
        <f t="shared" si="88"/>
        <v/>
      </c>
      <c r="P1138" s="63" t="s">
        <v>1959</v>
      </c>
    </row>
    <row r="1139" spans="1:16" s="808" customFormat="1">
      <c r="A1139" s="609" t="s">
        <v>524</v>
      </c>
      <c r="B1139" s="59" t="s">
        <v>228</v>
      </c>
      <c r="C1139" s="40" t="s">
        <v>139</v>
      </c>
      <c r="D1139" s="34" t="s">
        <v>99</v>
      </c>
      <c r="E1139" s="257">
        <v>1</v>
      </c>
      <c r="F1139" s="34">
        <v>2</v>
      </c>
      <c r="G1139" s="40" t="s">
        <v>433</v>
      </c>
      <c r="H1139" s="29">
        <v>1</v>
      </c>
      <c r="I1139" s="9">
        <v>2</v>
      </c>
      <c r="J1139" s="9">
        <v>2</v>
      </c>
      <c r="K1139" s="9">
        <v>1</v>
      </c>
      <c r="L1139" s="9">
        <v>1</v>
      </c>
      <c r="M1139" s="9">
        <v>1</v>
      </c>
      <c r="N1139" s="185">
        <f t="shared" si="87"/>
        <v>0.16933510251023262</v>
      </c>
      <c r="O1139" s="159">
        <f t="shared" si="88"/>
        <v>0.19908580854301616</v>
      </c>
      <c r="P1139" s="63" t="s">
        <v>857</v>
      </c>
    </row>
    <row r="1140" spans="1:16" s="808" customFormat="1">
      <c r="A1140" s="609" t="s">
        <v>472</v>
      </c>
      <c r="B1140" s="59" t="s">
        <v>231</v>
      </c>
      <c r="C1140" s="40" t="s">
        <v>139</v>
      </c>
      <c r="D1140" s="34" t="s">
        <v>99</v>
      </c>
      <c r="E1140" s="257">
        <v>3.2000000000000002E-3</v>
      </c>
      <c r="F1140" s="34">
        <v>2</v>
      </c>
      <c r="G1140" s="40" t="s">
        <v>1997</v>
      </c>
      <c r="H1140" s="29">
        <v>1</v>
      </c>
      <c r="I1140" s="9">
        <v>2</v>
      </c>
      <c r="J1140" s="9">
        <v>2</v>
      </c>
      <c r="K1140" s="9">
        <v>1</v>
      </c>
      <c r="L1140" s="9">
        <v>3</v>
      </c>
      <c r="M1140" s="9">
        <v>3</v>
      </c>
      <c r="N1140" s="185">
        <f t="shared" si="87"/>
        <v>1.0725046436742278</v>
      </c>
      <c r="O1140" s="159">
        <f t="shared" si="88"/>
        <v>1.0776024280428556</v>
      </c>
      <c r="P1140" s="63" t="s">
        <v>1989</v>
      </c>
    </row>
    <row r="1141" spans="1:16" s="808" customFormat="1">
      <c r="A1141" s="609" t="s">
        <v>472</v>
      </c>
      <c r="B1141" s="59" t="s">
        <v>232</v>
      </c>
      <c r="C1141" s="40" t="s">
        <v>139</v>
      </c>
      <c r="D1141" s="34" t="s">
        <v>99</v>
      </c>
      <c r="E1141" s="257">
        <v>2.5215999999999999E-2</v>
      </c>
      <c r="F1141" s="34">
        <v>2</v>
      </c>
      <c r="G1141" s="40" t="s">
        <v>433</v>
      </c>
      <c r="H1141" s="29">
        <v>1</v>
      </c>
      <c r="I1141" s="9">
        <v>2</v>
      </c>
      <c r="J1141" s="9">
        <v>2</v>
      </c>
      <c r="K1141" s="9">
        <v>1</v>
      </c>
      <c r="L1141" s="9">
        <v>1</v>
      </c>
      <c r="M1141" s="9">
        <v>1</v>
      </c>
      <c r="N1141" s="185">
        <f t="shared" si="87"/>
        <v>0.16933510251023262</v>
      </c>
      <c r="O1141" s="159">
        <f t="shared" si="88"/>
        <v>0.19908580854301616</v>
      </c>
      <c r="P1141" s="63" t="s">
        <v>1990</v>
      </c>
    </row>
    <row r="1142" spans="1:16" s="808" customFormat="1">
      <c r="A1142" s="609" t="s">
        <v>472</v>
      </c>
      <c r="B1142" s="59" t="s">
        <v>251</v>
      </c>
      <c r="C1142" s="40" t="s">
        <v>139</v>
      </c>
      <c r="D1142" s="34" t="s">
        <v>99</v>
      </c>
      <c r="E1142" s="257">
        <v>3.3408E-2</v>
      </c>
      <c r="F1142" s="34">
        <v>2</v>
      </c>
      <c r="G1142" s="40" t="s">
        <v>433</v>
      </c>
      <c r="H1142" s="29">
        <v>1</v>
      </c>
      <c r="I1142" s="9">
        <v>2</v>
      </c>
      <c r="J1142" s="9">
        <v>2</v>
      </c>
      <c r="K1142" s="9">
        <v>1</v>
      </c>
      <c r="L1142" s="9">
        <v>1</v>
      </c>
      <c r="M1142" s="9">
        <v>1</v>
      </c>
      <c r="N1142" s="185">
        <f t="shared" si="87"/>
        <v>0.16933510251023262</v>
      </c>
      <c r="O1142" s="159">
        <f t="shared" si="88"/>
        <v>0.19908580854301616</v>
      </c>
      <c r="P1142" s="63" t="s">
        <v>1991</v>
      </c>
    </row>
    <row r="1143" spans="1:16" s="808" customFormat="1">
      <c r="A1143" s="609" t="s">
        <v>472</v>
      </c>
      <c r="B1143" s="59" t="s">
        <v>258</v>
      </c>
      <c r="C1143" s="40" t="s">
        <v>139</v>
      </c>
      <c r="D1143" s="34" t="s">
        <v>99</v>
      </c>
      <c r="E1143" s="257">
        <v>2.176E-3</v>
      </c>
      <c r="F1143" s="34">
        <v>2</v>
      </c>
      <c r="G1143" s="40" t="s">
        <v>433</v>
      </c>
      <c r="H1143" s="29">
        <v>1</v>
      </c>
      <c r="I1143" s="9">
        <v>2</v>
      </c>
      <c r="J1143" s="9">
        <v>2</v>
      </c>
      <c r="K1143" s="9">
        <v>1</v>
      </c>
      <c r="L1143" s="9">
        <v>1</v>
      </c>
      <c r="M1143" s="9">
        <v>1</v>
      </c>
      <c r="N1143" s="185">
        <f t="shared" si="87"/>
        <v>0.16933510251023262</v>
      </c>
      <c r="O1143" s="159">
        <f t="shared" si="88"/>
        <v>0.19908580854301616</v>
      </c>
      <c r="P1143" s="63" t="s">
        <v>1992</v>
      </c>
    </row>
    <row r="1144" spans="1:16" s="808" customFormat="1">
      <c r="A1144" s="609" t="s">
        <v>472</v>
      </c>
      <c r="B1144" s="59" t="s">
        <v>334</v>
      </c>
      <c r="C1144" s="40" t="s">
        <v>139</v>
      </c>
      <c r="D1144" s="34" t="s">
        <v>99</v>
      </c>
      <c r="E1144" s="257" t="s">
        <v>150</v>
      </c>
      <c r="F1144" s="34">
        <v>1</v>
      </c>
      <c r="G1144" s="40" t="s">
        <v>433</v>
      </c>
      <c r="H1144" s="29"/>
      <c r="I1144" s="9"/>
      <c r="J1144" s="9"/>
      <c r="K1144" s="9"/>
      <c r="L1144" s="9"/>
      <c r="M1144" s="9"/>
      <c r="N1144" s="185" t="str">
        <f t="shared" si="87"/>
        <v/>
      </c>
      <c r="O1144" s="159" t="str">
        <f t="shared" si="88"/>
        <v/>
      </c>
      <c r="P1144" s="63"/>
    </row>
    <row r="1145" spans="1:16" s="808" customFormat="1">
      <c r="A1145" s="609" t="s">
        <v>465</v>
      </c>
      <c r="B1145" s="59" t="s">
        <v>228</v>
      </c>
      <c r="C1145" s="40" t="s">
        <v>139</v>
      </c>
      <c r="D1145" s="34" t="s">
        <v>99</v>
      </c>
      <c r="E1145" s="257">
        <v>6.4000000000000001E-2</v>
      </c>
      <c r="F1145" s="34">
        <v>2</v>
      </c>
      <c r="G1145" s="40" t="s">
        <v>433</v>
      </c>
      <c r="H1145" s="29">
        <v>1</v>
      </c>
      <c r="I1145" s="9">
        <v>2</v>
      </c>
      <c r="J1145" s="9">
        <v>2</v>
      </c>
      <c r="K1145" s="9">
        <v>1</v>
      </c>
      <c r="L1145" s="9">
        <v>1</v>
      </c>
      <c r="M1145" s="9">
        <v>1</v>
      </c>
      <c r="N1145" s="185">
        <f t="shared" si="87"/>
        <v>0.16933510251023262</v>
      </c>
      <c r="O1145" s="159">
        <f t="shared" si="88"/>
        <v>0.19908580854301616</v>
      </c>
      <c r="P1145" s="63" t="s">
        <v>873</v>
      </c>
    </row>
    <row r="1146" spans="1:16" s="808" customFormat="1" ht="15.75" thickBot="1">
      <c r="A1146" s="807" t="s">
        <v>465</v>
      </c>
      <c r="B1146" s="860" t="s">
        <v>334</v>
      </c>
      <c r="C1146" s="153" t="s">
        <v>139</v>
      </c>
      <c r="D1146" s="149" t="s">
        <v>99</v>
      </c>
      <c r="E1146" s="259" t="s">
        <v>150</v>
      </c>
      <c r="F1146" s="149">
        <v>1</v>
      </c>
      <c r="G1146" s="153" t="s">
        <v>433</v>
      </c>
      <c r="H1146" s="154"/>
      <c r="I1146" s="119"/>
      <c r="J1146" s="119"/>
      <c r="K1146" s="119"/>
      <c r="L1146" s="119"/>
      <c r="M1146" s="119"/>
      <c r="N1146" s="894" t="str">
        <f t="shared" si="87"/>
        <v/>
      </c>
      <c r="O1146" s="813" t="str">
        <f t="shared" si="88"/>
        <v/>
      </c>
      <c r="P1146" s="505" t="s">
        <v>1960</v>
      </c>
    </row>
    <row r="1147" spans="1:16">
      <c r="A1147" s="151" t="s">
        <v>286</v>
      </c>
      <c r="B1147" s="151" t="s">
        <v>179</v>
      </c>
      <c r="C1147" s="9" t="s">
        <v>182</v>
      </c>
      <c r="D1147" s="9" t="s">
        <v>139</v>
      </c>
      <c r="E1147" s="769">
        <v>0.41880824100000003</v>
      </c>
      <c r="F1147" s="9">
        <v>2</v>
      </c>
      <c r="G1147" s="9" t="s">
        <v>2015</v>
      </c>
      <c r="H1147" s="9"/>
      <c r="I1147" s="9">
        <v>1</v>
      </c>
      <c r="J1147" s="9">
        <v>1</v>
      </c>
      <c r="K1147" s="9">
        <v>3</v>
      </c>
      <c r="L1147" s="9">
        <v>1</v>
      </c>
      <c r="M1147" s="9">
        <v>2</v>
      </c>
      <c r="N1147" s="185" t="str">
        <f t="shared" ref="N1147:N1209" si="89">IF( OR( ISBLANK(H1147),ISBLANK(J1147), ISBLANK(K1147), ISBLANK(L1147), ISBLANK(M1147) ), "", 1.5*SQRT(   EXP(2.21*(H1147-1)) + EXP(2.21*(J1147-1)) + EXP(2.21*(K1147-1)) + EXP(2.21*(L1147-1)) + EXP(2.21*M1147)   )/100*2.45 )</f>
        <v/>
      </c>
      <c r="O1147" s="159">
        <f t="shared" ref="O1147:O1209" si="90">IF( OR( ISBLANK(I1147),ISBLANK(J1147), ISBLANK(K1147), ISBLANK(L1147), ISBLANK(M1147) ), "", 1.5*SQRT( EXP(2.21*(I1147-1)) + EXP(2.21*(J1147-1)) + EXP(2.21*(K1147-1)) + EXP(2.21*(L1147-1)) + EXP(2.21*M1147)   )/100*2.45 )</f>
        <v>0.47802211380704585</v>
      </c>
      <c r="P1147" s="639"/>
    </row>
    <row r="1148" spans="1:16">
      <c r="A1148" s="151" t="s">
        <v>286</v>
      </c>
      <c r="B1148" s="151" t="s">
        <v>155</v>
      </c>
      <c r="C1148" s="9" t="s">
        <v>182</v>
      </c>
      <c r="D1148" s="9" t="s">
        <v>139</v>
      </c>
      <c r="E1148" s="769">
        <v>0.26110973500000001</v>
      </c>
      <c r="F1148" s="9">
        <v>2</v>
      </c>
      <c r="G1148" s="9" t="s">
        <v>2015</v>
      </c>
      <c r="H1148" s="9"/>
      <c r="I1148" s="9">
        <v>1</v>
      </c>
      <c r="J1148" s="9">
        <v>1</v>
      </c>
      <c r="K1148" s="9">
        <v>3</v>
      </c>
      <c r="L1148" s="9">
        <v>1</v>
      </c>
      <c r="M1148" s="9">
        <v>2</v>
      </c>
      <c r="N1148" s="185" t="str">
        <f t="shared" si="89"/>
        <v/>
      </c>
      <c r="O1148" s="159">
        <f t="shared" si="90"/>
        <v>0.47802211380704585</v>
      </c>
      <c r="P1148" s="639"/>
    </row>
    <row r="1149" spans="1:16">
      <c r="A1149" s="151" t="s">
        <v>286</v>
      </c>
      <c r="B1149" s="151" t="s">
        <v>154</v>
      </c>
      <c r="C1149" s="9" t="s">
        <v>182</v>
      </c>
      <c r="D1149" s="9" t="s">
        <v>139</v>
      </c>
      <c r="E1149" s="769">
        <v>0.16236634799999999</v>
      </c>
      <c r="F1149" s="9">
        <v>2</v>
      </c>
      <c r="G1149" s="9" t="s">
        <v>2015</v>
      </c>
      <c r="H1149" s="9"/>
      <c r="I1149" s="9">
        <v>1</v>
      </c>
      <c r="J1149" s="9">
        <v>1</v>
      </c>
      <c r="K1149" s="9">
        <v>3</v>
      </c>
      <c r="L1149" s="9">
        <v>1</v>
      </c>
      <c r="M1149" s="9">
        <v>2</v>
      </c>
      <c r="N1149" s="185" t="str">
        <f t="shared" si="89"/>
        <v/>
      </c>
      <c r="O1149" s="159">
        <f t="shared" si="90"/>
        <v>0.47802211380704585</v>
      </c>
      <c r="P1149" s="639"/>
    </row>
    <row r="1150" spans="1:16">
      <c r="A1150" s="151" t="s">
        <v>286</v>
      </c>
      <c r="B1150" s="151" t="s">
        <v>184</v>
      </c>
      <c r="C1150" s="9" t="s">
        <v>182</v>
      </c>
      <c r="D1150" s="9" t="s">
        <v>139</v>
      </c>
      <c r="E1150" s="769">
        <v>5.6761449999999998E-2</v>
      </c>
      <c r="F1150" s="9">
        <v>2</v>
      </c>
      <c r="G1150" s="9" t="s">
        <v>2015</v>
      </c>
      <c r="H1150" s="9"/>
      <c r="I1150" s="9">
        <v>1</v>
      </c>
      <c r="J1150" s="9">
        <v>1</v>
      </c>
      <c r="K1150" s="9">
        <v>3</v>
      </c>
      <c r="L1150" s="9">
        <v>1</v>
      </c>
      <c r="M1150" s="9">
        <v>2</v>
      </c>
      <c r="N1150" s="185" t="str">
        <f t="shared" si="89"/>
        <v/>
      </c>
      <c r="O1150" s="159">
        <f t="shared" si="90"/>
        <v>0.47802211380704585</v>
      </c>
      <c r="P1150" s="639"/>
    </row>
    <row r="1151" spans="1:16">
      <c r="A1151" s="151" t="s">
        <v>286</v>
      </c>
      <c r="B1151" s="151" t="s">
        <v>248</v>
      </c>
      <c r="C1151" s="9" t="s">
        <v>182</v>
      </c>
      <c r="D1151" s="9" t="s">
        <v>139</v>
      </c>
      <c r="E1151" s="769">
        <v>0.122732613</v>
      </c>
      <c r="F1151" s="9">
        <v>2</v>
      </c>
      <c r="G1151" s="9" t="s">
        <v>2015</v>
      </c>
      <c r="H1151" s="9"/>
      <c r="I1151" s="9">
        <v>1</v>
      </c>
      <c r="J1151" s="9">
        <v>1</v>
      </c>
      <c r="K1151" s="9">
        <v>3</v>
      </c>
      <c r="L1151" s="9">
        <v>1</v>
      </c>
      <c r="M1151" s="9">
        <v>2</v>
      </c>
      <c r="N1151" s="185" t="str">
        <f t="shared" si="89"/>
        <v/>
      </c>
      <c r="O1151" s="159">
        <f t="shared" si="90"/>
        <v>0.47802211380704585</v>
      </c>
      <c r="P1151" s="639" t="s">
        <v>2016</v>
      </c>
    </row>
    <row r="1152" spans="1:16">
      <c r="A1152" s="151" t="s">
        <v>284</v>
      </c>
      <c r="B1152" s="151" t="s">
        <v>179</v>
      </c>
      <c r="C1152" s="9" t="s">
        <v>182</v>
      </c>
      <c r="D1152" s="9" t="s">
        <v>139</v>
      </c>
      <c r="E1152" s="769">
        <v>0.41880824100000003</v>
      </c>
      <c r="F1152" s="9">
        <v>2</v>
      </c>
      <c r="G1152" s="9" t="s">
        <v>2015</v>
      </c>
      <c r="H1152" s="9"/>
      <c r="I1152" s="9">
        <v>1</v>
      </c>
      <c r="J1152" s="9">
        <v>1</v>
      </c>
      <c r="K1152" s="9">
        <v>3</v>
      </c>
      <c r="L1152" s="9">
        <v>1</v>
      </c>
      <c r="M1152" s="9">
        <v>2</v>
      </c>
      <c r="N1152" s="185" t="str">
        <f t="shared" si="89"/>
        <v/>
      </c>
      <c r="O1152" s="159">
        <f t="shared" si="90"/>
        <v>0.47802211380704585</v>
      </c>
      <c r="P1152" s="639"/>
    </row>
    <row r="1153" spans="1:868">
      <c r="A1153" s="151" t="s">
        <v>284</v>
      </c>
      <c r="B1153" s="151" t="s">
        <v>146</v>
      </c>
      <c r="C1153" s="9" t="s">
        <v>182</v>
      </c>
      <c r="D1153" s="9" t="s">
        <v>139</v>
      </c>
      <c r="E1153" s="769">
        <v>0.26110973500000001</v>
      </c>
      <c r="F1153" s="9">
        <v>2</v>
      </c>
      <c r="G1153" s="9" t="s">
        <v>2015</v>
      </c>
      <c r="H1153" s="9"/>
      <c r="I1153" s="9">
        <v>1</v>
      </c>
      <c r="J1153" s="9">
        <v>1</v>
      </c>
      <c r="K1153" s="9">
        <v>3</v>
      </c>
      <c r="L1153" s="9">
        <v>1</v>
      </c>
      <c r="M1153" s="9">
        <v>2</v>
      </c>
      <c r="N1153" s="185" t="str">
        <f t="shared" si="89"/>
        <v/>
      </c>
      <c r="O1153" s="159">
        <f t="shared" si="90"/>
        <v>0.47802211380704585</v>
      </c>
      <c r="P1153" s="639"/>
    </row>
    <row r="1154" spans="1:868">
      <c r="A1154" s="151" t="s">
        <v>284</v>
      </c>
      <c r="B1154" s="151" t="s">
        <v>149</v>
      </c>
      <c r="C1154" s="9" t="s">
        <v>182</v>
      </c>
      <c r="D1154" s="9" t="s">
        <v>139</v>
      </c>
      <c r="E1154" s="769">
        <v>0.16236634799999999</v>
      </c>
      <c r="F1154" s="9">
        <v>2</v>
      </c>
      <c r="G1154" s="9" t="s">
        <v>2015</v>
      </c>
      <c r="H1154" s="9"/>
      <c r="I1154" s="9">
        <v>1</v>
      </c>
      <c r="J1154" s="9">
        <v>1</v>
      </c>
      <c r="K1154" s="9">
        <v>3</v>
      </c>
      <c r="L1154" s="9">
        <v>1</v>
      </c>
      <c r="M1154" s="9">
        <v>2</v>
      </c>
      <c r="N1154" s="185" t="str">
        <f t="shared" si="89"/>
        <v/>
      </c>
      <c r="O1154" s="159">
        <f t="shared" si="90"/>
        <v>0.47802211380704585</v>
      </c>
      <c r="P1154" s="639"/>
    </row>
    <row r="1155" spans="1:868">
      <c r="A1155" s="151" t="s">
        <v>284</v>
      </c>
      <c r="B1155" s="151" t="s">
        <v>184</v>
      </c>
      <c r="C1155" s="9" t="s">
        <v>182</v>
      </c>
      <c r="D1155" s="9" t="s">
        <v>139</v>
      </c>
      <c r="E1155" s="769">
        <v>5.6761449999999998E-2</v>
      </c>
      <c r="F1155" s="9">
        <v>2</v>
      </c>
      <c r="G1155" s="9" t="s">
        <v>2015</v>
      </c>
      <c r="H1155" s="9"/>
      <c r="I1155" s="9">
        <v>1</v>
      </c>
      <c r="J1155" s="9">
        <v>1</v>
      </c>
      <c r="K1155" s="9">
        <v>3</v>
      </c>
      <c r="L1155" s="9">
        <v>1</v>
      </c>
      <c r="M1155" s="9">
        <v>2</v>
      </c>
      <c r="N1155" s="185" t="str">
        <f t="shared" si="89"/>
        <v/>
      </c>
      <c r="O1155" s="159">
        <f t="shared" si="90"/>
        <v>0.47802211380704585</v>
      </c>
      <c r="P1155" s="639"/>
    </row>
    <row r="1156" spans="1:868">
      <c r="A1156" s="151" t="s">
        <v>284</v>
      </c>
      <c r="B1156" s="151" t="s">
        <v>248</v>
      </c>
      <c r="C1156" s="9" t="s">
        <v>182</v>
      </c>
      <c r="D1156" s="9" t="s">
        <v>139</v>
      </c>
      <c r="E1156" s="769">
        <v>0.122732613</v>
      </c>
      <c r="F1156" s="9">
        <v>2</v>
      </c>
      <c r="G1156" s="9" t="s">
        <v>2015</v>
      </c>
      <c r="H1156" s="9"/>
      <c r="I1156" s="9">
        <v>1</v>
      </c>
      <c r="J1156" s="9">
        <v>1</v>
      </c>
      <c r="K1156" s="9">
        <v>3</v>
      </c>
      <c r="L1156" s="9">
        <v>1</v>
      </c>
      <c r="M1156" s="9">
        <v>2</v>
      </c>
      <c r="N1156" s="185" t="str">
        <f t="shared" si="89"/>
        <v/>
      </c>
      <c r="O1156" s="159">
        <f t="shared" si="90"/>
        <v>0.47802211380704585</v>
      </c>
      <c r="P1156" s="639" t="s">
        <v>2016</v>
      </c>
    </row>
    <row r="1157" spans="1:868" s="898" customFormat="1">
      <c r="A1157" s="917" t="s">
        <v>2043</v>
      </c>
      <c r="B1157" s="917" t="s">
        <v>108</v>
      </c>
      <c r="C1157" s="917" t="s">
        <v>180</v>
      </c>
      <c r="D1157" s="917" t="s">
        <v>139</v>
      </c>
      <c r="E1157" s="918">
        <v>1</v>
      </c>
      <c r="F1157" s="917">
        <v>1</v>
      </c>
      <c r="G1157" s="917" t="s">
        <v>157</v>
      </c>
      <c r="H1157" s="902"/>
      <c r="I1157" s="903"/>
      <c r="J1157" s="903"/>
      <c r="K1157" s="903"/>
      <c r="L1157" s="903"/>
      <c r="M1157" s="903"/>
      <c r="N1157" s="185" t="str">
        <f t="shared" si="89"/>
        <v/>
      </c>
      <c r="O1157" s="159" t="str">
        <f t="shared" si="90"/>
        <v/>
      </c>
      <c r="P1157" s="904"/>
      <c r="Q1157" s="905"/>
      <c r="R1157" s="905"/>
      <c r="S1157" s="905"/>
      <c r="T1157" s="905"/>
      <c r="U1157" s="905"/>
      <c r="V1157" s="905"/>
      <c r="W1157" s="905"/>
      <c r="X1157" s="905"/>
      <c r="Y1157" s="905"/>
      <c r="Z1157" s="905"/>
      <c r="AA1157" s="905"/>
      <c r="AB1157" s="905"/>
      <c r="AC1157" s="905"/>
      <c r="AD1157" s="905"/>
      <c r="AE1157" s="905"/>
      <c r="AF1157" s="905"/>
      <c r="AG1157" s="905"/>
      <c r="AH1157" s="905"/>
      <c r="AI1157" s="905"/>
      <c r="AJ1157" s="905"/>
      <c r="AK1157" s="905"/>
      <c r="AL1157" s="905"/>
      <c r="AM1157" s="905"/>
      <c r="AN1157" s="905"/>
      <c r="AO1157" s="905"/>
      <c r="AP1157" s="905"/>
      <c r="AQ1157" s="905"/>
      <c r="AR1157" s="905"/>
      <c r="AS1157" s="905"/>
      <c r="AT1157" s="905"/>
      <c r="AU1157" s="905"/>
      <c r="AV1157" s="905"/>
      <c r="AW1157" s="905"/>
      <c r="AX1157" s="905"/>
      <c r="AY1157" s="905"/>
      <c r="AZ1157" s="905"/>
      <c r="BA1157" s="905"/>
      <c r="BB1157" s="905"/>
      <c r="BC1157" s="905"/>
      <c r="BD1157" s="905"/>
      <c r="BE1157" s="905"/>
      <c r="BF1157" s="905"/>
      <c r="BG1157" s="905"/>
      <c r="BH1157" s="905"/>
      <c r="BI1157" s="905"/>
      <c r="BJ1157" s="905"/>
      <c r="BK1157" s="905"/>
      <c r="BL1157" s="905"/>
      <c r="BM1157" s="905"/>
      <c r="BN1157" s="905"/>
      <c r="BO1157" s="905"/>
      <c r="BP1157" s="905"/>
      <c r="BQ1157" s="905"/>
      <c r="BR1157" s="905"/>
      <c r="BS1157" s="905"/>
      <c r="BT1157" s="905"/>
      <c r="BU1157" s="905"/>
      <c r="BV1157" s="905"/>
      <c r="BW1157" s="905"/>
      <c r="BX1157" s="905"/>
      <c r="BY1157" s="905"/>
      <c r="BZ1157" s="905"/>
      <c r="CA1157" s="905"/>
      <c r="CB1157" s="905"/>
      <c r="CC1157" s="905"/>
      <c r="CD1157" s="905"/>
      <c r="CE1157" s="905"/>
      <c r="CF1157" s="905"/>
      <c r="CG1157" s="905"/>
      <c r="CH1157" s="905"/>
      <c r="CI1157" s="905"/>
      <c r="CJ1157" s="905"/>
      <c r="CK1157" s="905"/>
      <c r="CL1157" s="905"/>
      <c r="CM1157" s="905"/>
      <c r="CN1157" s="905"/>
      <c r="CO1157" s="905"/>
      <c r="CP1157" s="905"/>
      <c r="CQ1157" s="905"/>
      <c r="CR1157" s="905"/>
      <c r="CS1157" s="905"/>
      <c r="CT1157" s="905"/>
      <c r="CU1157" s="905"/>
      <c r="CV1157" s="905"/>
      <c r="CW1157" s="905"/>
      <c r="CX1157" s="905"/>
      <c r="CY1157" s="905"/>
      <c r="CZ1157" s="905"/>
      <c r="DA1157" s="905"/>
      <c r="DB1157" s="905"/>
      <c r="DC1157" s="905"/>
      <c r="DD1157" s="905"/>
      <c r="DE1157" s="905"/>
      <c r="DF1157" s="905"/>
      <c r="DG1157" s="905"/>
      <c r="DH1157" s="905"/>
      <c r="DI1157" s="905"/>
      <c r="DJ1157" s="905"/>
      <c r="DK1157" s="905"/>
      <c r="DL1157" s="905"/>
      <c r="DM1157" s="905"/>
      <c r="DN1157" s="905"/>
      <c r="DO1157" s="905"/>
      <c r="DP1157" s="905"/>
      <c r="DQ1157" s="905"/>
      <c r="DR1157" s="905"/>
      <c r="DS1157" s="905"/>
      <c r="DT1157" s="905"/>
      <c r="DU1157" s="905"/>
      <c r="DV1157" s="905"/>
      <c r="DW1157" s="905"/>
      <c r="DX1157" s="905"/>
      <c r="DY1157" s="905"/>
      <c r="DZ1157" s="905"/>
      <c r="EA1157" s="905"/>
      <c r="EB1157" s="905"/>
      <c r="EC1157" s="905"/>
      <c r="ED1157" s="905"/>
      <c r="EE1157" s="905"/>
      <c r="EF1157" s="905"/>
      <c r="EG1157" s="905"/>
      <c r="EH1157" s="905"/>
      <c r="EI1157" s="905"/>
      <c r="EJ1157" s="905"/>
      <c r="EK1157" s="905"/>
      <c r="EL1157" s="905"/>
      <c r="EM1157" s="905"/>
      <c r="EN1157" s="905"/>
      <c r="EO1157" s="905"/>
      <c r="EP1157" s="905"/>
      <c r="EQ1157" s="905"/>
      <c r="ER1157" s="905"/>
      <c r="ES1157" s="905"/>
      <c r="ET1157" s="905"/>
      <c r="EU1157" s="905"/>
      <c r="EV1157" s="905"/>
      <c r="EW1157" s="905"/>
      <c r="EX1157" s="905"/>
      <c r="EY1157" s="905"/>
      <c r="EZ1157" s="905"/>
      <c r="FA1157" s="905"/>
      <c r="FB1157" s="905"/>
      <c r="FC1157" s="905"/>
      <c r="FD1157" s="905"/>
      <c r="FE1157" s="905"/>
      <c r="FF1157" s="905"/>
      <c r="FG1157" s="905"/>
      <c r="FH1157" s="905"/>
      <c r="FI1157" s="905"/>
      <c r="FJ1157" s="905"/>
      <c r="FK1157" s="905"/>
      <c r="FL1157" s="905"/>
      <c r="FM1157" s="905"/>
      <c r="FN1157" s="905"/>
      <c r="FO1157" s="905"/>
      <c r="FP1157" s="905"/>
      <c r="FQ1157" s="905"/>
      <c r="FR1157" s="905"/>
      <c r="FS1157" s="905"/>
      <c r="FT1157" s="905"/>
      <c r="FU1157" s="905"/>
      <c r="FV1157" s="905"/>
      <c r="FW1157" s="905"/>
      <c r="FX1157" s="905"/>
      <c r="FY1157" s="905"/>
      <c r="FZ1157" s="905"/>
      <c r="GA1157" s="905"/>
      <c r="GB1157" s="905"/>
      <c r="GC1157" s="905"/>
      <c r="GD1157" s="905"/>
      <c r="GE1157" s="905"/>
      <c r="GF1157" s="905"/>
      <c r="GG1157" s="905"/>
      <c r="GH1157" s="905"/>
      <c r="GI1157" s="905"/>
      <c r="GJ1157" s="905"/>
      <c r="GK1157" s="905"/>
      <c r="GL1157" s="905"/>
      <c r="GM1157" s="905"/>
      <c r="GN1157" s="905"/>
      <c r="GO1157" s="905"/>
      <c r="GP1157" s="905"/>
      <c r="GQ1157" s="905"/>
      <c r="GR1157" s="905"/>
      <c r="GS1157" s="905"/>
      <c r="GT1157" s="905"/>
      <c r="GU1157" s="905"/>
      <c r="GV1157" s="905"/>
      <c r="GW1157" s="905"/>
      <c r="GX1157" s="905"/>
      <c r="GY1157" s="905"/>
      <c r="GZ1157" s="905"/>
      <c r="HA1157" s="905"/>
      <c r="HB1157" s="905"/>
      <c r="HC1157" s="905"/>
      <c r="HD1157" s="905"/>
      <c r="HE1157" s="905"/>
      <c r="HF1157" s="905"/>
      <c r="HG1157" s="905"/>
      <c r="HH1157" s="905"/>
      <c r="HI1157" s="905"/>
      <c r="HJ1157" s="905"/>
      <c r="HK1157" s="905"/>
      <c r="HL1157" s="905"/>
      <c r="HM1157" s="905"/>
      <c r="HN1157" s="905"/>
      <c r="HO1157" s="905"/>
      <c r="HP1157" s="905"/>
      <c r="HQ1157" s="905"/>
      <c r="HR1157" s="905"/>
      <c r="HS1157" s="905"/>
      <c r="HT1157" s="905"/>
      <c r="HU1157" s="905"/>
      <c r="HV1157" s="905"/>
      <c r="HW1157" s="905"/>
      <c r="HX1157" s="905"/>
      <c r="HY1157" s="905"/>
      <c r="HZ1157" s="905"/>
      <c r="IA1157" s="905"/>
      <c r="IB1157" s="905"/>
      <c r="IC1157" s="905"/>
      <c r="ID1157" s="905"/>
      <c r="IE1157" s="905"/>
      <c r="IF1157" s="905"/>
      <c r="IG1157" s="905"/>
      <c r="IH1157" s="905"/>
      <c r="II1157" s="905"/>
      <c r="IJ1157" s="905"/>
      <c r="IK1157" s="905"/>
      <c r="IL1157" s="905"/>
      <c r="IM1157" s="905"/>
      <c r="IN1157" s="905"/>
      <c r="IO1157" s="905"/>
      <c r="IP1157" s="905"/>
      <c r="IQ1157" s="905"/>
      <c r="IR1157" s="905"/>
      <c r="IS1157" s="905"/>
      <c r="IT1157" s="905"/>
      <c r="IU1157" s="905"/>
      <c r="IV1157" s="905"/>
      <c r="IW1157" s="905"/>
      <c r="IX1157" s="905"/>
      <c r="IY1157" s="905"/>
      <c r="IZ1157" s="905"/>
      <c r="JA1157" s="905"/>
      <c r="JB1157" s="905"/>
      <c r="JC1157" s="905"/>
      <c r="JD1157" s="905"/>
      <c r="JE1157" s="905"/>
      <c r="JF1157" s="905"/>
      <c r="JG1157" s="905"/>
      <c r="JH1157" s="905"/>
      <c r="JI1157" s="905"/>
      <c r="JJ1157" s="905"/>
      <c r="JK1157" s="905"/>
      <c r="JL1157" s="905"/>
      <c r="JM1157" s="905"/>
      <c r="JN1157" s="905"/>
      <c r="JO1157" s="905"/>
      <c r="JP1157" s="905"/>
      <c r="JQ1157" s="905"/>
      <c r="JR1157" s="905"/>
      <c r="JS1157" s="905"/>
      <c r="JT1157" s="905"/>
      <c r="JU1157" s="905"/>
      <c r="JV1157" s="905"/>
      <c r="JW1157" s="905"/>
      <c r="JX1157" s="905"/>
      <c r="JY1157" s="905"/>
      <c r="JZ1157" s="905"/>
      <c r="KA1157" s="905"/>
      <c r="KB1157" s="905"/>
      <c r="KC1157" s="905"/>
      <c r="KD1157" s="905"/>
      <c r="KE1157" s="905"/>
      <c r="KF1157" s="905"/>
      <c r="KG1157" s="905"/>
      <c r="KH1157" s="905"/>
      <c r="KI1157" s="905"/>
      <c r="KJ1157" s="905"/>
      <c r="KK1157" s="905"/>
      <c r="KL1157" s="905"/>
      <c r="KM1157" s="905"/>
      <c r="KN1157" s="905"/>
      <c r="KO1157" s="905"/>
      <c r="KP1157" s="905"/>
      <c r="KQ1157" s="905"/>
      <c r="KR1157" s="905"/>
      <c r="KS1157" s="905"/>
      <c r="KT1157" s="905"/>
      <c r="KU1157" s="905"/>
      <c r="KV1157" s="905"/>
      <c r="KW1157" s="905"/>
      <c r="KX1157" s="905"/>
      <c r="KY1157" s="905"/>
      <c r="KZ1157" s="905"/>
      <c r="LA1157" s="905"/>
      <c r="LB1157" s="905"/>
      <c r="LC1157" s="905"/>
      <c r="LD1157" s="905"/>
      <c r="LE1157" s="905"/>
      <c r="LF1157" s="905"/>
      <c r="LG1157" s="905"/>
      <c r="LH1157" s="905"/>
      <c r="LI1157" s="905"/>
      <c r="LJ1157" s="905"/>
      <c r="LK1157" s="905"/>
      <c r="LL1157" s="905"/>
      <c r="LM1157" s="905"/>
      <c r="LN1157" s="905"/>
      <c r="LO1157" s="905"/>
      <c r="LP1157" s="905"/>
      <c r="LQ1157" s="905"/>
      <c r="LR1157" s="905"/>
      <c r="LS1157" s="905"/>
      <c r="LT1157" s="905"/>
      <c r="LU1157" s="905"/>
      <c r="LV1157" s="905"/>
      <c r="LW1157" s="905"/>
      <c r="LX1157" s="905"/>
      <c r="LY1157" s="905"/>
      <c r="LZ1157" s="905"/>
      <c r="MA1157" s="905"/>
      <c r="MB1157" s="905"/>
      <c r="MC1157" s="905"/>
      <c r="MD1157" s="905"/>
      <c r="ME1157" s="905"/>
      <c r="MF1157" s="905"/>
      <c r="MG1157" s="905"/>
      <c r="MH1157" s="905"/>
      <c r="MI1157" s="905"/>
      <c r="MJ1157" s="905"/>
      <c r="MK1157" s="905"/>
      <c r="ML1157" s="905"/>
      <c r="MM1157" s="905"/>
      <c r="MN1157" s="905"/>
      <c r="MO1157" s="905"/>
      <c r="MP1157" s="905"/>
      <c r="MQ1157" s="905"/>
      <c r="MR1157" s="905"/>
      <c r="MS1157" s="905"/>
      <c r="MT1157" s="905"/>
      <c r="MU1157" s="905"/>
      <c r="MV1157" s="905"/>
      <c r="MW1157" s="905"/>
      <c r="MX1157" s="905"/>
      <c r="MY1157" s="905"/>
      <c r="MZ1157" s="905"/>
      <c r="NA1157" s="905"/>
      <c r="NB1157" s="905"/>
      <c r="NC1157" s="905"/>
      <c r="ND1157" s="905"/>
      <c r="NE1157" s="905"/>
      <c r="NF1157" s="905"/>
      <c r="NG1157" s="905"/>
      <c r="NH1157" s="905"/>
      <c r="NI1157" s="905"/>
      <c r="NJ1157" s="905"/>
      <c r="NK1157" s="905"/>
      <c r="NL1157" s="905"/>
      <c r="NM1157" s="905"/>
      <c r="NN1157" s="905"/>
      <c r="NO1157" s="905"/>
      <c r="NP1157" s="905"/>
      <c r="NQ1157" s="905"/>
      <c r="NR1157" s="905"/>
      <c r="NS1157" s="905"/>
      <c r="NT1157" s="905"/>
      <c r="NU1157" s="905"/>
      <c r="NV1157" s="905"/>
      <c r="NW1157" s="905"/>
      <c r="NX1157" s="905"/>
      <c r="NY1157" s="905"/>
      <c r="NZ1157" s="905"/>
      <c r="OA1157" s="905"/>
      <c r="OB1157" s="905"/>
      <c r="OC1157" s="905"/>
      <c r="OD1157" s="905"/>
      <c r="OE1157" s="905"/>
      <c r="OF1157" s="905"/>
      <c r="OG1157" s="905"/>
      <c r="OH1157" s="905"/>
      <c r="OI1157" s="905"/>
      <c r="OJ1157" s="905"/>
      <c r="OK1157" s="905"/>
      <c r="OL1157" s="905"/>
      <c r="OM1157" s="905"/>
      <c r="ON1157" s="905"/>
      <c r="OO1157" s="905"/>
      <c r="OP1157" s="905"/>
      <c r="OQ1157" s="905"/>
      <c r="OR1157" s="905"/>
      <c r="OS1157" s="905"/>
      <c r="OT1157" s="905"/>
      <c r="OU1157" s="905"/>
      <c r="OV1157" s="905"/>
      <c r="OW1157" s="905"/>
      <c r="OX1157" s="905"/>
      <c r="OY1157" s="905"/>
      <c r="OZ1157" s="905"/>
      <c r="PA1157" s="905"/>
      <c r="PB1157" s="905"/>
      <c r="PC1157" s="905"/>
      <c r="PD1157" s="905"/>
      <c r="PE1157" s="905"/>
      <c r="PF1157" s="905"/>
      <c r="PG1157" s="905"/>
      <c r="PH1157" s="905"/>
      <c r="PI1157" s="905"/>
      <c r="PJ1157" s="905"/>
      <c r="PK1157" s="905"/>
      <c r="PL1157" s="905"/>
      <c r="PM1157" s="905"/>
      <c r="PN1157" s="905"/>
      <c r="PO1157" s="905"/>
      <c r="PP1157" s="905"/>
      <c r="PQ1157" s="905"/>
      <c r="PR1157" s="905"/>
      <c r="PS1157" s="905"/>
      <c r="PT1157" s="905"/>
      <c r="PU1157" s="905"/>
      <c r="PV1157" s="905"/>
      <c r="PW1157" s="905"/>
      <c r="PX1157" s="905"/>
      <c r="PY1157" s="905"/>
      <c r="PZ1157" s="905"/>
      <c r="QA1157" s="905"/>
      <c r="QB1157" s="905"/>
      <c r="QC1157" s="905"/>
      <c r="QD1157" s="905"/>
      <c r="QE1157" s="905"/>
      <c r="QF1157" s="905"/>
      <c r="QG1157" s="905"/>
      <c r="QH1157" s="905"/>
      <c r="QI1157" s="905"/>
      <c r="QJ1157" s="905"/>
      <c r="QK1157" s="905"/>
      <c r="QL1157" s="905"/>
      <c r="QM1157" s="905"/>
      <c r="QN1157" s="905"/>
      <c r="QO1157" s="905"/>
      <c r="QP1157" s="905"/>
      <c r="QQ1157" s="905"/>
      <c r="QR1157" s="905"/>
      <c r="QS1157" s="905"/>
      <c r="QT1157" s="905"/>
      <c r="QU1157" s="905"/>
      <c r="QV1157" s="905"/>
      <c r="QW1157" s="905"/>
      <c r="QX1157" s="905"/>
      <c r="QY1157" s="905"/>
      <c r="QZ1157" s="905"/>
      <c r="RA1157" s="905"/>
      <c r="RB1157" s="905"/>
      <c r="RC1157" s="905"/>
      <c r="RD1157" s="905"/>
      <c r="RE1157" s="905"/>
      <c r="RF1157" s="905"/>
      <c r="RG1157" s="905"/>
      <c r="RH1157" s="905"/>
      <c r="RI1157" s="905"/>
      <c r="RJ1157" s="905"/>
      <c r="RK1157" s="905"/>
      <c r="RL1157" s="905"/>
      <c r="RM1157" s="905"/>
      <c r="RN1157" s="905"/>
      <c r="RO1157" s="905"/>
      <c r="RP1157" s="905"/>
      <c r="RQ1157" s="905"/>
      <c r="RR1157" s="905"/>
      <c r="RS1157" s="905"/>
      <c r="RT1157" s="905"/>
      <c r="RU1157" s="905"/>
      <c r="RV1157" s="905"/>
      <c r="RW1157" s="905"/>
      <c r="RX1157" s="905"/>
      <c r="RY1157" s="905"/>
      <c r="RZ1157" s="905"/>
      <c r="SA1157" s="905"/>
      <c r="SB1157" s="905"/>
      <c r="SC1157" s="905"/>
      <c r="SD1157" s="905"/>
      <c r="SE1157" s="905"/>
      <c r="SF1157" s="905"/>
      <c r="SG1157" s="905"/>
      <c r="SH1157" s="905"/>
      <c r="SI1157" s="905"/>
      <c r="SJ1157" s="905"/>
      <c r="SK1157" s="905"/>
      <c r="SL1157" s="905"/>
      <c r="SM1157" s="905"/>
      <c r="SN1157" s="905"/>
      <c r="SO1157" s="905"/>
      <c r="SP1157" s="905"/>
      <c r="SQ1157" s="905"/>
      <c r="SR1157" s="905"/>
      <c r="SS1157" s="905"/>
      <c r="ST1157" s="905"/>
      <c r="SU1157" s="905"/>
      <c r="SV1157" s="905"/>
      <c r="SW1157" s="905"/>
      <c r="SX1157" s="905"/>
      <c r="SY1157" s="905"/>
      <c r="SZ1157" s="905"/>
      <c r="TA1157" s="905"/>
      <c r="TB1157" s="905"/>
      <c r="TC1157" s="905"/>
      <c r="TD1157" s="905"/>
      <c r="TE1157" s="905"/>
      <c r="TF1157" s="905"/>
      <c r="TG1157" s="905"/>
      <c r="TH1157" s="905"/>
      <c r="TI1157" s="905"/>
      <c r="TJ1157" s="905"/>
      <c r="TK1157" s="905"/>
      <c r="TL1157" s="905"/>
      <c r="TM1157" s="905"/>
      <c r="TN1157" s="905"/>
      <c r="TO1157" s="905"/>
      <c r="TP1157" s="905"/>
      <c r="TQ1157" s="905"/>
      <c r="TR1157" s="905"/>
      <c r="TS1157" s="905"/>
      <c r="TT1157" s="905"/>
      <c r="TU1157" s="905"/>
      <c r="TV1157" s="905"/>
      <c r="TW1157" s="905"/>
      <c r="TX1157" s="905"/>
      <c r="TY1157" s="905"/>
      <c r="TZ1157" s="905"/>
      <c r="UA1157" s="905"/>
      <c r="UB1157" s="905"/>
      <c r="UC1157" s="905"/>
      <c r="UD1157" s="905"/>
      <c r="UE1157" s="905"/>
      <c r="UF1157" s="905"/>
      <c r="UG1157" s="905"/>
      <c r="UH1157" s="905"/>
      <c r="UI1157" s="905"/>
      <c r="UJ1157" s="905"/>
      <c r="UK1157" s="905"/>
      <c r="UL1157" s="905"/>
      <c r="UM1157" s="905"/>
      <c r="UN1157" s="905"/>
      <c r="UO1157" s="905"/>
      <c r="UP1157" s="905"/>
      <c r="UQ1157" s="905"/>
      <c r="UR1157" s="905"/>
      <c r="US1157" s="905"/>
      <c r="UT1157" s="905"/>
      <c r="UU1157" s="905"/>
      <c r="UV1157" s="905"/>
      <c r="UW1157" s="905"/>
      <c r="UX1157" s="905"/>
      <c r="UY1157" s="905"/>
      <c r="UZ1157" s="905"/>
      <c r="VA1157" s="905"/>
      <c r="VB1157" s="905"/>
      <c r="VC1157" s="905"/>
      <c r="VD1157" s="905"/>
      <c r="VE1157" s="905"/>
      <c r="VF1157" s="905"/>
      <c r="VG1157" s="905"/>
      <c r="VH1157" s="905"/>
      <c r="VI1157" s="905"/>
      <c r="VJ1157" s="905"/>
      <c r="VK1157" s="905"/>
      <c r="VL1157" s="905"/>
      <c r="VM1157" s="905"/>
      <c r="VN1157" s="905"/>
      <c r="VO1157" s="905"/>
      <c r="VP1157" s="905"/>
      <c r="VQ1157" s="905"/>
      <c r="VR1157" s="905"/>
      <c r="VS1157" s="905"/>
      <c r="VT1157" s="905"/>
      <c r="VU1157" s="905"/>
      <c r="VV1157" s="905"/>
      <c r="VW1157" s="905"/>
      <c r="VX1157" s="905"/>
      <c r="VY1157" s="905"/>
      <c r="VZ1157" s="905"/>
      <c r="WA1157" s="905"/>
      <c r="WB1157" s="905"/>
      <c r="WC1157" s="905"/>
      <c r="WD1157" s="905"/>
      <c r="WE1157" s="905"/>
      <c r="WF1157" s="905"/>
      <c r="WG1157" s="905"/>
      <c r="WH1157" s="905"/>
      <c r="WI1157" s="905"/>
      <c r="WJ1157" s="905"/>
      <c r="WK1157" s="905"/>
      <c r="WL1157" s="905"/>
      <c r="WM1157" s="905"/>
      <c r="WN1157" s="905"/>
      <c r="WO1157" s="905"/>
      <c r="WP1157" s="905"/>
      <c r="WQ1157" s="905"/>
      <c r="WR1157" s="905"/>
      <c r="WS1157" s="905"/>
      <c r="WT1157" s="905"/>
      <c r="WU1157" s="905"/>
      <c r="WV1157" s="905"/>
      <c r="WW1157" s="905"/>
      <c r="WX1157" s="905"/>
      <c r="WY1157" s="905"/>
      <c r="WZ1157" s="905"/>
      <c r="XA1157" s="905"/>
      <c r="XB1157" s="905"/>
      <c r="XC1157" s="905"/>
      <c r="XD1157" s="905"/>
      <c r="XE1157" s="905"/>
      <c r="XF1157" s="905"/>
      <c r="XG1157" s="905"/>
      <c r="XH1157" s="905"/>
      <c r="XI1157" s="905"/>
      <c r="XJ1157" s="905"/>
      <c r="XK1157" s="905"/>
      <c r="XL1157" s="905"/>
      <c r="XM1157" s="905"/>
      <c r="XN1157" s="905"/>
      <c r="XO1157" s="905"/>
      <c r="XP1157" s="905"/>
      <c r="XQ1157" s="905"/>
      <c r="XR1157" s="905"/>
      <c r="XS1157" s="905"/>
      <c r="XT1157" s="905"/>
      <c r="XU1157" s="905"/>
      <c r="XV1157" s="905"/>
      <c r="XW1157" s="905"/>
      <c r="XX1157" s="905"/>
      <c r="XY1157" s="905"/>
      <c r="XZ1157" s="905"/>
      <c r="YA1157" s="905"/>
      <c r="YB1157" s="905"/>
      <c r="YC1157" s="905"/>
      <c r="YD1157" s="905"/>
      <c r="YE1157" s="905"/>
      <c r="YF1157" s="905"/>
      <c r="YG1157" s="905"/>
      <c r="YH1157" s="905"/>
      <c r="YI1157" s="905"/>
      <c r="YJ1157" s="905"/>
      <c r="YK1157" s="905"/>
      <c r="YL1157" s="905"/>
      <c r="YM1157" s="905"/>
      <c r="YN1157" s="905"/>
      <c r="YO1157" s="905"/>
      <c r="YP1157" s="905"/>
      <c r="YQ1157" s="905"/>
      <c r="YR1157" s="905"/>
      <c r="YS1157" s="905"/>
      <c r="YT1157" s="905"/>
      <c r="YU1157" s="905"/>
      <c r="YV1157" s="905"/>
      <c r="YW1157" s="905"/>
      <c r="YX1157" s="905"/>
      <c r="YY1157" s="905"/>
      <c r="YZ1157" s="905"/>
      <c r="ZA1157" s="905"/>
      <c r="ZB1157" s="905"/>
      <c r="ZC1157" s="905"/>
      <c r="ZD1157" s="905"/>
      <c r="ZE1157" s="905"/>
      <c r="ZF1157" s="905"/>
      <c r="ZG1157" s="905"/>
      <c r="ZH1157" s="905"/>
      <c r="ZI1157" s="905"/>
      <c r="ZJ1157" s="905"/>
      <c r="ZK1157" s="905"/>
      <c r="ZL1157" s="905"/>
      <c r="ZM1157" s="905"/>
      <c r="ZN1157" s="905"/>
      <c r="ZO1157" s="905"/>
      <c r="ZP1157" s="905"/>
      <c r="ZQ1157" s="905"/>
      <c r="ZR1157" s="905"/>
      <c r="ZS1157" s="905"/>
      <c r="ZT1157" s="905"/>
      <c r="ZU1157" s="905"/>
      <c r="ZV1157" s="905"/>
      <c r="ZW1157" s="905"/>
      <c r="ZX1157" s="905"/>
      <c r="ZY1157" s="905"/>
      <c r="ZZ1157" s="905"/>
      <c r="AAA1157" s="905"/>
      <c r="AAB1157" s="905"/>
      <c r="AAC1157" s="905"/>
      <c r="AAD1157" s="905"/>
      <c r="AAE1157" s="905"/>
      <c r="AAF1157" s="905"/>
      <c r="AAG1157" s="905"/>
      <c r="AAH1157" s="905"/>
      <c r="AAI1157" s="905"/>
      <c r="AAJ1157" s="905"/>
      <c r="AAK1157" s="905"/>
      <c r="AAL1157" s="905"/>
      <c r="AAM1157" s="905"/>
      <c r="AAN1157" s="905"/>
      <c r="AAO1157" s="905"/>
      <c r="AAP1157" s="905"/>
      <c r="AAQ1157" s="905"/>
      <c r="AAR1157" s="905"/>
      <c r="AAS1157" s="905"/>
      <c r="AAT1157" s="905"/>
      <c r="AAU1157" s="905"/>
      <c r="AAV1157" s="905"/>
      <c r="AAW1157" s="905"/>
      <c r="AAX1157" s="905"/>
      <c r="AAY1157" s="905"/>
      <c r="AAZ1157" s="905"/>
      <c r="ABA1157" s="905"/>
      <c r="ABB1157" s="905"/>
      <c r="ABC1157" s="905"/>
      <c r="ABD1157" s="905"/>
      <c r="ABE1157" s="905"/>
      <c r="ABF1157" s="905"/>
      <c r="ABG1157" s="905"/>
      <c r="ABH1157" s="905"/>
      <c r="ABI1157" s="905"/>
      <c r="ABJ1157" s="905"/>
      <c r="ABK1157" s="905"/>
      <c r="ABL1157" s="905"/>
      <c r="ABM1157" s="905"/>
      <c r="ABN1157" s="905"/>
      <c r="ABO1157" s="905"/>
      <c r="ABP1157" s="905"/>
      <c r="ABQ1157" s="905"/>
      <c r="ABR1157" s="905"/>
      <c r="ABS1157" s="905"/>
      <c r="ABT1157" s="905"/>
      <c r="ABU1157" s="905"/>
      <c r="ABV1157" s="905"/>
      <c r="ABW1157" s="905"/>
      <c r="ABX1157" s="905"/>
      <c r="ABY1157" s="905"/>
      <c r="ABZ1157" s="905"/>
      <c r="ACA1157" s="905"/>
      <c r="ACB1157" s="905"/>
      <c r="ACC1157" s="905"/>
      <c r="ACD1157" s="905"/>
      <c r="ACE1157" s="905"/>
      <c r="ACF1157" s="905"/>
      <c r="ACG1157" s="905"/>
      <c r="ACH1157" s="905"/>
      <c r="ACI1157" s="905"/>
      <c r="ACJ1157" s="905"/>
      <c r="ACK1157" s="905"/>
      <c r="ACL1157" s="905"/>
      <c r="ACM1157" s="905"/>
      <c r="ACN1157" s="905"/>
      <c r="ACO1157" s="905"/>
      <c r="ACP1157" s="905"/>
      <c r="ACQ1157" s="905"/>
      <c r="ACR1157" s="905"/>
      <c r="ACS1157" s="905"/>
      <c r="ACT1157" s="905"/>
      <c r="ACU1157" s="905"/>
      <c r="ACV1157" s="905"/>
      <c r="ACW1157" s="905"/>
      <c r="ACX1157" s="905"/>
      <c r="ACY1157" s="905"/>
      <c r="ACZ1157" s="905"/>
      <c r="ADA1157" s="905"/>
      <c r="ADB1157" s="905"/>
      <c r="ADC1157" s="905"/>
      <c r="ADD1157" s="905"/>
      <c r="ADE1157" s="905"/>
      <c r="ADF1157" s="905"/>
      <c r="ADG1157" s="905"/>
      <c r="ADH1157" s="905"/>
      <c r="ADI1157" s="905"/>
      <c r="ADJ1157" s="905"/>
      <c r="ADK1157" s="905"/>
      <c r="ADL1157" s="905"/>
      <c r="ADM1157" s="905"/>
      <c r="ADN1157" s="905"/>
      <c r="ADO1157" s="905"/>
      <c r="ADP1157" s="905"/>
      <c r="ADQ1157" s="905"/>
      <c r="ADR1157" s="905"/>
      <c r="ADS1157" s="905"/>
      <c r="ADT1157" s="905"/>
      <c r="ADU1157" s="905"/>
      <c r="ADV1157" s="905"/>
      <c r="ADW1157" s="905"/>
      <c r="ADX1157" s="905"/>
      <c r="ADY1157" s="905"/>
      <c r="ADZ1157" s="905"/>
      <c r="AEA1157" s="905"/>
      <c r="AEB1157" s="905"/>
      <c r="AEC1157" s="905"/>
      <c r="AED1157" s="905"/>
      <c r="AEE1157" s="905"/>
      <c r="AEF1157" s="905"/>
      <c r="AEG1157" s="905"/>
      <c r="AEH1157" s="905"/>
      <c r="AEI1157" s="905"/>
      <c r="AEJ1157" s="905"/>
      <c r="AEK1157" s="905"/>
      <c r="AEL1157" s="905"/>
      <c r="AEM1157" s="905"/>
      <c r="AEN1157" s="905"/>
      <c r="AEO1157" s="905"/>
      <c r="AEP1157" s="905"/>
      <c r="AEQ1157" s="905"/>
      <c r="AER1157" s="905"/>
      <c r="AES1157" s="905"/>
      <c r="AET1157" s="905"/>
      <c r="AEU1157" s="905"/>
      <c r="AEV1157" s="905"/>
      <c r="AEW1157" s="905"/>
      <c r="AEX1157" s="905"/>
      <c r="AEY1157" s="905"/>
      <c r="AEZ1157" s="905"/>
      <c r="AFA1157" s="905"/>
      <c r="AFB1157" s="905"/>
      <c r="AFC1157" s="905"/>
      <c r="AFD1157" s="905"/>
      <c r="AFE1157" s="905"/>
      <c r="AFF1157" s="905"/>
      <c r="AFG1157" s="905"/>
      <c r="AFH1157" s="905"/>
      <c r="AFI1157" s="905"/>
      <c r="AFJ1157" s="905"/>
      <c r="AFK1157" s="905"/>
      <c r="AFL1157" s="905"/>
      <c r="AFM1157" s="905"/>
      <c r="AFN1157" s="905"/>
      <c r="AFO1157" s="905"/>
      <c r="AFP1157" s="905"/>
      <c r="AFQ1157" s="905"/>
      <c r="AFR1157" s="905"/>
      <c r="AFS1157" s="905"/>
      <c r="AFT1157" s="905"/>
      <c r="AFU1157" s="905"/>
      <c r="AFV1157" s="905"/>
      <c r="AFW1157" s="905"/>
      <c r="AFX1157" s="905"/>
      <c r="AFY1157" s="905"/>
      <c r="AFZ1157" s="905"/>
      <c r="AGA1157" s="905"/>
      <c r="AGB1157" s="905"/>
      <c r="AGC1157" s="905"/>
      <c r="AGD1157" s="905"/>
      <c r="AGE1157" s="905"/>
      <c r="AGF1157" s="905"/>
      <c r="AGG1157" s="905"/>
      <c r="AGH1157" s="905"/>
      <c r="AGI1157" s="905"/>
      <c r="AGJ1157" s="905"/>
    </row>
    <row r="1158" spans="1:868" s="898" customFormat="1">
      <c r="A1158" s="898" t="str">
        <f>Clothing!A353</f>
        <v>Clothing (product sector)</v>
      </c>
      <c r="B1158" s="898" t="str">
        <f>Clothing!B353</f>
        <v>Apparel accessories</v>
      </c>
      <c r="C1158" s="898" t="str">
        <f>Clothing!C353</f>
        <v>NL</v>
      </c>
      <c r="D1158" s="898" t="str">
        <f>Clothing!D353</f>
        <v>Acryl</v>
      </c>
      <c r="E1158" s="901">
        <f>Clothing!E353</f>
        <v>0.178803439613825</v>
      </c>
      <c r="F1158" s="898">
        <f>Clothing!F353</f>
        <v>1</v>
      </c>
      <c r="G1158" s="898" t="str">
        <f>Clothing!G353</f>
        <v>https://eeb.org/library/draft-product-environmental-footprint-category-rules-pefcr-apparel-and-footwear/</v>
      </c>
      <c r="H1158" s="911">
        <f>Clothing!H353</f>
        <v>2</v>
      </c>
      <c r="I1158" s="911" t="str">
        <f>Clothing!I353</f>
        <v/>
      </c>
      <c r="J1158" s="911">
        <f>Clothing!J353</f>
        <v>2</v>
      </c>
      <c r="K1158" s="911">
        <f>Clothing!K353</f>
        <v>1</v>
      </c>
      <c r="L1158" s="911">
        <f>Clothing!L353</f>
        <v>2</v>
      </c>
      <c r="M1158" s="911">
        <f>Clothing!M353</f>
        <v>3</v>
      </c>
      <c r="N1158" s="185">
        <f t="shared" si="89"/>
        <v>1.0301997916669636</v>
      </c>
      <c r="O1158" s="159" t="e">
        <f t="shared" si="90"/>
        <v>#VALUE!</v>
      </c>
      <c r="P1158" s="904"/>
      <c r="Q1158" s="905"/>
      <c r="R1158" s="905"/>
      <c r="S1158" s="905"/>
      <c r="T1158" s="905"/>
      <c r="U1158" s="905"/>
      <c r="V1158" s="905"/>
      <c r="W1158" s="905"/>
      <c r="X1158" s="905"/>
      <c r="Y1158" s="905"/>
      <c r="Z1158" s="905"/>
      <c r="AA1158" s="905"/>
      <c r="AB1158" s="905"/>
      <c r="AC1158" s="905"/>
      <c r="AD1158" s="905"/>
      <c r="AE1158" s="905"/>
      <c r="AF1158" s="905"/>
      <c r="AG1158" s="905"/>
      <c r="AH1158" s="905"/>
      <c r="AI1158" s="905"/>
      <c r="AJ1158" s="905"/>
      <c r="AK1158" s="905"/>
      <c r="AL1158" s="905"/>
      <c r="AM1158" s="905"/>
      <c r="AN1158" s="905"/>
      <c r="AO1158" s="905"/>
      <c r="AP1158" s="905"/>
      <c r="AQ1158" s="905"/>
      <c r="AR1158" s="905"/>
      <c r="AS1158" s="905"/>
      <c r="AT1158" s="905"/>
      <c r="AU1158" s="905"/>
      <c r="AV1158" s="905"/>
      <c r="AW1158" s="905"/>
      <c r="AX1158" s="905"/>
      <c r="AY1158" s="905"/>
      <c r="AZ1158" s="905"/>
      <c r="BA1158" s="905"/>
      <c r="BB1158" s="905"/>
      <c r="BC1158" s="905"/>
      <c r="BD1158" s="905"/>
      <c r="BE1158" s="905"/>
      <c r="BF1158" s="905"/>
      <c r="BG1158" s="905"/>
      <c r="BH1158" s="905"/>
      <c r="BI1158" s="905"/>
      <c r="BJ1158" s="905"/>
      <c r="BK1158" s="905"/>
      <c r="BL1158" s="905"/>
      <c r="BM1158" s="905"/>
      <c r="BN1158" s="905"/>
      <c r="BO1158" s="905"/>
      <c r="BP1158" s="905"/>
      <c r="BQ1158" s="905"/>
      <c r="BR1158" s="905"/>
      <c r="BS1158" s="905"/>
      <c r="BT1158" s="905"/>
      <c r="BU1158" s="905"/>
      <c r="BV1158" s="905"/>
      <c r="BW1158" s="905"/>
      <c r="BX1158" s="905"/>
      <c r="BY1158" s="905"/>
      <c r="BZ1158" s="905"/>
      <c r="CA1158" s="905"/>
      <c r="CB1158" s="905"/>
      <c r="CC1158" s="905"/>
      <c r="CD1158" s="905"/>
      <c r="CE1158" s="905"/>
      <c r="CF1158" s="905"/>
      <c r="CG1158" s="905"/>
      <c r="CH1158" s="905"/>
      <c r="CI1158" s="905"/>
      <c r="CJ1158" s="905"/>
      <c r="CK1158" s="905"/>
      <c r="CL1158" s="905"/>
      <c r="CM1158" s="905"/>
      <c r="CN1158" s="905"/>
      <c r="CO1158" s="905"/>
      <c r="CP1158" s="905"/>
      <c r="CQ1158" s="905"/>
      <c r="CR1158" s="905"/>
      <c r="CS1158" s="905"/>
      <c r="CT1158" s="905"/>
      <c r="CU1158" s="905"/>
      <c r="CV1158" s="905"/>
      <c r="CW1158" s="905"/>
      <c r="CX1158" s="905"/>
      <c r="CY1158" s="905"/>
      <c r="CZ1158" s="905"/>
      <c r="DA1158" s="905"/>
      <c r="DB1158" s="905"/>
      <c r="DC1158" s="905"/>
      <c r="DD1158" s="905"/>
      <c r="DE1158" s="905"/>
      <c r="DF1158" s="905"/>
      <c r="DG1158" s="905"/>
      <c r="DH1158" s="905"/>
      <c r="DI1158" s="905"/>
      <c r="DJ1158" s="905"/>
      <c r="DK1158" s="905"/>
      <c r="DL1158" s="905"/>
      <c r="DM1158" s="905"/>
      <c r="DN1158" s="905"/>
      <c r="DO1158" s="905"/>
      <c r="DP1158" s="905"/>
      <c r="DQ1158" s="905"/>
      <c r="DR1158" s="905"/>
      <c r="DS1158" s="905"/>
      <c r="DT1158" s="905"/>
      <c r="DU1158" s="905"/>
      <c r="DV1158" s="905"/>
      <c r="DW1158" s="905"/>
      <c r="DX1158" s="905"/>
      <c r="DY1158" s="905"/>
      <c r="DZ1158" s="905"/>
      <c r="EA1158" s="905"/>
      <c r="EB1158" s="905"/>
      <c r="EC1158" s="905"/>
      <c r="ED1158" s="905"/>
      <c r="EE1158" s="905"/>
      <c r="EF1158" s="905"/>
      <c r="EG1158" s="905"/>
      <c r="EH1158" s="905"/>
      <c r="EI1158" s="905"/>
      <c r="EJ1158" s="905"/>
      <c r="EK1158" s="905"/>
      <c r="EL1158" s="905"/>
      <c r="EM1158" s="905"/>
      <c r="EN1158" s="905"/>
      <c r="EO1158" s="905"/>
      <c r="EP1158" s="905"/>
      <c r="EQ1158" s="905"/>
      <c r="ER1158" s="905"/>
      <c r="ES1158" s="905"/>
      <c r="ET1158" s="905"/>
      <c r="EU1158" s="905"/>
      <c r="EV1158" s="905"/>
      <c r="EW1158" s="905"/>
      <c r="EX1158" s="905"/>
      <c r="EY1158" s="905"/>
      <c r="EZ1158" s="905"/>
      <c r="FA1158" s="905"/>
      <c r="FB1158" s="905"/>
      <c r="FC1158" s="905"/>
      <c r="FD1158" s="905"/>
      <c r="FE1158" s="905"/>
      <c r="FF1158" s="905"/>
      <c r="FG1158" s="905"/>
      <c r="FH1158" s="905"/>
      <c r="FI1158" s="905"/>
      <c r="FJ1158" s="905"/>
      <c r="FK1158" s="905"/>
      <c r="FL1158" s="905"/>
      <c r="FM1158" s="905"/>
      <c r="FN1158" s="905"/>
      <c r="FO1158" s="905"/>
      <c r="FP1158" s="905"/>
      <c r="FQ1158" s="905"/>
      <c r="FR1158" s="905"/>
      <c r="FS1158" s="905"/>
      <c r="FT1158" s="905"/>
      <c r="FU1158" s="905"/>
      <c r="FV1158" s="905"/>
      <c r="FW1158" s="905"/>
      <c r="FX1158" s="905"/>
      <c r="FY1158" s="905"/>
      <c r="FZ1158" s="905"/>
      <c r="GA1158" s="905"/>
      <c r="GB1158" s="905"/>
      <c r="GC1158" s="905"/>
      <c r="GD1158" s="905"/>
      <c r="GE1158" s="905"/>
      <c r="GF1158" s="905"/>
      <c r="GG1158" s="905"/>
      <c r="GH1158" s="905"/>
      <c r="GI1158" s="905"/>
      <c r="GJ1158" s="905"/>
      <c r="GK1158" s="905"/>
      <c r="GL1158" s="905"/>
      <c r="GM1158" s="905"/>
      <c r="GN1158" s="905"/>
      <c r="GO1158" s="905"/>
      <c r="GP1158" s="905"/>
      <c r="GQ1158" s="905"/>
      <c r="GR1158" s="905"/>
      <c r="GS1158" s="905"/>
      <c r="GT1158" s="905"/>
      <c r="GU1158" s="905"/>
      <c r="GV1158" s="905"/>
      <c r="GW1158" s="905"/>
      <c r="GX1158" s="905"/>
      <c r="GY1158" s="905"/>
      <c r="GZ1158" s="905"/>
      <c r="HA1158" s="905"/>
      <c r="HB1158" s="905"/>
      <c r="HC1158" s="905"/>
      <c r="HD1158" s="905"/>
      <c r="HE1158" s="905"/>
      <c r="HF1158" s="905"/>
      <c r="HG1158" s="905"/>
      <c r="HH1158" s="905"/>
      <c r="HI1158" s="905"/>
      <c r="HJ1158" s="905"/>
      <c r="HK1158" s="905"/>
      <c r="HL1158" s="905"/>
      <c r="HM1158" s="905"/>
      <c r="HN1158" s="905"/>
      <c r="HO1158" s="905"/>
      <c r="HP1158" s="905"/>
      <c r="HQ1158" s="905"/>
      <c r="HR1158" s="905"/>
      <c r="HS1158" s="905"/>
      <c r="HT1158" s="905"/>
      <c r="HU1158" s="905"/>
      <c r="HV1158" s="905"/>
      <c r="HW1158" s="905"/>
      <c r="HX1158" s="905"/>
      <c r="HY1158" s="905"/>
      <c r="HZ1158" s="905"/>
      <c r="IA1158" s="905"/>
      <c r="IB1158" s="905"/>
      <c r="IC1158" s="905"/>
      <c r="ID1158" s="905"/>
      <c r="IE1158" s="905"/>
      <c r="IF1158" s="905"/>
      <c r="IG1158" s="905"/>
      <c r="IH1158" s="905"/>
      <c r="II1158" s="905"/>
      <c r="IJ1158" s="905"/>
      <c r="IK1158" s="905"/>
      <c r="IL1158" s="905"/>
      <c r="IM1158" s="905"/>
      <c r="IN1158" s="905"/>
      <c r="IO1158" s="905"/>
      <c r="IP1158" s="905"/>
      <c r="IQ1158" s="905"/>
      <c r="IR1158" s="905"/>
      <c r="IS1158" s="905"/>
      <c r="IT1158" s="905"/>
      <c r="IU1158" s="905"/>
      <c r="IV1158" s="905"/>
      <c r="IW1158" s="905"/>
      <c r="IX1158" s="905"/>
      <c r="IY1158" s="905"/>
      <c r="IZ1158" s="905"/>
      <c r="JA1158" s="905"/>
      <c r="JB1158" s="905"/>
      <c r="JC1158" s="905"/>
      <c r="JD1158" s="905"/>
      <c r="JE1158" s="905"/>
      <c r="JF1158" s="905"/>
      <c r="JG1158" s="905"/>
      <c r="JH1158" s="905"/>
      <c r="JI1158" s="905"/>
      <c r="JJ1158" s="905"/>
      <c r="JK1158" s="905"/>
      <c r="JL1158" s="905"/>
      <c r="JM1158" s="905"/>
      <c r="JN1158" s="905"/>
      <c r="JO1158" s="905"/>
      <c r="JP1158" s="905"/>
      <c r="JQ1158" s="905"/>
      <c r="JR1158" s="905"/>
      <c r="JS1158" s="905"/>
      <c r="JT1158" s="905"/>
      <c r="JU1158" s="905"/>
      <c r="JV1158" s="905"/>
      <c r="JW1158" s="905"/>
      <c r="JX1158" s="905"/>
      <c r="JY1158" s="905"/>
      <c r="JZ1158" s="905"/>
      <c r="KA1158" s="905"/>
      <c r="KB1158" s="905"/>
      <c r="KC1158" s="905"/>
      <c r="KD1158" s="905"/>
      <c r="KE1158" s="905"/>
      <c r="KF1158" s="905"/>
      <c r="KG1158" s="905"/>
      <c r="KH1158" s="905"/>
      <c r="KI1158" s="905"/>
      <c r="KJ1158" s="905"/>
      <c r="KK1158" s="905"/>
      <c r="KL1158" s="905"/>
      <c r="KM1158" s="905"/>
      <c r="KN1158" s="905"/>
      <c r="KO1158" s="905"/>
      <c r="KP1158" s="905"/>
      <c r="KQ1158" s="905"/>
      <c r="KR1158" s="905"/>
      <c r="KS1158" s="905"/>
      <c r="KT1158" s="905"/>
      <c r="KU1158" s="905"/>
      <c r="KV1158" s="905"/>
      <c r="KW1158" s="905"/>
      <c r="KX1158" s="905"/>
      <c r="KY1158" s="905"/>
      <c r="KZ1158" s="905"/>
      <c r="LA1158" s="905"/>
      <c r="LB1158" s="905"/>
      <c r="LC1158" s="905"/>
      <c r="LD1158" s="905"/>
      <c r="LE1158" s="905"/>
      <c r="LF1158" s="905"/>
      <c r="LG1158" s="905"/>
      <c r="LH1158" s="905"/>
      <c r="LI1158" s="905"/>
      <c r="LJ1158" s="905"/>
      <c r="LK1158" s="905"/>
      <c r="LL1158" s="905"/>
      <c r="LM1158" s="905"/>
      <c r="LN1158" s="905"/>
      <c r="LO1158" s="905"/>
      <c r="LP1158" s="905"/>
      <c r="LQ1158" s="905"/>
      <c r="LR1158" s="905"/>
      <c r="LS1158" s="905"/>
      <c r="LT1158" s="905"/>
      <c r="LU1158" s="905"/>
      <c r="LV1158" s="905"/>
      <c r="LW1158" s="905"/>
      <c r="LX1158" s="905"/>
      <c r="LY1158" s="905"/>
      <c r="LZ1158" s="905"/>
      <c r="MA1158" s="905"/>
      <c r="MB1158" s="905"/>
      <c r="MC1158" s="905"/>
      <c r="MD1158" s="905"/>
      <c r="ME1158" s="905"/>
      <c r="MF1158" s="905"/>
      <c r="MG1158" s="905"/>
      <c r="MH1158" s="905"/>
      <c r="MI1158" s="905"/>
      <c r="MJ1158" s="905"/>
      <c r="MK1158" s="905"/>
      <c r="ML1158" s="905"/>
      <c r="MM1158" s="905"/>
      <c r="MN1158" s="905"/>
      <c r="MO1158" s="905"/>
      <c r="MP1158" s="905"/>
      <c r="MQ1158" s="905"/>
      <c r="MR1158" s="905"/>
      <c r="MS1158" s="905"/>
      <c r="MT1158" s="905"/>
      <c r="MU1158" s="905"/>
      <c r="MV1158" s="905"/>
      <c r="MW1158" s="905"/>
      <c r="MX1158" s="905"/>
      <c r="MY1158" s="905"/>
      <c r="MZ1158" s="905"/>
      <c r="NA1158" s="905"/>
      <c r="NB1158" s="905"/>
      <c r="NC1158" s="905"/>
      <c r="ND1158" s="905"/>
      <c r="NE1158" s="905"/>
      <c r="NF1158" s="905"/>
      <c r="NG1158" s="905"/>
      <c r="NH1158" s="905"/>
      <c r="NI1158" s="905"/>
      <c r="NJ1158" s="905"/>
      <c r="NK1158" s="905"/>
      <c r="NL1158" s="905"/>
      <c r="NM1158" s="905"/>
      <c r="NN1158" s="905"/>
      <c r="NO1158" s="905"/>
      <c r="NP1158" s="905"/>
      <c r="NQ1158" s="905"/>
      <c r="NR1158" s="905"/>
      <c r="NS1158" s="905"/>
      <c r="NT1158" s="905"/>
      <c r="NU1158" s="905"/>
      <c r="NV1158" s="905"/>
      <c r="NW1158" s="905"/>
      <c r="NX1158" s="905"/>
      <c r="NY1158" s="905"/>
      <c r="NZ1158" s="905"/>
      <c r="OA1158" s="905"/>
      <c r="OB1158" s="905"/>
      <c r="OC1158" s="905"/>
      <c r="OD1158" s="905"/>
      <c r="OE1158" s="905"/>
      <c r="OF1158" s="905"/>
      <c r="OG1158" s="905"/>
      <c r="OH1158" s="905"/>
      <c r="OI1158" s="905"/>
      <c r="OJ1158" s="905"/>
      <c r="OK1158" s="905"/>
      <c r="OL1158" s="905"/>
      <c r="OM1158" s="905"/>
      <c r="ON1158" s="905"/>
      <c r="OO1158" s="905"/>
      <c r="OP1158" s="905"/>
      <c r="OQ1158" s="905"/>
      <c r="OR1158" s="905"/>
      <c r="OS1158" s="905"/>
      <c r="OT1158" s="905"/>
      <c r="OU1158" s="905"/>
      <c r="OV1158" s="905"/>
      <c r="OW1158" s="905"/>
      <c r="OX1158" s="905"/>
      <c r="OY1158" s="905"/>
      <c r="OZ1158" s="905"/>
      <c r="PA1158" s="905"/>
      <c r="PB1158" s="905"/>
      <c r="PC1158" s="905"/>
      <c r="PD1158" s="905"/>
      <c r="PE1158" s="905"/>
      <c r="PF1158" s="905"/>
      <c r="PG1158" s="905"/>
      <c r="PH1158" s="905"/>
      <c r="PI1158" s="905"/>
      <c r="PJ1158" s="905"/>
      <c r="PK1158" s="905"/>
      <c r="PL1158" s="905"/>
      <c r="PM1158" s="905"/>
      <c r="PN1158" s="905"/>
      <c r="PO1158" s="905"/>
      <c r="PP1158" s="905"/>
      <c r="PQ1158" s="905"/>
      <c r="PR1158" s="905"/>
      <c r="PS1158" s="905"/>
      <c r="PT1158" s="905"/>
      <c r="PU1158" s="905"/>
      <c r="PV1158" s="905"/>
      <c r="PW1158" s="905"/>
      <c r="PX1158" s="905"/>
      <c r="PY1158" s="905"/>
      <c r="PZ1158" s="905"/>
      <c r="QA1158" s="905"/>
      <c r="QB1158" s="905"/>
      <c r="QC1158" s="905"/>
      <c r="QD1158" s="905"/>
      <c r="QE1158" s="905"/>
      <c r="QF1158" s="905"/>
      <c r="QG1158" s="905"/>
      <c r="QH1158" s="905"/>
      <c r="QI1158" s="905"/>
      <c r="QJ1158" s="905"/>
      <c r="QK1158" s="905"/>
      <c r="QL1158" s="905"/>
      <c r="QM1158" s="905"/>
      <c r="QN1158" s="905"/>
      <c r="QO1158" s="905"/>
      <c r="QP1158" s="905"/>
      <c r="QQ1158" s="905"/>
      <c r="QR1158" s="905"/>
      <c r="QS1158" s="905"/>
      <c r="QT1158" s="905"/>
      <c r="QU1158" s="905"/>
      <c r="QV1158" s="905"/>
      <c r="QW1158" s="905"/>
      <c r="QX1158" s="905"/>
      <c r="QY1158" s="905"/>
      <c r="QZ1158" s="905"/>
      <c r="RA1158" s="905"/>
      <c r="RB1158" s="905"/>
      <c r="RC1158" s="905"/>
      <c r="RD1158" s="905"/>
      <c r="RE1158" s="905"/>
      <c r="RF1158" s="905"/>
      <c r="RG1158" s="905"/>
      <c r="RH1158" s="905"/>
      <c r="RI1158" s="905"/>
      <c r="RJ1158" s="905"/>
      <c r="RK1158" s="905"/>
      <c r="RL1158" s="905"/>
      <c r="RM1158" s="905"/>
      <c r="RN1158" s="905"/>
      <c r="RO1158" s="905"/>
      <c r="RP1158" s="905"/>
      <c r="RQ1158" s="905"/>
      <c r="RR1158" s="905"/>
      <c r="RS1158" s="905"/>
      <c r="RT1158" s="905"/>
      <c r="RU1158" s="905"/>
      <c r="RV1158" s="905"/>
      <c r="RW1158" s="905"/>
      <c r="RX1158" s="905"/>
      <c r="RY1158" s="905"/>
      <c r="RZ1158" s="905"/>
      <c r="SA1158" s="905"/>
      <c r="SB1158" s="905"/>
      <c r="SC1158" s="905"/>
      <c r="SD1158" s="905"/>
      <c r="SE1158" s="905"/>
      <c r="SF1158" s="905"/>
      <c r="SG1158" s="905"/>
      <c r="SH1158" s="905"/>
      <c r="SI1158" s="905"/>
      <c r="SJ1158" s="905"/>
      <c r="SK1158" s="905"/>
      <c r="SL1158" s="905"/>
      <c r="SM1158" s="905"/>
      <c r="SN1158" s="905"/>
      <c r="SO1158" s="905"/>
      <c r="SP1158" s="905"/>
      <c r="SQ1158" s="905"/>
      <c r="SR1158" s="905"/>
      <c r="SS1158" s="905"/>
      <c r="ST1158" s="905"/>
      <c r="SU1158" s="905"/>
      <c r="SV1158" s="905"/>
      <c r="SW1158" s="905"/>
      <c r="SX1158" s="905"/>
      <c r="SY1158" s="905"/>
      <c r="SZ1158" s="905"/>
      <c r="TA1158" s="905"/>
      <c r="TB1158" s="905"/>
      <c r="TC1158" s="905"/>
      <c r="TD1158" s="905"/>
      <c r="TE1158" s="905"/>
      <c r="TF1158" s="905"/>
      <c r="TG1158" s="905"/>
      <c r="TH1158" s="905"/>
      <c r="TI1158" s="905"/>
      <c r="TJ1158" s="905"/>
      <c r="TK1158" s="905"/>
      <c r="TL1158" s="905"/>
      <c r="TM1158" s="905"/>
      <c r="TN1158" s="905"/>
      <c r="TO1158" s="905"/>
      <c r="TP1158" s="905"/>
      <c r="TQ1158" s="905"/>
      <c r="TR1158" s="905"/>
      <c r="TS1158" s="905"/>
      <c r="TT1158" s="905"/>
      <c r="TU1158" s="905"/>
      <c r="TV1158" s="905"/>
      <c r="TW1158" s="905"/>
      <c r="TX1158" s="905"/>
      <c r="TY1158" s="905"/>
      <c r="TZ1158" s="905"/>
      <c r="UA1158" s="905"/>
      <c r="UB1158" s="905"/>
      <c r="UC1158" s="905"/>
      <c r="UD1158" s="905"/>
      <c r="UE1158" s="905"/>
      <c r="UF1158" s="905"/>
      <c r="UG1158" s="905"/>
      <c r="UH1158" s="905"/>
      <c r="UI1158" s="905"/>
      <c r="UJ1158" s="905"/>
      <c r="UK1158" s="905"/>
      <c r="UL1158" s="905"/>
      <c r="UM1158" s="905"/>
      <c r="UN1158" s="905"/>
      <c r="UO1158" s="905"/>
      <c r="UP1158" s="905"/>
      <c r="UQ1158" s="905"/>
      <c r="UR1158" s="905"/>
      <c r="US1158" s="905"/>
      <c r="UT1158" s="905"/>
      <c r="UU1158" s="905"/>
      <c r="UV1158" s="905"/>
      <c r="UW1158" s="905"/>
      <c r="UX1158" s="905"/>
      <c r="UY1158" s="905"/>
      <c r="UZ1158" s="905"/>
      <c r="VA1158" s="905"/>
      <c r="VB1158" s="905"/>
      <c r="VC1158" s="905"/>
      <c r="VD1158" s="905"/>
      <c r="VE1158" s="905"/>
      <c r="VF1158" s="905"/>
      <c r="VG1158" s="905"/>
      <c r="VH1158" s="905"/>
      <c r="VI1158" s="905"/>
      <c r="VJ1158" s="905"/>
      <c r="VK1158" s="905"/>
      <c r="VL1158" s="905"/>
      <c r="VM1158" s="905"/>
      <c r="VN1158" s="905"/>
      <c r="VO1158" s="905"/>
      <c r="VP1158" s="905"/>
      <c r="VQ1158" s="905"/>
      <c r="VR1158" s="905"/>
      <c r="VS1158" s="905"/>
      <c r="VT1158" s="905"/>
      <c r="VU1158" s="905"/>
      <c r="VV1158" s="905"/>
      <c r="VW1158" s="905"/>
      <c r="VX1158" s="905"/>
      <c r="VY1158" s="905"/>
      <c r="VZ1158" s="905"/>
      <c r="WA1158" s="905"/>
      <c r="WB1158" s="905"/>
      <c r="WC1158" s="905"/>
      <c r="WD1158" s="905"/>
      <c r="WE1158" s="905"/>
      <c r="WF1158" s="905"/>
      <c r="WG1158" s="905"/>
      <c r="WH1158" s="905"/>
      <c r="WI1158" s="905"/>
      <c r="WJ1158" s="905"/>
      <c r="WK1158" s="905"/>
      <c r="WL1158" s="905"/>
      <c r="WM1158" s="905"/>
      <c r="WN1158" s="905"/>
      <c r="WO1158" s="905"/>
      <c r="WP1158" s="905"/>
      <c r="WQ1158" s="905"/>
      <c r="WR1158" s="905"/>
      <c r="WS1158" s="905"/>
      <c r="WT1158" s="905"/>
      <c r="WU1158" s="905"/>
      <c r="WV1158" s="905"/>
      <c r="WW1158" s="905"/>
      <c r="WX1158" s="905"/>
      <c r="WY1158" s="905"/>
      <c r="WZ1158" s="905"/>
      <c r="XA1158" s="905"/>
      <c r="XB1158" s="905"/>
      <c r="XC1158" s="905"/>
      <c r="XD1158" s="905"/>
      <c r="XE1158" s="905"/>
      <c r="XF1158" s="905"/>
      <c r="XG1158" s="905"/>
      <c r="XH1158" s="905"/>
      <c r="XI1158" s="905"/>
      <c r="XJ1158" s="905"/>
      <c r="XK1158" s="905"/>
      <c r="XL1158" s="905"/>
      <c r="XM1158" s="905"/>
      <c r="XN1158" s="905"/>
      <c r="XO1158" s="905"/>
      <c r="XP1158" s="905"/>
      <c r="XQ1158" s="905"/>
      <c r="XR1158" s="905"/>
      <c r="XS1158" s="905"/>
      <c r="XT1158" s="905"/>
      <c r="XU1158" s="905"/>
      <c r="XV1158" s="905"/>
      <c r="XW1158" s="905"/>
      <c r="XX1158" s="905"/>
      <c r="XY1158" s="905"/>
      <c r="XZ1158" s="905"/>
      <c r="YA1158" s="905"/>
      <c r="YB1158" s="905"/>
      <c r="YC1158" s="905"/>
      <c r="YD1158" s="905"/>
      <c r="YE1158" s="905"/>
      <c r="YF1158" s="905"/>
      <c r="YG1158" s="905"/>
      <c r="YH1158" s="905"/>
      <c r="YI1158" s="905"/>
      <c r="YJ1158" s="905"/>
      <c r="YK1158" s="905"/>
      <c r="YL1158" s="905"/>
      <c r="YM1158" s="905"/>
      <c r="YN1158" s="905"/>
      <c r="YO1158" s="905"/>
      <c r="YP1158" s="905"/>
      <c r="YQ1158" s="905"/>
      <c r="YR1158" s="905"/>
      <c r="YS1158" s="905"/>
      <c r="YT1158" s="905"/>
      <c r="YU1158" s="905"/>
      <c r="YV1158" s="905"/>
      <c r="YW1158" s="905"/>
      <c r="YX1158" s="905"/>
      <c r="YY1158" s="905"/>
      <c r="YZ1158" s="905"/>
      <c r="ZA1158" s="905"/>
      <c r="ZB1158" s="905"/>
      <c r="ZC1158" s="905"/>
      <c r="ZD1158" s="905"/>
      <c r="ZE1158" s="905"/>
      <c r="ZF1158" s="905"/>
      <c r="ZG1158" s="905"/>
      <c r="ZH1158" s="905"/>
      <c r="ZI1158" s="905"/>
      <c r="ZJ1158" s="905"/>
      <c r="ZK1158" s="905"/>
      <c r="ZL1158" s="905"/>
      <c r="ZM1158" s="905"/>
      <c r="ZN1158" s="905"/>
      <c r="ZO1158" s="905"/>
      <c r="ZP1158" s="905"/>
      <c r="ZQ1158" s="905"/>
      <c r="ZR1158" s="905"/>
      <c r="ZS1158" s="905"/>
      <c r="ZT1158" s="905"/>
      <c r="ZU1158" s="905"/>
      <c r="ZV1158" s="905"/>
      <c r="ZW1158" s="905"/>
      <c r="ZX1158" s="905"/>
      <c r="ZY1158" s="905"/>
      <c r="ZZ1158" s="905"/>
      <c r="AAA1158" s="905"/>
      <c r="AAB1158" s="905"/>
      <c r="AAC1158" s="905"/>
      <c r="AAD1158" s="905"/>
      <c r="AAE1158" s="905"/>
      <c r="AAF1158" s="905"/>
      <c r="AAG1158" s="905"/>
      <c r="AAH1158" s="905"/>
      <c r="AAI1158" s="905"/>
      <c r="AAJ1158" s="905"/>
      <c r="AAK1158" s="905"/>
      <c r="AAL1158" s="905"/>
      <c r="AAM1158" s="905"/>
      <c r="AAN1158" s="905"/>
      <c r="AAO1158" s="905"/>
      <c r="AAP1158" s="905"/>
      <c r="AAQ1158" s="905"/>
      <c r="AAR1158" s="905"/>
      <c r="AAS1158" s="905"/>
      <c r="AAT1158" s="905"/>
      <c r="AAU1158" s="905"/>
      <c r="AAV1158" s="905"/>
      <c r="AAW1158" s="905"/>
      <c r="AAX1158" s="905"/>
      <c r="AAY1158" s="905"/>
      <c r="AAZ1158" s="905"/>
      <c r="ABA1158" s="905"/>
      <c r="ABB1158" s="905"/>
      <c r="ABC1158" s="905"/>
      <c r="ABD1158" s="905"/>
      <c r="ABE1158" s="905"/>
      <c r="ABF1158" s="905"/>
      <c r="ABG1158" s="905"/>
      <c r="ABH1158" s="905"/>
      <c r="ABI1158" s="905"/>
      <c r="ABJ1158" s="905"/>
      <c r="ABK1158" s="905"/>
      <c r="ABL1158" s="905"/>
      <c r="ABM1158" s="905"/>
      <c r="ABN1158" s="905"/>
      <c r="ABO1158" s="905"/>
      <c r="ABP1158" s="905"/>
      <c r="ABQ1158" s="905"/>
      <c r="ABR1158" s="905"/>
      <c r="ABS1158" s="905"/>
      <c r="ABT1158" s="905"/>
      <c r="ABU1158" s="905"/>
      <c r="ABV1158" s="905"/>
      <c r="ABW1158" s="905"/>
      <c r="ABX1158" s="905"/>
      <c r="ABY1158" s="905"/>
      <c r="ABZ1158" s="905"/>
      <c r="ACA1158" s="905"/>
      <c r="ACB1158" s="905"/>
      <c r="ACC1158" s="905"/>
      <c r="ACD1158" s="905"/>
      <c r="ACE1158" s="905"/>
      <c r="ACF1158" s="905"/>
      <c r="ACG1158" s="905"/>
      <c r="ACH1158" s="905"/>
      <c r="ACI1158" s="905"/>
      <c r="ACJ1158" s="905"/>
      <c r="ACK1158" s="905"/>
      <c r="ACL1158" s="905"/>
      <c r="ACM1158" s="905"/>
      <c r="ACN1158" s="905"/>
      <c r="ACO1158" s="905"/>
      <c r="ACP1158" s="905"/>
      <c r="ACQ1158" s="905"/>
      <c r="ACR1158" s="905"/>
      <c r="ACS1158" s="905"/>
      <c r="ACT1158" s="905"/>
      <c r="ACU1158" s="905"/>
      <c r="ACV1158" s="905"/>
      <c r="ACW1158" s="905"/>
      <c r="ACX1158" s="905"/>
      <c r="ACY1158" s="905"/>
      <c r="ACZ1158" s="905"/>
      <c r="ADA1158" s="905"/>
      <c r="ADB1158" s="905"/>
      <c r="ADC1158" s="905"/>
      <c r="ADD1158" s="905"/>
      <c r="ADE1158" s="905"/>
      <c r="ADF1158" s="905"/>
      <c r="ADG1158" s="905"/>
      <c r="ADH1158" s="905"/>
      <c r="ADI1158" s="905"/>
      <c r="ADJ1158" s="905"/>
      <c r="ADK1158" s="905"/>
      <c r="ADL1158" s="905"/>
      <c r="ADM1158" s="905"/>
      <c r="ADN1158" s="905"/>
      <c r="ADO1158" s="905"/>
      <c r="ADP1158" s="905"/>
      <c r="ADQ1158" s="905"/>
      <c r="ADR1158" s="905"/>
      <c r="ADS1158" s="905"/>
      <c r="ADT1158" s="905"/>
      <c r="ADU1158" s="905"/>
      <c r="ADV1158" s="905"/>
      <c r="ADW1158" s="905"/>
      <c r="ADX1158" s="905"/>
      <c r="ADY1158" s="905"/>
      <c r="ADZ1158" s="905"/>
      <c r="AEA1158" s="905"/>
      <c r="AEB1158" s="905"/>
      <c r="AEC1158" s="905"/>
      <c r="AED1158" s="905"/>
      <c r="AEE1158" s="905"/>
      <c r="AEF1158" s="905"/>
      <c r="AEG1158" s="905"/>
      <c r="AEH1158" s="905"/>
      <c r="AEI1158" s="905"/>
      <c r="AEJ1158" s="905"/>
      <c r="AEK1158" s="905"/>
      <c r="AEL1158" s="905"/>
      <c r="AEM1158" s="905"/>
      <c r="AEN1158" s="905"/>
      <c r="AEO1158" s="905"/>
      <c r="AEP1158" s="905"/>
      <c r="AEQ1158" s="905"/>
      <c r="AER1158" s="905"/>
      <c r="AES1158" s="905"/>
      <c r="AET1158" s="905"/>
      <c r="AEU1158" s="905"/>
      <c r="AEV1158" s="905"/>
      <c r="AEW1158" s="905"/>
      <c r="AEX1158" s="905"/>
      <c r="AEY1158" s="905"/>
      <c r="AEZ1158" s="905"/>
      <c r="AFA1158" s="905"/>
      <c r="AFB1158" s="905"/>
      <c r="AFC1158" s="905"/>
      <c r="AFD1158" s="905"/>
      <c r="AFE1158" s="905"/>
      <c r="AFF1158" s="905"/>
      <c r="AFG1158" s="905"/>
      <c r="AFH1158" s="905"/>
      <c r="AFI1158" s="905"/>
      <c r="AFJ1158" s="905"/>
      <c r="AFK1158" s="905"/>
      <c r="AFL1158" s="905"/>
      <c r="AFM1158" s="905"/>
      <c r="AFN1158" s="905"/>
      <c r="AFO1158" s="905"/>
      <c r="AFP1158" s="905"/>
      <c r="AFQ1158" s="905"/>
      <c r="AFR1158" s="905"/>
      <c r="AFS1158" s="905"/>
      <c r="AFT1158" s="905"/>
      <c r="AFU1158" s="905"/>
      <c r="AFV1158" s="905"/>
      <c r="AFW1158" s="905"/>
      <c r="AFX1158" s="905"/>
      <c r="AFY1158" s="905"/>
      <c r="AFZ1158" s="905"/>
      <c r="AGA1158" s="905"/>
      <c r="AGB1158" s="905"/>
      <c r="AGC1158" s="905"/>
      <c r="AGD1158" s="905"/>
      <c r="AGE1158" s="905"/>
      <c r="AGF1158" s="905"/>
      <c r="AGG1158" s="905"/>
      <c r="AGH1158" s="905"/>
      <c r="AGI1158" s="905"/>
      <c r="AGJ1158" s="905"/>
    </row>
    <row r="1159" spans="1:868" s="898" customFormat="1">
      <c r="A1159" s="898" t="str">
        <f>Clothing!A354</f>
        <v>Clothing (product sector)</v>
      </c>
      <c r="B1159" s="898" t="str">
        <f>Clothing!B354</f>
        <v>Apparel accessories</v>
      </c>
      <c r="C1159" s="898" t="str">
        <f>Clothing!C354</f>
        <v>NL</v>
      </c>
      <c r="D1159" s="898" t="str">
        <f>Clothing!D354</f>
        <v>OTHER</v>
      </c>
      <c r="E1159" s="901">
        <f>Clothing!E354</f>
        <v>0</v>
      </c>
      <c r="F1159" s="898">
        <f>Clothing!F354</f>
        <v>1</v>
      </c>
      <c r="G1159" s="898" t="str">
        <f>Clothing!G354</f>
        <v>https://eeb.org/library/draft-product-environmental-footprint-category-rules-pefcr-apparel-and-footwear/</v>
      </c>
      <c r="H1159" s="902">
        <f>Clothing!H354</f>
        <v>2</v>
      </c>
      <c r="I1159" s="902" t="str">
        <f>Clothing!I354</f>
        <v/>
      </c>
      <c r="J1159" s="902">
        <f>Clothing!J354</f>
        <v>2</v>
      </c>
      <c r="K1159" s="902">
        <f>Clothing!K354</f>
        <v>1</v>
      </c>
      <c r="L1159" s="902">
        <f>Clothing!L354</f>
        <v>2</v>
      </c>
      <c r="M1159" s="902">
        <f>Clothing!M354</f>
        <v>3</v>
      </c>
      <c r="N1159" s="185">
        <f t="shared" si="89"/>
        <v>1.0301997916669636</v>
      </c>
      <c r="O1159" s="159" t="e">
        <f t="shared" si="90"/>
        <v>#VALUE!</v>
      </c>
      <c r="P1159" s="904"/>
      <c r="Q1159" s="905"/>
      <c r="R1159" s="905"/>
      <c r="S1159" s="905"/>
      <c r="T1159" s="905"/>
      <c r="U1159" s="905"/>
      <c r="V1159" s="905"/>
      <c r="W1159" s="905"/>
      <c r="X1159" s="905"/>
      <c r="Y1159" s="905"/>
      <c r="Z1159" s="905"/>
      <c r="AA1159" s="905"/>
      <c r="AB1159" s="905"/>
      <c r="AC1159" s="905"/>
      <c r="AD1159" s="905"/>
      <c r="AE1159" s="905"/>
      <c r="AF1159" s="905"/>
      <c r="AG1159" s="905"/>
      <c r="AH1159" s="905"/>
      <c r="AI1159" s="905"/>
      <c r="AJ1159" s="905"/>
      <c r="AK1159" s="905"/>
      <c r="AL1159" s="905"/>
      <c r="AM1159" s="905"/>
      <c r="AN1159" s="905"/>
      <c r="AO1159" s="905"/>
      <c r="AP1159" s="905"/>
      <c r="AQ1159" s="905"/>
      <c r="AR1159" s="905"/>
      <c r="AS1159" s="905"/>
      <c r="AT1159" s="905"/>
      <c r="AU1159" s="905"/>
      <c r="AV1159" s="905"/>
      <c r="AW1159" s="905"/>
      <c r="AX1159" s="905"/>
      <c r="AY1159" s="905"/>
      <c r="AZ1159" s="905"/>
      <c r="BA1159" s="905"/>
      <c r="BB1159" s="905"/>
      <c r="BC1159" s="905"/>
      <c r="BD1159" s="905"/>
      <c r="BE1159" s="905"/>
      <c r="BF1159" s="905"/>
      <c r="BG1159" s="905"/>
      <c r="BH1159" s="905"/>
      <c r="BI1159" s="905"/>
      <c r="BJ1159" s="905"/>
      <c r="BK1159" s="905"/>
      <c r="BL1159" s="905"/>
      <c r="BM1159" s="905"/>
      <c r="BN1159" s="905"/>
      <c r="BO1159" s="905"/>
      <c r="BP1159" s="905"/>
      <c r="BQ1159" s="905"/>
      <c r="BR1159" s="905"/>
      <c r="BS1159" s="905"/>
      <c r="BT1159" s="905"/>
      <c r="BU1159" s="905"/>
      <c r="BV1159" s="905"/>
      <c r="BW1159" s="905"/>
      <c r="BX1159" s="905"/>
      <c r="BY1159" s="905"/>
      <c r="BZ1159" s="905"/>
      <c r="CA1159" s="905"/>
      <c r="CB1159" s="905"/>
      <c r="CC1159" s="905"/>
      <c r="CD1159" s="905"/>
      <c r="CE1159" s="905"/>
      <c r="CF1159" s="905"/>
      <c r="CG1159" s="905"/>
      <c r="CH1159" s="905"/>
      <c r="CI1159" s="905"/>
      <c r="CJ1159" s="905"/>
      <c r="CK1159" s="905"/>
      <c r="CL1159" s="905"/>
      <c r="CM1159" s="905"/>
      <c r="CN1159" s="905"/>
      <c r="CO1159" s="905"/>
      <c r="CP1159" s="905"/>
      <c r="CQ1159" s="905"/>
      <c r="CR1159" s="905"/>
      <c r="CS1159" s="905"/>
      <c r="CT1159" s="905"/>
      <c r="CU1159" s="905"/>
      <c r="CV1159" s="905"/>
      <c r="CW1159" s="905"/>
      <c r="CX1159" s="905"/>
      <c r="CY1159" s="905"/>
      <c r="CZ1159" s="905"/>
      <c r="DA1159" s="905"/>
      <c r="DB1159" s="905"/>
      <c r="DC1159" s="905"/>
      <c r="DD1159" s="905"/>
      <c r="DE1159" s="905"/>
      <c r="DF1159" s="905"/>
      <c r="DG1159" s="905"/>
      <c r="DH1159" s="905"/>
      <c r="DI1159" s="905"/>
      <c r="DJ1159" s="905"/>
      <c r="DK1159" s="905"/>
      <c r="DL1159" s="905"/>
      <c r="DM1159" s="905"/>
      <c r="DN1159" s="905"/>
      <c r="DO1159" s="905"/>
      <c r="DP1159" s="905"/>
      <c r="DQ1159" s="905"/>
      <c r="DR1159" s="905"/>
      <c r="DS1159" s="905"/>
      <c r="DT1159" s="905"/>
      <c r="DU1159" s="905"/>
      <c r="DV1159" s="905"/>
      <c r="DW1159" s="905"/>
      <c r="DX1159" s="905"/>
      <c r="DY1159" s="905"/>
      <c r="DZ1159" s="905"/>
      <c r="EA1159" s="905"/>
      <c r="EB1159" s="905"/>
      <c r="EC1159" s="905"/>
      <c r="ED1159" s="905"/>
      <c r="EE1159" s="905"/>
      <c r="EF1159" s="905"/>
      <c r="EG1159" s="905"/>
      <c r="EH1159" s="905"/>
      <c r="EI1159" s="905"/>
      <c r="EJ1159" s="905"/>
      <c r="EK1159" s="905"/>
      <c r="EL1159" s="905"/>
      <c r="EM1159" s="905"/>
      <c r="EN1159" s="905"/>
      <c r="EO1159" s="905"/>
      <c r="EP1159" s="905"/>
      <c r="EQ1159" s="905"/>
      <c r="ER1159" s="905"/>
      <c r="ES1159" s="905"/>
      <c r="ET1159" s="905"/>
      <c r="EU1159" s="905"/>
      <c r="EV1159" s="905"/>
      <c r="EW1159" s="905"/>
      <c r="EX1159" s="905"/>
      <c r="EY1159" s="905"/>
      <c r="EZ1159" s="905"/>
      <c r="FA1159" s="905"/>
      <c r="FB1159" s="905"/>
      <c r="FC1159" s="905"/>
      <c r="FD1159" s="905"/>
      <c r="FE1159" s="905"/>
      <c r="FF1159" s="905"/>
      <c r="FG1159" s="905"/>
      <c r="FH1159" s="905"/>
      <c r="FI1159" s="905"/>
      <c r="FJ1159" s="905"/>
      <c r="FK1159" s="905"/>
      <c r="FL1159" s="905"/>
      <c r="FM1159" s="905"/>
      <c r="FN1159" s="905"/>
      <c r="FO1159" s="905"/>
      <c r="FP1159" s="905"/>
      <c r="FQ1159" s="905"/>
      <c r="FR1159" s="905"/>
      <c r="FS1159" s="905"/>
      <c r="FT1159" s="905"/>
      <c r="FU1159" s="905"/>
      <c r="FV1159" s="905"/>
      <c r="FW1159" s="905"/>
      <c r="FX1159" s="905"/>
      <c r="FY1159" s="905"/>
      <c r="FZ1159" s="905"/>
      <c r="GA1159" s="905"/>
      <c r="GB1159" s="905"/>
      <c r="GC1159" s="905"/>
      <c r="GD1159" s="905"/>
      <c r="GE1159" s="905"/>
      <c r="GF1159" s="905"/>
      <c r="GG1159" s="905"/>
      <c r="GH1159" s="905"/>
      <c r="GI1159" s="905"/>
      <c r="GJ1159" s="905"/>
      <c r="GK1159" s="905"/>
      <c r="GL1159" s="905"/>
      <c r="GM1159" s="905"/>
      <c r="GN1159" s="905"/>
      <c r="GO1159" s="905"/>
      <c r="GP1159" s="905"/>
      <c r="GQ1159" s="905"/>
      <c r="GR1159" s="905"/>
      <c r="GS1159" s="905"/>
      <c r="GT1159" s="905"/>
      <c r="GU1159" s="905"/>
      <c r="GV1159" s="905"/>
      <c r="GW1159" s="905"/>
      <c r="GX1159" s="905"/>
      <c r="GY1159" s="905"/>
      <c r="GZ1159" s="905"/>
      <c r="HA1159" s="905"/>
      <c r="HB1159" s="905"/>
      <c r="HC1159" s="905"/>
      <c r="HD1159" s="905"/>
      <c r="HE1159" s="905"/>
      <c r="HF1159" s="905"/>
      <c r="HG1159" s="905"/>
      <c r="HH1159" s="905"/>
      <c r="HI1159" s="905"/>
      <c r="HJ1159" s="905"/>
      <c r="HK1159" s="905"/>
      <c r="HL1159" s="905"/>
      <c r="HM1159" s="905"/>
      <c r="HN1159" s="905"/>
      <c r="HO1159" s="905"/>
      <c r="HP1159" s="905"/>
      <c r="HQ1159" s="905"/>
      <c r="HR1159" s="905"/>
      <c r="HS1159" s="905"/>
      <c r="HT1159" s="905"/>
      <c r="HU1159" s="905"/>
      <c r="HV1159" s="905"/>
      <c r="HW1159" s="905"/>
      <c r="HX1159" s="905"/>
      <c r="HY1159" s="905"/>
      <c r="HZ1159" s="905"/>
      <c r="IA1159" s="905"/>
      <c r="IB1159" s="905"/>
      <c r="IC1159" s="905"/>
      <c r="ID1159" s="905"/>
      <c r="IE1159" s="905"/>
      <c r="IF1159" s="905"/>
      <c r="IG1159" s="905"/>
      <c r="IH1159" s="905"/>
      <c r="II1159" s="905"/>
      <c r="IJ1159" s="905"/>
      <c r="IK1159" s="905"/>
      <c r="IL1159" s="905"/>
      <c r="IM1159" s="905"/>
      <c r="IN1159" s="905"/>
      <c r="IO1159" s="905"/>
      <c r="IP1159" s="905"/>
      <c r="IQ1159" s="905"/>
      <c r="IR1159" s="905"/>
      <c r="IS1159" s="905"/>
      <c r="IT1159" s="905"/>
      <c r="IU1159" s="905"/>
      <c r="IV1159" s="905"/>
      <c r="IW1159" s="905"/>
      <c r="IX1159" s="905"/>
      <c r="IY1159" s="905"/>
      <c r="IZ1159" s="905"/>
      <c r="JA1159" s="905"/>
      <c r="JB1159" s="905"/>
      <c r="JC1159" s="905"/>
      <c r="JD1159" s="905"/>
      <c r="JE1159" s="905"/>
      <c r="JF1159" s="905"/>
      <c r="JG1159" s="905"/>
      <c r="JH1159" s="905"/>
      <c r="JI1159" s="905"/>
      <c r="JJ1159" s="905"/>
      <c r="JK1159" s="905"/>
      <c r="JL1159" s="905"/>
      <c r="JM1159" s="905"/>
      <c r="JN1159" s="905"/>
      <c r="JO1159" s="905"/>
      <c r="JP1159" s="905"/>
      <c r="JQ1159" s="905"/>
      <c r="JR1159" s="905"/>
      <c r="JS1159" s="905"/>
      <c r="JT1159" s="905"/>
      <c r="JU1159" s="905"/>
      <c r="JV1159" s="905"/>
      <c r="JW1159" s="905"/>
      <c r="JX1159" s="905"/>
      <c r="JY1159" s="905"/>
      <c r="JZ1159" s="905"/>
      <c r="KA1159" s="905"/>
      <c r="KB1159" s="905"/>
      <c r="KC1159" s="905"/>
      <c r="KD1159" s="905"/>
      <c r="KE1159" s="905"/>
      <c r="KF1159" s="905"/>
      <c r="KG1159" s="905"/>
      <c r="KH1159" s="905"/>
      <c r="KI1159" s="905"/>
      <c r="KJ1159" s="905"/>
      <c r="KK1159" s="905"/>
      <c r="KL1159" s="905"/>
      <c r="KM1159" s="905"/>
      <c r="KN1159" s="905"/>
      <c r="KO1159" s="905"/>
      <c r="KP1159" s="905"/>
      <c r="KQ1159" s="905"/>
      <c r="KR1159" s="905"/>
      <c r="KS1159" s="905"/>
      <c r="KT1159" s="905"/>
      <c r="KU1159" s="905"/>
      <c r="KV1159" s="905"/>
      <c r="KW1159" s="905"/>
      <c r="KX1159" s="905"/>
      <c r="KY1159" s="905"/>
      <c r="KZ1159" s="905"/>
      <c r="LA1159" s="905"/>
      <c r="LB1159" s="905"/>
      <c r="LC1159" s="905"/>
      <c r="LD1159" s="905"/>
      <c r="LE1159" s="905"/>
      <c r="LF1159" s="905"/>
      <c r="LG1159" s="905"/>
      <c r="LH1159" s="905"/>
      <c r="LI1159" s="905"/>
      <c r="LJ1159" s="905"/>
      <c r="LK1159" s="905"/>
      <c r="LL1159" s="905"/>
      <c r="LM1159" s="905"/>
      <c r="LN1159" s="905"/>
      <c r="LO1159" s="905"/>
      <c r="LP1159" s="905"/>
      <c r="LQ1159" s="905"/>
      <c r="LR1159" s="905"/>
      <c r="LS1159" s="905"/>
      <c r="LT1159" s="905"/>
      <c r="LU1159" s="905"/>
      <c r="LV1159" s="905"/>
      <c r="LW1159" s="905"/>
      <c r="LX1159" s="905"/>
      <c r="LY1159" s="905"/>
      <c r="LZ1159" s="905"/>
      <c r="MA1159" s="905"/>
      <c r="MB1159" s="905"/>
      <c r="MC1159" s="905"/>
      <c r="MD1159" s="905"/>
      <c r="ME1159" s="905"/>
      <c r="MF1159" s="905"/>
      <c r="MG1159" s="905"/>
      <c r="MH1159" s="905"/>
      <c r="MI1159" s="905"/>
      <c r="MJ1159" s="905"/>
      <c r="MK1159" s="905"/>
      <c r="ML1159" s="905"/>
      <c r="MM1159" s="905"/>
      <c r="MN1159" s="905"/>
      <c r="MO1159" s="905"/>
      <c r="MP1159" s="905"/>
      <c r="MQ1159" s="905"/>
      <c r="MR1159" s="905"/>
      <c r="MS1159" s="905"/>
      <c r="MT1159" s="905"/>
      <c r="MU1159" s="905"/>
      <c r="MV1159" s="905"/>
      <c r="MW1159" s="905"/>
      <c r="MX1159" s="905"/>
      <c r="MY1159" s="905"/>
      <c r="MZ1159" s="905"/>
      <c r="NA1159" s="905"/>
      <c r="NB1159" s="905"/>
      <c r="NC1159" s="905"/>
      <c r="ND1159" s="905"/>
      <c r="NE1159" s="905"/>
      <c r="NF1159" s="905"/>
      <c r="NG1159" s="905"/>
      <c r="NH1159" s="905"/>
      <c r="NI1159" s="905"/>
      <c r="NJ1159" s="905"/>
      <c r="NK1159" s="905"/>
      <c r="NL1159" s="905"/>
      <c r="NM1159" s="905"/>
      <c r="NN1159" s="905"/>
      <c r="NO1159" s="905"/>
      <c r="NP1159" s="905"/>
      <c r="NQ1159" s="905"/>
      <c r="NR1159" s="905"/>
      <c r="NS1159" s="905"/>
      <c r="NT1159" s="905"/>
      <c r="NU1159" s="905"/>
      <c r="NV1159" s="905"/>
      <c r="NW1159" s="905"/>
      <c r="NX1159" s="905"/>
      <c r="NY1159" s="905"/>
      <c r="NZ1159" s="905"/>
      <c r="OA1159" s="905"/>
      <c r="OB1159" s="905"/>
      <c r="OC1159" s="905"/>
      <c r="OD1159" s="905"/>
      <c r="OE1159" s="905"/>
      <c r="OF1159" s="905"/>
      <c r="OG1159" s="905"/>
      <c r="OH1159" s="905"/>
      <c r="OI1159" s="905"/>
      <c r="OJ1159" s="905"/>
      <c r="OK1159" s="905"/>
      <c r="OL1159" s="905"/>
      <c r="OM1159" s="905"/>
      <c r="ON1159" s="905"/>
      <c r="OO1159" s="905"/>
      <c r="OP1159" s="905"/>
      <c r="OQ1159" s="905"/>
      <c r="OR1159" s="905"/>
      <c r="OS1159" s="905"/>
      <c r="OT1159" s="905"/>
      <c r="OU1159" s="905"/>
      <c r="OV1159" s="905"/>
      <c r="OW1159" s="905"/>
      <c r="OX1159" s="905"/>
      <c r="OY1159" s="905"/>
      <c r="OZ1159" s="905"/>
      <c r="PA1159" s="905"/>
      <c r="PB1159" s="905"/>
      <c r="PC1159" s="905"/>
      <c r="PD1159" s="905"/>
      <c r="PE1159" s="905"/>
      <c r="PF1159" s="905"/>
      <c r="PG1159" s="905"/>
      <c r="PH1159" s="905"/>
      <c r="PI1159" s="905"/>
      <c r="PJ1159" s="905"/>
      <c r="PK1159" s="905"/>
      <c r="PL1159" s="905"/>
      <c r="PM1159" s="905"/>
      <c r="PN1159" s="905"/>
      <c r="PO1159" s="905"/>
      <c r="PP1159" s="905"/>
      <c r="PQ1159" s="905"/>
      <c r="PR1159" s="905"/>
      <c r="PS1159" s="905"/>
      <c r="PT1159" s="905"/>
      <c r="PU1159" s="905"/>
      <c r="PV1159" s="905"/>
      <c r="PW1159" s="905"/>
      <c r="PX1159" s="905"/>
      <c r="PY1159" s="905"/>
      <c r="PZ1159" s="905"/>
      <c r="QA1159" s="905"/>
      <c r="QB1159" s="905"/>
      <c r="QC1159" s="905"/>
      <c r="QD1159" s="905"/>
      <c r="QE1159" s="905"/>
      <c r="QF1159" s="905"/>
      <c r="QG1159" s="905"/>
      <c r="QH1159" s="905"/>
      <c r="QI1159" s="905"/>
      <c r="QJ1159" s="905"/>
      <c r="QK1159" s="905"/>
      <c r="QL1159" s="905"/>
      <c r="QM1159" s="905"/>
      <c r="QN1159" s="905"/>
      <c r="QO1159" s="905"/>
      <c r="QP1159" s="905"/>
      <c r="QQ1159" s="905"/>
      <c r="QR1159" s="905"/>
      <c r="QS1159" s="905"/>
      <c r="QT1159" s="905"/>
      <c r="QU1159" s="905"/>
      <c r="QV1159" s="905"/>
      <c r="QW1159" s="905"/>
      <c r="QX1159" s="905"/>
      <c r="QY1159" s="905"/>
      <c r="QZ1159" s="905"/>
      <c r="RA1159" s="905"/>
      <c r="RB1159" s="905"/>
      <c r="RC1159" s="905"/>
      <c r="RD1159" s="905"/>
      <c r="RE1159" s="905"/>
      <c r="RF1159" s="905"/>
      <c r="RG1159" s="905"/>
      <c r="RH1159" s="905"/>
      <c r="RI1159" s="905"/>
      <c r="RJ1159" s="905"/>
      <c r="RK1159" s="905"/>
      <c r="RL1159" s="905"/>
      <c r="RM1159" s="905"/>
      <c r="RN1159" s="905"/>
      <c r="RO1159" s="905"/>
      <c r="RP1159" s="905"/>
      <c r="RQ1159" s="905"/>
      <c r="RR1159" s="905"/>
      <c r="RS1159" s="905"/>
      <c r="RT1159" s="905"/>
      <c r="RU1159" s="905"/>
      <c r="RV1159" s="905"/>
      <c r="RW1159" s="905"/>
      <c r="RX1159" s="905"/>
      <c r="RY1159" s="905"/>
      <c r="RZ1159" s="905"/>
      <c r="SA1159" s="905"/>
      <c r="SB1159" s="905"/>
      <c r="SC1159" s="905"/>
      <c r="SD1159" s="905"/>
      <c r="SE1159" s="905"/>
      <c r="SF1159" s="905"/>
      <c r="SG1159" s="905"/>
      <c r="SH1159" s="905"/>
      <c r="SI1159" s="905"/>
      <c r="SJ1159" s="905"/>
      <c r="SK1159" s="905"/>
      <c r="SL1159" s="905"/>
      <c r="SM1159" s="905"/>
      <c r="SN1159" s="905"/>
      <c r="SO1159" s="905"/>
      <c r="SP1159" s="905"/>
      <c r="SQ1159" s="905"/>
      <c r="SR1159" s="905"/>
      <c r="SS1159" s="905"/>
      <c r="ST1159" s="905"/>
      <c r="SU1159" s="905"/>
      <c r="SV1159" s="905"/>
      <c r="SW1159" s="905"/>
      <c r="SX1159" s="905"/>
      <c r="SY1159" s="905"/>
      <c r="SZ1159" s="905"/>
      <c r="TA1159" s="905"/>
      <c r="TB1159" s="905"/>
      <c r="TC1159" s="905"/>
      <c r="TD1159" s="905"/>
      <c r="TE1159" s="905"/>
      <c r="TF1159" s="905"/>
      <c r="TG1159" s="905"/>
      <c r="TH1159" s="905"/>
      <c r="TI1159" s="905"/>
      <c r="TJ1159" s="905"/>
      <c r="TK1159" s="905"/>
      <c r="TL1159" s="905"/>
      <c r="TM1159" s="905"/>
      <c r="TN1159" s="905"/>
      <c r="TO1159" s="905"/>
      <c r="TP1159" s="905"/>
      <c r="TQ1159" s="905"/>
      <c r="TR1159" s="905"/>
      <c r="TS1159" s="905"/>
      <c r="TT1159" s="905"/>
      <c r="TU1159" s="905"/>
      <c r="TV1159" s="905"/>
      <c r="TW1159" s="905"/>
      <c r="TX1159" s="905"/>
      <c r="TY1159" s="905"/>
      <c r="TZ1159" s="905"/>
      <c r="UA1159" s="905"/>
      <c r="UB1159" s="905"/>
      <c r="UC1159" s="905"/>
      <c r="UD1159" s="905"/>
      <c r="UE1159" s="905"/>
      <c r="UF1159" s="905"/>
      <c r="UG1159" s="905"/>
      <c r="UH1159" s="905"/>
      <c r="UI1159" s="905"/>
      <c r="UJ1159" s="905"/>
      <c r="UK1159" s="905"/>
      <c r="UL1159" s="905"/>
      <c r="UM1159" s="905"/>
      <c r="UN1159" s="905"/>
      <c r="UO1159" s="905"/>
      <c r="UP1159" s="905"/>
      <c r="UQ1159" s="905"/>
      <c r="UR1159" s="905"/>
      <c r="US1159" s="905"/>
      <c r="UT1159" s="905"/>
      <c r="UU1159" s="905"/>
      <c r="UV1159" s="905"/>
      <c r="UW1159" s="905"/>
      <c r="UX1159" s="905"/>
      <c r="UY1159" s="905"/>
      <c r="UZ1159" s="905"/>
      <c r="VA1159" s="905"/>
      <c r="VB1159" s="905"/>
      <c r="VC1159" s="905"/>
      <c r="VD1159" s="905"/>
      <c r="VE1159" s="905"/>
      <c r="VF1159" s="905"/>
      <c r="VG1159" s="905"/>
      <c r="VH1159" s="905"/>
      <c r="VI1159" s="905"/>
      <c r="VJ1159" s="905"/>
      <c r="VK1159" s="905"/>
      <c r="VL1159" s="905"/>
      <c r="VM1159" s="905"/>
      <c r="VN1159" s="905"/>
      <c r="VO1159" s="905"/>
      <c r="VP1159" s="905"/>
      <c r="VQ1159" s="905"/>
      <c r="VR1159" s="905"/>
      <c r="VS1159" s="905"/>
      <c r="VT1159" s="905"/>
      <c r="VU1159" s="905"/>
      <c r="VV1159" s="905"/>
      <c r="VW1159" s="905"/>
      <c r="VX1159" s="905"/>
      <c r="VY1159" s="905"/>
      <c r="VZ1159" s="905"/>
      <c r="WA1159" s="905"/>
      <c r="WB1159" s="905"/>
      <c r="WC1159" s="905"/>
      <c r="WD1159" s="905"/>
      <c r="WE1159" s="905"/>
      <c r="WF1159" s="905"/>
      <c r="WG1159" s="905"/>
      <c r="WH1159" s="905"/>
      <c r="WI1159" s="905"/>
      <c r="WJ1159" s="905"/>
      <c r="WK1159" s="905"/>
      <c r="WL1159" s="905"/>
      <c r="WM1159" s="905"/>
      <c r="WN1159" s="905"/>
      <c r="WO1159" s="905"/>
      <c r="WP1159" s="905"/>
      <c r="WQ1159" s="905"/>
      <c r="WR1159" s="905"/>
      <c r="WS1159" s="905"/>
      <c r="WT1159" s="905"/>
      <c r="WU1159" s="905"/>
      <c r="WV1159" s="905"/>
      <c r="WW1159" s="905"/>
      <c r="WX1159" s="905"/>
      <c r="WY1159" s="905"/>
      <c r="WZ1159" s="905"/>
      <c r="XA1159" s="905"/>
      <c r="XB1159" s="905"/>
      <c r="XC1159" s="905"/>
      <c r="XD1159" s="905"/>
      <c r="XE1159" s="905"/>
      <c r="XF1159" s="905"/>
      <c r="XG1159" s="905"/>
      <c r="XH1159" s="905"/>
      <c r="XI1159" s="905"/>
      <c r="XJ1159" s="905"/>
      <c r="XK1159" s="905"/>
      <c r="XL1159" s="905"/>
      <c r="XM1159" s="905"/>
      <c r="XN1159" s="905"/>
      <c r="XO1159" s="905"/>
      <c r="XP1159" s="905"/>
      <c r="XQ1159" s="905"/>
      <c r="XR1159" s="905"/>
      <c r="XS1159" s="905"/>
      <c r="XT1159" s="905"/>
      <c r="XU1159" s="905"/>
      <c r="XV1159" s="905"/>
      <c r="XW1159" s="905"/>
      <c r="XX1159" s="905"/>
      <c r="XY1159" s="905"/>
      <c r="XZ1159" s="905"/>
      <c r="YA1159" s="905"/>
      <c r="YB1159" s="905"/>
      <c r="YC1159" s="905"/>
      <c r="YD1159" s="905"/>
      <c r="YE1159" s="905"/>
      <c r="YF1159" s="905"/>
      <c r="YG1159" s="905"/>
      <c r="YH1159" s="905"/>
      <c r="YI1159" s="905"/>
      <c r="YJ1159" s="905"/>
      <c r="YK1159" s="905"/>
      <c r="YL1159" s="905"/>
      <c r="YM1159" s="905"/>
      <c r="YN1159" s="905"/>
      <c r="YO1159" s="905"/>
      <c r="YP1159" s="905"/>
      <c r="YQ1159" s="905"/>
      <c r="YR1159" s="905"/>
      <c r="YS1159" s="905"/>
      <c r="YT1159" s="905"/>
      <c r="YU1159" s="905"/>
      <c r="YV1159" s="905"/>
      <c r="YW1159" s="905"/>
      <c r="YX1159" s="905"/>
      <c r="YY1159" s="905"/>
      <c r="YZ1159" s="905"/>
      <c r="ZA1159" s="905"/>
      <c r="ZB1159" s="905"/>
      <c r="ZC1159" s="905"/>
      <c r="ZD1159" s="905"/>
      <c r="ZE1159" s="905"/>
      <c r="ZF1159" s="905"/>
      <c r="ZG1159" s="905"/>
      <c r="ZH1159" s="905"/>
      <c r="ZI1159" s="905"/>
      <c r="ZJ1159" s="905"/>
      <c r="ZK1159" s="905"/>
      <c r="ZL1159" s="905"/>
      <c r="ZM1159" s="905"/>
      <c r="ZN1159" s="905"/>
      <c r="ZO1159" s="905"/>
      <c r="ZP1159" s="905"/>
      <c r="ZQ1159" s="905"/>
      <c r="ZR1159" s="905"/>
      <c r="ZS1159" s="905"/>
      <c r="ZT1159" s="905"/>
      <c r="ZU1159" s="905"/>
      <c r="ZV1159" s="905"/>
      <c r="ZW1159" s="905"/>
      <c r="ZX1159" s="905"/>
      <c r="ZY1159" s="905"/>
      <c r="ZZ1159" s="905"/>
      <c r="AAA1159" s="905"/>
      <c r="AAB1159" s="905"/>
      <c r="AAC1159" s="905"/>
      <c r="AAD1159" s="905"/>
      <c r="AAE1159" s="905"/>
      <c r="AAF1159" s="905"/>
      <c r="AAG1159" s="905"/>
      <c r="AAH1159" s="905"/>
      <c r="AAI1159" s="905"/>
      <c r="AAJ1159" s="905"/>
      <c r="AAK1159" s="905"/>
      <c r="AAL1159" s="905"/>
      <c r="AAM1159" s="905"/>
      <c r="AAN1159" s="905"/>
      <c r="AAO1159" s="905"/>
      <c r="AAP1159" s="905"/>
      <c r="AAQ1159" s="905"/>
      <c r="AAR1159" s="905"/>
      <c r="AAS1159" s="905"/>
      <c r="AAT1159" s="905"/>
      <c r="AAU1159" s="905"/>
      <c r="AAV1159" s="905"/>
      <c r="AAW1159" s="905"/>
      <c r="AAX1159" s="905"/>
      <c r="AAY1159" s="905"/>
      <c r="AAZ1159" s="905"/>
      <c r="ABA1159" s="905"/>
      <c r="ABB1159" s="905"/>
      <c r="ABC1159" s="905"/>
      <c r="ABD1159" s="905"/>
      <c r="ABE1159" s="905"/>
      <c r="ABF1159" s="905"/>
      <c r="ABG1159" s="905"/>
      <c r="ABH1159" s="905"/>
      <c r="ABI1159" s="905"/>
      <c r="ABJ1159" s="905"/>
      <c r="ABK1159" s="905"/>
      <c r="ABL1159" s="905"/>
      <c r="ABM1159" s="905"/>
      <c r="ABN1159" s="905"/>
      <c r="ABO1159" s="905"/>
      <c r="ABP1159" s="905"/>
      <c r="ABQ1159" s="905"/>
      <c r="ABR1159" s="905"/>
      <c r="ABS1159" s="905"/>
      <c r="ABT1159" s="905"/>
      <c r="ABU1159" s="905"/>
      <c r="ABV1159" s="905"/>
      <c r="ABW1159" s="905"/>
      <c r="ABX1159" s="905"/>
      <c r="ABY1159" s="905"/>
      <c r="ABZ1159" s="905"/>
      <c r="ACA1159" s="905"/>
      <c r="ACB1159" s="905"/>
      <c r="ACC1159" s="905"/>
      <c r="ACD1159" s="905"/>
      <c r="ACE1159" s="905"/>
      <c r="ACF1159" s="905"/>
      <c r="ACG1159" s="905"/>
      <c r="ACH1159" s="905"/>
      <c r="ACI1159" s="905"/>
      <c r="ACJ1159" s="905"/>
      <c r="ACK1159" s="905"/>
      <c r="ACL1159" s="905"/>
      <c r="ACM1159" s="905"/>
      <c r="ACN1159" s="905"/>
      <c r="ACO1159" s="905"/>
      <c r="ACP1159" s="905"/>
      <c r="ACQ1159" s="905"/>
      <c r="ACR1159" s="905"/>
      <c r="ACS1159" s="905"/>
      <c r="ACT1159" s="905"/>
      <c r="ACU1159" s="905"/>
      <c r="ACV1159" s="905"/>
      <c r="ACW1159" s="905"/>
      <c r="ACX1159" s="905"/>
      <c r="ACY1159" s="905"/>
      <c r="ACZ1159" s="905"/>
      <c r="ADA1159" s="905"/>
      <c r="ADB1159" s="905"/>
      <c r="ADC1159" s="905"/>
      <c r="ADD1159" s="905"/>
      <c r="ADE1159" s="905"/>
      <c r="ADF1159" s="905"/>
      <c r="ADG1159" s="905"/>
      <c r="ADH1159" s="905"/>
      <c r="ADI1159" s="905"/>
      <c r="ADJ1159" s="905"/>
      <c r="ADK1159" s="905"/>
      <c r="ADL1159" s="905"/>
      <c r="ADM1159" s="905"/>
      <c r="ADN1159" s="905"/>
      <c r="ADO1159" s="905"/>
      <c r="ADP1159" s="905"/>
      <c r="ADQ1159" s="905"/>
      <c r="ADR1159" s="905"/>
      <c r="ADS1159" s="905"/>
      <c r="ADT1159" s="905"/>
      <c r="ADU1159" s="905"/>
      <c r="ADV1159" s="905"/>
      <c r="ADW1159" s="905"/>
      <c r="ADX1159" s="905"/>
      <c r="ADY1159" s="905"/>
      <c r="ADZ1159" s="905"/>
      <c r="AEA1159" s="905"/>
      <c r="AEB1159" s="905"/>
      <c r="AEC1159" s="905"/>
      <c r="AED1159" s="905"/>
      <c r="AEE1159" s="905"/>
      <c r="AEF1159" s="905"/>
      <c r="AEG1159" s="905"/>
      <c r="AEH1159" s="905"/>
      <c r="AEI1159" s="905"/>
      <c r="AEJ1159" s="905"/>
      <c r="AEK1159" s="905"/>
      <c r="AEL1159" s="905"/>
      <c r="AEM1159" s="905"/>
      <c r="AEN1159" s="905"/>
      <c r="AEO1159" s="905"/>
      <c r="AEP1159" s="905"/>
      <c r="AEQ1159" s="905"/>
      <c r="AER1159" s="905"/>
      <c r="AES1159" s="905"/>
      <c r="AET1159" s="905"/>
      <c r="AEU1159" s="905"/>
      <c r="AEV1159" s="905"/>
      <c r="AEW1159" s="905"/>
      <c r="AEX1159" s="905"/>
      <c r="AEY1159" s="905"/>
      <c r="AEZ1159" s="905"/>
      <c r="AFA1159" s="905"/>
      <c r="AFB1159" s="905"/>
      <c r="AFC1159" s="905"/>
      <c r="AFD1159" s="905"/>
      <c r="AFE1159" s="905"/>
      <c r="AFF1159" s="905"/>
      <c r="AFG1159" s="905"/>
      <c r="AFH1159" s="905"/>
      <c r="AFI1159" s="905"/>
      <c r="AFJ1159" s="905"/>
      <c r="AFK1159" s="905"/>
      <c r="AFL1159" s="905"/>
      <c r="AFM1159" s="905"/>
      <c r="AFN1159" s="905"/>
      <c r="AFO1159" s="905"/>
      <c r="AFP1159" s="905"/>
      <c r="AFQ1159" s="905"/>
      <c r="AFR1159" s="905"/>
      <c r="AFS1159" s="905"/>
      <c r="AFT1159" s="905"/>
      <c r="AFU1159" s="905"/>
      <c r="AFV1159" s="905"/>
      <c r="AFW1159" s="905"/>
      <c r="AFX1159" s="905"/>
      <c r="AFY1159" s="905"/>
      <c r="AFZ1159" s="905"/>
      <c r="AGA1159" s="905"/>
      <c r="AGB1159" s="905"/>
      <c r="AGC1159" s="905"/>
      <c r="AGD1159" s="905"/>
      <c r="AGE1159" s="905"/>
      <c r="AGF1159" s="905"/>
      <c r="AGG1159" s="905"/>
      <c r="AGH1159" s="905"/>
      <c r="AGI1159" s="905"/>
      <c r="AGJ1159" s="905"/>
    </row>
    <row r="1160" spans="1:868" s="898" customFormat="1">
      <c r="A1160" s="898" t="str">
        <f>Clothing!A355</f>
        <v>Clothing (product sector)</v>
      </c>
      <c r="B1160" s="898" t="str">
        <f>Clothing!B355</f>
        <v>Apparel accessories</v>
      </c>
      <c r="C1160" s="898" t="str">
        <f>Clothing!C355</f>
        <v>NL</v>
      </c>
      <c r="D1160" s="898" t="str">
        <f>Clothing!D355</f>
        <v>PA</v>
      </c>
      <c r="E1160" s="901">
        <f>Clothing!E355</f>
        <v>1.91808665264462E-2</v>
      </c>
      <c r="F1160" s="898">
        <f>Clothing!F355</f>
        <v>1</v>
      </c>
      <c r="G1160" s="898" t="str">
        <f>Clothing!G355</f>
        <v>https://eeb.org/library/draft-product-environmental-footprint-category-rules-pefcr-apparel-and-footwear/</v>
      </c>
      <c r="H1160" s="902">
        <f>Clothing!H355</f>
        <v>2</v>
      </c>
      <c r="I1160" s="902" t="str">
        <f>Clothing!I355</f>
        <v/>
      </c>
      <c r="J1160" s="902">
        <f>Clothing!J355</f>
        <v>2</v>
      </c>
      <c r="K1160" s="902">
        <f>Clothing!K355</f>
        <v>1</v>
      </c>
      <c r="L1160" s="902">
        <f>Clothing!L355</f>
        <v>2</v>
      </c>
      <c r="M1160" s="902">
        <f>Clothing!M355</f>
        <v>3</v>
      </c>
      <c r="N1160" s="185">
        <f t="shared" si="89"/>
        <v>1.0301997916669636</v>
      </c>
      <c r="O1160" s="159" t="e">
        <f t="shared" si="90"/>
        <v>#VALUE!</v>
      </c>
      <c r="P1160" s="904"/>
      <c r="Q1160" s="905"/>
      <c r="R1160" s="905"/>
      <c r="S1160" s="905"/>
      <c r="T1160" s="905"/>
      <c r="U1160" s="905"/>
      <c r="V1160" s="905"/>
      <c r="W1160" s="905"/>
      <c r="X1160" s="905"/>
      <c r="Y1160" s="905"/>
      <c r="Z1160" s="905"/>
      <c r="AA1160" s="905"/>
      <c r="AB1160" s="905"/>
      <c r="AC1160" s="905"/>
      <c r="AD1160" s="905"/>
      <c r="AE1160" s="905"/>
      <c r="AF1160" s="905"/>
      <c r="AG1160" s="905"/>
      <c r="AH1160" s="905"/>
      <c r="AI1160" s="905"/>
      <c r="AJ1160" s="905"/>
      <c r="AK1160" s="905"/>
      <c r="AL1160" s="905"/>
      <c r="AM1160" s="905"/>
      <c r="AN1160" s="905"/>
      <c r="AO1160" s="905"/>
      <c r="AP1160" s="905"/>
      <c r="AQ1160" s="905"/>
      <c r="AR1160" s="905"/>
      <c r="AS1160" s="905"/>
      <c r="AT1160" s="905"/>
      <c r="AU1160" s="905"/>
      <c r="AV1160" s="905"/>
      <c r="AW1160" s="905"/>
      <c r="AX1160" s="905"/>
      <c r="AY1160" s="905"/>
      <c r="AZ1160" s="905"/>
      <c r="BA1160" s="905"/>
      <c r="BB1160" s="905"/>
      <c r="BC1160" s="905"/>
      <c r="BD1160" s="905"/>
      <c r="BE1160" s="905"/>
      <c r="BF1160" s="905"/>
      <c r="BG1160" s="905"/>
      <c r="BH1160" s="905"/>
      <c r="BI1160" s="905"/>
      <c r="BJ1160" s="905"/>
      <c r="BK1160" s="905"/>
      <c r="BL1160" s="905"/>
      <c r="BM1160" s="905"/>
      <c r="BN1160" s="905"/>
      <c r="BO1160" s="905"/>
      <c r="BP1160" s="905"/>
      <c r="BQ1160" s="905"/>
      <c r="BR1160" s="905"/>
      <c r="BS1160" s="905"/>
      <c r="BT1160" s="905"/>
      <c r="BU1160" s="905"/>
      <c r="BV1160" s="905"/>
      <c r="BW1160" s="905"/>
      <c r="BX1160" s="905"/>
      <c r="BY1160" s="905"/>
      <c r="BZ1160" s="905"/>
      <c r="CA1160" s="905"/>
      <c r="CB1160" s="905"/>
      <c r="CC1160" s="905"/>
      <c r="CD1160" s="905"/>
      <c r="CE1160" s="905"/>
      <c r="CF1160" s="905"/>
      <c r="CG1160" s="905"/>
      <c r="CH1160" s="905"/>
      <c r="CI1160" s="905"/>
      <c r="CJ1160" s="905"/>
      <c r="CK1160" s="905"/>
      <c r="CL1160" s="905"/>
      <c r="CM1160" s="905"/>
      <c r="CN1160" s="905"/>
      <c r="CO1160" s="905"/>
      <c r="CP1160" s="905"/>
      <c r="CQ1160" s="905"/>
      <c r="CR1160" s="905"/>
      <c r="CS1160" s="905"/>
      <c r="CT1160" s="905"/>
      <c r="CU1160" s="905"/>
      <c r="CV1160" s="905"/>
      <c r="CW1160" s="905"/>
      <c r="CX1160" s="905"/>
      <c r="CY1160" s="905"/>
      <c r="CZ1160" s="905"/>
      <c r="DA1160" s="905"/>
      <c r="DB1160" s="905"/>
      <c r="DC1160" s="905"/>
      <c r="DD1160" s="905"/>
      <c r="DE1160" s="905"/>
      <c r="DF1160" s="905"/>
      <c r="DG1160" s="905"/>
      <c r="DH1160" s="905"/>
      <c r="DI1160" s="905"/>
      <c r="DJ1160" s="905"/>
      <c r="DK1160" s="905"/>
      <c r="DL1160" s="905"/>
      <c r="DM1160" s="905"/>
      <c r="DN1160" s="905"/>
      <c r="DO1160" s="905"/>
      <c r="DP1160" s="905"/>
      <c r="DQ1160" s="905"/>
      <c r="DR1160" s="905"/>
      <c r="DS1160" s="905"/>
      <c r="DT1160" s="905"/>
      <c r="DU1160" s="905"/>
      <c r="DV1160" s="905"/>
      <c r="DW1160" s="905"/>
      <c r="DX1160" s="905"/>
      <c r="DY1160" s="905"/>
      <c r="DZ1160" s="905"/>
      <c r="EA1160" s="905"/>
      <c r="EB1160" s="905"/>
      <c r="EC1160" s="905"/>
      <c r="ED1160" s="905"/>
      <c r="EE1160" s="905"/>
      <c r="EF1160" s="905"/>
      <c r="EG1160" s="905"/>
      <c r="EH1160" s="905"/>
      <c r="EI1160" s="905"/>
      <c r="EJ1160" s="905"/>
      <c r="EK1160" s="905"/>
      <c r="EL1160" s="905"/>
      <c r="EM1160" s="905"/>
      <c r="EN1160" s="905"/>
      <c r="EO1160" s="905"/>
      <c r="EP1160" s="905"/>
      <c r="EQ1160" s="905"/>
      <c r="ER1160" s="905"/>
      <c r="ES1160" s="905"/>
      <c r="ET1160" s="905"/>
      <c r="EU1160" s="905"/>
      <c r="EV1160" s="905"/>
      <c r="EW1160" s="905"/>
      <c r="EX1160" s="905"/>
      <c r="EY1160" s="905"/>
      <c r="EZ1160" s="905"/>
      <c r="FA1160" s="905"/>
      <c r="FB1160" s="905"/>
      <c r="FC1160" s="905"/>
      <c r="FD1160" s="905"/>
      <c r="FE1160" s="905"/>
      <c r="FF1160" s="905"/>
      <c r="FG1160" s="905"/>
      <c r="FH1160" s="905"/>
      <c r="FI1160" s="905"/>
      <c r="FJ1160" s="905"/>
      <c r="FK1160" s="905"/>
      <c r="FL1160" s="905"/>
      <c r="FM1160" s="905"/>
      <c r="FN1160" s="905"/>
      <c r="FO1160" s="905"/>
      <c r="FP1160" s="905"/>
      <c r="FQ1160" s="905"/>
      <c r="FR1160" s="905"/>
      <c r="FS1160" s="905"/>
      <c r="FT1160" s="905"/>
      <c r="FU1160" s="905"/>
      <c r="FV1160" s="905"/>
      <c r="FW1160" s="905"/>
      <c r="FX1160" s="905"/>
      <c r="FY1160" s="905"/>
      <c r="FZ1160" s="905"/>
      <c r="GA1160" s="905"/>
      <c r="GB1160" s="905"/>
      <c r="GC1160" s="905"/>
      <c r="GD1160" s="905"/>
      <c r="GE1160" s="905"/>
      <c r="GF1160" s="905"/>
      <c r="GG1160" s="905"/>
      <c r="GH1160" s="905"/>
      <c r="GI1160" s="905"/>
      <c r="GJ1160" s="905"/>
      <c r="GK1160" s="905"/>
      <c r="GL1160" s="905"/>
      <c r="GM1160" s="905"/>
      <c r="GN1160" s="905"/>
      <c r="GO1160" s="905"/>
      <c r="GP1160" s="905"/>
      <c r="GQ1160" s="905"/>
      <c r="GR1160" s="905"/>
      <c r="GS1160" s="905"/>
      <c r="GT1160" s="905"/>
      <c r="GU1160" s="905"/>
      <c r="GV1160" s="905"/>
      <c r="GW1160" s="905"/>
      <c r="GX1160" s="905"/>
      <c r="GY1160" s="905"/>
      <c r="GZ1160" s="905"/>
      <c r="HA1160" s="905"/>
      <c r="HB1160" s="905"/>
      <c r="HC1160" s="905"/>
      <c r="HD1160" s="905"/>
      <c r="HE1160" s="905"/>
      <c r="HF1160" s="905"/>
      <c r="HG1160" s="905"/>
      <c r="HH1160" s="905"/>
      <c r="HI1160" s="905"/>
      <c r="HJ1160" s="905"/>
      <c r="HK1160" s="905"/>
      <c r="HL1160" s="905"/>
      <c r="HM1160" s="905"/>
      <c r="HN1160" s="905"/>
      <c r="HO1160" s="905"/>
      <c r="HP1160" s="905"/>
      <c r="HQ1160" s="905"/>
      <c r="HR1160" s="905"/>
      <c r="HS1160" s="905"/>
      <c r="HT1160" s="905"/>
      <c r="HU1160" s="905"/>
      <c r="HV1160" s="905"/>
      <c r="HW1160" s="905"/>
      <c r="HX1160" s="905"/>
      <c r="HY1160" s="905"/>
      <c r="HZ1160" s="905"/>
      <c r="IA1160" s="905"/>
      <c r="IB1160" s="905"/>
      <c r="IC1160" s="905"/>
      <c r="ID1160" s="905"/>
      <c r="IE1160" s="905"/>
      <c r="IF1160" s="905"/>
      <c r="IG1160" s="905"/>
      <c r="IH1160" s="905"/>
      <c r="II1160" s="905"/>
      <c r="IJ1160" s="905"/>
      <c r="IK1160" s="905"/>
      <c r="IL1160" s="905"/>
      <c r="IM1160" s="905"/>
      <c r="IN1160" s="905"/>
      <c r="IO1160" s="905"/>
      <c r="IP1160" s="905"/>
      <c r="IQ1160" s="905"/>
      <c r="IR1160" s="905"/>
      <c r="IS1160" s="905"/>
      <c r="IT1160" s="905"/>
      <c r="IU1160" s="905"/>
      <c r="IV1160" s="905"/>
      <c r="IW1160" s="905"/>
      <c r="IX1160" s="905"/>
      <c r="IY1160" s="905"/>
      <c r="IZ1160" s="905"/>
      <c r="JA1160" s="905"/>
      <c r="JB1160" s="905"/>
      <c r="JC1160" s="905"/>
      <c r="JD1160" s="905"/>
      <c r="JE1160" s="905"/>
      <c r="JF1160" s="905"/>
      <c r="JG1160" s="905"/>
      <c r="JH1160" s="905"/>
      <c r="JI1160" s="905"/>
      <c r="JJ1160" s="905"/>
      <c r="JK1160" s="905"/>
      <c r="JL1160" s="905"/>
      <c r="JM1160" s="905"/>
      <c r="JN1160" s="905"/>
      <c r="JO1160" s="905"/>
      <c r="JP1160" s="905"/>
      <c r="JQ1160" s="905"/>
      <c r="JR1160" s="905"/>
      <c r="JS1160" s="905"/>
      <c r="JT1160" s="905"/>
      <c r="JU1160" s="905"/>
      <c r="JV1160" s="905"/>
      <c r="JW1160" s="905"/>
      <c r="JX1160" s="905"/>
      <c r="JY1160" s="905"/>
      <c r="JZ1160" s="905"/>
      <c r="KA1160" s="905"/>
      <c r="KB1160" s="905"/>
      <c r="KC1160" s="905"/>
      <c r="KD1160" s="905"/>
      <c r="KE1160" s="905"/>
      <c r="KF1160" s="905"/>
      <c r="KG1160" s="905"/>
      <c r="KH1160" s="905"/>
      <c r="KI1160" s="905"/>
      <c r="KJ1160" s="905"/>
      <c r="KK1160" s="905"/>
      <c r="KL1160" s="905"/>
      <c r="KM1160" s="905"/>
      <c r="KN1160" s="905"/>
      <c r="KO1160" s="905"/>
      <c r="KP1160" s="905"/>
      <c r="KQ1160" s="905"/>
      <c r="KR1160" s="905"/>
      <c r="KS1160" s="905"/>
      <c r="KT1160" s="905"/>
      <c r="KU1160" s="905"/>
      <c r="KV1160" s="905"/>
      <c r="KW1160" s="905"/>
      <c r="KX1160" s="905"/>
      <c r="KY1160" s="905"/>
      <c r="KZ1160" s="905"/>
      <c r="LA1160" s="905"/>
      <c r="LB1160" s="905"/>
      <c r="LC1160" s="905"/>
      <c r="LD1160" s="905"/>
      <c r="LE1160" s="905"/>
      <c r="LF1160" s="905"/>
      <c r="LG1160" s="905"/>
      <c r="LH1160" s="905"/>
      <c r="LI1160" s="905"/>
      <c r="LJ1160" s="905"/>
      <c r="LK1160" s="905"/>
      <c r="LL1160" s="905"/>
      <c r="LM1160" s="905"/>
      <c r="LN1160" s="905"/>
      <c r="LO1160" s="905"/>
      <c r="LP1160" s="905"/>
      <c r="LQ1160" s="905"/>
      <c r="LR1160" s="905"/>
      <c r="LS1160" s="905"/>
      <c r="LT1160" s="905"/>
      <c r="LU1160" s="905"/>
      <c r="LV1160" s="905"/>
      <c r="LW1160" s="905"/>
      <c r="LX1160" s="905"/>
      <c r="LY1160" s="905"/>
      <c r="LZ1160" s="905"/>
      <c r="MA1160" s="905"/>
      <c r="MB1160" s="905"/>
      <c r="MC1160" s="905"/>
      <c r="MD1160" s="905"/>
      <c r="ME1160" s="905"/>
      <c r="MF1160" s="905"/>
      <c r="MG1160" s="905"/>
      <c r="MH1160" s="905"/>
      <c r="MI1160" s="905"/>
      <c r="MJ1160" s="905"/>
      <c r="MK1160" s="905"/>
      <c r="ML1160" s="905"/>
      <c r="MM1160" s="905"/>
      <c r="MN1160" s="905"/>
      <c r="MO1160" s="905"/>
      <c r="MP1160" s="905"/>
      <c r="MQ1160" s="905"/>
      <c r="MR1160" s="905"/>
      <c r="MS1160" s="905"/>
      <c r="MT1160" s="905"/>
      <c r="MU1160" s="905"/>
      <c r="MV1160" s="905"/>
      <c r="MW1160" s="905"/>
      <c r="MX1160" s="905"/>
      <c r="MY1160" s="905"/>
      <c r="MZ1160" s="905"/>
      <c r="NA1160" s="905"/>
      <c r="NB1160" s="905"/>
      <c r="NC1160" s="905"/>
      <c r="ND1160" s="905"/>
      <c r="NE1160" s="905"/>
      <c r="NF1160" s="905"/>
      <c r="NG1160" s="905"/>
      <c r="NH1160" s="905"/>
      <c r="NI1160" s="905"/>
      <c r="NJ1160" s="905"/>
      <c r="NK1160" s="905"/>
      <c r="NL1160" s="905"/>
      <c r="NM1160" s="905"/>
      <c r="NN1160" s="905"/>
      <c r="NO1160" s="905"/>
      <c r="NP1160" s="905"/>
      <c r="NQ1160" s="905"/>
      <c r="NR1160" s="905"/>
      <c r="NS1160" s="905"/>
      <c r="NT1160" s="905"/>
      <c r="NU1160" s="905"/>
      <c r="NV1160" s="905"/>
      <c r="NW1160" s="905"/>
      <c r="NX1160" s="905"/>
      <c r="NY1160" s="905"/>
      <c r="NZ1160" s="905"/>
      <c r="OA1160" s="905"/>
      <c r="OB1160" s="905"/>
      <c r="OC1160" s="905"/>
      <c r="OD1160" s="905"/>
      <c r="OE1160" s="905"/>
      <c r="OF1160" s="905"/>
      <c r="OG1160" s="905"/>
      <c r="OH1160" s="905"/>
      <c r="OI1160" s="905"/>
      <c r="OJ1160" s="905"/>
      <c r="OK1160" s="905"/>
      <c r="OL1160" s="905"/>
      <c r="OM1160" s="905"/>
      <c r="ON1160" s="905"/>
      <c r="OO1160" s="905"/>
      <c r="OP1160" s="905"/>
      <c r="OQ1160" s="905"/>
      <c r="OR1160" s="905"/>
      <c r="OS1160" s="905"/>
      <c r="OT1160" s="905"/>
      <c r="OU1160" s="905"/>
      <c r="OV1160" s="905"/>
      <c r="OW1160" s="905"/>
      <c r="OX1160" s="905"/>
      <c r="OY1160" s="905"/>
      <c r="OZ1160" s="905"/>
      <c r="PA1160" s="905"/>
      <c r="PB1160" s="905"/>
      <c r="PC1160" s="905"/>
      <c r="PD1160" s="905"/>
      <c r="PE1160" s="905"/>
      <c r="PF1160" s="905"/>
      <c r="PG1160" s="905"/>
      <c r="PH1160" s="905"/>
      <c r="PI1160" s="905"/>
      <c r="PJ1160" s="905"/>
      <c r="PK1160" s="905"/>
      <c r="PL1160" s="905"/>
      <c r="PM1160" s="905"/>
      <c r="PN1160" s="905"/>
      <c r="PO1160" s="905"/>
      <c r="PP1160" s="905"/>
      <c r="PQ1160" s="905"/>
      <c r="PR1160" s="905"/>
      <c r="PS1160" s="905"/>
      <c r="PT1160" s="905"/>
      <c r="PU1160" s="905"/>
      <c r="PV1160" s="905"/>
      <c r="PW1160" s="905"/>
      <c r="PX1160" s="905"/>
      <c r="PY1160" s="905"/>
      <c r="PZ1160" s="905"/>
      <c r="QA1160" s="905"/>
      <c r="QB1160" s="905"/>
      <c r="QC1160" s="905"/>
      <c r="QD1160" s="905"/>
      <c r="QE1160" s="905"/>
      <c r="QF1160" s="905"/>
      <c r="QG1160" s="905"/>
      <c r="QH1160" s="905"/>
      <c r="QI1160" s="905"/>
      <c r="QJ1160" s="905"/>
      <c r="QK1160" s="905"/>
      <c r="QL1160" s="905"/>
      <c r="QM1160" s="905"/>
      <c r="QN1160" s="905"/>
      <c r="QO1160" s="905"/>
      <c r="QP1160" s="905"/>
      <c r="QQ1160" s="905"/>
      <c r="QR1160" s="905"/>
      <c r="QS1160" s="905"/>
      <c r="QT1160" s="905"/>
      <c r="QU1160" s="905"/>
      <c r="QV1160" s="905"/>
      <c r="QW1160" s="905"/>
      <c r="QX1160" s="905"/>
      <c r="QY1160" s="905"/>
      <c r="QZ1160" s="905"/>
      <c r="RA1160" s="905"/>
      <c r="RB1160" s="905"/>
      <c r="RC1160" s="905"/>
      <c r="RD1160" s="905"/>
      <c r="RE1160" s="905"/>
      <c r="RF1160" s="905"/>
      <c r="RG1160" s="905"/>
      <c r="RH1160" s="905"/>
      <c r="RI1160" s="905"/>
      <c r="RJ1160" s="905"/>
      <c r="RK1160" s="905"/>
      <c r="RL1160" s="905"/>
      <c r="RM1160" s="905"/>
      <c r="RN1160" s="905"/>
      <c r="RO1160" s="905"/>
      <c r="RP1160" s="905"/>
      <c r="RQ1160" s="905"/>
      <c r="RR1160" s="905"/>
      <c r="RS1160" s="905"/>
      <c r="RT1160" s="905"/>
      <c r="RU1160" s="905"/>
      <c r="RV1160" s="905"/>
      <c r="RW1160" s="905"/>
      <c r="RX1160" s="905"/>
      <c r="RY1160" s="905"/>
      <c r="RZ1160" s="905"/>
      <c r="SA1160" s="905"/>
      <c r="SB1160" s="905"/>
      <c r="SC1160" s="905"/>
      <c r="SD1160" s="905"/>
      <c r="SE1160" s="905"/>
      <c r="SF1160" s="905"/>
      <c r="SG1160" s="905"/>
      <c r="SH1160" s="905"/>
      <c r="SI1160" s="905"/>
      <c r="SJ1160" s="905"/>
      <c r="SK1160" s="905"/>
      <c r="SL1160" s="905"/>
      <c r="SM1160" s="905"/>
      <c r="SN1160" s="905"/>
      <c r="SO1160" s="905"/>
      <c r="SP1160" s="905"/>
      <c r="SQ1160" s="905"/>
      <c r="SR1160" s="905"/>
      <c r="SS1160" s="905"/>
      <c r="ST1160" s="905"/>
      <c r="SU1160" s="905"/>
      <c r="SV1160" s="905"/>
      <c r="SW1160" s="905"/>
      <c r="SX1160" s="905"/>
      <c r="SY1160" s="905"/>
      <c r="SZ1160" s="905"/>
      <c r="TA1160" s="905"/>
      <c r="TB1160" s="905"/>
      <c r="TC1160" s="905"/>
      <c r="TD1160" s="905"/>
      <c r="TE1160" s="905"/>
      <c r="TF1160" s="905"/>
      <c r="TG1160" s="905"/>
      <c r="TH1160" s="905"/>
      <c r="TI1160" s="905"/>
      <c r="TJ1160" s="905"/>
      <c r="TK1160" s="905"/>
      <c r="TL1160" s="905"/>
      <c r="TM1160" s="905"/>
      <c r="TN1160" s="905"/>
      <c r="TO1160" s="905"/>
      <c r="TP1160" s="905"/>
      <c r="TQ1160" s="905"/>
      <c r="TR1160" s="905"/>
      <c r="TS1160" s="905"/>
      <c r="TT1160" s="905"/>
      <c r="TU1160" s="905"/>
      <c r="TV1160" s="905"/>
      <c r="TW1160" s="905"/>
      <c r="TX1160" s="905"/>
      <c r="TY1160" s="905"/>
      <c r="TZ1160" s="905"/>
      <c r="UA1160" s="905"/>
      <c r="UB1160" s="905"/>
      <c r="UC1160" s="905"/>
      <c r="UD1160" s="905"/>
      <c r="UE1160" s="905"/>
      <c r="UF1160" s="905"/>
      <c r="UG1160" s="905"/>
      <c r="UH1160" s="905"/>
      <c r="UI1160" s="905"/>
      <c r="UJ1160" s="905"/>
      <c r="UK1160" s="905"/>
      <c r="UL1160" s="905"/>
      <c r="UM1160" s="905"/>
      <c r="UN1160" s="905"/>
      <c r="UO1160" s="905"/>
      <c r="UP1160" s="905"/>
      <c r="UQ1160" s="905"/>
      <c r="UR1160" s="905"/>
      <c r="US1160" s="905"/>
      <c r="UT1160" s="905"/>
      <c r="UU1160" s="905"/>
      <c r="UV1160" s="905"/>
      <c r="UW1160" s="905"/>
      <c r="UX1160" s="905"/>
      <c r="UY1160" s="905"/>
      <c r="UZ1160" s="905"/>
      <c r="VA1160" s="905"/>
      <c r="VB1160" s="905"/>
      <c r="VC1160" s="905"/>
      <c r="VD1160" s="905"/>
      <c r="VE1160" s="905"/>
      <c r="VF1160" s="905"/>
      <c r="VG1160" s="905"/>
      <c r="VH1160" s="905"/>
      <c r="VI1160" s="905"/>
      <c r="VJ1160" s="905"/>
      <c r="VK1160" s="905"/>
      <c r="VL1160" s="905"/>
      <c r="VM1160" s="905"/>
      <c r="VN1160" s="905"/>
      <c r="VO1160" s="905"/>
      <c r="VP1160" s="905"/>
      <c r="VQ1160" s="905"/>
      <c r="VR1160" s="905"/>
      <c r="VS1160" s="905"/>
      <c r="VT1160" s="905"/>
      <c r="VU1160" s="905"/>
      <c r="VV1160" s="905"/>
      <c r="VW1160" s="905"/>
      <c r="VX1160" s="905"/>
      <c r="VY1160" s="905"/>
      <c r="VZ1160" s="905"/>
      <c r="WA1160" s="905"/>
      <c r="WB1160" s="905"/>
      <c r="WC1160" s="905"/>
      <c r="WD1160" s="905"/>
      <c r="WE1160" s="905"/>
      <c r="WF1160" s="905"/>
      <c r="WG1160" s="905"/>
      <c r="WH1160" s="905"/>
      <c r="WI1160" s="905"/>
      <c r="WJ1160" s="905"/>
      <c r="WK1160" s="905"/>
      <c r="WL1160" s="905"/>
      <c r="WM1160" s="905"/>
      <c r="WN1160" s="905"/>
      <c r="WO1160" s="905"/>
      <c r="WP1160" s="905"/>
      <c r="WQ1160" s="905"/>
      <c r="WR1160" s="905"/>
      <c r="WS1160" s="905"/>
      <c r="WT1160" s="905"/>
      <c r="WU1160" s="905"/>
      <c r="WV1160" s="905"/>
      <c r="WW1160" s="905"/>
      <c r="WX1160" s="905"/>
      <c r="WY1160" s="905"/>
      <c r="WZ1160" s="905"/>
      <c r="XA1160" s="905"/>
      <c r="XB1160" s="905"/>
      <c r="XC1160" s="905"/>
      <c r="XD1160" s="905"/>
      <c r="XE1160" s="905"/>
      <c r="XF1160" s="905"/>
      <c r="XG1160" s="905"/>
      <c r="XH1160" s="905"/>
      <c r="XI1160" s="905"/>
      <c r="XJ1160" s="905"/>
      <c r="XK1160" s="905"/>
      <c r="XL1160" s="905"/>
      <c r="XM1160" s="905"/>
      <c r="XN1160" s="905"/>
      <c r="XO1160" s="905"/>
      <c r="XP1160" s="905"/>
      <c r="XQ1160" s="905"/>
      <c r="XR1160" s="905"/>
      <c r="XS1160" s="905"/>
      <c r="XT1160" s="905"/>
      <c r="XU1160" s="905"/>
      <c r="XV1160" s="905"/>
      <c r="XW1160" s="905"/>
      <c r="XX1160" s="905"/>
      <c r="XY1160" s="905"/>
      <c r="XZ1160" s="905"/>
      <c r="YA1160" s="905"/>
      <c r="YB1160" s="905"/>
      <c r="YC1160" s="905"/>
      <c r="YD1160" s="905"/>
      <c r="YE1160" s="905"/>
      <c r="YF1160" s="905"/>
      <c r="YG1160" s="905"/>
      <c r="YH1160" s="905"/>
      <c r="YI1160" s="905"/>
      <c r="YJ1160" s="905"/>
      <c r="YK1160" s="905"/>
      <c r="YL1160" s="905"/>
      <c r="YM1160" s="905"/>
      <c r="YN1160" s="905"/>
      <c r="YO1160" s="905"/>
      <c r="YP1160" s="905"/>
      <c r="YQ1160" s="905"/>
      <c r="YR1160" s="905"/>
      <c r="YS1160" s="905"/>
      <c r="YT1160" s="905"/>
      <c r="YU1160" s="905"/>
      <c r="YV1160" s="905"/>
      <c r="YW1160" s="905"/>
      <c r="YX1160" s="905"/>
      <c r="YY1160" s="905"/>
      <c r="YZ1160" s="905"/>
      <c r="ZA1160" s="905"/>
      <c r="ZB1160" s="905"/>
      <c r="ZC1160" s="905"/>
      <c r="ZD1160" s="905"/>
      <c r="ZE1160" s="905"/>
      <c r="ZF1160" s="905"/>
      <c r="ZG1160" s="905"/>
      <c r="ZH1160" s="905"/>
      <c r="ZI1160" s="905"/>
      <c r="ZJ1160" s="905"/>
      <c r="ZK1160" s="905"/>
      <c r="ZL1160" s="905"/>
      <c r="ZM1160" s="905"/>
      <c r="ZN1160" s="905"/>
      <c r="ZO1160" s="905"/>
      <c r="ZP1160" s="905"/>
      <c r="ZQ1160" s="905"/>
      <c r="ZR1160" s="905"/>
      <c r="ZS1160" s="905"/>
      <c r="ZT1160" s="905"/>
      <c r="ZU1160" s="905"/>
      <c r="ZV1160" s="905"/>
      <c r="ZW1160" s="905"/>
      <c r="ZX1160" s="905"/>
      <c r="ZY1160" s="905"/>
      <c r="ZZ1160" s="905"/>
      <c r="AAA1160" s="905"/>
      <c r="AAB1160" s="905"/>
      <c r="AAC1160" s="905"/>
      <c r="AAD1160" s="905"/>
      <c r="AAE1160" s="905"/>
      <c r="AAF1160" s="905"/>
      <c r="AAG1160" s="905"/>
      <c r="AAH1160" s="905"/>
      <c r="AAI1160" s="905"/>
      <c r="AAJ1160" s="905"/>
      <c r="AAK1160" s="905"/>
      <c r="AAL1160" s="905"/>
      <c r="AAM1160" s="905"/>
      <c r="AAN1160" s="905"/>
      <c r="AAO1160" s="905"/>
      <c r="AAP1160" s="905"/>
      <c r="AAQ1160" s="905"/>
      <c r="AAR1160" s="905"/>
      <c r="AAS1160" s="905"/>
      <c r="AAT1160" s="905"/>
      <c r="AAU1160" s="905"/>
      <c r="AAV1160" s="905"/>
      <c r="AAW1160" s="905"/>
      <c r="AAX1160" s="905"/>
      <c r="AAY1160" s="905"/>
      <c r="AAZ1160" s="905"/>
      <c r="ABA1160" s="905"/>
      <c r="ABB1160" s="905"/>
      <c r="ABC1160" s="905"/>
      <c r="ABD1160" s="905"/>
      <c r="ABE1160" s="905"/>
      <c r="ABF1160" s="905"/>
      <c r="ABG1160" s="905"/>
      <c r="ABH1160" s="905"/>
      <c r="ABI1160" s="905"/>
      <c r="ABJ1160" s="905"/>
      <c r="ABK1160" s="905"/>
      <c r="ABL1160" s="905"/>
      <c r="ABM1160" s="905"/>
      <c r="ABN1160" s="905"/>
      <c r="ABO1160" s="905"/>
      <c r="ABP1160" s="905"/>
      <c r="ABQ1160" s="905"/>
      <c r="ABR1160" s="905"/>
      <c r="ABS1160" s="905"/>
      <c r="ABT1160" s="905"/>
      <c r="ABU1160" s="905"/>
      <c r="ABV1160" s="905"/>
      <c r="ABW1160" s="905"/>
      <c r="ABX1160" s="905"/>
      <c r="ABY1160" s="905"/>
      <c r="ABZ1160" s="905"/>
      <c r="ACA1160" s="905"/>
      <c r="ACB1160" s="905"/>
      <c r="ACC1160" s="905"/>
      <c r="ACD1160" s="905"/>
      <c r="ACE1160" s="905"/>
      <c r="ACF1160" s="905"/>
      <c r="ACG1160" s="905"/>
      <c r="ACH1160" s="905"/>
      <c r="ACI1160" s="905"/>
      <c r="ACJ1160" s="905"/>
      <c r="ACK1160" s="905"/>
      <c r="ACL1160" s="905"/>
      <c r="ACM1160" s="905"/>
      <c r="ACN1160" s="905"/>
      <c r="ACO1160" s="905"/>
      <c r="ACP1160" s="905"/>
      <c r="ACQ1160" s="905"/>
      <c r="ACR1160" s="905"/>
      <c r="ACS1160" s="905"/>
      <c r="ACT1160" s="905"/>
      <c r="ACU1160" s="905"/>
      <c r="ACV1160" s="905"/>
      <c r="ACW1160" s="905"/>
      <c r="ACX1160" s="905"/>
      <c r="ACY1160" s="905"/>
      <c r="ACZ1160" s="905"/>
      <c r="ADA1160" s="905"/>
      <c r="ADB1160" s="905"/>
      <c r="ADC1160" s="905"/>
      <c r="ADD1160" s="905"/>
      <c r="ADE1160" s="905"/>
      <c r="ADF1160" s="905"/>
      <c r="ADG1160" s="905"/>
      <c r="ADH1160" s="905"/>
      <c r="ADI1160" s="905"/>
      <c r="ADJ1160" s="905"/>
      <c r="ADK1160" s="905"/>
      <c r="ADL1160" s="905"/>
      <c r="ADM1160" s="905"/>
      <c r="ADN1160" s="905"/>
      <c r="ADO1160" s="905"/>
      <c r="ADP1160" s="905"/>
      <c r="ADQ1160" s="905"/>
      <c r="ADR1160" s="905"/>
      <c r="ADS1160" s="905"/>
      <c r="ADT1160" s="905"/>
      <c r="ADU1160" s="905"/>
      <c r="ADV1160" s="905"/>
      <c r="ADW1160" s="905"/>
      <c r="ADX1160" s="905"/>
      <c r="ADY1160" s="905"/>
      <c r="ADZ1160" s="905"/>
      <c r="AEA1160" s="905"/>
      <c r="AEB1160" s="905"/>
      <c r="AEC1160" s="905"/>
      <c r="AED1160" s="905"/>
      <c r="AEE1160" s="905"/>
      <c r="AEF1160" s="905"/>
      <c r="AEG1160" s="905"/>
      <c r="AEH1160" s="905"/>
      <c r="AEI1160" s="905"/>
      <c r="AEJ1160" s="905"/>
      <c r="AEK1160" s="905"/>
      <c r="AEL1160" s="905"/>
      <c r="AEM1160" s="905"/>
      <c r="AEN1160" s="905"/>
      <c r="AEO1160" s="905"/>
      <c r="AEP1160" s="905"/>
      <c r="AEQ1160" s="905"/>
      <c r="AER1160" s="905"/>
      <c r="AES1160" s="905"/>
      <c r="AET1160" s="905"/>
      <c r="AEU1160" s="905"/>
      <c r="AEV1160" s="905"/>
      <c r="AEW1160" s="905"/>
      <c r="AEX1160" s="905"/>
      <c r="AEY1160" s="905"/>
      <c r="AEZ1160" s="905"/>
      <c r="AFA1160" s="905"/>
      <c r="AFB1160" s="905"/>
      <c r="AFC1160" s="905"/>
      <c r="AFD1160" s="905"/>
      <c r="AFE1160" s="905"/>
      <c r="AFF1160" s="905"/>
      <c r="AFG1160" s="905"/>
      <c r="AFH1160" s="905"/>
      <c r="AFI1160" s="905"/>
      <c r="AFJ1160" s="905"/>
      <c r="AFK1160" s="905"/>
      <c r="AFL1160" s="905"/>
      <c r="AFM1160" s="905"/>
      <c r="AFN1160" s="905"/>
      <c r="AFO1160" s="905"/>
      <c r="AFP1160" s="905"/>
      <c r="AFQ1160" s="905"/>
      <c r="AFR1160" s="905"/>
      <c r="AFS1160" s="905"/>
      <c r="AFT1160" s="905"/>
      <c r="AFU1160" s="905"/>
      <c r="AFV1160" s="905"/>
      <c r="AFW1160" s="905"/>
      <c r="AFX1160" s="905"/>
      <c r="AFY1160" s="905"/>
      <c r="AFZ1160" s="905"/>
      <c r="AGA1160" s="905"/>
      <c r="AGB1160" s="905"/>
      <c r="AGC1160" s="905"/>
      <c r="AGD1160" s="905"/>
      <c r="AGE1160" s="905"/>
      <c r="AGF1160" s="905"/>
      <c r="AGG1160" s="905"/>
      <c r="AGH1160" s="905"/>
      <c r="AGI1160" s="905"/>
      <c r="AGJ1160" s="905"/>
    </row>
    <row r="1161" spans="1:868" s="898" customFormat="1">
      <c r="A1161" s="898" t="str">
        <f>Clothing!A356</f>
        <v>Clothing (product sector)</v>
      </c>
      <c r="B1161" s="898" t="str">
        <f>Clothing!B356</f>
        <v>Apparel accessories</v>
      </c>
      <c r="C1161" s="898" t="str">
        <f>Clothing!C356</f>
        <v>NL</v>
      </c>
      <c r="D1161" s="898" t="str">
        <f>Clothing!D356</f>
        <v>PET</v>
      </c>
      <c r="E1161" s="901">
        <f>Clothing!E356</f>
        <v>3.08402494327908E-2</v>
      </c>
      <c r="F1161" s="898">
        <f>Clothing!F356</f>
        <v>1</v>
      </c>
      <c r="G1161" s="898" t="str">
        <f>Clothing!G356</f>
        <v>https://eeb.org/library/draft-product-environmental-footprint-category-rules-pefcr-apparel-and-footwear/</v>
      </c>
      <c r="H1161" s="902">
        <f>Clothing!H356</f>
        <v>2</v>
      </c>
      <c r="I1161" s="902" t="str">
        <f>Clothing!I356</f>
        <v/>
      </c>
      <c r="J1161" s="902">
        <f>Clothing!J356</f>
        <v>2</v>
      </c>
      <c r="K1161" s="902">
        <f>Clothing!K356</f>
        <v>1</v>
      </c>
      <c r="L1161" s="902">
        <f>Clothing!L356</f>
        <v>2</v>
      </c>
      <c r="M1161" s="902">
        <f>Clothing!M356</f>
        <v>3</v>
      </c>
      <c r="N1161" s="185">
        <f t="shared" si="89"/>
        <v>1.0301997916669636</v>
      </c>
      <c r="O1161" s="159" t="e">
        <f t="shared" si="90"/>
        <v>#VALUE!</v>
      </c>
      <c r="P1161" s="904"/>
      <c r="Q1161" s="905"/>
      <c r="R1161" s="905"/>
      <c r="S1161" s="905"/>
      <c r="T1161" s="905"/>
      <c r="U1161" s="905"/>
      <c r="V1161" s="905"/>
      <c r="W1161" s="905"/>
      <c r="X1161" s="905"/>
      <c r="Y1161" s="905"/>
      <c r="Z1161" s="905"/>
      <c r="AA1161" s="905"/>
      <c r="AB1161" s="905"/>
      <c r="AC1161" s="905"/>
      <c r="AD1161" s="905"/>
      <c r="AE1161" s="905"/>
      <c r="AF1161" s="905"/>
      <c r="AG1161" s="905"/>
      <c r="AH1161" s="905"/>
      <c r="AI1161" s="905"/>
      <c r="AJ1161" s="905"/>
      <c r="AK1161" s="905"/>
      <c r="AL1161" s="905"/>
      <c r="AM1161" s="905"/>
      <c r="AN1161" s="905"/>
      <c r="AO1161" s="905"/>
      <c r="AP1161" s="905"/>
      <c r="AQ1161" s="905"/>
      <c r="AR1161" s="905"/>
      <c r="AS1161" s="905"/>
      <c r="AT1161" s="905"/>
      <c r="AU1161" s="905"/>
      <c r="AV1161" s="905"/>
      <c r="AW1161" s="905"/>
      <c r="AX1161" s="905"/>
      <c r="AY1161" s="905"/>
      <c r="AZ1161" s="905"/>
      <c r="BA1161" s="905"/>
      <c r="BB1161" s="905"/>
      <c r="BC1161" s="905"/>
      <c r="BD1161" s="905"/>
      <c r="BE1161" s="905"/>
      <c r="BF1161" s="905"/>
      <c r="BG1161" s="905"/>
      <c r="BH1161" s="905"/>
      <c r="BI1161" s="905"/>
      <c r="BJ1161" s="905"/>
      <c r="BK1161" s="905"/>
      <c r="BL1161" s="905"/>
      <c r="BM1161" s="905"/>
      <c r="BN1161" s="905"/>
      <c r="BO1161" s="905"/>
      <c r="BP1161" s="905"/>
      <c r="BQ1161" s="905"/>
      <c r="BR1161" s="905"/>
      <c r="BS1161" s="905"/>
      <c r="BT1161" s="905"/>
      <c r="BU1161" s="905"/>
      <c r="BV1161" s="905"/>
      <c r="BW1161" s="905"/>
      <c r="BX1161" s="905"/>
      <c r="BY1161" s="905"/>
      <c r="BZ1161" s="905"/>
      <c r="CA1161" s="905"/>
      <c r="CB1161" s="905"/>
      <c r="CC1161" s="905"/>
      <c r="CD1161" s="905"/>
      <c r="CE1161" s="905"/>
      <c r="CF1161" s="905"/>
      <c r="CG1161" s="905"/>
      <c r="CH1161" s="905"/>
      <c r="CI1161" s="905"/>
      <c r="CJ1161" s="905"/>
      <c r="CK1161" s="905"/>
      <c r="CL1161" s="905"/>
      <c r="CM1161" s="905"/>
      <c r="CN1161" s="905"/>
      <c r="CO1161" s="905"/>
      <c r="CP1161" s="905"/>
      <c r="CQ1161" s="905"/>
      <c r="CR1161" s="905"/>
      <c r="CS1161" s="905"/>
      <c r="CT1161" s="905"/>
      <c r="CU1161" s="905"/>
      <c r="CV1161" s="905"/>
      <c r="CW1161" s="905"/>
      <c r="CX1161" s="905"/>
      <c r="CY1161" s="905"/>
      <c r="CZ1161" s="905"/>
      <c r="DA1161" s="905"/>
      <c r="DB1161" s="905"/>
      <c r="DC1161" s="905"/>
      <c r="DD1161" s="905"/>
      <c r="DE1161" s="905"/>
      <c r="DF1161" s="905"/>
      <c r="DG1161" s="905"/>
      <c r="DH1161" s="905"/>
      <c r="DI1161" s="905"/>
      <c r="DJ1161" s="905"/>
      <c r="DK1161" s="905"/>
      <c r="DL1161" s="905"/>
      <c r="DM1161" s="905"/>
      <c r="DN1161" s="905"/>
      <c r="DO1161" s="905"/>
      <c r="DP1161" s="905"/>
      <c r="DQ1161" s="905"/>
      <c r="DR1161" s="905"/>
      <c r="DS1161" s="905"/>
      <c r="DT1161" s="905"/>
      <c r="DU1161" s="905"/>
      <c r="DV1161" s="905"/>
      <c r="DW1161" s="905"/>
      <c r="DX1161" s="905"/>
      <c r="DY1161" s="905"/>
      <c r="DZ1161" s="905"/>
      <c r="EA1161" s="905"/>
      <c r="EB1161" s="905"/>
      <c r="EC1161" s="905"/>
      <c r="ED1161" s="905"/>
      <c r="EE1161" s="905"/>
      <c r="EF1161" s="905"/>
      <c r="EG1161" s="905"/>
      <c r="EH1161" s="905"/>
      <c r="EI1161" s="905"/>
      <c r="EJ1161" s="905"/>
      <c r="EK1161" s="905"/>
      <c r="EL1161" s="905"/>
      <c r="EM1161" s="905"/>
      <c r="EN1161" s="905"/>
      <c r="EO1161" s="905"/>
      <c r="EP1161" s="905"/>
      <c r="EQ1161" s="905"/>
      <c r="ER1161" s="905"/>
      <c r="ES1161" s="905"/>
      <c r="ET1161" s="905"/>
      <c r="EU1161" s="905"/>
      <c r="EV1161" s="905"/>
      <c r="EW1161" s="905"/>
      <c r="EX1161" s="905"/>
      <c r="EY1161" s="905"/>
      <c r="EZ1161" s="905"/>
      <c r="FA1161" s="905"/>
      <c r="FB1161" s="905"/>
      <c r="FC1161" s="905"/>
      <c r="FD1161" s="905"/>
      <c r="FE1161" s="905"/>
      <c r="FF1161" s="905"/>
      <c r="FG1161" s="905"/>
      <c r="FH1161" s="905"/>
      <c r="FI1161" s="905"/>
      <c r="FJ1161" s="905"/>
      <c r="FK1161" s="905"/>
      <c r="FL1161" s="905"/>
      <c r="FM1161" s="905"/>
      <c r="FN1161" s="905"/>
      <c r="FO1161" s="905"/>
      <c r="FP1161" s="905"/>
      <c r="FQ1161" s="905"/>
      <c r="FR1161" s="905"/>
      <c r="FS1161" s="905"/>
      <c r="FT1161" s="905"/>
      <c r="FU1161" s="905"/>
      <c r="FV1161" s="905"/>
      <c r="FW1161" s="905"/>
      <c r="FX1161" s="905"/>
      <c r="FY1161" s="905"/>
      <c r="FZ1161" s="905"/>
      <c r="GA1161" s="905"/>
      <c r="GB1161" s="905"/>
      <c r="GC1161" s="905"/>
      <c r="GD1161" s="905"/>
      <c r="GE1161" s="905"/>
      <c r="GF1161" s="905"/>
      <c r="GG1161" s="905"/>
      <c r="GH1161" s="905"/>
      <c r="GI1161" s="905"/>
      <c r="GJ1161" s="905"/>
      <c r="GK1161" s="905"/>
      <c r="GL1161" s="905"/>
      <c r="GM1161" s="905"/>
      <c r="GN1161" s="905"/>
      <c r="GO1161" s="905"/>
      <c r="GP1161" s="905"/>
      <c r="GQ1161" s="905"/>
      <c r="GR1161" s="905"/>
      <c r="GS1161" s="905"/>
      <c r="GT1161" s="905"/>
      <c r="GU1161" s="905"/>
      <c r="GV1161" s="905"/>
      <c r="GW1161" s="905"/>
      <c r="GX1161" s="905"/>
      <c r="GY1161" s="905"/>
      <c r="GZ1161" s="905"/>
      <c r="HA1161" s="905"/>
      <c r="HB1161" s="905"/>
      <c r="HC1161" s="905"/>
      <c r="HD1161" s="905"/>
      <c r="HE1161" s="905"/>
      <c r="HF1161" s="905"/>
      <c r="HG1161" s="905"/>
      <c r="HH1161" s="905"/>
      <c r="HI1161" s="905"/>
      <c r="HJ1161" s="905"/>
      <c r="HK1161" s="905"/>
      <c r="HL1161" s="905"/>
      <c r="HM1161" s="905"/>
      <c r="HN1161" s="905"/>
      <c r="HO1161" s="905"/>
      <c r="HP1161" s="905"/>
      <c r="HQ1161" s="905"/>
      <c r="HR1161" s="905"/>
      <c r="HS1161" s="905"/>
      <c r="HT1161" s="905"/>
      <c r="HU1161" s="905"/>
      <c r="HV1161" s="905"/>
      <c r="HW1161" s="905"/>
      <c r="HX1161" s="905"/>
      <c r="HY1161" s="905"/>
      <c r="HZ1161" s="905"/>
      <c r="IA1161" s="905"/>
      <c r="IB1161" s="905"/>
      <c r="IC1161" s="905"/>
      <c r="ID1161" s="905"/>
      <c r="IE1161" s="905"/>
      <c r="IF1161" s="905"/>
      <c r="IG1161" s="905"/>
      <c r="IH1161" s="905"/>
      <c r="II1161" s="905"/>
      <c r="IJ1161" s="905"/>
      <c r="IK1161" s="905"/>
      <c r="IL1161" s="905"/>
      <c r="IM1161" s="905"/>
      <c r="IN1161" s="905"/>
      <c r="IO1161" s="905"/>
      <c r="IP1161" s="905"/>
      <c r="IQ1161" s="905"/>
      <c r="IR1161" s="905"/>
      <c r="IS1161" s="905"/>
      <c r="IT1161" s="905"/>
      <c r="IU1161" s="905"/>
      <c r="IV1161" s="905"/>
      <c r="IW1161" s="905"/>
      <c r="IX1161" s="905"/>
      <c r="IY1161" s="905"/>
      <c r="IZ1161" s="905"/>
      <c r="JA1161" s="905"/>
      <c r="JB1161" s="905"/>
      <c r="JC1161" s="905"/>
      <c r="JD1161" s="905"/>
      <c r="JE1161" s="905"/>
      <c r="JF1161" s="905"/>
      <c r="JG1161" s="905"/>
      <c r="JH1161" s="905"/>
      <c r="JI1161" s="905"/>
      <c r="JJ1161" s="905"/>
      <c r="JK1161" s="905"/>
      <c r="JL1161" s="905"/>
      <c r="JM1161" s="905"/>
      <c r="JN1161" s="905"/>
      <c r="JO1161" s="905"/>
      <c r="JP1161" s="905"/>
      <c r="JQ1161" s="905"/>
      <c r="JR1161" s="905"/>
      <c r="JS1161" s="905"/>
      <c r="JT1161" s="905"/>
      <c r="JU1161" s="905"/>
      <c r="JV1161" s="905"/>
      <c r="JW1161" s="905"/>
      <c r="JX1161" s="905"/>
      <c r="JY1161" s="905"/>
      <c r="JZ1161" s="905"/>
      <c r="KA1161" s="905"/>
      <c r="KB1161" s="905"/>
      <c r="KC1161" s="905"/>
      <c r="KD1161" s="905"/>
      <c r="KE1161" s="905"/>
      <c r="KF1161" s="905"/>
      <c r="KG1161" s="905"/>
      <c r="KH1161" s="905"/>
      <c r="KI1161" s="905"/>
      <c r="KJ1161" s="905"/>
      <c r="KK1161" s="905"/>
      <c r="KL1161" s="905"/>
      <c r="KM1161" s="905"/>
      <c r="KN1161" s="905"/>
      <c r="KO1161" s="905"/>
      <c r="KP1161" s="905"/>
      <c r="KQ1161" s="905"/>
      <c r="KR1161" s="905"/>
      <c r="KS1161" s="905"/>
      <c r="KT1161" s="905"/>
      <c r="KU1161" s="905"/>
      <c r="KV1161" s="905"/>
      <c r="KW1161" s="905"/>
      <c r="KX1161" s="905"/>
      <c r="KY1161" s="905"/>
      <c r="KZ1161" s="905"/>
      <c r="LA1161" s="905"/>
      <c r="LB1161" s="905"/>
      <c r="LC1161" s="905"/>
      <c r="LD1161" s="905"/>
      <c r="LE1161" s="905"/>
      <c r="LF1161" s="905"/>
      <c r="LG1161" s="905"/>
      <c r="LH1161" s="905"/>
      <c r="LI1161" s="905"/>
      <c r="LJ1161" s="905"/>
      <c r="LK1161" s="905"/>
      <c r="LL1161" s="905"/>
      <c r="LM1161" s="905"/>
      <c r="LN1161" s="905"/>
      <c r="LO1161" s="905"/>
      <c r="LP1161" s="905"/>
      <c r="LQ1161" s="905"/>
      <c r="LR1161" s="905"/>
      <c r="LS1161" s="905"/>
      <c r="LT1161" s="905"/>
      <c r="LU1161" s="905"/>
      <c r="LV1161" s="905"/>
      <c r="LW1161" s="905"/>
      <c r="LX1161" s="905"/>
      <c r="LY1161" s="905"/>
      <c r="LZ1161" s="905"/>
      <c r="MA1161" s="905"/>
      <c r="MB1161" s="905"/>
      <c r="MC1161" s="905"/>
      <c r="MD1161" s="905"/>
      <c r="ME1161" s="905"/>
      <c r="MF1161" s="905"/>
      <c r="MG1161" s="905"/>
      <c r="MH1161" s="905"/>
      <c r="MI1161" s="905"/>
      <c r="MJ1161" s="905"/>
      <c r="MK1161" s="905"/>
      <c r="ML1161" s="905"/>
      <c r="MM1161" s="905"/>
      <c r="MN1161" s="905"/>
      <c r="MO1161" s="905"/>
      <c r="MP1161" s="905"/>
      <c r="MQ1161" s="905"/>
      <c r="MR1161" s="905"/>
      <c r="MS1161" s="905"/>
      <c r="MT1161" s="905"/>
      <c r="MU1161" s="905"/>
      <c r="MV1161" s="905"/>
      <c r="MW1161" s="905"/>
      <c r="MX1161" s="905"/>
      <c r="MY1161" s="905"/>
      <c r="MZ1161" s="905"/>
      <c r="NA1161" s="905"/>
      <c r="NB1161" s="905"/>
      <c r="NC1161" s="905"/>
      <c r="ND1161" s="905"/>
      <c r="NE1161" s="905"/>
      <c r="NF1161" s="905"/>
      <c r="NG1161" s="905"/>
      <c r="NH1161" s="905"/>
      <c r="NI1161" s="905"/>
      <c r="NJ1161" s="905"/>
      <c r="NK1161" s="905"/>
      <c r="NL1161" s="905"/>
      <c r="NM1161" s="905"/>
      <c r="NN1161" s="905"/>
      <c r="NO1161" s="905"/>
      <c r="NP1161" s="905"/>
      <c r="NQ1161" s="905"/>
      <c r="NR1161" s="905"/>
      <c r="NS1161" s="905"/>
      <c r="NT1161" s="905"/>
      <c r="NU1161" s="905"/>
      <c r="NV1161" s="905"/>
      <c r="NW1161" s="905"/>
      <c r="NX1161" s="905"/>
      <c r="NY1161" s="905"/>
      <c r="NZ1161" s="905"/>
      <c r="OA1161" s="905"/>
      <c r="OB1161" s="905"/>
      <c r="OC1161" s="905"/>
      <c r="OD1161" s="905"/>
      <c r="OE1161" s="905"/>
      <c r="OF1161" s="905"/>
      <c r="OG1161" s="905"/>
      <c r="OH1161" s="905"/>
      <c r="OI1161" s="905"/>
      <c r="OJ1161" s="905"/>
      <c r="OK1161" s="905"/>
      <c r="OL1161" s="905"/>
      <c r="OM1161" s="905"/>
      <c r="ON1161" s="905"/>
      <c r="OO1161" s="905"/>
      <c r="OP1161" s="905"/>
      <c r="OQ1161" s="905"/>
      <c r="OR1161" s="905"/>
      <c r="OS1161" s="905"/>
      <c r="OT1161" s="905"/>
      <c r="OU1161" s="905"/>
      <c r="OV1161" s="905"/>
      <c r="OW1161" s="905"/>
      <c r="OX1161" s="905"/>
      <c r="OY1161" s="905"/>
      <c r="OZ1161" s="905"/>
      <c r="PA1161" s="905"/>
      <c r="PB1161" s="905"/>
      <c r="PC1161" s="905"/>
      <c r="PD1161" s="905"/>
      <c r="PE1161" s="905"/>
      <c r="PF1161" s="905"/>
      <c r="PG1161" s="905"/>
      <c r="PH1161" s="905"/>
      <c r="PI1161" s="905"/>
      <c r="PJ1161" s="905"/>
      <c r="PK1161" s="905"/>
      <c r="PL1161" s="905"/>
      <c r="PM1161" s="905"/>
      <c r="PN1161" s="905"/>
      <c r="PO1161" s="905"/>
      <c r="PP1161" s="905"/>
      <c r="PQ1161" s="905"/>
      <c r="PR1161" s="905"/>
      <c r="PS1161" s="905"/>
      <c r="PT1161" s="905"/>
      <c r="PU1161" s="905"/>
      <c r="PV1161" s="905"/>
      <c r="PW1161" s="905"/>
      <c r="PX1161" s="905"/>
      <c r="PY1161" s="905"/>
      <c r="PZ1161" s="905"/>
      <c r="QA1161" s="905"/>
      <c r="QB1161" s="905"/>
      <c r="QC1161" s="905"/>
      <c r="QD1161" s="905"/>
      <c r="QE1161" s="905"/>
      <c r="QF1161" s="905"/>
      <c r="QG1161" s="905"/>
      <c r="QH1161" s="905"/>
      <c r="QI1161" s="905"/>
      <c r="QJ1161" s="905"/>
      <c r="QK1161" s="905"/>
      <c r="QL1161" s="905"/>
      <c r="QM1161" s="905"/>
      <c r="QN1161" s="905"/>
      <c r="QO1161" s="905"/>
      <c r="QP1161" s="905"/>
      <c r="QQ1161" s="905"/>
      <c r="QR1161" s="905"/>
      <c r="QS1161" s="905"/>
      <c r="QT1161" s="905"/>
      <c r="QU1161" s="905"/>
      <c r="QV1161" s="905"/>
      <c r="QW1161" s="905"/>
      <c r="QX1161" s="905"/>
      <c r="QY1161" s="905"/>
      <c r="QZ1161" s="905"/>
      <c r="RA1161" s="905"/>
      <c r="RB1161" s="905"/>
      <c r="RC1161" s="905"/>
      <c r="RD1161" s="905"/>
      <c r="RE1161" s="905"/>
      <c r="RF1161" s="905"/>
      <c r="RG1161" s="905"/>
      <c r="RH1161" s="905"/>
      <c r="RI1161" s="905"/>
      <c r="RJ1161" s="905"/>
      <c r="RK1161" s="905"/>
      <c r="RL1161" s="905"/>
      <c r="RM1161" s="905"/>
      <c r="RN1161" s="905"/>
      <c r="RO1161" s="905"/>
      <c r="RP1161" s="905"/>
      <c r="RQ1161" s="905"/>
      <c r="RR1161" s="905"/>
      <c r="RS1161" s="905"/>
      <c r="RT1161" s="905"/>
      <c r="RU1161" s="905"/>
      <c r="RV1161" s="905"/>
      <c r="RW1161" s="905"/>
      <c r="RX1161" s="905"/>
      <c r="RY1161" s="905"/>
      <c r="RZ1161" s="905"/>
      <c r="SA1161" s="905"/>
      <c r="SB1161" s="905"/>
      <c r="SC1161" s="905"/>
      <c r="SD1161" s="905"/>
      <c r="SE1161" s="905"/>
      <c r="SF1161" s="905"/>
      <c r="SG1161" s="905"/>
      <c r="SH1161" s="905"/>
      <c r="SI1161" s="905"/>
      <c r="SJ1161" s="905"/>
      <c r="SK1161" s="905"/>
      <c r="SL1161" s="905"/>
      <c r="SM1161" s="905"/>
      <c r="SN1161" s="905"/>
      <c r="SO1161" s="905"/>
      <c r="SP1161" s="905"/>
      <c r="SQ1161" s="905"/>
      <c r="SR1161" s="905"/>
      <c r="SS1161" s="905"/>
      <c r="ST1161" s="905"/>
      <c r="SU1161" s="905"/>
      <c r="SV1161" s="905"/>
      <c r="SW1161" s="905"/>
      <c r="SX1161" s="905"/>
      <c r="SY1161" s="905"/>
      <c r="SZ1161" s="905"/>
      <c r="TA1161" s="905"/>
      <c r="TB1161" s="905"/>
      <c r="TC1161" s="905"/>
      <c r="TD1161" s="905"/>
      <c r="TE1161" s="905"/>
      <c r="TF1161" s="905"/>
      <c r="TG1161" s="905"/>
      <c r="TH1161" s="905"/>
      <c r="TI1161" s="905"/>
      <c r="TJ1161" s="905"/>
      <c r="TK1161" s="905"/>
      <c r="TL1161" s="905"/>
      <c r="TM1161" s="905"/>
      <c r="TN1161" s="905"/>
      <c r="TO1161" s="905"/>
      <c r="TP1161" s="905"/>
      <c r="TQ1161" s="905"/>
      <c r="TR1161" s="905"/>
      <c r="TS1161" s="905"/>
      <c r="TT1161" s="905"/>
      <c r="TU1161" s="905"/>
      <c r="TV1161" s="905"/>
      <c r="TW1161" s="905"/>
      <c r="TX1161" s="905"/>
      <c r="TY1161" s="905"/>
      <c r="TZ1161" s="905"/>
      <c r="UA1161" s="905"/>
      <c r="UB1161" s="905"/>
      <c r="UC1161" s="905"/>
      <c r="UD1161" s="905"/>
      <c r="UE1161" s="905"/>
      <c r="UF1161" s="905"/>
      <c r="UG1161" s="905"/>
      <c r="UH1161" s="905"/>
      <c r="UI1161" s="905"/>
      <c r="UJ1161" s="905"/>
      <c r="UK1161" s="905"/>
      <c r="UL1161" s="905"/>
      <c r="UM1161" s="905"/>
      <c r="UN1161" s="905"/>
      <c r="UO1161" s="905"/>
      <c r="UP1161" s="905"/>
      <c r="UQ1161" s="905"/>
      <c r="UR1161" s="905"/>
      <c r="US1161" s="905"/>
      <c r="UT1161" s="905"/>
      <c r="UU1161" s="905"/>
      <c r="UV1161" s="905"/>
      <c r="UW1161" s="905"/>
      <c r="UX1161" s="905"/>
      <c r="UY1161" s="905"/>
      <c r="UZ1161" s="905"/>
      <c r="VA1161" s="905"/>
      <c r="VB1161" s="905"/>
      <c r="VC1161" s="905"/>
      <c r="VD1161" s="905"/>
      <c r="VE1161" s="905"/>
      <c r="VF1161" s="905"/>
      <c r="VG1161" s="905"/>
      <c r="VH1161" s="905"/>
      <c r="VI1161" s="905"/>
      <c r="VJ1161" s="905"/>
      <c r="VK1161" s="905"/>
      <c r="VL1161" s="905"/>
      <c r="VM1161" s="905"/>
      <c r="VN1161" s="905"/>
      <c r="VO1161" s="905"/>
      <c r="VP1161" s="905"/>
      <c r="VQ1161" s="905"/>
      <c r="VR1161" s="905"/>
      <c r="VS1161" s="905"/>
      <c r="VT1161" s="905"/>
      <c r="VU1161" s="905"/>
      <c r="VV1161" s="905"/>
      <c r="VW1161" s="905"/>
      <c r="VX1161" s="905"/>
      <c r="VY1161" s="905"/>
      <c r="VZ1161" s="905"/>
      <c r="WA1161" s="905"/>
      <c r="WB1161" s="905"/>
      <c r="WC1161" s="905"/>
      <c r="WD1161" s="905"/>
      <c r="WE1161" s="905"/>
      <c r="WF1161" s="905"/>
      <c r="WG1161" s="905"/>
      <c r="WH1161" s="905"/>
      <c r="WI1161" s="905"/>
      <c r="WJ1161" s="905"/>
      <c r="WK1161" s="905"/>
      <c r="WL1161" s="905"/>
      <c r="WM1161" s="905"/>
      <c r="WN1161" s="905"/>
      <c r="WO1161" s="905"/>
      <c r="WP1161" s="905"/>
      <c r="WQ1161" s="905"/>
      <c r="WR1161" s="905"/>
      <c r="WS1161" s="905"/>
      <c r="WT1161" s="905"/>
      <c r="WU1161" s="905"/>
      <c r="WV1161" s="905"/>
      <c r="WW1161" s="905"/>
      <c r="WX1161" s="905"/>
      <c r="WY1161" s="905"/>
      <c r="WZ1161" s="905"/>
      <c r="XA1161" s="905"/>
      <c r="XB1161" s="905"/>
      <c r="XC1161" s="905"/>
      <c r="XD1161" s="905"/>
      <c r="XE1161" s="905"/>
      <c r="XF1161" s="905"/>
      <c r="XG1161" s="905"/>
      <c r="XH1161" s="905"/>
      <c r="XI1161" s="905"/>
      <c r="XJ1161" s="905"/>
      <c r="XK1161" s="905"/>
      <c r="XL1161" s="905"/>
      <c r="XM1161" s="905"/>
      <c r="XN1161" s="905"/>
      <c r="XO1161" s="905"/>
      <c r="XP1161" s="905"/>
      <c r="XQ1161" s="905"/>
      <c r="XR1161" s="905"/>
      <c r="XS1161" s="905"/>
      <c r="XT1161" s="905"/>
      <c r="XU1161" s="905"/>
      <c r="XV1161" s="905"/>
      <c r="XW1161" s="905"/>
      <c r="XX1161" s="905"/>
      <c r="XY1161" s="905"/>
      <c r="XZ1161" s="905"/>
      <c r="YA1161" s="905"/>
      <c r="YB1161" s="905"/>
      <c r="YC1161" s="905"/>
      <c r="YD1161" s="905"/>
      <c r="YE1161" s="905"/>
      <c r="YF1161" s="905"/>
      <c r="YG1161" s="905"/>
      <c r="YH1161" s="905"/>
      <c r="YI1161" s="905"/>
      <c r="YJ1161" s="905"/>
      <c r="YK1161" s="905"/>
      <c r="YL1161" s="905"/>
      <c r="YM1161" s="905"/>
      <c r="YN1161" s="905"/>
      <c r="YO1161" s="905"/>
      <c r="YP1161" s="905"/>
      <c r="YQ1161" s="905"/>
      <c r="YR1161" s="905"/>
      <c r="YS1161" s="905"/>
      <c r="YT1161" s="905"/>
      <c r="YU1161" s="905"/>
      <c r="YV1161" s="905"/>
      <c r="YW1161" s="905"/>
      <c r="YX1161" s="905"/>
      <c r="YY1161" s="905"/>
      <c r="YZ1161" s="905"/>
      <c r="ZA1161" s="905"/>
      <c r="ZB1161" s="905"/>
      <c r="ZC1161" s="905"/>
      <c r="ZD1161" s="905"/>
      <c r="ZE1161" s="905"/>
      <c r="ZF1161" s="905"/>
      <c r="ZG1161" s="905"/>
      <c r="ZH1161" s="905"/>
      <c r="ZI1161" s="905"/>
      <c r="ZJ1161" s="905"/>
      <c r="ZK1161" s="905"/>
      <c r="ZL1161" s="905"/>
      <c r="ZM1161" s="905"/>
      <c r="ZN1161" s="905"/>
      <c r="ZO1161" s="905"/>
      <c r="ZP1161" s="905"/>
      <c r="ZQ1161" s="905"/>
      <c r="ZR1161" s="905"/>
      <c r="ZS1161" s="905"/>
      <c r="ZT1161" s="905"/>
      <c r="ZU1161" s="905"/>
      <c r="ZV1161" s="905"/>
      <c r="ZW1161" s="905"/>
      <c r="ZX1161" s="905"/>
      <c r="ZY1161" s="905"/>
      <c r="ZZ1161" s="905"/>
      <c r="AAA1161" s="905"/>
      <c r="AAB1161" s="905"/>
      <c r="AAC1161" s="905"/>
      <c r="AAD1161" s="905"/>
      <c r="AAE1161" s="905"/>
      <c r="AAF1161" s="905"/>
      <c r="AAG1161" s="905"/>
      <c r="AAH1161" s="905"/>
      <c r="AAI1161" s="905"/>
      <c r="AAJ1161" s="905"/>
      <c r="AAK1161" s="905"/>
      <c r="AAL1161" s="905"/>
      <c r="AAM1161" s="905"/>
      <c r="AAN1161" s="905"/>
      <c r="AAO1161" s="905"/>
      <c r="AAP1161" s="905"/>
      <c r="AAQ1161" s="905"/>
      <c r="AAR1161" s="905"/>
      <c r="AAS1161" s="905"/>
      <c r="AAT1161" s="905"/>
      <c r="AAU1161" s="905"/>
      <c r="AAV1161" s="905"/>
      <c r="AAW1161" s="905"/>
      <c r="AAX1161" s="905"/>
      <c r="AAY1161" s="905"/>
      <c r="AAZ1161" s="905"/>
      <c r="ABA1161" s="905"/>
      <c r="ABB1161" s="905"/>
      <c r="ABC1161" s="905"/>
      <c r="ABD1161" s="905"/>
      <c r="ABE1161" s="905"/>
      <c r="ABF1161" s="905"/>
      <c r="ABG1161" s="905"/>
      <c r="ABH1161" s="905"/>
      <c r="ABI1161" s="905"/>
      <c r="ABJ1161" s="905"/>
      <c r="ABK1161" s="905"/>
      <c r="ABL1161" s="905"/>
      <c r="ABM1161" s="905"/>
      <c r="ABN1161" s="905"/>
      <c r="ABO1161" s="905"/>
      <c r="ABP1161" s="905"/>
      <c r="ABQ1161" s="905"/>
      <c r="ABR1161" s="905"/>
      <c r="ABS1161" s="905"/>
      <c r="ABT1161" s="905"/>
      <c r="ABU1161" s="905"/>
      <c r="ABV1161" s="905"/>
      <c r="ABW1161" s="905"/>
      <c r="ABX1161" s="905"/>
      <c r="ABY1161" s="905"/>
      <c r="ABZ1161" s="905"/>
      <c r="ACA1161" s="905"/>
      <c r="ACB1161" s="905"/>
      <c r="ACC1161" s="905"/>
      <c r="ACD1161" s="905"/>
      <c r="ACE1161" s="905"/>
      <c r="ACF1161" s="905"/>
      <c r="ACG1161" s="905"/>
      <c r="ACH1161" s="905"/>
      <c r="ACI1161" s="905"/>
      <c r="ACJ1161" s="905"/>
      <c r="ACK1161" s="905"/>
      <c r="ACL1161" s="905"/>
      <c r="ACM1161" s="905"/>
      <c r="ACN1161" s="905"/>
      <c r="ACO1161" s="905"/>
      <c r="ACP1161" s="905"/>
      <c r="ACQ1161" s="905"/>
      <c r="ACR1161" s="905"/>
      <c r="ACS1161" s="905"/>
      <c r="ACT1161" s="905"/>
      <c r="ACU1161" s="905"/>
      <c r="ACV1161" s="905"/>
      <c r="ACW1161" s="905"/>
      <c r="ACX1161" s="905"/>
      <c r="ACY1161" s="905"/>
      <c r="ACZ1161" s="905"/>
      <c r="ADA1161" s="905"/>
      <c r="ADB1161" s="905"/>
      <c r="ADC1161" s="905"/>
      <c r="ADD1161" s="905"/>
      <c r="ADE1161" s="905"/>
      <c r="ADF1161" s="905"/>
      <c r="ADG1161" s="905"/>
      <c r="ADH1161" s="905"/>
      <c r="ADI1161" s="905"/>
      <c r="ADJ1161" s="905"/>
      <c r="ADK1161" s="905"/>
      <c r="ADL1161" s="905"/>
      <c r="ADM1161" s="905"/>
      <c r="ADN1161" s="905"/>
      <c r="ADO1161" s="905"/>
      <c r="ADP1161" s="905"/>
      <c r="ADQ1161" s="905"/>
      <c r="ADR1161" s="905"/>
      <c r="ADS1161" s="905"/>
      <c r="ADT1161" s="905"/>
      <c r="ADU1161" s="905"/>
      <c r="ADV1161" s="905"/>
      <c r="ADW1161" s="905"/>
      <c r="ADX1161" s="905"/>
      <c r="ADY1161" s="905"/>
      <c r="ADZ1161" s="905"/>
      <c r="AEA1161" s="905"/>
      <c r="AEB1161" s="905"/>
      <c r="AEC1161" s="905"/>
      <c r="AED1161" s="905"/>
      <c r="AEE1161" s="905"/>
      <c r="AEF1161" s="905"/>
      <c r="AEG1161" s="905"/>
      <c r="AEH1161" s="905"/>
      <c r="AEI1161" s="905"/>
      <c r="AEJ1161" s="905"/>
      <c r="AEK1161" s="905"/>
      <c r="AEL1161" s="905"/>
      <c r="AEM1161" s="905"/>
      <c r="AEN1161" s="905"/>
      <c r="AEO1161" s="905"/>
      <c r="AEP1161" s="905"/>
      <c r="AEQ1161" s="905"/>
      <c r="AER1161" s="905"/>
      <c r="AES1161" s="905"/>
      <c r="AET1161" s="905"/>
      <c r="AEU1161" s="905"/>
      <c r="AEV1161" s="905"/>
      <c r="AEW1161" s="905"/>
      <c r="AEX1161" s="905"/>
      <c r="AEY1161" s="905"/>
      <c r="AEZ1161" s="905"/>
      <c r="AFA1161" s="905"/>
      <c r="AFB1161" s="905"/>
      <c r="AFC1161" s="905"/>
      <c r="AFD1161" s="905"/>
      <c r="AFE1161" s="905"/>
      <c r="AFF1161" s="905"/>
      <c r="AFG1161" s="905"/>
      <c r="AFH1161" s="905"/>
      <c r="AFI1161" s="905"/>
      <c r="AFJ1161" s="905"/>
      <c r="AFK1161" s="905"/>
      <c r="AFL1161" s="905"/>
      <c r="AFM1161" s="905"/>
      <c r="AFN1161" s="905"/>
      <c r="AFO1161" s="905"/>
      <c r="AFP1161" s="905"/>
      <c r="AFQ1161" s="905"/>
      <c r="AFR1161" s="905"/>
      <c r="AFS1161" s="905"/>
      <c r="AFT1161" s="905"/>
      <c r="AFU1161" s="905"/>
      <c r="AFV1161" s="905"/>
      <c r="AFW1161" s="905"/>
      <c r="AFX1161" s="905"/>
      <c r="AFY1161" s="905"/>
      <c r="AFZ1161" s="905"/>
      <c r="AGA1161" s="905"/>
      <c r="AGB1161" s="905"/>
      <c r="AGC1161" s="905"/>
      <c r="AGD1161" s="905"/>
      <c r="AGE1161" s="905"/>
      <c r="AGF1161" s="905"/>
      <c r="AGG1161" s="905"/>
      <c r="AGH1161" s="905"/>
      <c r="AGI1161" s="905"/>
      <c r="AGJ1161" s="905"/>
    </row>
    <row r="1162" spans="1:868" s="898" customFormat="1">
      <c r="A1162" s="898" t="str">
        <f>Clothing!A357</f>
        <v>Clothing (product sector)</v>
      </c>
      <c r="B1162" s="898" t="str">
        <f>Clothing!B357</f>
        <v>Boots</v>
      </c>
      <c r="C1162" s="898" t="str">
        <f>Clothing!C357</f>
        <v>NL</v>
      </c>
      <c r="D1162" s="898" t="str">
        <f>Clothing!D357</f>
        <v>OTHER</v>
      </c>
      <c r="E1162" s="901">
        <f>Clothing!E357</f>
        <v>0</v>
      </c>
      <c r="F1162" s="898">
        <f>Clothing!F357</f>
        <v>1</v>
      </c>
      <c r="G1162" s="898" t="str">
        <f>Clothing!G357</f>
        <v>https://eeb.org/library/draft-product-environmental-footprint-category-rules-pefcr-apparel-and-footwear/</v>
      </c>
      <c r="H1162" s="902">
        <f>Clothing!H357</f>
        <v>2</v>
      </c>
      <c r="I1162" s="902" t="str">
        <f>Clothing!I357</f>
        <v/>
      </c>
      <c r="J1162" s="902">
        <f>Clothing!J357</f>
        <v>2</v>
      </c>
      <c r="K1162" s="902">
        <f>Clothing!K357</f>
        <v>1</v>
      </c>
      <c r="L1162" s="902">
        <f>Clothing!L357</f>
        <v>2</v>
      </c>
      <c r="M1162" s="902">
        <f>Clothing!M357</f>
        <v>3</v>
      </c>
      <c r="N1162" s="185">
        <f t="shared" si="89"/>
        <v>1.0301997916669636</v>
      </c>
      <c r="O1162" s="159" t="e">
        <f t="shared" si="90"/>
        <v>#VALUE!</v>
      </c>
      <c r="Q1162" s="905"/>
      <c r="R1162" s="905"/>
      <c r="S1162" s="905"/>
      <c r="T1162" s="905"/>
      <c r="U1162" s="905"/>
      <c r="V1162" s="905"/>
      <c r="W1162" s="905"/>
      <c r="X1162" s="905"/>
      <c r="Y1162" s="905"/>
      <c r="Z1162" s="905"/>
      <c r="AA1162" s="905"/>
      <c r="AB1162" s="905"/>
      <c r="AC1162" s="905"/>
      <c r="AD1162" s="905"/>
      <c r="AE1162" s="905"/>
      <c r="AF1162" s="905"/>
      <c r="AG1162" s="905"/>
      <c r="AH1162" s="905"/>
      <c r="AI1162" s="905"/>
      <c r="AJ1162" s="905"/>
      <c r="AK1162" s="905"/>
      <c r="AL1162" s="905"/>
      <c r="AM1162" s="905"/>
      <c r="AN1162" s="905"/>
      <c r="AO1162" s="905"/>
      <c r="AP1162" s="905"/>
      <c r="AQ1162" s="905"/>
      <c r="AR1162" s="905"/>
      <c r="AS1162" s="905"/>
      <c r="AT1162" s="905"/>
      <c r="AU1162" s="905"/>
      <c r="AV1162" s="905"/>
      <c r="AW1162" s="905"/>
      <c r="AX1162" s="905"/>
      <c r="AY1162" s="905"/>
      <c r="AZ1162" s="905"/>
      <c r="BA1162" s="905"/>
      <c r="BB1162" s="905"/>
      <c r="BC1162" s="905"/>
      <c r="BD1162" s="905"/>
      <c r="BE1162" s="905"/>
      <c r="BF1162" s="905"/>
      <c r="BG1162" s="905"/>
      <c r="BH1162" s="905"/>
      <c r="BI1162" s="905"/>
      <c r="BJ1162" s="905"/>
      <c r="BK1162" s="905"/>
      <c r="BL1162" s="905"/>
      <c r="BM1162" s="905"/>
      <c r="BN1162" s="905"/>
      <c r="BO1162" s="905"/>
      <c r="BP1162" s="905"/>
      <c r="BQ1162" s="905"/>
      <c r="BR1162" s="905"/>
      <c r="BS1162" s="905"/>
      <c r="BT1162" s="905"/>
      <c r="BU1162" s="905"/>
      <c r="BV1162" s="905"/>
      <c r="BW1162" s="905"/>
      <c r="BX1162" s="905"/>
      <c r="BY1162" s="905"/>
      <c r="BZ1162" s="905"/>
      <c r="CA1162" s="905"/>
      <c r="CB1162" s="905"/>
      <c r="CC1162" s="905"/>
      <c r="CD1162" s="905"/>
      <c r="CE1162" s="905"/>
      <c r="CF1162" s="905"/>
      <c r="CG1162" s="905"/>
      <c r="CH1162" s="905"/>
      <c r="CI1162" s="905"/>
      <c r="CJ1162" s="905"/>
      <c r="CK1162" s="905"/>
      <c r="CL1162" s="905"/>
      <c r="CM1162" s="905"/>
      <c r="CN1162" s="905"/>
      <c r="CO1162" s="905"/>
      <c r="CP1162" s="905"/>
      <c r="CQ1162" s="905"/>
      <c r="CR1162" s="905"/>
      <c r="CS1162" s="905"/>
      <c r="CT1162" s="905"/>
      <c r="CU1162" s="905"/>
      <c r="CV1162" s="905"/>
      <c r="CW1162" s="905"/>
      <c r="CX1162" s="905"/>
      <c r="CY1162" s="905"/>
      <c r="CZ1162" s="905"/>
      <c r="DA1162" s="905"/>
      <c r="DB1162" s="905"/>
      <c r="DC1162" s="905"/>
      <c r="DD1162" s="905"/>
      <c r="DE1162" s="905"/>
      <c r="DF1162" s="905"/>
      <c r="DG1162" s="905"/>
      <c r="DH1162" s="905"/>
      <c r="DI1162" s="905"/>
      <c r="DJ1162" s="905"/>
      <c r="DK1162" s="905"/>
      <c r="DL1162" s="905"/>
      <c r="DM1162" s="905"/>
      <c r="DN1162" s="905"/>
      <c r="DO1162" s="905"/>
      <c r="DP1162" s="905"/>
      <c r="DQ1162" s="905"/>
      <c r="DR1162" s="905"/>
      <c r="DS1162" s="905"/>
      <c r="DT1162" s="905"/>
      <c r="DU1162" s="905"/>
      <c r="DV1162" s="905"/>
      <c r="DW1162" s="905"/>
      <c r="DX1162" s="905"/>
      <c r="DY1162" s="905"/>
      <c r="DZ1162" s="905"/>
      <c r="EA1162" s="905"/>
      <c r="EB1162" s="905"/>
      <c r="EC1162" s="905"/>
      <c r="ED1162" s="905"/>
      <c r="EE1162" s="905"/>
      <c r="EF1162" s="905"/>
      <c r="EG1162" s="905"/>
      <c r="EH1162" s="905"/>
      <c r="EI1162" s="905"/>
      <c r="EJ1162" s="905"/>
      <c r="EK1162" s="905"/>
      <c r="EL1162" s="905"/>
      <c r="EM1162" s="905"/>
      <c r="EN1162" s="905"/>
      <c r="EO1162" s="905"/>
      <c r="EP1162" s="905"/>
      <c r="EQ1162" s="905"/>
      <c r="ER1162" s="905"/>
      <c r="ES1162" s="905"/>
      <c r="ET1162" s="905"/>
      <c r="EU1162" s="905"/>
      <c r="EV1162" s="905"/>
      <c r="EW1162" s="905"/>
      <c r="EX1162" s="905"/>
      <c r="EY1162" s="905"/>
      <c r="EZ1162" s="905"/>
      <c r="FA1162" s="905"/>
      <c r="FB1162" s="905"/>
      <c r="FC1162" s="905"/>
      <c r="FD1162" s="905"/>
      <c r="FE1162" s="905"/>
      <c r="FF1162" s="905"/>
      <c r="FG1162" s="905"/>
      <c r="FH1162" s="905"/>
      <c r="FI1162" s="905"/>
      <c r="FJ1162" s="905"/>
      <c r="FK1162" s="905"/>
      <c r="FL1162" s="905"/>
      <c r="FM1162" s="905"/>
      <c r="FN1162" s="905"/>
      <c r="FO1162" s="905"/>
      <c r="FP1162" s="905"/>
      <c r="FQ1162" s="905"/>
      <c r="FR1162" s="905"/>
      <c r="FS1162" s="905"/>
      <c r="FT1162" s="905"/>
      <c r="FU1162" s="905"/>
      <c r="FV1162" s="905"/>
      <c r="FW1162" s="905"/>
      <c r="FX1162" s="905"/>
      <c r="FY1162" s="905"/>
      <c r="FZ1162" s="905"/>
      <c r="GA1162" s="905"/>
      <c r="GB1162" s="905"/>
      <c r="GC1162" s="905"/>
      <c r="GD1162" s="905"/>
      <c r="GE1162" s="905"/>
      <c r="GF1162" s="905"/>
      <c r="GG1162" s="905"/>
      <c r="GH1162" s="905"/>
      <c r="GI1162" s="905"/>
      <c r="GJ1162" s="905"/>
      <c r="GK1162" s="905"/>
      <c r="GL1162" s="905"/>
      <c r="GM1162" s="905"/>
      <c r="GN1162" s="905"/>
      <c r="GO1162" s="905"/>
      <c r="GP1162" s="905"/>
      <c r="GQ1162" s="905"/>
      <c r="GR1162" s="905"/>
      <c r="GS1162" s="905"/>
      <c r="GT1162" s="905"/>
      <c r="GU1162" s="905"/>
      <c r="GV1162" s="905"/>
      <c r="GW1162" s="905"/>
      <c r="GX1162" s="905"/>
      <c r="GY1162" s="905"/>
      <c r="GZ1162" s="905"/>
      <c r="HA1162" s="905"/>
      <c r="HB1162" s="905"/>
      <c r="HC1162" s="905"/>
      <c r="HD1162" s="905"/>
      <c r="HE1162" s="905"/>
      <c r="HF1162" s="905"/>
      <c r="HG1162" s="905"/>
      <c r="HH1162" s="905"/>
      <c r="HI1162" s="905"/>
      <c r="HJ1162" s="905"/>
      <c r="HK1162" s="905"/>
      <c r="HL1162" s="905"/>
      <c r="HM1162" s="905"/>
      <c r="HN1162" s="905"/>
      <c r="HO1162" s="905"/>
      <c r="HP1162" s="905"/>
      <c r="HQ1162" s="905"/>
      <c r="HR1162" s="905"/>
      <c r="HS1162" s="905"/>
      <c r="HT1162" s="905"/>
      <c r="HU1162" s="905"/>
      <c r="HV1162" s="905"/>
      <c r="HW1162" s="905"/>
      <c r="HX1162" s="905"/>
      <c r="HY1162" s="905"/>
      <c r="HZ1162" s="905"/>
      <c r="IA1162" s="905"/>
      <c r="IB1162" s="905"/>
      <c r="IC1162" s="905"/>
      <c r="ID1162" s="905"/>
      <c r="IE1162" s="905"/>
      <c r="IF1162" s="905"/>
      <c r="IG1162" s="905"/>
      <c r="IH1162" s="905"/>
      <c r="II1162" s="905"/>
      <c r="IJ1162" s="905"/>
      <c r="IK1162" s="905"/>
      <c r="IL1162" s="905"/>
      <c r="IM1162" s="905"/>
      <c r="IN1162" s="905"/>
      <c r="IO1162" s="905"/>
      <c r="IP1162" s="905"/>
      <c r="IQ1162" s="905"/>
      <c r="IR1162" s="905"/>
      <c r="IS1162" s="905"/>
      <c r="IT1162" s="905"/>
      <c r="IU1162" s="905"/>
      <c r="IV1162" s="905"/>
      <c r="IW1162" s="905"/>
      <c r="IX1162" s="905"/>
      <c r="IY1162" s="905"/>
      <c r="IZ1162" s="905"/>
      <c r="JA1162" s="905"/>
      <c r="JB1162" s="905"/>
      <c r="JC1162" s="905"/>
      <c r="JD1162" s="905"/>
      <c r="JE1162" s="905"/>
      <c r="JF1162" s="905"/>
      <c r="JG1162" s="905"/>
      <c r="JH1162" s="905"/>
      <c r="JI1162" s="905"/>
      <c r="JJ1162" s="905"/>
      <c r="JK1162" s="905"/>
      <c r="JL1162" s="905"/>
      <c r="JM1162" s="905"/>
      <c r="JN1162" s="905"/>
      <c r="JO1162" s="905"/>
      <c r="JP1162" s="905"/>
      <c r="JQ1162" s="905"/>
      <c r="JR1162" s="905"/>
      <c r="JS1162" s="905"/>
      <c r="JT1162" s="905"/>
      <c r="JU1162" s="905"/>
      <c r="JV1162" s="905"/>
      <c r="JW1162" s="905"/>
      <c r="JX1162" s="905"/>
      <c r="JY1162" s="905"/>
      <c r="JZ1162" s="905"/>
      <c r="KA1162" s="905"/>
      <c r="KB1162" s="905"/>
      <c r="KC1162" s="905"/>
      <c r="KD1162" s="905"/>
      <c r="KE1162" s="905"/>
      <c r="KF1162" s="905"/>
      <c r="KG1162" s="905"/>
      <c r="KH1162" s="905"/>
      <c r="KI1162" s="905"/>
      <c r="KJ1162" s="905"/>
      <c r="KK1162" s="905"/>
      <c r="KL1162" s="905"/>
      <c r="KM1162" s="905"/>
      <c r="KN1162" s="905"/>
      <c r="KO1162" s="905"/>
      <c r="KP1162" s="905"/>
      <c r="KQ1162" s="905"/>
      <c r="KR1162" s="905"/>
      <c r="KS1162" s="905"/>
      <c r="KT1162" s="905"/>
      <c r="KU1162" s="905"/>
      <c r="KV1162" s="905"/>
      <c r="KW1162" s="905"/>
      <c r="KX1162" s="905"/>
      <c r="KY1162" s="905"/>
      <c r="KZ1162" s="905"/>
      <c r="LA1162" s="905"/>
      <c r="LB1162" s="905"/>
      <c r="LC1162" s="905"/>
      <c r="LD1162" s="905"/>
      <c r="LE1162" s="905"/>
      <c r="LF1162" s="905"/>
      <c r="LG1162" s="905"/>
      <c r="LH1162" s="905"/>
      <c r="LI1162" s="905"/>
      <c r="LJ1162" s="905"/>
      <c r="LK1162" s="905"/>
      <c r="LL1162" s="905"/>
      <c r="LM1162" s="905"/>
      <c r="LN1162" s="905"/>
      <c r="LO1162" s="905"/>
      <c r="LP1162" s="905"/>
      <c r="LQ1162" s="905"/>
      <c r="LR1162" s="905"/>
      <c r="LS1162" s="905"/>
      <c r="LT1162" s="905"/>
      <c r="LU1162" s="905"/>
      <c r="LV1162" s="905"/>
      <c r="LW1162" s="905"/>
      <c r="LX1162" s="905"/>
      <c r="LY1162" s="905"/>
      <c r="LZ1162" s="905"/>
      <c r="MA1162" s="905"/>
      <c r="MB1162" s="905"/>
      <c r="MC1162" s="905"/>
      <c r="MD1162" s="905"/>
      <c r="ME1162" s="905"/>
      <c r="MF1162" s="905"/>
      <c r="MG1162" s="905"/>
      <c r="MH1162" s="905"/>
      <c r="MI1162" s="905"/>
      <c r="MJ1162" s="905"/>
      <c r="MK1162" s="905"/>
      <c r="ML1162" s="905"/>
      <c r="MM1162" s="905"/>
      <c r="MN1162" s="905"/>
      <c r="MO1162" s="905"/>
      <c r="MP1162" s="905"/>
      <c r="MQ1162" s="905"/>
      <c r="MR1162" s="905"/>
      <c r="MS1162" s="905"/>
      <c r="MT1162" s="905"/>
      <c r="MU1162" s="905"/>
      <c r="MV1162" s="905"/>
      <c r="MW1162" s="905"/>
      <c r="MX1162" s="905"/>
      <c r="MY1162" s="905"/>
      <c r="MZ1162" s="905"/>
      <c r="NA1162" s="905"/>
      <c r="NB1162" s="905"/>
      <c r="NC1162" s="905"/>
      <c r="ND1162" s="905"/>
      <c r="NE1162" s="905"/>
      <c r="NF1162" s="905"/>
      <c r="NG1162" s="905"/>
      <c r="NH1162" s="905"/>
      <c r="NI1162" s="905"/>
      <c r="NJ1162" s="905"/>
      <c r="NK1162" s="905"/>
      <c r="NL1162" s="905"/>
      <c r="NM1162" s="905"/>
      <c r="NN1162" s="905"/>
      <c r="NO1162" s="905"/>
      <c r="NP1162" s="905"/>
      <c r="NQ1162" s="905"/>
      <c r="NR1162" s="905"/>
      <c r="NS1162" s="905"/>
      <c r="NT1162" s="905"/>
      <c r="NU1162" s="905"/>
      <c r="NV1162" s="905"/>
      <c r="NW1162" s="905"/>
      <c r="NX1162" s="905"/>
      <c r="NY1162" s="905"/>
      <c r="NZ1162" s="905"/>
      <c r="OA1162" s="905"/>
      <c r="OB1162" s="905"/>
      <c r="OC1162" s="905"/>
      <c r="OD1162" s="905"/>
      <c r="OE1162" s="905"/>
      <c r="OF1162" s="905"/>
      <c r="OG1162" s="905"/>
      <c r="OH1162" s="905"/>
      <c r="OI1162" s="905"/>
      <c r="OJ1162" s="905"/>
      <c r="OK1162" s="905"/>
      <c r="OL1162" s="905"/>
      <c r="OM1162" s="905"/>
      <c r="ON1162" s="905"/>
      <c r="OO1162" s="905"/>
      <c r="OP1162" s="905"/>
      <c r="OQ1162" s="905"/>
      <c r="OR1162" s="905"/>
      <c r="OS1162" s="905"/>
      <c r="OT1162" s="905"/>
      <c r="OU1162" s="905"/>
      <c r="OV1162" s="905"/>
      <c r="OW1162" s="905"/>
      <c r="OX1162" s="905"/>
      <c r="OY1162" s="905"/>
      <c r="OZ1162" s="905"/>
      <c r="PA1162" s="905"/>
      <c r="PB1162" s="905"/>
      <c r="PC1162" s="905"/>
      <c r="PD1162" s="905"/>
      <c r="PE1162" s="905"/>
      <c r="PF1162" s="905"/>
      <c r="PG1162" s="905"/>
      <c r="PH1162" s="905"/>
      <c r="PI1162" s="905"/>
      <c r="PJ1162" s="905"/>
      <c r="PK1162" s="905"/>
      <c r="PL1162" s="905"/>
      <c r="PM1162" s="905"/>
      <c r="PN1162" s="905"/>
      <c r="PO1162" s="905"/>
      <c r="PP1162" s="905"/>
      <c r="PQ1162" s="905"/>
      <c r="PR1162" s="905"/>
      <c r="PS1162" s="905"/>
      <c r="PT1162" s="905"/>
      <c r="PU1162" s="905"/>
      <c r="PV1162" s="905"/>
      <c r="PW1162" s="905"/>
      <c r="PX1162" s="905"/>
      <c r="PY1162" s="905"/>
      <c r="PZ1162" s="905"/>
      <c r="QA1162" s="905"/>
      <c r="QB1162" s="905"/>
      <c r="QC1162" s="905"/>
      <c r="QD1162" s="905"/>
      <c r="QE1162" s="905"/>
      <c r="QF1162" s="905"/>
      <c r="QG1162" s="905"/>
      <c r="QH1162" s="905"/>
      <c r="QI1162" s="905"/>
      <c r="QJ1162" s="905"/>
      <c r="QK1162" s="905"/>
      <c r="QL1162" s="905"/>
      <c r="QM1162" s="905"/>
      <c r="QN1162" s="905"/>
      <c r="QO1162" s="905"/>
      <c r="QP1162" s="905"/>
      <c r="QQ1162" s="905"/>
      <c r="QR1162" s="905"/>
      <c r="QS1162" s="905"/>
      <c r="QT1162" s="905"/>
      <c r="QU1162" s="905"/>
      <c r="QV1162" s="905"/>
      <c r="QW1162" s="905"/>
      <c r="QX1162" s="905"/>
      <c r="QY1162" s="905"/>
      <c r="QZ1162" s="905"/>
      <c r="RA1162" s="905"/>
      <c r="RB1162" s="905"/>
      <c r="RC1162" s="905"/>
      <c r="RD1162" s="905"/>
      <c r="RE1162" s="905"/>
      <c r="RF1162" s="905"/>
      <c r="RG1162" s="905"/>
      <c r="RH1162" s="905"/>
      <c r="RI1162" s="905"/>
      <c r="RJ1162" s="905"/>
      <c r="RK1162" s="905"/>
      <c r="RL1162" s="905"/>
      <c r="RM1162" s="905"/>
      <c r="RN1162" s="905"/>
      <c r="RO1162" s="905"/>
      <c r="RP1162" s="905"/>
      <c r="RQ1162" s="905"/>
      <c r="RR1162" s="905"/>
      <c r="RS1162" s="905"/>
      <c r="RT1162" s="905"/>
      <c r="RU1162" s="905"/>
      <c r="RV1162" s="905"/>
      <c r="RW1162" s="905"/>
      <c r="RX1162" s="905"/>
      <c r="RY1162" s="905"/>
      <c r="RZ1162" s="905"/>
      <c r="SA1162" s="905"/>
      <c r="SB1162" s="905"/>
      <c r="SC1162" s="905"/>
      <c r="SD1162" s="905"/>
      <c r="SE1162" s="905"/>
      <c r="SF1162" s="905"/>
      <c r="SG1162" s="905"/>
      <c r="SH1162" s="905"/>
      <c r="SI1162" s="905"/>
      <c r="SJ1162" s="905"/>
      <c r="SK1162" s="905"/>
      <c r="SL1162" s="905"/>
      <c r="SM1162" s="905"/>
      <c r="SN1162" s="905"/>
      <c r="SO1162" s="905"/>
      <c r="SP1162" s="905"/>
      <c r="SQ1162" s="905"/>
      <c r="SR1162" s="905"/>
      <c r="SS1162" s="905"/>
      <c r="ST1162" s="905"/>
      <c r="SU1162" s="905"/>
      <c r="SV1162" s="905"/>
      <c r="SW1162" s="905"/>
      <c r="SX1162" s="905"/>
      <c r="SY1162" s="905"/>
      <c r="SZ1162" s="905"/>
      <c r="TA1162" s="905"/>
      <c r="TB1162" s="905"/>
      <c r="TC1162" s="905"/>
      <c r="TD1162" s="905"/>
      <c r="TE1162" s="905"/>
      <c r="TF1162" s="905"/>
      <c r="TG1162" s="905"/>
      <c r="TH1162" s="905"/>
      <c r="TI1162" s="905"/>
      <c r="TJ1162" s="905"/>
      <c r="TK1162" s="905"/>
      <c r="TL1162" s="905"/>
      <c r="TM1162" s="905"/>
      <c r="TN1162" s="905"/>
      <c r="TO1162" s="905"/>
      <c r="TP1162" s="905"/>
      <c r="TQ1162" s="905"/>
      <c r="TR1162" s="905"/>
      <c r="TS1162" s="905"/>
      <c r="TT1162" s="905"/>
      <c r="TU1162" s="905"/>
      <c r="TV1162" s="905"/>
      <c r="TW1162" s="905"/>
      <c r="TX1162" s="905"/>
      <c r="TY1162" s="905"/>
      <c r="TZ1162" s="905"/>
      <c r="UA1162" s="905"/>
      <c r="UB1162" s="905"/>
      <c r="UC1162" s="905"/>
      <c r="UD1162" s="905"/>
      <c r="UE1162" s="905"/>
      <c r="UF1162" s="905"/>
      <c r="UG1162" s="905"/>
      <c r="UH1162" s="905"/>
      <c r="UI1162" s="905"/>
      <c r="UJ1162" s="905"/>
      <c r="UK1162" s="905"/>
      <c r="UL1162" s="905"/>
      <c r="UM1162" s="905"/>
      <c r="UN1162" s="905"/>
      <c r="UO1162" s="905"/>
      <c r="UP1162" s="905"/>
      <c r="UQ1162" s="905"/>
      <c r="UR1162" s="905"/>
      <c r="US1162" s="905"/>
      <c r="UT1162" s="905"/>
      <c r="UU1162" s="905"/>
      <c r="UV1162" s="905"/>
      <c r="UW1162" s="905"/>
      <c r="UX1162" s="905"/>
      <c r="UY1162" s="905"/>
      <c r="UZ1162" s="905"/>
      <c r="VA1162" s="905"/>
      <c r="VB1162" s="905"/>
      <c r="VC1162" s="905"/>
      <c r="VD1162" s="905"/>
      <c r="VE1162" s="905"/>
      <c r="VF1162" s="905"/>
      <c r="VG1162" s="905"/>
      <c r="VH1162" s="905"/>
      <c r="VI1162" s="905"/>
      <c r="VJ1162" s="905"/>
      <c r="VK1162" s="905"/>
      <c r="VL1162" s="905"/>
      <c r="VM1162" s="905"/>
      <c r="VN1162" s="905"/>
      <c r="VO1162" s="905"/>
      <c r="VP1162" s="905"/>
      <c r="VQ1162" s="905"/>
      <c r="VR1162" s="905"/>
      <c r="VS1162" s="905"/>
      <c r="VT1162" s="905"/>
      <c r="VU1162" s="905"/>
      <c r="VV1162" s="905"/>
      <c r="VW1162" s="905"/>
      <c r="VX1162" s="905"/>
      <c r="VY1162" s="905"/>
      <c r="VZ1162" s="905"/>
      <c r="WA1162" s="905"/>
      <c r="WB1162" s="905"/>
      <c r="WC1162" s="905"/>
      <c r="WD1162" s="905"/>
      <c r="WE1162" s="905"/>
      <c r="WF1162" s="905"/>
      <c r="WG1162" s="905"/>
      <c r="WH1162" s="905"/>
      <c r="WI1162" s="905"/>
      <c r="WJ1162" s="905"/>
      <c r="WK1162" s="905"/>
      <c r="WL1162" s="905"/>
      <c r="WM1162" s="905"/>
      <c r="WN1162" s="905"/>
      <c r="WO1162" s="905"/>
      <c r="WP1162" s="905"/>
      <c r="WQ1162" s="905"/>
      <c r="WR1162" s="905"/>
      <c r="WS1162" s="905"/>
      <c r="WT1162" s="905"/>
      <c r="WU1162" s="905"/>
      <c r="WV1162" s="905"/>
      <c r="WW1162" s="905"/>
      <c r="WX1162" s="905"/>
      <c r="WY1162" s="905"/>
      <c r="WZ1162" s="905"/>
      <c r="XA1162" s="905"/>
      <c r="XB1162" s="905"/>
      <c r="XC1162" s="905"/>
      <c r="XD1162" s="905"/>
      <c r="XE1162" s="905"/>
      <c r="XF1162" s="905"/>
      <c r="XG1162" s="905"/>
      <c r="XH1162" s="905"/>
      <c r="XI1162" s="905"/>
      <c r="XJ1162" s="905"/>
      <c r="XK1162" s="905"/>
      <c r="XL1162" s="905"/>
      <c r="XM1162" s="905"/>
      <c r="XN1162" s="905"/>
      <c r="XO1162" s="905"/>
      <c r="XP1162" s="905"/>
      <c r="XQ1162" s="905"/>
      <c r="XR1162" s="905"/>
      <c r="XS1162" s="905"/>
      <c r="XT1162" s="905"/>
      <c r="XU1162" s="905"/>
      <c r="XV1162" s="905"/>
      <c r="XW1162" s="905"/>
      <c r="XX1162" s="905"/>
      <c r="XY1162" s="905"/>
      <c r="XZ1162" s="905"/>
      <c r="YA1162" s="905"/>
      <c r="YB1162" s="905"/>
      <c r="YC1162" s="905"/>
      <c r="YD1162" s="905"/>
      <c r="YE1162" s="905"/>
      <c r="YF1162" s="905"/>
      <c r="YG1162" s="905"/>
      <c r="YH1162" s="905"/>
      <c r="YI1162" s="905"/>
      <c r="YJ1162" s="905"/>
      <c r="YK1162" s="905"/>
      <c r="YL1162" s="905"/>
      <c r="YM1162" s="905"/>
      <c r="YN1162" s="905"/>
      <c r="YO1162" s="905"/>
      <c r="YP1162" s="905"/>
      <c r="YQ1162" s="905"/>
      <c r="YR1162" s="905"/>
      <c r="YS1162" s="905"/>
      <c r="YT1162" s="905"/>
      <c r="YU1162" s="905"/>
      <c r="YV1162" s="905"/>
      <c r="YW1162" s="905"/>
      <c r="YX1162" s="905"/>
      <c r="YY1162" s="905"/>
      <c r="YZ1162" s="905"/>
      <c r="ZA1162" s="905"/>
      <c r="ZB1162" s="905"/>
      <c r="ZC1162" s="905"/>
      <c r="ZD1162" s="905"/>
      <c r="ZE1162" s="905"/>
      <c r="ZF1162" s="905"/>
      <c r="ZG1162" s="905"/>
      <c r="ZH1162" s="905"/>
      <c r="ZI1162" s="905"/>
      <c r="ZJ1162" s="905"/>
      <c r="ZK1162" s="905"/>
      <c r="ZL1162" s="905"/>
      <c r="ZM1162" s="905"/>
      <c r="ZN1162" s="905"/>
      <c r="ZO1162" s="905"/>
      <c r="ZP1162" s="905"/>
      <c r="ZQ1162" s="905"/>
      <c r="ZR1162" s="905"/>
      <c r="ZS1162" s="905"/>
      <c r="ZT1162" s="905"/>
      <c r="ZU1162" s="905"/>
      <c r="ZV1162" s="905"/>
      <c r="ZW1162" s="905"/>
      <c r="ZX1162" s="905"/>
      <c r="ZY1162" s="905"/>
      <c r="ZZ1162" s="905"/>
      <c r="AAA1162" s="905"/>
      <c r="AAB1162" s="905"/>
      <c r="AAC1162" s="905"/>
      <c r="AAD1162" s="905"/>
      <c r="AAE1162" s="905"/>
      <c r="AAF1162" s="905"/>
      <c r="AAG1162" s="905"/>
      <c r="AAH1162" s="905"/>
      <c r="AAI1162" s="905"/>
      <c r="AAJ1162" s="905"/>
      <c r="AAK1162" s="905"/>
      <c r="AAL1162" s="905"/>
      <c r="AAM1162" s="905"/>
      <c r="AAN1162" s="905"/>
      <c r="AAO1162" s="905"/>
      <c r="AAP1162" s="905"/>
      <c r="AAQ1162" s="905"/>
      <c r="AAR1162" s="905"/>
      <c r="AAS1162" s="905"/>
      <c r="AAT1162" s="905"/>
      <c r="AAU1162" s="905"/>
      <c r="AAV1162" s="905"/>
      <c r="AAW1162" s="905"/>
      <c r="AAX1162" s="905"/>
      <c r="AAY1162" s="905"/>
      <c r="AAZ1162" s="905"/>
      <c r="ABA1162" s="905"/>
      <c r="ABB1162" s="905"/>
      <c r="ABC1162" s="905"/>
      <c r="ABD1162" s="905"/>
      <c r="ABE1162" s="905"/>
      <c r="ABF1162" s="905"/>
      <c r="ABG1162" s="905"/>
      <c r="ABH1162" s="905"/>
      <c r="ABI1162" s="905"/>
      <c r="ABJ1162" s="905"/>
      <c r="ABK1162" s="905"/>
      <c r="ABL1162" s="905"/>
      <c r="ABM1162" s="905"/>
      <c r="ABN1162" s="905"/>
      <c r="ABO1162" s="905"/>
      <c r="ABP1162" s="905"/>
      <c r="ABQ1162" s="905"/>
      <c r="ABR1162" s="905"/>
      <c r="ABS1162" s="905"/>
      <c r="ABT1162" s="905"/>
      <c r="ABU1162" s="905"/>
      <c r="ABV1162" s="905"/>
      <c r="ABW1162" s="905"/>
      <c r="ABX1162" s="905"/>
      <c r="ABY1162" s="905"/>
      <c r="ABZ1162" s="905"/>
      <c r="ACA1162" s="905"/>
      <c r="ACB1162" s="905"/>
      <c r="ACC1162" s="905"/>
      <c r="ACD1162" s="905"/>
      <c r="ACE1162" s="905"/>
      <c r="ACF1162" s="905"/>
      <c r="ACG1162" s="905"/>
      <c r="ACH1162" s="905"/>
      <c r="ACI1162" s="905"/>
      <c r="ACJ1162" s="905"/>
      <c r="ACK1162" s="905"/>
      <c r="ACL1162" s="905"/>
      <c r="ACM1162" s="905"/>
      <c r="ACN1162" s="905"/>
      <c r="ACO1162" s="905"/>
      <c r="ACP1162" s="905"/>
      <c r="ACQ1162" s="905"/>
      <c r="ACR1162" s="905"/>
      <c r="ACS1162" s="905"/>
      <c r="ACT1162" s="905"/>
      <c r="ACU1162" s="905"/>
      <c r="ACV1162" s="905"/>
      <c r="ACW1162" s="905"/>
      <c r="ACX1162" s="905"/>
      <c r="ACY1162" s="905"/>
      <c r="ACZ1162" s="905"/>
      <c r="ADA1162" s="905"/>
      <c r="ADB1162" s="905"/>
      <c r="ADC1162" s="905"/>
      <c r="ADD1162" s="905"/>
      <c r="ADE1162" s="905"/>
      <c r="ADF1162" s="905"/>
      <c r="ADG1162" s="905"/>
      <c r="ADH1162" s="905"/>
      <c r="ADI1162" s="905"/>
      <c r="ADJ1162" s="905"/>
      <c r="ADK1162" s="905"/>
      <c r="ADL1162" s="905"/>
      <c r="ADM1162" s="905"/>
      <c r="ADN1162" s="905"/>
      <c r="ADO1162" s="905"/>
      <c r="ADP1162" s="905"/>
      <c r="ADQ1162" s="905"/>
      <c r="ADR1162" s="905"/>
      <c r="ADS1162" s="905"/>
      <c r="ADT1162" s="905"/>
      <c r="ADU1162" s="905"/>
      <c r="ADV1162" s="905"/>
      <c r="ADW1162" s="905"/>
      <c r="ADX1162" s="905"/>
      <c r="ADY1162" s="905"/>
      <c r="ADZ1162" s="905"/>
      <c r="AEA1162" s="905"/>
      <c r="AEB1162" s="905"/>
      <c r="AEC1162" s="905"/>
      <c r="AED1162" s="905"/>
      <c r="AEE1162" s="905"/>
      <c r="AEF1162" s="905"/>
      <c r="AEG1162" s="905"/>
      <c r="AEH1162" s="905"/>
      <c r="AEI1162" s="905"/>
      <c r="AEJ1162" s="905"/>
      <c r="AEK1162" s="905"/>
      <c r="AEL1162" s="905"/>
      <c r="AEM1162" s="905"/>
      <c r="AEN1162" s="905"/>
      <c r="AEO1162" s="905"/>
      <c r="AEP1162" s="905"/>
      <c r="AEQ1162" s="905"/>
      <c r="AER1162" s="905"/>
      <c r="AES1162" s="905"/>
      <c r="AET1162" s="905"/>
      <c r="AEU1162" s="905"/>
      <c r="AEV1162" s="905"/>
      <c r="AEW1162" s="905"/>
      <c r="AEX1162" s="905"/>
      <c r="AEY1162" s="905"/>
      <c r="AEZ1162" s="905"/>
      <c r="AFA1162" s="905"/>
      <c r="AFB1162" s="905"/>
      <c r="AFC1162" s="905"/>
      <c r="AFD1162" s="905"/>
      <c r="AFE1162" s="905"/>
      <c r="AFF1162" s="905"/>
      <c r="AFG1162" s="905"/>
      <c r="AFH1162" s="905"/>
      <c r="AFI1162" s="905"/>
      <c r="AFJ1162" s="905"/>
      <c r="AFK1162" s="905"/>
      <c r="AFL1162" s="905"/>
      <c r="AFM1162" s="905"/>
      <c r="AFN1162" s="905"/>
      <c r="AFO1162" s="905"/>
      <c r="AFP1162" s="905"/>
      <c r="AFQ1162" s="905"/>
      <c r="AFR1162" s="905"/>
      <c r="AFS1162" s="905"/>
      <c r="AFT1162" s="905"/>
      <c r="AFU1162" s="905"/>
      <c r="AFV1162" s="905"/>
      <c r="AFW1162" s="905"/>
      <c r="AFX1162" s="905"/>
      <c r="AFY1162" s="905"/>
      <c r="AFZ1162" s="905"/>
      <c r="AGA1162" s="905"/>
      <c r="AGB1162" s="905"/>
      <c r="AGC1162" s="905"/>
      <c r="AGD1162" s="905"/>
      <c r="AGE1162" s="905"/>
      <c r="AGF1162" s="905"/>
      <c r="AGG1162" s="905"/>
      <c r="AGH1162" s="905"/>
      <c r="AGI1162" s="905"/>
      <c r="AGJ1162" s="905"/>
    </row>
    <row r="1163" spans="1:868" s="898" customFormat="1">
      <c r="A1163" s="898" t="str">
        <f>Clothing!A358</f>
        <v>Clothing (product sector)</v>
      </c>
      <c r="B1163" s="898" t="str">
        <f>Clothing!B358</f>
        <v>Boots</v>
      </c>
      <c r="C1163" s="898" t="str">
        <f>Clothing!C358</f>
        <v>NL</v>
      </c>
      <c r="D1163" s="898" t="str">
        <f>Clothing!D358</f>
        <v>PA</v>
      </c>
      <c r="E1163" s="901">
        <f>Clothing!E358</f>
        <v>3.6350165820171899E-2</v>
      </c>
      <c r="F1163" s="898">
        <f>Clothing!F358</f>
        <v>1</v>
      </c>
      <c r="G1163" s="898" t="str">
        <f>Clothing!G358</f>
        <v>https://eeb.org/library/draft-product-environmental-footprint-category-rules-pefcr-apparel-and-footwear/</v>
      </c>
      <c r="H1163" s="902">
        <f>Clothing!H358</f>
        <v>2</v>
      </c>
      <c r="I1163" s="902" t="str">
        <f>Clothing!I358</f>
        <v/>
      </c>
      <c r="J1163" s="902">
        <f>Clothing!J358</f>
        <v>2</v>
      </c>
      <c r="K1163" s="902">
        <f>Clothing!K358</f>
        <v>1</v>
      </c>
      <c r="L1163" s="902">
        <f>Clothing!L358</f>
        <v>2</v>
      </c>
      <c r="M1163" s="902">
        <f>Clothing!M358</f>
        <v>3</v>
      </c>
      <c r="N1163" s="185">
        <f t="shared" si="89"/>
        <v>1.0301997916669636</v>
      </c>
      <c r="O1163" s="159" t="e">
        <f t="shared" si="90"/>
        <v>#VALUE!</v>
      </c>
      <c r="Q1163" s="905"/>
      <c r="R1163" s="905"/>
      <c r="S1163" s="905"/>
      <c r="T1163" s="905"/>
      <c r="U1163" s="905"/>
      <c r="V1163" s="905"/>
      <c r="W1163" s="905"/>
      <c r="X1163" s="905"/>
      <c r="Y1163" s="905"/>
      <c r="Z1163" s="905"/>
      <c r="AA1163" s="905"/>
      <c r="AB1163" s="905"/>
      <c r="AC1163" s="905"/>
      <c r="AD1163" s="905"/>
      <c r="AE1163" s="905"/>
      <c r="AF1163" s="905"/>
      <c r="AG1163" s="905"/>
      <c r="AH1163" s="905"/>
      <c r="AI1163" s="905"/>
      <c r="AJ1163" s="905"/>
      <c r="AK1163" s="905"/>
      <c r="AL1163" s="905"/>
      <c r="AM1163" s="905"/>
      <c r="AN1163" s="905"/>
      <c r="AO1163" s="905"/>
      <c r="AP1163" s="905"/>
      <c r="AQ1163" s="905"/>
      <c r="AR1163" s="905"/>
      <c r="AS1163" s="905"/>
      <c r="AT1163" s="905"/>
      <c r="AU1163" s="905"/>
      <c r="AV1163" s="905"/>
      <c r="AW1163" s="905"/>
      <c r="AX1163" s="905"/>
      <c r="AY1163" s="905"/>
      <c r="AZ1163" s="905"/>
      <c r="BA1163" s="905"/>
      <c r="BB1163" s="905"/>
      <c r="BC1163" s="905"/>
      <c r="BD1163" s="905"/>
      <c r="BE1163" s="905"/>
      <c r="BF1163" s="905"/>
      <c r="BG1163" s="905"/>
      <c r="BH1163" s="905"/>
      <c r="BI1163" s="905"/>
      <c r="BJ1163" s="905"/>
      <c r="BK1163" s="905"/>
      <c r="BL1163" s="905"/>
      <c r="BM1163" s="905"/>
      <c r="BN1163" s="905"/>
      <c r="BO1163" s="905"/>
      <c r="BP1163" s="905"/>
      <c r="BQ1163" s="905"/>
      <c r="BR1163" s="905"/>
      <c r="BS1163" s="905"/>
      <c r="BT1163" s="905"/>
      <c r="BU1163" s="905"/>
      <c r="BV1163" s="905"/>
      <c r="BW1163" s="905"/>
      <c r="BX1163" s="905"/>
      <c r="BY1163" s="905"/>
      <c r="BZ1163" s="905"/>
      <c r="CA1163" s="905"/>
      <c r="CB1163" s="905"/>
      <c r="CC1163" s="905"/>
      <c r="CD1163" s="905"/>
      <c r="CE1163" s="905"/>
      <c r="CF1163" s="905"/>
      <c r="CG1163" s="905"/>
      <c r="CH1163" s="905"/>
      <c r="CI1163" s="905"/>
      <c r="CJ1163" s="905"/>
      <c r="CK1163" s="905"/>
      <c r="CL1163" s="905"/>
      <c r="CM1163" s="905"/>
      <c r="CN1163" s="905"/>
      <c r="CO1163" s="905"/>
      <c r="CP1163" s="905"/>
      <c r="CQ1163" s="905"/>
      <c r="CR1163" s="905"/>
      <c r="CS1163" s="905"/>
      <c r="CT1163" s="905"/>
      <c r="CU1163" s="905"/>
      <c r="CV1163" s="905"/>
      <c r="CW1163" s="905"/>
      <c r="CX1163" s="905"/>
      <c r="CY1163" s="905"/>
      <c r="CZ1163" s="905"/>
      <c r="DA1163" s="905"/>
      <c r="DB1163" s="905"/>
      <c r="DC1163" s="905"/>
      <c r="DD1163" s="905"/>
      <c r="DE1163" s="905"/>
      <c r="DF1163" s="905"/>
      <c r="DG1163" s="905"/>
      <c r="DH1163" s="905"/>
      <c r="DI1163" s="905"/>
      <c r="DJ1163" s="905"/>
      <c r="DK1163" s="905"/>
      <c r="DL1163" s="905"/>
      <c r="DM1163" s="905"/>
      <c r="DN1163" s="905"/>
      <c r="DO1163" s="905"/>
      <c r="DP1163" s="905"/>
      <c r="DQ1163" s="905"/>
      <c r="DR1163" s="905"/>
      <c r="DS1163" s="905"/>
      <c r="DT1163" s="905"/>
      <c r="DU1163" s="905"/>
      <c r="DV1163" s="905"/>
      <c r="DW1163" s="905"/>
      <c r="DX1163" s="905"/>
      <c r="DY1163" s="905"/>
      <c r="DZ1163" s="905"/>
      <c r="EA1163" s="905"/>
      <c r="EB1163" s="905"/>
      <c r="EC1163" s="905"/>
      <c r="ED1163" s="905"/>
      <c r="EE1163" s="905"/>
      <c r="EF1163" s="905"/>
      <c r="EG1163" s="905"/>
      <c r="EH1163" s="905"/>
      <c r="EI1163" s="905"/>
      <c r="EJ1163" s="905"/>
      <c r="EK1163" s="905"/>
      <c r="EL1163" s="905"/>
      <c r="EM1163" s="905"/>
      <c r="EN1163" s="905"/>
      <c r="EO1163" s="905"/>
      <c r="EP1163" s="905"/>
      <c r="EQ1163" s="905"/>
      <c r="ER1163" s="905"/>
      <c r="ES1163" s="905"/>
      <c r="ET1163" s="905"/>
      <c r="EU1163" s="905"/>
      <c r="EV1163" s="905"/>
      <c r="EW1163" s="905"/>
      <c r="EX1163" s="905"/>
      <c r="EY1163" s="905"/>
      <c r="EZ1163" s="905"/>
      <c r="FA1163" s="905"/>
      <c r="FB1163" s="905"/>
      <c r="FC1163" s="905"/>
      <c r="FD1163" s="905"/>
      <c r="FE1163" s="905"/>
      <c r="FF1163" s="905"/>
      <c r="FG1163" s="905"/>
      <c r="FH1163" s="905"/>
      <c r="FI1163" s="905"/>
      <c r="FJ1163" s="905"/>
      <c r="FK1163" s="905"/>
      <c r="FL1163" s="905"/>
      <c r="FM1163" s="905"/>
      <c r="FN1163" s="905"/>
      <c r="FO1163" s="905"/>
      <c r="FP1163" s="905"/>
      <c r="FQ1163" s="905"/>
      <c r="FR1163" s="905"/>
      <c r="FS1163" s="905"/>
      <c r="FT1163" s="905"/>
      <c r="FU1163" s="905"/>
      <c r="FV1163" s="905"/>
      <c r="FW1163" s="905"/>
      <c r="FX1163" s="905"/>
      <c r="FY1163" s="905"/>
      <c r="FZ1163" s="905"/>
      <c r="GA1163" s="905"/>
      <c r="GB1163" s="905"/>
      <c r="GC1163" s="905"/>
      <c r="GD1163" s="905"/>
      <c r="GE1163" s="905"/>
      <c r="GF1163" s="905"/>
      <c r="GG1163" s="905"/>
      <c r="GH1163" s="905"/>
      <c r="GI1163" s="905"/>
      <c r="GJ1163" s="905"/>
      <c r="GK1163" s="905"/>
      <c r="GL1163" s="905"/>
      <c r="GM1163" s="905"/>
      <c r="GN1163" s="905"/>
      <c r="GO1163" s="905"/>
      <c r="GP1163" s="905"/>
      <c r="GQ1163" s="905"/>
      <c r="GR1163" s="905"/>
      <c r="GS1163" s="905"/>
      <c r="GT1163" s="905"/>
      <c r="GU1163" s="905"/>
      <c r="GV1163" s="905"/>
      <c r="GW1163" s="905"/>
      <c r="GX1163" s="905"/>
      <c r="GY1163" s="905"/>
      <c r="GZ1163" s="905"/>
      <c r="HA1163" s="905"/>
      <c r="HB1163" s="905"/>
      <c r="HC1163" s="905"/>
      <c r="HD1163" s="905"/>
      <c r="HE1163" s="905"/>
      <c r="HF1163" s="905"/>
      <c r="HG1163" s="905"/>
      <c r="HH1163" s="905"/>
      <c r="HI1163" s="905"/>
      <c r="HJ1163" s="905"/>
      <c r="HK1163" s="905"/>
      <c r="HL1163" s="905"/>
      <c r="HM1163" s="905"/>
      <c r="HN1163" s="905"/>
      <c r="HO1163" s="905"/>
      <c r="HP1163" s="905"/>
      <c r="HQ1163" s="905"/>
      <c r="HR1163" s="905"/>
      <c r="HS1163" s="905"/>
      <c r="HT1163" s="905"/>
      <c r="HU1163" s="905"/>
      <c r="HV1163" s="905"/>
      <c r="HW1163" s="905"/>
      <c r="HX1163" s="905"/>
      <c r="HY1163" s="905"/>
      <c r="HZ1163" s="905"/>
      <c r="IA1163" s="905"/>
      <c r="IB1163" s="905"/>
      <c r="IC1163" s="905"/>
      <c r="ID1163" s="905"/>
      <c r="IE1163" s="905"/>
      <c r="IF1163" s="905"/>
      <c r="IG1163" s="905"/>
      <c r="IH1163" s="905"/>
      <c r="II1163" s="905"/>
      <c r="IJ1163" s="905"/>
      <c r="IK1163" s="905"/>
      <c r="IL1163" s="905"/>
      <c r="IM1163" s="905"/>
      <c r="IN1163" s="905"/>
      <c r="IO1163" s="905"/>
      <c r="IP1163" s="905"/>
      <c r="IQ1163" s="905"/>
      <c r="IR1163" s="905"/>
      <c r="IS1163" s="905"/>
      <c r="IT1163" s="905"/>
      <c r="IU1163" s="905"/>
      <c r="IV1163" s="905"/>
      <c r="IW1163" s="905"/>
      <c r="IX1163" s="905"/>
      <c r="IY1163" s="905"/>
      <c r="IZ1163" s="905"/>
      <c r="JA1163" s="905"/>
      <c r="JB1163" s="905"/>
      <c r="JC1163" s="905"/>
      <c r="JD1163" s="905"/>
      <c r="JE1163" s="905"/>
      <c r="JF1163" s="905"/>
      <c r="JG1163" s="905"/>
      <c r="JH1163" s="905"/>
      <c r="JI1163" s="905"/>
      <c r="JJ1163" s="905"/>
      <c r="JK1163" s="905"/>
      <c r="JL1163" s="905"/>
      <c r="JM1163" s="905"/>
      <c r="JN1163" s="905"/>
      <c r="JO1163" s="905"/>
      <c r="JP1163" s="905"/>
      <c r="JQ1163" s="905"/>
      <c r="JR1163" s="905"/>
      <c r="JS1163" s="905"/>
      <c r="JT1163" s="905"/>
      <c r="JU1163" s="905"/>
      <c r="JV1163" s="905"/>
      <c r="JW1163" s="905"/>
      <c r="JX1163" s="905"/>
      <c r="JY1163" s="905"/>
      <c r="JZ1163" s="905"/>
      <c r="KA1163" s="905"/>
      <c r="KB1163" s="905"/>
      <c r="KC1163" s="905"/>
      <c r="KD1163" s="905"/>
      <c r="KE1163" s="905"/>
      <c r="KF1163" s="905"/>
      <c r="KG1163" s="905"/>
      <c r="KH1163" s="905"/>
      <c r="KI1163" s="905"/>
      <c r="KJ1163" s="905"/>
      <c r="KK1163" s="905"/>
      <c r="KL1163" s="905"/>
      <c r="KM1163" s="905"/>
      <c r="KN1163" s="905"/>
      <c r="KO1163" s="905"/>
      <c r="KP1163" s="905"/>
      <c r="KQ1163" s="905"/>
      <c r="KR1163" s="905"/>
      <c r="KS1163" s="905"/>
      <c r="KT1163" s="905"/>
      <c r="KU1163" s="905"/>
      <c r="KV1163" s="905"/>
      <c r="KW1163" s="905"/>
      <c r="KX1163" s="905"/>
      <c r="KY1163" s="905"/>
      <c r="KZ1163" s="905"/>
      <c r="LA1163" s="905"/>
      <c r="LB1163" s="905"/>
      <c r="LC1163" s="905"/>
      <c r="LD1163" s="905"/>
      <c r="LE1163" s="905"/>
      <c r="LF1163" s="905"/>
      <c r="LG1163" s="905"/>
      <c r="LH1163" s="905"/>
      <c r="LI1163" s="905"/>
      <c r="LJ1163" s="905"/>
      <c r="LK1163" s="905"/>
      <c r="LL1163" s="905"/>
      <c r="LM1163" s="905"/>
      <c r="LN1163" s="905"/>
      <c r="LO1163" s="905"/>
      <c r="LP1163" s="905"/>
      <c r="LQ1163" s="905"/>
      <c r="LR1163" s="905"/>
      <c r="LS1163" s="905"/>
      <c r="LT1163" s="905"/>
      <c r="LU1163" s="905"/>
      <c r="LV1163" s="905"/>
      <c r="LW1163" s="905"/>
      <c r="LX1163" s="905"/>
      <c r="LY1163" s="905"/>
      <c r="LZ1163" s="905"/>
      <c r="MA1163" s="905"/>
      <c r="MB1163" s="905"/>
      <c r="MC1163" s="905"/>
      <c r="MD1163" s="905"/>
      <c r="ME1163" s="905"/>
      <c r="MF1163" s="905"/>
      <c r="MG1163" s="905"/>
      <c r="MH1163" s="905"/>
      <c r="MI1163" s="905"/>
      <c r="MJ1163" s="905"/>
      <c r="MK1163" s="905"/>
      <c r="ML1163" s="905"/>
      <c r="MM1163" s="905"/>
      <c r="MN1163" s="905"/>
      <c r="MO1163" s="905"/>
      <c r="MP1163" s="905"/>
      <c r="MQ1163" s="905"/>
      <c r="MR1163" s="905"/>
      <c r="MS1163" s="905"/>
      <c r="MT1163" s="905"/>
      <c r="MU1163" s="905"/>
      <c r="MV1163" s="905"/>
      <c r="MW1163" s="905"/>
      <c r="MX1163" s="905"/>
      <c r="MY1163" s="905"/>
      <c r="MZ1163" s="905"/>
      <c r="NA1163" s="905"/>
      <c r="NB1163" s="905"/>
      <c r="NC1163" s="905"/>
      <c r="ND1163" s="905"/>
      <c r="NE1163" s="905"/>
      <c r="NF1163" s="905"/>
      <c r="NG1163" s="905"/>
      <c r="NH1163" s="905"/>
      <c r="NI1163" s="905"/>
      <c r="NJ1163" s="905"/>
      <c r="NK1163" s="905"/>
      <c r="NL1163" s="905"/>
      <c r="NM1163" s="905"/>
      <c r="NN1163" s="905"/>
      <c r="NO1163" s="905"/>
      <c r="NP1163" s="905"/>
      <c r="NQ1163" s="905"/>
      <c r="NR1163" s="905"/>
      <c r="NS1163" s="905"/>
      <c r="NT1163" s="905"/>
      <c r="NU1163" s="905"/>
      <c r="NV1163" s="905"/>
      <c r="NW1163" s="905"/>
      <c r="NX1163" s="905"/>
      <c r="NY1163" s="905"/>
      <c r="NZ1163" s="905"/>
      <c r="OA1163" s="905"/>
      <c r="OB1163" s="905"/>
      <c r="OC1163" s="905"/>
      <c r="OD1163" s="905"/>
      <c r="OE1163" s="905"/>
      <c r="OF1163" s="905"/>
      <c r="OG1163" s="905"/>
      <c r="OH1163" s="905"/>
      <c r="OI1163" s="905"/>
      <c r="OJ1163" s="905"/>
      <c r="OK1163" s="905"/>
      <c r="OL1163" s="905"/>
      <c r="OM1163" s="905"/>
      <c r="ON1163" s="905"/>
      <c r="OO1163" s="905"/>
      <c r="OP1163" s="905"/>
      <c r="OQ1163" s="905"/>
      <c r="OR1163" s="905"/>
      <c r="OS1163" s="905"/>
      <c r="OT1163" s="905"/>
      <c r="OU1163" s="905"/>
      <c r="OV1163" s="905"/>
      <c r="OW1163" s="905"/>
      <c r="OX1163" s="905"/>
      <c r="OY1163" s="905"/>
      <c r="OZ1163" s="905"/>
      <c r="PA1163" s="905"/>
      <c r="PB1163" s="905"/>
      <c r="PC1163" s="905"/>
      <c r="PD1163" s="905"/>
      <c r="PE1163" s="905"/>
      <c r="PF1163" s="905"/>
      <c r="PG1163" s="905"/>
      <c r="PH1163" s="905"/>
      <c r="PI1163" s="905"/>
      <c r="PJ1163" s="905"/>
      <c r="PK1163" s="905"/>
      <c r="PL1163" s="905"/>
      <c r="PM1163" s="905"/>
      <c r="PN1163" s="905"/>
      <c r="PO1163" s="905"/>
      <c r="PP1163" s="905"/>
      <c r="PQ1163" s="905"/>
      <c r="PR1163" s="905"/>
      <c r="PS1163" s="905"/>
      <c r="PT1163" s="905"/>
      <c r="PU1163" s="905"/>
      <c r="PV1163" s="905"/>
      <c r="PW1163" s="905"/>
      <c r="PX1163" s="905"/>
      <c r="PY1163" s="905"/>
      <c r="PZ1163" s="905"/>
      <c r="QA1163" s="905"/>
      <c r="QB1163" s="905"/>
      <c r="QC1163" s="905"/>
      <c r="QD1163" s="905"/>
      <c r="QE1163" s="905"/>
      <c r="QF1163" s="905"/>
      <c r="QG1163" s="905"/>
      <c r="QH1163" s="905"/>
      <c r="QI1163" s="905"/>
      <c r="QJ1163" s="905"/>
      <c r="QK1163" s="905"/>
      <c r="QL1163" s="905"/>
      <c r="QM1163" s="905"/>
      <c r="QN1163" s="905"/>
      <c r="QO1163" s="905"/>
      <c r="QP1163" s="905"/>
      <c r="QQ1163" s="905"/>
      <c r="QR1163" s="905"/>
      <c r="QS1163" s="905"/>
      <c r="QT1163" s="905"/>
      <c r="QU1163" s="905"/>
      <c r="QV1163" s="905"/>
      <c r="QW1163" s="905"/>
      <c r="QX1163" s="905"/>
      <c r="QY1163" s="905"/>
      <c r="QZ1163" s="905"/>
      <c r="RA1163" s="905"/>
      <c r="RB1163" s="905"/>
      <c r="RC1163" s="905"/>
      <c r="RD1163" s="905"/>
      <c r="RE1163" s="905"/>
      <c r="RF1163" s="905"/>
      <c r="RG1163" s="905"/>
      <c r="RH1163" s="905"/>
      <c r="RI1163" s="905"/>
      <c r="RJ1163" s="905"/>
      <c r="RK1163" s="905"/>
      <c r="RL1163" s="905"/>
      <c r="RM1163" s="905"/>
      <c r="RN1163" s="905"/>
      <c r="RO1163" s="905"/>
      <c r="RP1163" s="905"/>
      <c r="RQ1163" s="905"/>
      <c r="RR1163" s="905"/>
      <c r="RS1163" s="905"/>
      <c r="RT1163" s="905"/>
      <c r="RU1163" s="905"/>
      <c r="RV1163" s="905"/>
      <c r="RW1163" s="905"/>
      <c r="RX1163" s="905"/>
      <c r="RY1163" s="905"/>
      <c r="RZ1163" s="905"/>
      <c r="SA1163" s="905"/>
      <c r="SB1163" s="905"/>
      <c r="SC1163" s="905"/>
      <c r="SD1163" s="905"/>
      <c r="SE1163" s="905"/>
      <c r="SF1163" s="905"/>
      <c r="SG1163" s="905"/>
      <c r="SH1163" s="905"/>
      <c r="SI1163" s="905"/>
      <c r="SJ1163" s="905"/>
      <c r="SK1163" s="905"/>
      <c r="SL1163" s="905"/>
      <c r="SM1163" s="905"/>
      <c r="SN1163" s="905"/>
      <c r="SO1163" s="905"/>
      <c r="SP1163" s="905"/>
      <c r="SQ1163" s="905"/>
      <c r="SR1163" s="905"/>
      <c r="SS1163" s="905"/>
      <c r="ST1163" s="905"/>
      <c r="SU1163" s="905"/>
      <c r="SV1163" s="905"/>
      <c r="SW1163" s="905"/>
      <c r="SX1163" s="905"/>
      <c r="SY1163" s="905"/>
      <c r="SZ1163" s="905"/>
      <c r="TA1163" s="905"/>
      <c r="TB1163" s="905"/>
      <c r="TC1163" s="905"/>
      <c r="TD1163" s="905"/>
      <c r="TE1163" s="905"/>
      <c r="TF1163" s="905"/>
      <c r="TG1163" s="905"/>
      <c r="TH1163" s="905"/>
      <c r="TI1163" s="905"/>
      <c r="TJ1163" s="905"/>
      <c r="TK1163" s="905"/>
      <c r="TL1163" s="905"/>
      <c r="TM1163" s="905"/>
      <c r="TN1163" s="905"/>
      <c r="TO1163" s="905"/>
      <c r="TP1163" s="905"/>
      <c r="TQ1163" s="905"/>
      <c r="TR1163" s="905"/>
      <c r="TS1163" s="905"/>
      <c r="TT1163" s="905"/>
      <c r="TU1163" s="905"/>
      <c r="TV1163" s="905"/>
      <c r="TW1163" s="905"/>
      <c r="TX1163" s="905"/>
      <c r="TY1163" s="905"/>
      <c r="TZ1163" s="905"/>
      <c r="UA1163" s="905"/>
      <c r="UB1163" s="905"/>
      <c r="UC1163" s="905"/>
      <c r="UD1163" s="905"/>
      <c r="UE1163" s="905"/>
      <c r="UF1163" s="905"/>
      <c r="UG1163" s="905"/>
      <c r="UH1163" s="905"/>
      <c r="UI1163" s="905"/>
      <c r="UJ1163" s="905"/>
      <c r="UK1163" s="905"/>
      <c r="UL1163" s="905"/>
      <c r="UM1163" s="905"/>
      <c r="UN1163" s="905"/>
      <c r="UO1163" s="905"/>
      <c r="UP1163" s="905"/>
      <c r="UQ1163" s="905"/>
      <c r="UR1163" s="905"/>
      <c r="US1163" s="905"/>
      <c r="UT1163" s="905"/>
      <c r="UU1163" s="905"/>
      <c r="UV1163" s="905"/>
      <c r="UW1163" s="905"/>
      <c r="UX1163" s="905"/>
      <c r="UY1163" s="905"/>
      <c r="UZ1163" s="905"/>
      <c r="VA1163" s="905"/>
      <c r="VB1163" s="905"/>
      <c r="VC1163" s="905"/>
      <c r="VD1163" s="905"/>
      <c r="VE1163" s="905"/>
      <c r="VF1163" s="905"/>
      <c r="VG1163" s="905"/>
      <c r="VH1163" s="905"/>
      <c r="VI1163" s="905"/>
      <c r="VJ1163" s="905"/>
      <c r="VK1163" s="905"/>
      <c r="VL1163" s="905"/>
      <c r="VM1163" s="905"/>
      <c r="VN1163" s="905"/>
      <c r="VO1163" s="905"/>
      <c r="VP1163" s="905"/>
      <c r="VQ1163" s="905"/>
      <c r="VR1163" s="905"/>
      <c r="VS1163" s="905"/>
      <c r="VT1163" s="905"/>
      <c r="VU1163" s="905"/>
      <c r="VV1163" s="905"/>
      <c r="VW1163" s="905"/>
      <c r="VX1163" s="905"/>
      <c r="VY1163" s="905"/>
      <c r="VZ1163" s="905"/>
      <c r="WA1163" s="905"/>
      <c r="WB1163" s="905"/>
      <c r="WC1163" s="905"/>
      <c r="WD1163" s="905"/>
      <c r="WE1163" s="905"/>
      <c r="WF1163" s="905"/>
      <c r="WG1163" s="905"/>
      <c r="WH1163" s="905"/>
      <c r="WI1163" s="905"/>
      <c r="WJ1163" s="905"/>
      <c r="WK1163" s="905"/>
      <c r="WL1163" s="905"/>
      <c r="WM1163" s="905"/>
      <c r="WN1163" s="905"/>
      <c r="WO1163" s="905"/>
      <c r="WP1163" s="905"/>
      <c r="WQ1163" s="905"/>
      <c r="WR1163" s="905"/>
      <c r="WS1163" s="905"/>
      <c r="WT1163" s="905"/>
      <c r="WU1163" s="905"/>
      <c r="WV1163" s="905"/>
      <c r="WW1163" s="905"/>
      <c r="WX1163" s="905"/>
      <c r="WY1163" s="905"/>
      <c r="WZ1163" s="905"/>
      <c r="XA1163" s="905"/>
      <c r="XB1163" s="905"/>
      <c r="XC1163" s="905"/>
      <c r="XD1163" s="905"/>
      <c r="XE1163" s="905"/>
      <c r="XF1163" s="905"/>
      <c r="XG1163" s="905"/>
      <c r="XH1163" s="905"/>
      <c r="XI1163" s="905"/>
      <c r="XJ1163" s="905"/>
      <c r="XK1163" s="905"/>
      <c r="XL1163" s="905"/>
      <c r="XM1163" s="905"/>
      <c r="XN1163" s="905"/>
      <c r="XO1163" s="905"/>
      <c r="XP1163" s="905"/>
      <c r="XQ1163" s="905"/>
      <c r="XR1163" s="905"/>
      <c r="XS1163" s="905"/>
      <c r="XT1163" s="905"/>
      <c r="XU1163" s="905"/>
      <c r="XV1163" s="905"/>
      <c r="XW1163" s="905"/>
      <c r="XX1163" s="905"/>
      <c r="XY1163" s="905"/>
      <c r="XZ1163" s="905"/>
      <c r="YA1163" s="905"/>
      <c r="YB1163" s="905"/>
      <c r="YC1163" s="905"/>
      <c r="YD1163" s="905"/>
      <c r="YE1163" s="905"/>
      <c r="YF1163" s="905"/>
      <c r="YG1163" s="905"/>
      <c r="YH1163" s="905"/>
      <c r="YI1163" s="905"/>
      <c r="YJ1163" s="905"/>
      <c r="YK1163" s="905"/>
      <c r="YL1163" s="905"/>
      <c r="YM1163" s="905"/>
      <c r="YN1163" s="905"/>
      <c r="YO1163" s="905"/>
      <c r="YP1163" s="905"/>
      <c r="YQ1163" s="905"/>
      <c r="YR1163" s="905"/>
      <c r="YS1163" s="905"/>
      <c r="YT1163" s="905"/>
      <c r="YU1163" s="905"/>
      <c r="YV1163" s="905"/>
      <c r="YW1163" s="905"/>
      <c r="YX1163" s="905"/>
      <c r="YY1163" s="905"/>
      <c r="YZ1163" s="905"/>
      <c r="ZA1163" s="905"/>
      <c r="ZB1163" s="905"/>
      <c r="ZC1163" s="905"/>
      <c r="ZD1163" s="905"/>
      <c r="ZE1163" s="905"/>
      <c r="ZF1163" s="905"/>
      <c r="ZG1163" s="905"/>
      <c r="ZH1163" s="905"/>
      <c r="ZI1163" s="905"/>
      <c r="ZJ1163" s="905"/>
      <c r="ZK1163" s="905"/>
      <c r="ZL1163" s="905"/>
      <c r="ZM1163" s="905"/>
      <c r="ZN1163" s="905"/>
      <c r="ZO1163" s="905"/>
      <c r="ZP1163" s="905"/>
      <c r="ZQ1163" s="905"/>
      <c r="ZR1163" s="905"/>
      <c r="ZS1163" s="905"/>
      <c r="ZT1163" s="905"/>
      <c r="ZU1163" s="905"/>
      <c r="ZV1163" s="905"/>
      <c r="ZW1163" s="905"/>
      <c r="ZX1163" s="905"/>
      <c r="ZY1163" s="905"/>
      <c r="ZZ1163" s="905"/>
      <c r="AAA1163" s="905"/>
      <c r="AAB1163" s="905"/>
      <c r="AAC1163" s="905"/>
      <c r="AAD1163" s="905"/>
      <c r="AAE1163" s="905"/>
      <c r="AAF1163" s="905"/>
      <c r="AAG1163" s="905"/>
      <c r="AAH1163" s="905"/>
      <c r="AAI1163" s="905"/>
      <c r="AAJ1163" s="905"/>
      <c r="AAK1163" s="905"/>
      <c r="AAL1163" s="905"/>
      <c r="AAM1163" s="905"/>
      <c r="AAN1163" s="905"/>
      <c r="AAO1163" s="905"/>
      <c r="AAP1163" s="905"/>
      <c r="AAQ1163" s="905"/>
      <c r="AAR1163" s="905"/>
      <c r="AAS1163" s="905"/>
      <c r="AAT1163" s="905"/>
      <c r="AAU1163" s="905"/>
      <c r="AAV1163" s="905"/>
      <c r="AAW1163" s="905"/>
      <c r="AAX1163" s="905"/>
      <c r="AAY1163" s="905"/>
      <c r="AAZ1163" s="905"/>
      <c r="ABA1163" s="905"/>
      <c r="ABB1163" s="905"/>
      <c r="ABC1163" s="905"/>
      <c r="ABD1163" s="905"/>
      <c r="ABE1163" s="905"/>
      <c r="ABF1163" s="905"/>
      <c r="ABG1163" s="905"/>
      <c r="ABH1163" s="905"/>
      <c r="ABI1163" s="905"/>
      <c r="ABJ1163" s="905"/>
      <c r="ABK1163" s="905"/>
      <c r="ABL1163" s="905"/>
      <c r="ABM1163" s="905"/>
      <c r="ABN1163" s="905"/>
      <c r="ABO1163" s="905"/>
      <c r="ABP1163" s="905"/>
      <c r="ABQ1163" s="905"/>
      <c r="ABR1163" s="905"/>
      <c r="ABS1163" s="905"/>
      <c r="ABT1163" s="905"/>
      <c r="ABU1163" s="905"/>
      <c r="ABV1163" s="905"/>
      <c r="ABW1163" s="905"/>
      <c r="ABX1163" s="905"/>
      <c r="ABY1163" s="905"/>
      <c r="ABZ1163" s="905"/>
      <c r="ACA1163" s="905"/>
      <c r="ACB1163" s="905"/>
      <c r="ACC1163" s="905"/>
      <c r="ACD1163" s="905"/>
      <c r="ACE1163" s="905"/>
      <c r="ACF1163" s="905"/>
      <c r="ACG1163" s="905"/>
      <c r="ACH1163" s="905"/>
      <c r="ACI1163" s="905"/>
      <c r="ACJ1163" s="905"/>
      <c r="ACK1163" s="905"/>
      <c r="ACL1163" s="905"/>
      <c r="ACM1163" s="905"/>
      <c r="ACN1163" s="905"/>
      <c r="ACO1163" s="905"/>
      <c r="ACP1163" s="905"/>
      <c r="ACQ1163" s="905"/>
      <c r="ACR1163" s="905"/>
      <c r="ACS1163" s="905"/>
      <c r="ACT1163" s="905"/>
      <c r="ACU1163" s="905"/>
      <c r="ACV1163" s="905"/>
      <c r="ACW1163" s="905"/>
      <c r="ACX1163" s="905"/>
      <c r="ACY1163" s="905"/>
      <c r="ACZ1163" s="905"/>
      <c r="ADA1163" s="905"/>
      <c r="ADB1163" s="905"/>
      <c r="ADC1163" s="905"/>
      <c r="ADD1163" s="905"/>
      <c r="ADE1163" s="905"/>
      <c r="ADF1163" s="905"/>
      <c r="ADG1163" s="905"/>
      <c r="ADH1163" s="905"/>
      <c r="ADI1163" s="905"/>
      <c r="ADJ1163" s="905"/>
      <c r="ADK1163" s="905"/>
      <c r="ADL1163" s="905"/>
      <c r="ADM1163" s="905"/>
      <c r="ADN1163" s="905"/>
      <c r="ADO1163" s="905"/>
      <c r="ADP1163" s="905"/>
      <c r="ADQ1163" s="905"/>
      <c r="ADR1163" s="905"/>
      <c r="ADS1163" s="905"/>
      <c r="ADT1163" s="905"/>
      <c r="ADU1163" s="905"/>
      <c r="ADV1163" s="905"/>
      <c r="ADW1163" s="905"/>
      <c r="ADX1163" s="905"/>
      <c r="ADY1163" s="905"/>
      <c r="ADZ1163" s="905"/>
      <c r="AEA1163" s="905"/>
      <c r="AEB1163" s="905"/>
      <c r="AEC1163" s="905"/>
      <c r="AED1163" s="905"/>
      <c r="AEE1163" s="905"/>
      <c r="AEF1163" s="905"/>
      <c r="AEG1163" s="905"/>
      <c r="AEH1163" s="905"/>
      <c r="AEI1163" s="905"/>
      <c r="AEJ1163" s="905"/>
      <c r="AEK1163" s="905"/>
      <c r="AEL1163" s="905"/>
      <c r="AEM1163" s="905"/>
      <c r="AEN1163" s="905"/>
      <c r="AEO1163" s="905"/>
      <c r="AEP1163" s="905"/>
      <c r="AEQ1163" s="905"/>
      <c r="AER1163" s="905"/>
      <c r="AES1163" s="905"/>
      <c r="AET1163" s="905"/>
      <c r="AEU1163" s="905"/>
      <c r="AEV1163" s="905"/>
      <c r="AEW1163" s="905"/>
      <c r="AEX1163" s="905"/>
      <c r="AEY1163" s="905"/>
      <c r="AEZ1163" s="905"/>
      <c r="AFA1163" s="905"/>
      <c r="AFB1163" s="905"/>
      <c r="AFC1163" s="905"/>
      <c r="AFD1163" s="905"/>
      <c r="AFE1163" s="905"/>
      <c r="AFF1163" s="905"/>
      <c r="AFG1163" s="905"/>
      <c r="AFH1163" s="905"/>
      <c r="AFI1163" s="905"/>
      <c r="AFJ1163" s="905"/>
      <c r="AFK1163" s="905"/>
      <c r="AFL1163" s="905"/>
      <c r="AFM1163" s="905"/>
      <c r="AFN1163" s="905"/>
      <c r="AFO1163" s="905"/>
      <c r="AFP1163" s="905"/>
      <c r="AFQ1163" s="905"/>
      <c r="AFR1163" s="905"/>
      <c r="AFS1163" s="905"/>
      <c r="AFT1163" s="905"/>
      <c r="AFU1163" s="905"/>
      <c r="AFV1163" s="905"/>
      <c r="AFW1163" s="905"/>
      <c r="AFX1163" s="905"/>
      <c r="AFY1163" s="905"/>
      <c r="AFZ1163" s="905"/>
      <c r="AGA1163" s="905"/>
      <c r="AGB1163" s="905"/>
      <c r="AGC1163" s="905"/>
      <c r="AGD1163" s="905"/>
      <c r="AGE1163" s="905"/>
      <c r="AGF1163" s="905"/>
      <c r="AGG1163" s="905"/>
      <c r="AGH1163" s="905"/>
      <c r="AGI1163" s="905"/>
      <c r="AGJ1163" s="905"/>
    </row>
    <row r="1164" spans="1:868" s="898" customFormat="1">
      <c r="A1164" s="898" t="str">
        <f>Clothing!A359</f>
        <v>Clothing (product sector)</v>
      </c>
      <c r="B1164" s="898" t="str">
        <f>Clothing!B359</f>
        <v>Boots</v>
      </c>
      <c r="C1164" s="898" t="str">
        <f>Clothing!C359</f>
        <v>NL</v>
      </c>
      <c r="D1164" s="898" t="str">
        <f>Clothing!D359</f>
        <v>PET</v>
      </c>
      <c r="E1164" s="901">
        <f>Clothing!E359</f>
        <v>3.8578329863190999E-2</v>
      </c>
      <c r="F1164" s="898">
        <f>Clothing!F359</f>
        <v>1</v>
      </c>
      <c r="G1164" s="898" t="str">
        <f>Clothing!G359</f>
        <v>https://eeb.org/library/draft-product-environmental-footprint-category-rules-pefcr-apparel-and-footwear/</v>
      </c>
      <c r="H1164" s="902">
        <f>Clothing!H359</f>
        <v>2</v>
      </c>
      <c r="I1164" s="902" t="str">
        <f>Clothing!I359</f>
        <v/>
      </c>
      <c r="J1164" s="902">
        <f>Clothing!J359</f>
        <v>2</v>
      </c>
      <c r="K1164" s="902">
        <f>Clothing!K359</f>
        <v>1</v>
      </c>
      <c r="L1164" s="902">
        <f>Clothing!L359</f>
        <v>2</v>
      </c>
      <c r="M1164" s="902">
        <f>Clothing!M359</f>
        <v>3</v>
      </c>
      <c r="N1164" s="185">
        <f t="shared" si="89"/>
        <v>1.0301997916669636</v>
      </c>
      <c r="O1164" s="159" t="e">
        <f t="shared" si="90"/>
        <v>#VALUE!</v>
      </c>
      <c r="Q1164" s="905"/>
      <c r="R1164" s="905"/>
      <c r="S1164" s="905"/>
      <c r="T1164" s="905"/>
      <c r="U1164" s="905"/>
      <c r="V1164" s="905"/>
      <c r="W1164" s="905"/>
      <c r="X1164" s="905"/>
      <c r="Y1164" s="905"/>
      <c r="Z1164" s="905"/>
      <c r="AA1164" s="905"/>
      <c r="AB1164" s="905"/>
      <c r="AC1164" s="905"/>
      <c r="AD1164" s="905"/>
      <c r="AE1164" s="905"/>
      <c r="AF1164" s="905"/>
      <c r="AG1164" s="905"/>
      <c r="AH1164" s="905"/>
      <c r="AI1164" s="905"/>
      <c r="AJ1164" s="905"/>
      <c r="AK1164" s="905"/>
      <c r="AL1164" s="905"/>
      <c r="AM1164" s="905"/>
      <c r="AN1164" s="905"/>
      <c r="AO1164" s="905"/>
      <c r="AP1164" s="905"/>
      <c r="AQ1164" s="905"/>
      <c r="AR1164" s="905"/>
      <c r="AS1164" s="905"/>
      <c r="AT1164" s="905"/>
      <c r="AU1164" s="905"/>
      <c r="AV1164" s="905"/>
      <c r="AW1164" s="905"/>
      <c r="AX1164" s="905"/>
      <c r="AY1164" s="905"/>
      <c r="AZ1164" s="905"/>
      <c r="BA1164" s="905"/>
      <c r="BB1164" s="905"/>
      <c r="BC1164" s="905"/>
      <c r="BD1164" s="905"/>
      <c r="BE1164" s="905"/>
      <c r="BF1164" s="905"/>
      <c r="BG1164" s="905"/>
      <c r="BH1164" s="905"/>
      <c r="BI1164" s="905"/>
      <c r="BJ1164" s="905"/>
      <c r="BK1164" s="905"/>
      <c r="BL1164" s="905"/>
      <c r="BM1164" s="905"/>
      <c r="BN1164" s="905"/>
      <c r="BO1164" s="905"/>
      <c r="BP1164" s="905"/>
      <c r="BQ1164" s="905"/>
      <c r="BR1164" s="905"/>
      <c r="BS1164" s="905"/>
      <c r="BT1164" s="905"/>
      <c r="BU1164" s="905"/>
      <c r="BV1164" s="905"/>
      <c r="BW1164" s="905"/>
      <c r="BX1164" s="905"/>
      <c r="BY1164" s="905"/>
      <c r="BZ1164" s="905"/>
      <c r="CA1164" s="905"/>
      <c r="CB1164" s="905"/>
      <c r="CC1164" s="905"/>
      <c r="CD1164" s="905"/>
      <c r="CE1164" s="905"/>
      <c r="CF1164" s="905"/>
      <c r="CG1164" s="905"/>
      <c r="CH1164" s="905"/>
      <c r="CI1164" s="905"/>
      <c r="CJ1164" s="905"/>
      <c r="CK1164" s="905"/>
      <c r="CL1164" s="905"/>
      <c r="CM1164" s="905"/>
      <c r="CN1164" s="905"/>
      <c r="CO1164" s="905"/>
      <c r="CP1164" s="905"/>
      <c r="CQ1164" s="905"/>
      <c r="CR1164" s="905"/>
      <c r="CS1164" s="905"/>
      <c r="CT1164" s="905"/>
      <c r="CU1164" s="905"/>
      <c r="CV1164" s="905"/>
      <c r="CW1164" s="905"/>
      <c r="CX1164" s="905"/>
      <c r="CY1164" s="905"/>
      <c r="CZ1164" s="905"/>
      <c r="DA1164" s="905"/>
      <c r="DB1164" s="905"/>
      <c r="DC1164" s="905"/>
      <c r="DD1164" s="905"/>
      <c r="DE1164" s="905"/>
      <c r="DF1164" s="905"/>
      <c r="DG1164" s="905"/>
      <c r="DH1164" s="905"/>
      <c r="DI1164" s="905"/>
      <c r="DJ1164" s="905"/>
      <c r="DK1164" s="905"/>
      <c r="DL1164" s="905"/>
      <c r="DM1164" s="905"/>
      <c r="DN1164" s="905"/>
      <c r="DO1164" s="905"/>
      <c r="DP1164" s="905"/>
      <c r="DQ1164" s="905"/>
      <c r="DR1164" s="905"/>
      <c r="DS1164" s="905"/>
      <c r="DT1164" s="905"/>
      <c r="DU1164" s="905"/>
      <c r="DV1164" s="905"/>
      <c r="DW1164" s="905"/>
      <c r="DX1164" s="905"/>
      <c r="DY1164" s="905"/>
      <c r="DZ1164" s="905"/>
      <c r="EA1164" s="905"/>
      <c r="EB1164" s="905"/>
      <c r="EC1164" s="905"/>
      <c r="ED1164" s="905"/>
      <c r="EE1164" s="905"/>
      <c r="EF1164" s="905"/>
      <c r="EG1164" s="905"/>
      <c r="EH1164" s="905"/>
      <c r="EI1164" s="905"/>
      <c r="EJ1164" s="905"/>
      <c r="EK1164" s="905"/>
      <c r="EL1164" s="905"/>
      <c r="EM1164" s="905"/>
      <c r="EN1164" s="905"/>
      <c r="EO1164" s="905"/>
      <c r="EP1164" s="905"/>
      <c r="EQ1164" s="905"/>
      <c r="ER1164" s="905"/>
      <c r="ES1164" s="905"/>
      <c r="ET1164" s="905"/>
      <c r="EU1164" s="905"/>
      <c r="EV1164" s="905"/>
      <c r="EW1164" s="905"/>
      <c r="EX1164" s="905"/>
      <c r="EY1164" s="905"/>
      <c r="EZ1164" s="905"/>
      <c r="FA1164" s="905"/>
      <c r="FB1164" s="905"/>
      <c r="FC1164" s="905"/>
      <c r="FD1164" s="905"/>
      <c r="FE1164" s="905"/>
      <c r="FF1164" s="905"/>
      <c r="FG1164" s="905"/>
      <c r="FH1164" s="905"/>
      <c r="FI1164" s="905"/>
      <c r="FJ1164" s="905"/>
      <c r="FK1164" s="905"/>
      <c r="FL1164" s="905"/>
      <c r="FM1164" s="905"/>
      <c r="FN1164" s="905"/>
      <c r="FO1164" s="905"/>
      <c r="FP1164" s="905"/>
      <c r="FQ1164" s="905"/>
      <c r="FR1164" s="905"/>
      <c r="FS1164" s="905"/>
      <c r="FT1164" s="905"/>
      <c r="FU1164" s="905"/>
      <c r="FV1164" s="905"/>
      <c r="FW1164" s="905"/>
      <c r="FX1164" s="905"/>
      <c r="FY1164" s="905"/>
      <c r="FZ1164" s="905"/>
      <c r="GA1164" s="905"/>
      <c r="GB1164" s="905"/>
      <c r="GC1164" s="905"/>
      <c r="GD1164" s="905"/>
      <c r="GE1164" s="905"/>
      <c r="GF1164" s="905"/>
      <c r="GG1164" s="905"/>
      <c r="GH1164" s="905"/>
      <c r="GI1164" s="905"/>
      <c r="GJ1164" s="905"/>
      <c r="GK1164" s="905"/>
      <c r="GL1164" s="905"/>
      <c r="GM1164" s="905"/>
      <c r="GN1164" s="905"/>
      <c r="GO1164" s="905"/>
      <c r="GP1164" s="905"/>
      <c r="GQ1164" s="905"/>
      <c r="GR1164" s="905"/>
      <c r="GS1164" s="905"/>
      <c r="GT1164" s="905"/>
      <c r="GU1164" s="905"/>
      <c r="GV1164" s="905"/>
      <c r="GW1164" s="905"/>
      <c r="GX1164" s="905"/>
      <c r="GY1164" s="905"/>
      <c r="GZ1164" s="905"/>
      <c r="HA1164" s="905"/>
      <c r="HB1164" s="905"/>
      <c r="HC1164" s="905"/>
      <c r="HD1164" s="905"/>
      <c r="HE1164" s="905"/>
      <c r="HF1164" s="905"/>
      <c r="HG1164" s="905"/>
      <c r="HH1164" s="905"/>
      <c r="HI1164" s="905"/>
      <c r="HJ1164" s="905"/>
      <c r="HK1164" s="905"/>
      <c r="HL1164" s="905"/>
      <c r="HM1164" s="905"/>
      <c r="HN1164" s="905"/>
      <c r="HO1164" s="905"/>
      <c r="HP1164" s="905"/>
      <c r="HQ1164" s="905"/>
      <c r="HR1164" s="905"/>
      <c r="HS1164" s="905"/>
      <c r="HT1164" s="905"/>
      <c r="HU1164" s="905"/>
      <c r="HV1164" s="905"/>
      <c r="HW1164" s="905"/>
      <c r="HX1164" s="905"/>
      <c r="HY1164" s="905"/>
      <c r="HZ1164" s="905"/>
      <c r="IA1164" s="905"/>
      <c r="IB1164" s="905"/>
      <c r="IC1164" s="905"/>
      <c r="ID1164" s="905"/>
      <c r="IE1164" s="905"/>
      <c r="IF1164" s="905"/>
      <c r="IG1164" s="905"/>
      <c r="IH1164" s="905"/>
      <c r="II1164" s="905"/>
      <c r="IJ1164" s="905"/>
      <c r="IK1164" s="905"/>
      <c r="IL1164" s="905"/>
      <c r="IM1164" s="905"/>
      <c r="IN1164" s="905"/>
      <c r="IO1164" s="905"/>
      <c r="IP1164" s="905"/>
      <c r="IQ1164" s="905"/>
      <c r="IR1164" s="905"/>
      <c r="IS1164" s="905"/>
      <c r="IT1164" s="905"/>
      <c r="IU1164" s="905"/>
      <c r="IV1164" s="905"/>
      <c r="IW1164" s="905"/>
      <c r="IX1164" s="905"/>
      <c r="IY1164" s="905"/>
      <c r="IZ1164" s="905"/>
      <c r="JA1164" s="905"/>
      <c r="JB1164" s="905"/>
      <c r="JC1164" s="905"/>
      <c r="JD1164" s="905"/>
      <c r="JE1164" s="905"/>
      <c r="JF1164" s="905"/>
      <c r="JG1164" s="905"/>
      <c r="JH1164" s="905"/>
      <c r="JI1164" s="905"/>
      <c r="JJ1164" s="905"/>
      <c r="JK1164" s="905"/>
      <c r="JL1164" s="905"/>
      <c r="JM1164" s="905"/>
      <c r="JN1164" s="905"/>
      <c r="JO1164" s="905"/>
      <c r="JP1164" s="905"/>
      <c r="JQ1164" s="905"/>
      <c r="JR1164" s="905"/>
      <c r="JS1164" s="905"/>
      <c r="JT1164" s="905"/>
      <c r="JU1164" s="905"/>
      <c r="JV1164" s="905"/>
      <c r="JW1164" s="905"/>
      <c r="JX1164" s="905"/>
      <c r="JY1164" s="905"/>
      <c r="JZ1164" s="905"/>
      <c r="KA1164" s="905"/>
      <c r="KB1164" s="905"/>
      <c r="KC1164" s="905"/>
      <c r="KD1164" s="905"/>
      <c r="KE1164" s="905"/>
      <c r="KF1164" s="905"/>
      <c r="KG1164" s="905"/>
      <c r="KH1164" s="905"/>
      <c r="KI1164" s="905"/>
      <c r="KJ1164" s="905"/>
      <c r="KK1164" s="905"/>
      <c r="KL1164" s="905"/>
      <c r="KM1164" s="905"/>
      <c r="KN1164" s="905"/>
      <c r="KO1164" s="905"/>
      <c r="KP1164" s="905"/>
      <c r="KQ1164" s="905"/>
      <c r="KR1164" s="905"/>
      <c r="KS1164" s="905"/>
      <c r="KT1164" s="905"/>
      <c r="KU1164" s="905"/>
      <c r="KV1164" s="905"/>
      <c r="KW1164" s="905"/>
      <c r="KX1164" s="905"/>
      <c r="KY1164" s="905"/>
      <c r="KZ1164" s="905"/>
      <c r="LA1164" s="905"/>
      <c r="LB1164" s="905"/>
      <c r="LC1164" s="905"/>
      <c r="LD1164" s="905"/>
      <c r="LE1164" s="905"/>
      <c r="LF1164" s="905"/>
      <c r="LG1164" s="905"/>
      <c r="LH1164" s="905"/>
      <c r="LI1164" s="905"/>
      <c r="LJ1164" s="905"/>
      <c r="LK1164" s="905"/>
      <c r="LL1164" s="905"/>
      <c r="LM1164" s="905"/>
      <c r="LN1164" s="905"/>
      <c r="LO1164" s="905"/>
      <c r="LP1164" s="905"/>
      <c r="LQ1164" s="905"/>
      <c r="LR1164" s="905"/>
      <c r="LS1164" s="905"/>
      <c r="LT1164" s="905"/>
      <c r="LU1164" s="905"/>
      <c r="LV1164" s="905"/>
      <c r="LW1164" s="905"/>
      <c r="LX1164" s="905"/>
      <c r="LY1164" s="905"/>
      <c r="LZ1164" s="905"/>
      <c r="MA1164" s="905"/>
      <c r="MB1164" s="905"/>
      <c r="MC1164" s="905"/>
      <c r="MD1164" s="905"/>
      <c r="ME1164" s="905"/>
      <c r="MF1164" s="905"/>
      <c r="MG1164" s="905"/>
      <c r="MH1164" s="905"/>
      <c r="MI1164" s="905"/>
      <c r="MJ1164" s="905"/>
      <c r="MK1164" s="905"/>
      <c r="ML1164" s="905"/>
      <c r="MM1164" s="905"/>
      <c r="MN1164" s="905"/>
      <c r="MO1164" s="905"/>
      <c r="MP1164" s="905"/>
      <c r="MQ1164" s="905"/>
      <c r="MR1164" s="905"/>
      <c r="MS1164" s="905"/>
      <c r="MT1164" s="905"/>
      <c r="MU1164" s="905"/>
      <c r="MV1164" s="905"/>
      <c r="MW1164" s="905"/>
      <c r="MX1164" s="905"/>
      <c r="MY1164" s="905"/>
      <c r="MZ1164" s="905"/>
      <c r="NA1164" s="905"/>
      <c r="NB1164" s="905"/>
      <c r="NC1164" s="905"/>
      <c r="ND1164" s="905"/>
      <c r="NE1164" s="905"/>
      <c r="NF1164" s="905"/>
      <c r="NG1164" s="905"/>
      <c r="NH1164" s="905"/>
      <c r="NI1164" s="905"/>
      <c r="NJ1164" s="905"/>
      <c r="NK1164" s="905"/>
      <c r="NL1164" s="905"/>
      <c r="NM1164" s="905"/>
      <c r="NN1164" s="905"/>
      <c r="NO1164" s="905"/>
      <c r="NP1164" s="905"/>
      <c r="NQ1164" s="905"/>
      <c r="NR1164" s="905"/>
      <c r="NS1164" s="905"/>
      <c r="NT1164" s="905"/>
      <c r="NU1164" s="905"/>
      <c r="NV1164" s="905"/>
      <c r="NW1164" s="905"/>
      <c r="NX1164" s="905"/>
      <c r="NY1164" s="905"/>
      <c r="NZ1164" s="905"/>
      <c r="OA1164" s="905"/>
      <c r="OB1164" s="905"/>
      <c r="OC1164" s="905"/>
      <c r="OD1164" s="905"/>
      <c r="OE1164" s="905"/>
      <c r="OF1164" s="905"/>
      <c r="OG1164" s="905"/>
      <c r="OH1164" s="905"/>
      <c r="OI1164" s="905"/>
      <c r="OJ1164" s="905"/>
      <c r="OK1164" s="905"/>
      <c r="OL1164" s="905"/>
      <c r="OM1164" s="905"/>
      <c r="ON1164" s="905"/>
      <c r="OO1164" s="905"/>
      <c r="OP1164" s="905"/>
      <c r="OQ1164" s="905"/>
      <c r="OR1164" s="905"/>
      <c r="OS1164" s="905"/>
      <c r="OT1164" s="905"/>
      <c r="OU1164" s="905"/>
      <c r="OV1164" s="905"/>
      <c r="OW1164" s="905"/>
      <c r="OX1164" s="905"/>
      <c r="OY1164" s="905"/>
      <c r="OZ1164" s="905"/>
      <c r="PA1164" s="905"/>
      <c r="PB1164" s="905"/>
      <c r="PC1164" s="905"/>
      <c r="PD1164" s="905"/>
      <c r="PE1164" s="905"/>
      <c r="PF1164" s="905"/>
      <c r="PG1164" s="905"/>
      <c r="PH1164" s="905"/>
      <c r="PI1164" s="905"/>
      <c r="PJ1164" s="905"/>
      <c r="PK1164" s="905"/>
      <c r="PL1164" s="905"/>
      <c r="PM1164" s="905"/>
      <c r="PN1164" s="905"/>
      <c r="PO1164" s="905"/>
      <c r="PP1164" s="905"/>
      <c r="PQ1164" s="905"/>
      <c r="PR1164" s="905"/>
      <c r="PS1164" s="905"/>
      <c r="PT1164" s="905"/>
      <c r="PU1164" s="905"/>
      <c r="PV1164" s="905"/>
      <c r="PW1164" s="905"/>
      <c r="PX1164" s="905"/>
      <c r="PY1164" s="905"/>
      <c r="PZ1164" s="905"/>
      <c r="QA1164" s="905"/>
      <c r="QB1164" s="905"/>
      <c r="QC1164" s="905"/>
      <c r="QD1164" s="905"/>
      <c r="QE1164" s="905"/>
      <c r="QF1164" s="905"/>
      <c r="QG1164" s="905"/>
      <c r="QH1164" s="905"/>
      <c r="QI1164" s="905"/>
      <c r="QJ1164" s="905"/>
      <c r="QK1164" s="905"/>
      <c r="QL1164" s="905"/>
      <c r="QM1164" s="905"/>
      <c r="QN1164" s="905"/>
      <c r="QO1164" s="905"/>
      <c r="QP1164" s="905"/>
      <c r="QQ1164" s="905"/>
      <c r="QR1164" s="905"/>
      <c r="QS1164" s="905"/>
      <c r="QT1164" s="905"/>
      <c r="QU1164" s="905"/>
      <c r="QV1164" s="905"/>
      <c r="QW1164" s="905"/>
      <c r="QX1164" s="905"/>
      <c r="QY1164" s="905"/>
      <c r="QZ1164" s="905"/>
      <c r="RA1164" s="905"/>
      <c r="RB1164" s="905"/>
      <c r="RC1164" s="905"/>
      <c r="RD1164" s="905"/>
      <c r="RE1164" s="905"/>
      <c r="RF1164" s="905"/>
      <c r="RG1164" s="905"/>
      <c r="RH1164" s="905"/>
      <c r="RI1164" s="905"/>
      <c r="RJ1164" s="905"/>
      <c r="RK1164" s="905"/>
      <c r="RL1164" s="905"/>
      <c r="RM1164" s="905"/>
      <c r="RN1164" s="905"/>
      <c r="RO1164" s="905"/>
      <c r="RP1164" s="905"/>
      <c r="RQ1164" s="905"/>
      <c r="RR1164" s="905"/>
      <c r="RS1164" s="905"/>
      <c r="RT1164" s="905"/>
      <c r="RU1164" s="905"/>
      <c r="RV1164" s="905"/>
      <c r="RW1164" s="905"/>
      <c r="RX1164" s="905"/>
      <c r="RY1164" s="905"/>
      <c r="RZ1164" s="905"/>
      <c r="SA1164" s="905"/>
      <c r="SB1164" s="905"/>
      <c r="SC1164" s="905"/>
      <c r="SD1164" s="905"/>
      <c r="SE1164" s="905"/>
      <c r="SF1164" s="905"/>
      <c r="SG1164" s="905"/>
      <c r="SH1164" s="905"/>
      <c r="SI1164" s="905"/>
      <c r="SJ1164" s="905"/>
      <c r="SK1164" s="905"/>
      <c r="SL1164" s="905"/>
      <c r="SM1164" s="905"/>
      <c r="SN1164" s="905"/>
      <c r="SO1164" s="905"/>
      <c r="SP1164" s="905"/>
      <c r="SQ1164" s="905"/>
      <c r="SR1164" s="905"/>
      <c r="SS1164" s="905"/>
      <c r="ST1164" s="905"/>
      <c r="SU1164" s="905"/>
      <c r="SV1164" s="905"/>
      <c r="SW1164" s="905"/>
      <c r="SX1164" s="905"/>
      <c r="SY1164" s="905"/>
      <c r="SZ1164" s="905"/>
      <c r="TA1164" s="905"/>
      <c r="TB1164" s="905"/>
      <c r="TC1164" s="905"/>
      <c r="TD1164" s="905"/>
      <c r="TE1164" s="905"/>
      <c r="TF1164" s="905"/>
      <c r="TG1164" s="905"/>
      <c r="TH1164" s="905"/>
      <c r="TI1164" s="905"/>
      <c r="TJ1164" s="905"/>
      <c r="TK1164" s="905"/>
      <c r="TL1164" s="905"/>
      <c r="TM1164" s="905"/>
      <c r="TN1164" s="905"/>
      <c r="TO1164" s="905"/>
      <c r="TP1164" s="905"/>
      <c r="TQ1164" s="905"/>
      <c r="TR1164" s="905"/>
      <c r="TS1164" s="905"/>
      <c r="TT1164" s="905"/>
      <c r="TU1164" s="905"/>
      <c r="TV1164" s="905"/>
      <c r="TW1164" s="905"/>
      <c r="TX1164" s="905"/>
      <c r="TY1164" s="905"/>
      <c r="TZ1164" s="905"/>
      <c r="UA1164" s="905"/>
      <c r="UB1164" s="905"/>
      <c r="UC1164" s="905"/>
      <c r="UD1164" s="905"/>
      <c r="UE1164" s="905"/>
      <c r="UF1164" s="905"/>
      <c r="UG1164" s="905"/>
      <c r="UH1164" s="905"/>
      <c r="UI1164" s="905"/>
      <c r="UJ1164" s="905"/>
      <c r="UK1164" s="905"/>
      <c r="UL1164" s="905"/>
      <c r="UM1164" s="905"/>
      <c r="UN1164" s="905"/>
      <c r="UO1164" s="905"/>
      <c r="UP1164" s="905"/>
      <c r="UQ1164" s="905"/>
      <c r="UR1164" s="905"/>
      <c r="US1164" s="905"/>
      <c r="UT1164" s="905"/>
      <c r="UU1164" s="905"/>
      <c r="UV1164" s="905"/>
      <c r="UW1164" s="905"/>
      <c r="UX1164" s="905"/>
      <c r="UY1164" s="905"/>
      <c r="UZ1164" s="905"/>
      <c r="VA1164" s="905"/>
      <c r="VB1164" s="905"/>
      <c r="VC1164" s="905"/>
      <c r="VD1164" s="905"/>
      <c r="VE1164" s="905"/>
      <c r="VF1164" s="905"/>
      <c r="VG1164" s="905"/>
      <c r="VH1164" s="905"/>
      <c r="VI1164" s="905"/>
      <c r="VJ1164" s="905"/>
      <c r="VK1164" s="905"/>
      <c r="VL1164" s="905"/>
      <c r="VM1164" s="905"/>
      <c r="VN1164" s="905"/>
      <c r="VO1164" s="905"/>
      <c r="VP1164" s="905"/>
      <c r="VQ1164" s="905"/>
      <c r="VR1164" s="905"/>
      <c r="VS1164" s="905"/>
      <c r="VT1164" s="905"/>
      <c r="VU1164" s="905"/>
      <c r="VV1164" s="905"/>
      <c r="VW1164" s="905"/>
      <c r="VX1164" s="905"/>
      <c r="VY1164" s="905"/>
      <c r="VZ1164" s="905"/>
      <c r="WA1164" s="905"/>
      <c r="WB1164" s="905"/>
      <c r="WC1164" s="905"/>
      <c r="WD1164" s="905"/>
      <c r="WE1164" s="905"/>
      <c r="WF1164" s="905"/>
      <c r="WG1164" s="905"/>
      <c r="WH1164" s="905"/>
      <c r="WI1164" s="905"/>
      <c r="WJ1164" s="905"/>
      <c r="WK1164" s="905"/>
      <c r="WL1164" s="905"/>
      <c r="WM1164" s="905"/>
      <c r="WN1164" s="905"/>
      <c r="WO1164" s="905"/>
      <c r="WP1164" s="905"/>
      <c r="WQ1164" s="905"/>
      <c r="WR1164" s="905"/>
      <c r="WS1164" s="905"/>
      <c r="WT1164" s="905"/>
      <c r="WU1164" s="905"/>
      <c r="WV1164" s="905"/>
      <c r="WW1164" s="905"/>
      <c r="WX1164" s="905"/>
      <c r="WY1164" s="905"/>
      <c r="WZ1164" s="905"/>
      <c r="XA1164" s="905"/>
      <c r="XB1164" s="905"/>
      <c r="XC1164" s="905"/>
      <c r="XD1164" s="905"/>
      <c r="XE1164" s="905"/>
      <c r="XF1164" s="905"/>
      <c r="XG1164" s="905"/>
      <c r="XH1164" s="905"/>
      <c r="XI1164" s="905"/>
      <c r="XJ1164" s="905"/>
      <c r="XK1164" s="905"/>
      <c r="XL1164" s="905"/>
      <c r="XM1164" s="905"/>
      <c r="XN1164" s="905"/>
      <c r="XO1164" s="905"/>
      <c r="XP1164" s="905"/>
      <c r="XQ1164" s="905"/>
      <c r="XR1164" s="905"/>
      <c r="XS1164" s="905"/>
      <c r="XT1164" s="905"/>
      <c r="XU1164" s="905"/>
      <c r="XV1164" s="905"/>
      <c r="XW1164" s="905"/>
      <c r="XX1164" s="905"/>
      <c r="XY1164" s="905"/>
      <c r="XZ1164" s="905"/>
      <c r="YA1164" s="905"/>
      <c r="YB1164" s="905"/>
      <c r="YC1164" s="905"/>
      <c r="YD1164" s="905"/>
      <c r="YE1164" s="905"/>
      <c r="YF1164" s="905"/>
      <c r="YG1164" s="905"/>
      <c r="YH1164" s="905"/>
      <c r="YI1164" s="905"/>
      <c r="YJ1164" s="905"/>
      <c r="YK1164" s="905"/>
      <c r="YL1164" s="905"/>
      <c r="YM1164" s="905"/>
      <c r="YN1164" s="905"/>
      <c r="YO1164" s="905"/>
      <c r="YP1164" s="905"/>
      <c r="YQ1164" s="905"/>
      <c r="YR1164" s="905"/>
      <c r="YS1164" s="905"/>
      <c r="YT1164" s="905"/>
      <c r="YU1164" s="905"/>
      <c r="YV1164" s="905"/>
      <c r="YW1164" s="905"/>
      <c r="YX1164" s="905"/>
      <c r="YY1164" s="905"/>
      <c r="YZ1164" s="905"/>
      <c r="ZA1164" s="905"/>
      <c r="ZB1164" s="905"/>
      <c r="ZC1164" s="905"/>
      <c r="ZD1164" s="905"/>
      <c r="ZE1164" s="905"/>
      <c r="ZF1164" s="905"/>
      <c r="ZG1164" s="905"/>
      <c r="ZH1164" s="905"/>
      <c r="ZI1164" s="905"/>
      <c r="ZJ1164" s="905"/>
      <c r="ZK1164" s="905"/>
      <c r="ZL1164" s="905"/>
      <c r="ZM1164" s="905"/>
      <c r="ZN1164" s="905"/>
      <c r="ZO1164" s="905"/>
      <c r="ZP1164" s="905"/>
      <c r="ZQ1164" s="905"/>
      <c r="ZR1164" s="905"/>
      <c r="ZS1164" s="905"/>
      <c r="ZT1164" s="905"/>
      <c r="ZU1164" s="905"/>
      <c r="ZV1164" s="905"/>
      <c r="ZW1164" s="905"/>
      <c r="ZX1164" s="905"/>
      <c r="ZY1164" s="905"/>
      <c r="ZZ1164" s="905"/>
      <c r="AAA1164" s="905"/>
      <c r="AAB1164" s="905"/>
      <c r="AAC1164" s="905"/>
      <c r="AAD1164" s="905"/>
      <c r="AAE1164" s="905"/>
      <c r="AAF1164" s="905"/>
      <c r="AAG1164" s="905"/>
      <c r="AAH1164" s="905"/>
      <c r="AAI1164" s="905"/>
      <c r="AAJ1164" s="905"/>
      <c r="AAK1164" s="905"/>
      <c r="AAL1164" s="905"/>
      <c r="AAM1164" s="905"/>
      <c r="AAN1164" s="905"/>
      <c r="AAO1164" s="905"/>
      <c r="AAP1164" s="905"/>
      <c r="AAQ1164" s="905"/>
      <c r="AAR1164" s="905"/>
      <c r="AAS1164" s="905"/>
      <c r="AAT1164" s="905"/>
      <c r="AAU1164" s="905"/>
      <c r="AAV1164" s="905"/>
      <c r="AAW1164" s="905"/>
      <c r="AAX1164" s="905"/>
      <c r="AAY1164" s="905"/>
      <c r="AAZ1164" s="905"/>
      <c r="ABA1164" s="905"/>
      <c r="ABB1164" s="905"/>
      <c r="ABC1164" s="905"/>
      <c r="ABD1164" s="905"/>
      <c r="ABE1164" s="905"/>
      <c r="ABF1164" s="905"/>
      <c r="ABG1164" s="905"/>
      <c r="ABH1164" s="905"/>
      <c r="ABI1164" s="905"/>
      <c r="ABJ1164" s="905"/>
      <c r="ABK1164" s="905"/>
      <c r="ABL1164" s="905"/>
      <c r="ABM1164" s="905"/>
      <c r="ABN1164" s="905"/>
      <c r="ABO1164" s="905"/>
      <c r="ABP1164" s="905"/>
      <c r="ABQ1164" s="905"/>
      <c r="ABR1164" s="905"/>
      <c r="ABS1164" s="905"/>
      <c r="ABT1164" s="905"/>
      <c r="ABU1164" s="905"/>
      <c r="ABV1164" s="905"/>
      <c r="ABW1164" s="905"/>
      <c r="ABX1164" s="905"/>
      <c r="ABY1164" s="905"/>
      <c r="ABZ1164" s="905"/>
      <c r="ACA1164" s="905"/>
      <c r="ACB1164" s="905"/>
      <c r="ACC1164" s="905"/>
      <c r="ACD1164" s="905"/>
      <c r="ACE1164" s="905"/>
      <c r="ACF1164" s="905"/>
      <c r="ACG1164" s="905"/>
      <c r="ACH1164" s="905"/>
      <c r="ACI1164" s="905"/>
      <c r="ACJ1164" s="905"/>
      <c r="ACK1164" s="905"/>
      <c r="ACL1164" s="905"/>
      <c r="ACM1164" s="905"/>
      <c r="ACN1164" s="905"/>
      <c r="ACO1164" s="905"/>
      <c r="ACP1164" s="905"/>
      <c r="ACQ1164" s="905"/>
      <c r="ACR1164" s="905"/>
      <c r="ACS1164" s="905"/>
      <c r="ACT1164" s="905"/>
      <c r="ACU1164" s="905"/>
      <c r="ACV1164" s="905"/>
      <c r="ACW1164" s="905"/>
      <c r="ACX1164" s="905"/>
      <c r="ACY1164" s="905"/>
      <c r="ACZ1164" s="905"/>
      <c r="ADA1164" s="905"/>
      <c r="ADB1164" s="905"/>
      <c r="ADC1164" s="905"/>
      <c r="ADD1164" s="905"/>
      <c r="ADE1164" s="905"/>
      <c r="ADF1164" s="905"/>
      <c r="ADG1164" s="905"/>
      <c r="ADH1164" s="905"/>
      <c r="ADI1164" s="905"/>
      <c r="ADJ1164" s="905"/>
      <c r="ADK1164" s="905"/>
      <c r="ADL1164" s="905"/>
      <c r="ADM1164" s="905"/>
      <c r="ADN1164" s="905"/>
      <c r="ADO1164" s="905"/>
      <c r="ADP1164" s="905"/>
      <c r="ADQ1164" s="905"/>
      <c r="ADR1164" s="905"/>
      <c r="ADS1164" s="905"/>
      <c r="ADT1164" s="905"/>
      <c r="ADU1164" s="905"/>
      <c r="ADV1164" s="905"/>
      <c r="ADW1164" s="905"/>
      <c r="ADX1164" s="905"/>
      <c r="ADY1164" s="905"/>
      <c r="ADZ1164" s="905"/>
      <c r="AEA1164" s="905"/>
      <c r="AEB1164" s="905"/>
      <c r="AEC1164" s="905"/>
      <c r="AED1164" s="905"/>
      <c r="AEE1164" s="905"/>
      <c r="AEF1164" s="905"/>
      <c r="AEG1164" s="905"/>
      <c r="AEH1164" s="905"/>
      <c r="AEI1164" s="905"/>
      <c r="AEJ1164" s="905"/>
      <c r="AEK1164" s="905"/>
      <c r="AEL1164" s="905"/>
      <c r="AEM1164" s="905"/>
      <c r="AEN1164" s="905"/>
      <c r="AEO1164" s="905"/>
      <c r="AEP1164" s="905"/>
      <c r="AEQ1164" s="905"/>
      <c r="AER1164" s="905"/>
      <c r="AES1164" s="905"/>
      <c r="AET1164" s="905"/>
      <c r="AEU1164" s="905"/>
      <c r="AEV1164" s="905"/>
      <c r="AEW1164" s="905"/>
      <c r="AEX1164" s="905"/>
      <c r="AEY1164" s="905"/>
      <c r="AEZ1164" s="905"/>
      <c r="AFA1164" s="905"/>
      <c r="AFB1164" s="905"/>
      <c r="AFC1164" s="905"/>
      <c r="AFD1164" s="905"/>
      <c r="AFE1164" s="905"/>
      <c r="AFF1164" s="905"/>
      <c r="AFG1164" s="905"/>
      <c r="AFH1164" s="905"/>
      <c r="AFI1164" s="905"/>
      <c r="AFJ1164" s="905"/>
      <c r="AFK1164" s="905"/>
      <c r="AFL1164" s="905"/>
      <c r="AFM1164" s="905"/>
      <c r="AFN1164" s="905"/>
      <c r="AFO1164" s="905"/>
      <c r="AFP1164" s="905"/>
      <c r="AFQ1164" s="905"/>
      <c r="AFR1164" s="905"/>
      <c r="AFS1164" s="905"/>
      <c r="AFT1164" s="905"/>
      <c r="AFU1164" s="905"/>
      <c r="AFV1164" s="905"/>
      <c r="AFW1164" s="905"/>
      <c r="AFX1164" s="905"/>
      <c r="AFY1164" s="905"/>
      <c r="AFZ1164" s="905"/>
      <c r="AGA1164" s="905"/>
      <c r="AGB1164" s="905"/>
      <c r="AGC1164" s="905"/>
      <c r="AGD1164" s="905"/>
      <c r="AGE1164" s="905"/>
      <c r="AGF1164" s="905"/>
      <c r="AGG1164" s="905"/>
      <c r="AGH1164" s="905"/>
      <c r="AGI1164" s="905"/>
      <c r="AGJ1164" s="905"/>
    </row>
    <row r="1165" spans="1:868" s="898" customFormat="1">
      <c r="A1165" s="898" t="str">
        <f>Clothing!A360</f>
        <v>Clothing (product sector)</v>
      </c>
      <c r="B1165" s="898" t="str">
        <f>Clothing!B360</f>
        <v>Boots</v>
      </c>
      <c r="C1165" s="898" t="str">
        <f>Clothing!C360</f>
        <v>NL</v>
      </c>
      <c r="D1165" s="898" t="str">
        <f>Clothing!D360</f>
        <v>PUR</v>
      </c>
      <c r="E1165" s="901">
        <f>Clothing!E360</f>
        <v>0.498308676791128</v>
      </c>
      <c r="F1165" s="898">
        <f>Clothing!F360</f>
        <v>1</v>
      </c>
      <c r="G1165" s="898" t="str">
        <f>Clothing!G360</f>
        <v>https://eeb.org/library/draft-product-environmental-footprint-category-rules-pefcr-apparel-and-footwear/</v>
      </c>
      <c r="H1165" s="902">
        <f>Clothing!H360</f>
        <v>2</v>
      </c>
      <c r="I1165" s="902" t="str">
        <f>Clothing!I360</f>
        <v/>
      </c>
      <c r="J1165" s="902">
        <f>Clothing!J360</f>
        <v>2</v>
      </c>
      <c r="K1165" s="902">
        <f>Clothing!K360</f>
        <v>1</v>
      </c>
      <c r="L1165" s="902">
        <f>Clothing!L360</f>
        <v>2</v>
      </c>
      <c r="M1165" s="902">
        <f>Clothing!M360</f>
        <v>3</v>
      </c>
      <c r="N1165" s="185">
        <f t="shared" si="89"/>
        <v>1.0301997916669636</v>
      </c>
      <c r="O1165" s="159" t="e">
        <f t="shared" si="90"/>
        <v>#VALUE!</v>
      </c>
      <c r="Q1165" s="905"/>
      <c r="R1165" s="905"/>
      <c r="S1165" s="905"/>
      <c r="T1165" s="905"/>
      <c r="U1165" s="905"/>
      <c r="V1165" s="905"/>
      <c r="W1165" s="905"/>
      <c r="X1165" s="905"/>
      <c r="Y1165" s="905"/>
      <c r="Z1165" s="905"/>
      <c r="AA1165" s="905"/>
      <c r="AB1165" s="905"/>
      <c r="AC1165" s="905"/>
      <c r="AD1165" s="905"/>
      <c r="AE1165" s="905"/>
      <c r="AF1165" s="905"/>
      <c r="AG1165" s="905"/>
      <c r="AH1165" s="905"/>
      <c r="AI1165" s="905"/>
      <c r="AJ1165" s="905"/>
      <c r="AK1165" s="905"/>
      <c r="AL1165" s="905"/>
      <c r="AM1165" s="905"/>
      <c r="AN1165" s="905"/>
      <c r="AO1165" s="905"/>
      <c r="AP1165" s="905"/>
      <c r="AQ1165" s="905"/>
      <c r="AR1165" s="905"/>
      <c r="AS1165" s="905"/>
      <c r="AT1165" s="905"/>
      <c r="AU1165" s="905"/>
      <c r="AV1165" s="905"/>
      <c r="AW1165" s="905"/>
      <c r="AX1165" s="905"/>
      <c r="AY1165" s="905"/>
      <c r="AZ1165" s="905"/>
      <c r="BA1165" s="905"/>
      <c r="BB1165" s="905"/>
      <c r="BC1165" s="905"/>
      <c r="BD1165" s="905"/>
      <c r="BE1165" s="905"/>
      <c r="BF1165" s="905"/>
      <c r="BG1165" s="905"/>
      <c r="BH1165" s="905"/>
      <c r="BI1165" s="905"/>
      <c r="BJ1165" s="905"/>
      <c r="BK1165" s="905"/>
      <c r="BL1165" s="905"/>
      <c r="BM1165" s="905"/>
      <c r="BN1165" s="905"/>
      <c r="BO1165" s="905"/>
      <c r="BP1165" s="905"/>
      <c r="BQ1165" s="905"/>
      <c r="BR1165" s="905"/>
      <c r="BS1165" s="905"/>
      <c r="BT1165" s="905"/>
      <c r="BU1165" s="905"/>
      <c r="BV1165" s="905"/>
      <c r="BW1165" s="905"/>
      <c r="BX1165" s="905"/>
      <c r="BY1165" s="905"/>
      <c r="BZ1165" s="905"/>
      <c r="CA1165" s="905"/>
      <c r="CB1165" s="905"/>
      <c r="CC1165" s="905"/>
      <c r="CD1165" s="905"/>
      <c r="CE1165" s="905"/>
      <c r="CF1165" s="905"/>
      <c r="CG1165" s="905"/>
      <c r="CH1165" s="905"/>
      <c r="CI1165" s="905"/>
      <c r="CJ1165" s="905"/>
      <c r="CK1165" s="905"/>
      <c r="CL1165" s="905"/>
      <c r="CM1165" s="905"/>
      <c r="CN1165" s="905"/>
      <c r="CO1165" s="905"/>
      <c r="CP1165" s="905"/>
      <c r="CQ1165" s="905"/>
      <c r="CR1165" s="905"/>
      <c r="CS1165" s="905"/>
      <c r="CT1165" s="905"/>
      <c r="CU1165" s="905"/>
      <c r="CV1165" s="905"/>
      <c r="CW1165" s="905"/>
      <c r="CX1165" s="905"/>
      <c r="CY1165" s="905"/>
      <c r="CZ1165" s="905"/>
      <c r="DA1165" s="905"/>
      <c r="DB1165" s="905"/>
      <c r="DC1165" s="905"/>
      <c r="DD1165" s="905"/>
      <c r="DE1165" s="905"/>
      <c r="DF1165" s="905"/>
      <c r="DG1165" s="905"/>
      <c r="DH1165" s="905"/>
      <c r="DI1165" s="905"/>
      <c r="DJ1165" s="905"/>
      <c r="DK1165" s="905"/>
      <c r="DL1165" s="905"/>
      <c r="DM1165" s="905"/>
      <c r="DN1165" s="905"/>
      <c r="DO1165" s="905"/>
      <c r="DP1165" s="905"/>
      <c r="DQ1165" s="905"/>
      <c r="DR1165" s="905"/>
      <c r="DS1165" s="905"/>
      <c r="DT1165" s="905"/>
      <c r="DU1165" s="905"/>
      <c r="DV1165" s="905"/>
      <c r="DW1165" s="905"/>
      <c r="DX1165" s="905"/>
      <c r="DY1165" s="905"/>
      <c r="DZ1165" s="905"/>
      <c r="EA1165" s="905"/>
      <c r="EB1165" s="905"/>
      <c r="EC1165" s="905"/>
      <c r="ED1165" s="905"/>
      <c r="EE1165" s="905"/>
      <c r="EF1165" s="905"/>
      <c r="EG1165" s="905"/>
      <c r="EH1165" s="905"/>
      <c r="EI1165" s="905"/>
      <c r="EJ1165" s="905"/>
      <c r="EK1165" s="905"/>
      <c r="EL1165" s="905"/>
      <c r="EM1165" s="905"/>
      <c r="EN1165" s="905"/>
      <c r="EO1165" s="905"/>
      <c r="EP1165" s="905"/>
      <c r="EQ1165" s="905"/>
      <c r="ER1165" s="905"/>
      <c r="ES1165" s="905"/>
      <c r="ET1165" s="905"/>
      <c r="EU1165" s="905"/>
      <c r="EV1165" s="905"/>
      <c r="EW1165" s="905"/>
      <c r="EX1165" s="905"/>
      <c r="EY1165" s="905"/>
      <c r="EZ1165" s="905"/>
      <c r="FA1165" s="905"/>
      <c r="FB1165" s="905"/>
      <c r="FC1165" s="905"/>
      <c r="FD1165" s="905"/>
      <c r="FE1165" s="905"/>
      <c r="FF1165" s="905"/>
      <c r="FG1165" s="905"/>
      <c r="FH1165" s="905"/>
      <c r="FI1165" s="905"/>
      <c r="FJ1165" s="905"/>
      <c r="FK1165" s="905"/>
      <c r="FL1165" s="905"/>
      <c r="FM1165" s="905"/>
      <c r="FN1165" s="905"/>
      <c r="FO1165" s="905"/>
      <c r="FP1165" s="905"/>
      <c r="FQ1165" s="905"/>
      <c r="FR1165" s="905"/>
      <c r="FS1165" s="905"/>
      <c r="FT1165" s="905"/>
      <c r="FU1165" s="905"/>
      <c r="FV1165" s="905"/>
      <c r="FW1165" s="905"/>
      <c r="FX1165" s="905"/>
      <c r="FY1165" s="905"/>
      <c r="FZ1165" s="905"/>
      <c r="GA1165" s="905"/>
      <c r="GB1165" s="905"/>
      <c r="GC1165" s="905"/>
      <c r="GD1165" s="905"/>
      <c r="GE1165" s="905"/>
      <c r="GF1165" s="905"/>
      <c r="GG1165" s="905"/>
      <c r="GH1165" s="905"/>
      <c r="GI1165" s="905"/>
      <c r="GJ1165" s="905"/>
      <c r="GK1165" s="905"/>
      <c r="GL1165" s="905"/>
      <c r="GM1165" s="905"/>
      <c r="GN1165" s="905"/>
      <c r="GO1165" s="905"/>
      <c r="GP1165" s="905"/>
      <c r="GQ1165" s="905"/>
      <c r="GR1165" s="905"/>
      <c r="GS1165" s="905"/>
      <c r="GT1165" s="905"/>
      <c r="GU1165" s="905"/>
      <c r="GV1165" s="905"/>
      <c r="GW1165" s="905"/>
      <c r="GX1165" s="905"/>
      <c r="GY1165" s="905"/>
      <c r="GZ1165" s="905"/>
      <c r="HA1165" s="905"/>
      <c r="HB1165" s="905"/>
      <c r="HC1165" s="905"/>
      <c r="HD1165" s="905"/>
      <c r="HE1165" s="905"/>
      <c r="HF1165" s="905"/>
      <c r="HG1165" s="905"/>
      <c r="HH1165" s="905"/>
      <c r="HI1165" s="905"/>
      <c r="HJ1165" s="905"/>
      <c r="HK1165" s="905"/>
      <c r="HL1165" s="905"/>
      <c r="HM1165" s="905"/>
      <c r="HN1165" s="905"/>
      <c r="HO1165" s="905"/>
      <c r="HP1165" s="905"/>
      <c r="HQ1165" s="905"/>
      <c r="HR1165" s="905"/>
      <c r="HS1165" s="905"/>
      <c r="HT1165" s="905"/>
      <c r="HU1165" s="905"/>
      <c r="HV1165" s="905"/>
      <c r="HW1165" s="905"/>
      <c r="HX1165" s="905"/>
      <c r="HY1165" s="905"/>
      <c r="HZ1165" s="905"/>
      <c r="IA1165" s="905"/>
      <c r="IB1165" s="905"/>
      <c r="IC1165" s="905"/>
      <c r="ID1165" s="905"/>
      <c r="IE1165" s="905"/>
      <c r="IF1165" s="905"/>
      <c r="IG1165" s="905"/>
      <c r="IH1165" s="905"/>
      <c r="II1165" s="905"/>
      <c r="IJ1165" s="905"/>
      <c r="IK1165" s="905"/>
      <c r="IL1165" s="905"/>
      <c r="IM1165" s="905"/>
      <c r="IN1165" s="905"/>
      <c r="IO1165" s="905"/>
      <c r="IP1165" s="905"/>
      <c r="IQ1165" s="905"/>
      <c r="IR1165" s="905"/>
      <c r="IS1165" s="905"/>
      <c r="IT1165" s="905"/>
      <c r="IU1165" s="905"/>
      <c r="IV1165" s="905"/>
      <c r="IW1165" s="905"/>
      <c r="IX1165" s="905"/>
      <c r="IY1165" s="905"/>
      <c r="IZ1165" s="905"/>
      <c r="JA1165" s="905"/>
      <c r="JB1165" s="905"/>
      <c r="JC1165" s="905"/>
      <c r="JD1165" s="905"/>
      <c r="JE1165" s="905"/>
      <c r="JF1165" s="905"/>
      <c r="JG1165" s="905"/>
      <c r="JH1165" s="905"/>
      <c r="JI1165" s="905"/>
      <c r="JJ1165" s="905"/>
      <c r="JK1165" s="905"/>
      <c r="JL1165" s="905"/>
      <c r="JM1165" s="905"/>
      <c r="JN1165" s="905"/>
      <c r="JO1165" s="905"/>
      <c r="JP1165" s="905"/>
      <c r="JQ1165" s="905"/>
      <c r="JR1165" s="905"/>
      <c r="JS1165" s="905"/>
      <c r="JT1165" s="905"/>
      <c r="JU1165" s="905"/>
      <c r="JV1165" s="905"/>
      <c r="JW1165" s="905"/>
      <c r="JX1165" s="905"/>
      <c r="JY1165" s="905"/>
      <c r="JZ1165" s="905"/>
      <c r="KA1165" s="905"/>
      <c r="KB1165" s="905"/>
      <c r="KC1165" s="905"/>
      <c r="KD1165" s="905"/>
      <c r="KE1165" s="905"/>
      <c r="KF1165" s="905"/>
      <c r="KG1165" s="905"/>
      <c r="KH1165" s="905"/>
      <c r="KI1165" s="905"/>
      <c r="KJ1165" s="905"/>
      <c r="KK1165" s="905"/>
      <c r="KL1165" s="905"/>
      <c r="KM1165" s="905"/>
      <c r="KN1165" s="905"/>
      <c r="KO1165" s="905"/>
      <c r="KP1165" s="905"/>
      <c r="KQ1165" s="905"/>
      <c r="KR1165" s="905"/>
      <c r="KS1165" s="905"/>
      <c r="KT1165" s="905"/>
      <c r="KU1165" s="905"/>
      <c r="KV1165" s="905"/>
      <c r="KW1165" s="905"/>
      <c r="KX1165" s="905"/>
      <c r="KY1165" s="905"/>
      <c r="KZ1165" s="905"/>
      <c r="LA1165" s="905"/>
      <c r="LB1165" s="905"/>
      <c r="LC1165" s="905"/>
      <c r="LD1165" s="905"/>
      <c r="LE1165" s="905"/>
      <c r="LF1165" s="905"/>
      <c r="LG1165" s="905"/>
      <c r="LH1165" s="905"/>
      <c r="LI1165" s="905"/>
      <c r="LJ1165" s="905"/>
      <c r="LK1165" s="905"/>
      <c r="LL1165" s="905"/>
      <c r="LM1165" s="905"/>
      <c r="LN1165" s="905"/>
      <c r="LO1165" s="905"/>
      <c r="LP1165" s="905"/>
      <c r="LQ1165" s="905"/>
      <c r="LR1165" s="905"/>
      <c r="LS1165" s="905"/>
      <c r="LT1165" s="905"/>
      <c r="LU1165" s="905"/>
      <c r="LV1165" s="905"/>
      <c r="LW1165" s="905"/>
      <c r="LX1165" s="905"/>
      <c r="LY1165" s="905"/>
      <c r="LZ1165" s="905"/>
      <c r="MA1165" s="905"/>
      <c r="MB1165" s="905"/>
      <c r="MC1165" s="905"/>
      <c r="MD1165" s="905"/>
      <c r="ME1165" s="905"/>
      <c r="MF1165" s="905"/>
      <c r="MG1165" s="905"/>
      <c r="MH1165" s="905"/>
      <c r="MI1165" s="905"/>
      <c r="MJ1165" s="905"/>
      <c r="MK1165" s="905"/>
      <c r="ML1165" s="905"/>
      <c r="MM1165" s="905"/>
      <c r="MN1165" s="905"/>
      <c r="MO1165" s="905"/>
      <c r="MP1165" s="905"/>
      <c r="MQ1165" s="905"/>
      <c r="MR1165" s="905"/>
      <c r="MS1165" s="905"/>
      <c r="MT1165" s="905"/>
      <c r="MU1165" s="905"/>
      <c r="MV1165" s="905"/>
      <c r="MW1165" s="905"/>
      <c r="MX1165" s="905"/>
      <c r="MY1165" s="905"/>
      <c r="MZ1165" s="905"/>
      <c r="NA1165" s="905"/>
      <c r="NB1165" s="905"/>
      <c r="NC1165" s="905"/>
      <c r="ND1165" s="905"/>
      <c r="NE1165" s="905"/>
      <c r="NF1165" s="905"/>
      <c r="NG1165" s="905"/>
      <c r="NH1165" s="905"/>
      <c r="NI1165" s="905"/>
      <c r="NJ1165" s="905"/>
      <c r="NK1165" s="905"/>
      <c r="NL1165" s="905"/>
      <c r="NM1165" s="905"/>
      <c r="NN1165" s="905"/>
      <c r="NO1165" s="905"/>
      <c r="NP1165" s="905"/>
      <c r="NQ1165" s="905"/>
      <c r="NR1165" s="905"/>
      <c r="NS1165" s="905"/>
      <c r="NT1165" s="905"/>
      <c r="NU1165" s="905"/>
      <c r="NV1165" s="905"/>
      <c r="NW1165" s="905"/>
      <c r="NX1165" s="905"/>
      <c r="NY1165" s="905"/>
      <c r="NZ1165" s="905"/>
      <c r="OA1165" s="905"/>
      <c r="OB1165" s="905"/>
      <c r="OC1165" s="905"/>
      <c r="OD1165" s="905"/>
      <c r="OE1165" s="905"/>
      <c r="OF1165" s="905"/>
      <c r="OG1165" s="905"/>
      <c r="OH1165" s="905"/>
      <c r="OI1165" s="905"/>
      <c r="OJ1165" s="905"/>
      <c r="OK1165" s="905"/>
      <c r="OL1165" s="905"/>
      <c r="OM1165" s="905"/>
      <c r="ON1165" s="905"/>
      <c r="OO1165" s="905"/>
      <c r="OP1165" s="905"/>
      <c r="OQ1165" s="905"/>
      <c r="OR1165" s="905"/>
      <c r="OS1165" s="905"/>
      <c r="OT1165" s="905"/>
      <c r="OU1165" s="905"/>
      <c r="OV1165" s="905"/>
      <c r="OW1165" s="905"/>
      <c r="OX1165" s="905"/>
      <c r="OY1165" s="905"/>
      <c r="OZ1165" s="905"/>
      <c r="PA1165" s="905"/>
      <c r="PB1165" s="905"/>
      <c r="PC1165" s="905"/>
      <c r="PD1165" s="905"/>
      <c r="PE1165" s="905"/>
      <c r="PF1165" s="905"/>
      <c r="PG1165" s="905"/>
      <c r="PH1165" s="905"/>
      <c r="PI1165" s="905"/>
      <c r="PJ1165" s="905"/>
      <c r="PK1165" s="905"/>
      <c r="PL1165" s="905"/>
      <c r="PM1165" s="905"/>
      <c r="PN1165" s="905"/>
      <c r="PO1165" s="905"/>
      <c r="PP1165" s="905"/>
      <c r="PQ1165" s="905"/>
      <c r="PR1165" s="905"/>
      <c r="PS1165" s="905"/>
      <c r="PT1165" s="905"/>
      <c r="PU1165" s="905"/>
      <c r="PV1165" s="905"/>
      <c r="PW1165" s="905"/>
      <c r="PX1165" s="905"/>
      <c r="PY1165" s="905"/>
      <c r="PZ1165" s="905"/>
      <c r="QA1165" s="905"/>
      <c r="QB1165" s="905"/>
      <c r="QC1165" s="905"/>
      <c r="QD1165" s="905"/>
      <c r="QE1165" s="905"/>
      <c r="QF1165" s="905"/>
      <c r="QG1165" s="905"/>
      <c r="QH1165" s="905"/>
      <c r="QI1165" s="905"/>
      <c r="QJ1165" s="905"/>
      <c r="QK1165" s="905"/>
      <c r="QL1165" s="905"/>
      <c r="QM1165" s="905"/>
      <c r="QN1165" s="905"/>
      <c r="QO1165" s="905"/>
      <c r="QP1165" s="905"/>
      <c r="QQ1165" s="905"/>
      <c r="QR1165" s="905"/>
      <c r="QS1165" s="905"/>
      <c r="QT1165" s="905"/>
      <c r="QU1165" s="905"/>
      <c r="QV1165" s="905"/>
      <c r="QW1165" s="905"/>
      <c r="QX1165" s="905"/>
      <c r="QY1165" s="905"/>
      <c r="QZ1165" s="905"/>
      <c r="RA1165" s="905"/>
      <c r="RB1165" s="905"/>
      <c r="RC1165" s="905"/>
      <c r="RD1165" s="905"/>
      <c r="RE1165" s="905"/>
      <c r="RF1165" s="905"/>
      <c r="RG1165" s="905"/>
      <c r="RH1165" s="905"/>
      <c r="RI1165" s="905"/>
      <c r="RJ1165" s="905"/>
      <c r="RK1165" s="905"/>
      <c r="RL1165" s="905"/>
      <c r="RM1165" s="905"/>
      <c r="RN1165" s="905"/>
      <c r="RO1165" s="905"/>
      <c r="RP1165" s="905"/>
      <c r="RQ1165" s="905"/>
      <c r="RR1165" s="905"/>
      <c r="RS1165" s="905"/>
      <c r="RT1165" s="905"/>
      <c r="RU1165" s="905"/>
      <c r="RV1165" s="905"/>
      <c r="RW1165" s="905"/>
      <c r="RX1165" s="905"/>
      <c r="RY1165" s="905"/>
      <c r="RZ1165" s="905"/>
      <c r="SA1165" s="905"/>
      <c r="SB1165" s="905"/>
      <c r="SC1165" s="905"/>
      <c r="SD1165" s="905"/>
      <c r="SE1165" s="905"/>
      <c r="SF1165" s="905"/>
      <c r="SG1165" s="905"/>
      <c r="SH1165" s="905"/>
      <c r="SI1165" s="905"/>
      <c r="SJ1165" s="905"/>
      <c r="SK1165" s="905"/>
      <c r="SL1165" s="905"/>
      <c r="SM1165" s="905"/>
      <c r="SN1165" s="905"/>
      <c r="SO1165" s="905"/>
      <c r="SP1165" s="905"/>
      <c r="SQ1165" s="905"/>
      <c r="SR1165" s="905"/>
      <c r="SS1165" s="905"/>
      <c r="ST1165" s="905"/>
      <c r="SU1165" s="905"/>
      <c r="SV1165" s="905"/>
      <c r="SW1165" s="905"/>
      <c r="SX1165" s="905"/>
      <c r="SY1165" s="905"/>
      <c r="SZ1165" s="905"/>
      <c r="TA1165" s="905"/>
      <c r="TB1165" s="905"/>
      <c r="TC1165" s="905"/>
      <c r="TD1165" s="905"/>
      <c r="TE1165" s="905"/>
      <c r="TF1165" s="905"/>
      <c r="TG1165" s="905"/>
      <c r="TH1165" s="905"/>
      <c r="TI1165" s="905"/>
      <c r="TJ1165" s="905"/>
      <c r="TK1165" s="905"/>
      <c r="TL1165" s="905"/>
      <c r="TM1165" s="905"/>
      <c r="TN1165" s="905"/>
      <c r="TO1165" s="905"/>
      <c r="TP1165" s="905"/>
      <c r="TQ1165" s="905"/>
      <c r="TR1165" s="905"/>
      <c r="TS1165" s="905"/>
      <c r="TT1165" s="905"/>
      <c r="TU1165" s="905"/>
      <c r="TV1165" s="905"/>
      <c r="TW1165" s="905"/>
      <c r="TX1165" s="905"/>
      <c r="TY1165" s="905"/>
      <c r="TZ1165" s="905"/>
      <c r="UA1165" s="905"/>
      <c r="UB1165" s="905"/>
      <c r="UC1165" s="905"/>
      <c r="UD1165" s="905"/>
      <c r="UE1165" s="905"/>
      <c r="UF1165" s="905"/>
      <c r="UG1165" s="905"/>
      <c r="UH1165" s="905"/>
      <c r="UI1165" s="905"/>
      <c r="UJ1165" s="905"/>
      <c r="UK1165" s="905"/>
      <c r="UL1165" s="905"/>
      <c r="UM1165" s="905"/>
      <c r="UN1165" s="905"/>
      <c r="UO1165" s="905"/>
      <c r="UP1165" s="905"/>
      <c r="UQ1165" s="905"/>
      <c r="UR1165" s="905"/>
      <c r="US1165" s="905"/>
      <c r="UT1165" s="905"/>
      <c r="UU1165" s="905"/>
      <c r="UV1165" s="905"/>
      <c r="UW1165" s="905"/>
      <c r="UX1165" s="905"/>
      <c r="UY1165" s="905"/>
      <c r="UZ1165" s="905"/>
      <c r="VA1165" s="905"/>
      <c r="VB1165" s="905"/>
      <c r="VC1165" s="905"/>
      <c r="VD1165" s="905"/>
      <c r="VE1165" s="905"/>
      <c r="VF1165" s="905"/>
      <c r="VG1165" s="905"/>
      <c r="VH1165" s="905"/>
      <c r="VI1165" s="905"/>
      <c r="VJ1165" s="905"/>
      <c r="VK1165" s="905"/>
      <c r="VL1165" s="905"/>
      <c r="VM1165" s="905"/>
      <c r="VN1165" s="905"/>
      <c r="VO1165" s="905"/>
      <c r="VP1165" s="905"/>
      <c r="VQ1165" s="905"/>
      <c r="VR1165" s="905"/>
      <c r="VS1165" s="905"/>
      <c r="VT1165" s="905"/>
      <c r="VU1165" s="905"/>
      <c r="VV1165" s="905"/>
      <c r="VW1165" s="905"/>
      <c r="VX1165" s="905"/>
      <c r="VY1165" s="905"/>
      <c r="VZ1165" s="905"/>
      <c r="WA1165" s="905"/>
      <c r="WB1165" s="905"/>
      <c r="WC1165" s="905"/>
      <c r="WD1165" s="905"/>
      <c r="WE1165" s="905"/>
      <c r="WF1165" s="905"/>
      <c r="WG1165" s="905"/>
      <c r="WH1165" s="905"/>
      <c r="WI1165" s="905"/>
      <c r="WJ1165" s="905"/>
      <c r="WK1165" s="905"/>
      <c r="WL1165" s="905"/>
      <c r="WM1165" s="905"/>
      <c r="WN1165" s="905"/>
      <c r="WO1165" s="905"/>
      <c r="WP1165" s="905"/>
      <c r="WQ1165" s="905"/>
      <c r="WR1165" s="905"/>
      <c r="WS1165" s="905"/>
      <c r="WT1165" s="905"/>
      <c r="WU1165" s="905"/>
      <c r="WV1165" s="905"/>
      <c r="WW1165" s="905"/>
      <c r="WX1165" s="905"/>
      <c r="WY1165" s="905"/>
      <c r="WZ1165" s="905"/>
      <c r="XA1165" s="905"/>
      <c r="XB1165" s="905"/>
      <c r="XC1165" s="905"/>
      <c r="XD1165" s="905"/>
      <c r="XE1165" s="905"/>
      <c r="XF1165" s="905"/>
      <c r="XG1165" s="905"/>
      <c r="XH1165" s="905"/>
      <c r="XI1165" s="905"/>
      <c r="XJ1165" s="905"/>
      <c r="XK1165" s="905"/>
      <c r="XL1165" s="905"/>
      <c r="XM1165" s="905"/>
      <c r="XN1165" s="905"/>
      <c r="XO1165" s="905"/>
      <c r="XP1165" s="905"/>
      <c r="XQ1165" s="905"/>
      <c r="XR1165" s="905"/>
      <c r="XS1165" s="905"/>
      <c r="XT1165" s="905"/>
      <c r="XU1165" s="905"/>
      <c r="XV1165" s="905"/>
      <c r="XW1165" s="905"/>
      <c r="XX1165" s="905"/>
      <c r="XY1165" s="905"/>
      <c r="XZ1165" s="905"/>
      <c r="YA1165" s="905"/>
      <c r="YB1165" s="905"/>
      <c r="YC1165" s="905"/>
      <c r="YD1165" s="905"/>
      <c r="YE1165" s="905"/>
      <c r="YF1165" s="905"/>
      <c r="YG1165" s="905"/>
      <c r="YH1165" s="905"/>
      <c r="YI1165" s="905"/>
      <c r="YJ1165" s="905"/>
      <c r="YK1165" s="905"/>
      <c r="YL1165" s="905"/>
      <c r="YM1165" s="905"/>
      <c r="YN1165" s="905"/>
      <c r="YO1165" s="905"/>
      <c r="YP1165" s="905"/>
      <c r="YQ1165" s="905"/>
      <c r="YR1165" s="905"/>
      <c r="YS1165" s="905"/>
      <c r="YT1165" s="905"/>
      <c r="YU1165" s="905"/>
      <c r="YV1165" s="905"/>
      <c r="YW1165" s="905"/>
      <c r="YX1165" s="905"/>
      <c r="YY1165" s="905"/>
      <c r="YZ1165" s="905"/>
      <c r="ZA1165" s="905"/>
      <c r="ZB1165" s="905"/>
      <c r="ZC1165" s="905"/>
      <c r="ZD1165" s="905"/>
      <c r="ZE1165" s="905"/>
      <c r="ZF1165" s="905"/>
      <c r="ZG1165" s="905"/>
      <c r="ZH1165" s="905"/>
      <c r="ZI1165" s="905"/>
      <c r="ZJ1165" s="905"/>
      <c r="ZK1165" s="905"/>
      <c r="ZL1165" s="905"/>
      <c r="ZM1165" s="905"/>
      <c r="ZN1165" s="905"/>
      <c r="ZO1165" s="905"/>
      <c r="ZP1165" s="905"/>
      <c r="ZQ1165" s="905"/>
      <c r="ZR1165" s="905"/>
      <c r="ZS1165" s="905"/>
      <c r="ZT1165" s="905"/>
      <c r="ZU1165" s="905"/>
      <c r="ZV1165" s="905"/>
      <c r="ZW1165" s="905"/>
      <c r="ZX1165" s="905"/>
      <c r="ZY1165" s="905"/>
      <c r="ZZ1165" s="905"/>
      <c r="AAA1165" s="905"/>
      <c r="AAB1165" s="905"/>
      <c r="AAC1165" s="905"/>
      <c r="AAD1165" s="905"/>
      <c r="AAE1165" s="905"/>
      <c r="AAF1165" s="905"/>
      <c r="AAG1165" s="905"/>
      <c r="AAH1165" s="905"/>
      <c r="AAI1165" s="905"/>
      <c r="AAJ1165" s="905"/>
      <c r="AAK1165" s="905"/>
      <c r="AAL1165" s="905"/>
      <c r="AAM1165" s="905"/>
      <c r="AAN1165" s="905"/>
      <c r="AAO1165" s="905"/>
      <c r="AAP1165" s="905"/>
      <c r="AAQ1165" s="905"/>
      <c r="AAR1165" s="905"/>
      <c r="AAS1165" s="905"/>
      <c r="AAT1165" s="905"/>
      <c r="AAU1165" s="905"/>
      <c r="AAV1165" s="905"/>
      <c r="AAW1165" s="905"/>
      <c r="AAX1165" s="905"/>
      <c r="AAY1165" s="905"/>
      <c r="AAZ1165" s="905"/>
      <c r="ABA1165" s="905"/>
      <c r="ABB1165" s="905"/>
      <c r="ABC1165" s="905"/>
      <c r="ABD1165" s="905"/>
      <c r="ABE1165" s="905"/>
      <c r="ABF1165" s="905"/>
      <c r="ABG1165" s="905"/>
      <c r="ABH1165" s="905"/>
      <c r="ABI1165" s="905"/>
      <c r="ABJ1165" s="905"/>
      <c r="ABK1165" s="905"/>
      <c r="ABL1165" s="905"/>
      <c r="ABM1165" s="905"/>
      <c r="ABN1165" s="905"/>
      <c r="ABO1165" s="905"/>
      <c r="ABP1165" s="905"/>
      <c r="ABQ1165" s="905"/>
      <c r="ABR1165" s="905"/>
      <c r="ABS1165" s="905"/>
      <c r="ABT1165" s="905"/>
      <c r="ABU1165" s="905"/>
      <c r="ABV1165" s="905"/>
      <c r="ABW1165" s="905"/>
      <c r="ABX1165" s="905"/>
      <c r="ABY1165" s="905"/>
      <c r="ABZ1165" s="905"/>
      <c r="ACA1165" s="905"/>
      <c r="ACB1165" s="905"/>
      <c r="ACC1165" s="905"/>
      <c r="ACD1165" s="905"/>
      <c r="ACE1165" s="905"/>
      <c r="ACF1165" s="905"/>
      <c r="ACG1165" s="905"/>
      <c r="ACH1165" s="905"/>
      <c r="ACI1165" s="905"/>
      <c r="ACJ1165" s="905"/>
      <c r="ACK1165" s="905"/>
      <c r="ACL1165" s="905"/>
      <c r="ACM1165" s="905"/>
      <c r="ACN1165" s="905"/>
      <c r="ACO1165" s="905"/>
      <c r="ACP1165" s="905"/>
      <c r="ACQ1165" s="905"/>
      <c r="ACR1165" s="905"/>
      <c r="ACS1165" s="905"/>
      <c r="ACT1165" s="905"/>
      <c r="ACU1165" s="905"/>
      <c r="ACV1165" s="905"/>
      <c r="ACW1165" s="905"/>
      <c r="ACX1165" s="905"/>
      <c r="ACY1165" s="905"/>
      <c r="ACZ1165" s="905"/>
      <c r="ADA1165" s="905"/>
      <c r="ADB1165" s="905"/>
      <c r="ADC1165" s="905"/>
      <c r="ADD1165" s="905"/>
      <c r="ADE1165" s="905"/>
      <c r="ADF1165" s="905"/>
      <c r="ADG1165" s="905"/>
      <c r="ADH1165" s="905"/>
      <c r="ADI1165" s="905"/>
      <c r="ADJ1165" s="905"/>
      <c r="ADK1165" s="905"/>
      <c r="ADL1165" s="905"/>
      <c r="ADM1165" s="905"/>
      <c r="ADN1165" s="905"/>
      <c r="ADO1165" s="905"/>
      <c r="ADP1165" s="905"/>
      <c r="ADQ1165" s="905"/>
      <c r="ADR1165" s="905"/>
      <c r="ADS1165" s="905"/>
      <c r="ADT1165" s="905"/>
      <c r="ADU1165" s="905"/>
      <c r="ADV1165" s="905"/>
      <c r="ADW1165" s="905"/>
      <c r="ADX1165" s="905"/>
      <c r="ADY1165" s="905"/>
      <c r="ADZ1165" s="905"/>
      <c r="AEA1165" s="905"/>
      <c r="AEB1165" s="905"/>
      <c r="AEC1165" s="905"/>
      <c r="AED1165" s="905"/>
      <c r="AEE1165" s="905"/>
      <c r="AEF1165" s="905"/>
      <c r="AEG1165" s="905"/>
      <c r="AEH1165" s="905"/>
      <c r="AEI1165" s="905"/>
      <c r="AEJ1165" s="905"/>
      <c r="AEK1165" s="905"/>
      <c r="AEL1165" s="905"/>
      <c r="AEM1165" s="905"/>
      <c r="AEN1165" s="905"/>
      <c r="AEO1165" s="905"/>
      <c r="AEP1165" s="905"/>
      <c r="AEQ1165" s="905"/>
      <c r="AER1165" s="905"/>
      <c r="AES1165" s="905"/>
      <c r="AET1165" s="905"/>
      <c r="AEU1165" s="905"/>
      <c r="AEV1165" s="905"/>
      <c r="AEW1165" s="905"/>
      <c r="AEX1165" s="905"/>
      <c r="AEY1165" s="905"/>
      <c r="AEZ1165" s="905"/>
      <c r="AFA1165" s="905"/>
      <c r="AFB1165" s="905"/>
      <c r="AFC1165" s="905"/>
      <c r="AFD1165" s="905"/>
      <c r="AFE1165" s="905"/>
      <c r="AFF1165" s="905"/>
      <c r="AFG1165" s="905"/>
      <c r="AFH1165" s="905"/>
      <c r="AFI1165" s="905"/>
      <c r="AFJ1165" s="905"/>
      <c r="AFK1165" s="905"/>
      <c r="AFL1165" s="905"/>
      <c r="AFM1165" s="905"/>
      <c r="AFN1165" s="905"/>
      <c r="AFO1165" s="905"/>
      <c r="AFP1165" s="905"/>
      <c r="AFQ1165" s="905"/>
      <c r="AFR1165" s="905"/>
      <c r="AFS1165" s="905"/>
      <c r="AFT1165" s="905"/>
      <c r="AFU1165" s="905"/>
      <c r="AFV1165" s="905"/>
      <c r="AFW1165" s="905"/>
      <c r="AFX1165" s="905"/>
      <c r="AFY1165" s="905"/>
      <c r="AFZ1165" s="905"/>
      <c r="AGA1165" s="905"/>
      <c r="AGB1165" s="905"/>
      <c r="AGC1165" s="905"/>
      <c r="AGD1165" s="905"/>
      <c r="AGE1165" s="905"/>
      <c r="AGF1165" s="905"/>
      <c r="AGG1165" s="905"/>
      <c r="AGH1165" s="905"/>
      <c r="AGI1165" s="905"/>
      <c r="AGJ1165" s="905"/>
    </row>
    <row r="1166" spans="1:868" s="898" customFormat="1">
      <c r="A1166" s="898" t="str">
        <f>Clothing!A361</f>
        <v>Clothing (product sector)</v>
      </c>
      <c r="B1166" s="898" t="str">
        <f>Clothing!B361</f>
        <v>Boots</v>
      </c>
      <c r="C1166" s="898" t="str">
        <f>Clothing!C361</f>
        <v>NL</v>
      </c>
      <c r="D1166" s="898" t="str">
        <f>Clothing!D361</f>
        <v>PVC</v>
      </c>
      <c r="E1166" s="901">
        <f>Clothing!E361</f>
        <v>0.45898524269309898</v>
      </c>
      <c r="F1166" s="898">
        <f>Clothing!F361</f>
        <v>1</v>
      </c>
      <c r="G1166" s="898" t="str">
        <f>Clothing!G361</f>
        <v>https://eeb.org/library/draft-product-environmental-footprint-category-rules-pefcr-apparel-and-footwear/</v>
      </c>
      <c r="H1166" s="902">
        <f>Clothing!H361</f>
        <v>2</v>
      </c>
      <c r="I1166" s="902" t="str">
        <f>Clothing!I361</f>
        <v/>
      </c>
      <c r="J1166" s="902">
        <f>Clothing!J361</f>
        <v>2</v>
      </c>
      <c r="K1166" s="902">
        <f>Clothing!K361</f>
        <v>1</v>
      </c>
      <c r="L1166" s="902">
        <f>Clothing!L361</f>
        <v>2</v>
      </c>
      <c r="M1166" s="902">
        <f>Clothing!M361</f>
        <v>3</v>
      </c>
      <c r="N1166" s="185">
        <f t="shared" si="89"/>
        <v>1.0301997916669636</v>
      </c>
      <c r="O1166" s="159" t="e">
        <f t="shared" si="90"/>
        <v>#VALUE!</v>
      </c>
      <c r="Q1166" s="905"/>
      <c r="R1166" s="905"/>
      <c r="S1166" s="905"/>
      <c r="T1166" s="905"/>
      <c r="U1166" s="905"/>
      <c r="V1166" s="905"/>
      <c r="W1166" s="905"/>
      <c r="X1166" s="905"/>
      <c r="Y1166" s="905"/>
      <c r="Z1166" s="905"/>
      <c r="AA1166" s="905"/>
      <c r="AB1166" s="905"/>
      <c r="AC1166" s="905"/>
      <c r="AD1166" s="905"/>
      <c r="AE1166" s="905"/>
      <c r="AF1166" s="905"/>
      <c r="AG1166" s="905"/>
      <c r="AH1166" s="905"/>
      <c r="AI1166" s="905"/>
      <c r="AJ1166" s="905"/>
      <c r="AK1166" s="905"/>
      <c r="AL1166" s="905"/>
      <c r="AM1166" s="905"/>
      <c r="AN1166" s="905"/>
      <c r="AO1166" s="905"/>
      <c r="AP1166" s="905"/>
      <c r="AQ1166" s="905"/>
      <c r="AR1166" s="905"/>
      <c r="AS1166" s="905"/>
      <c r="AT1166" s="905"/>
      <c r="AU1166" s="905"/>
      <c r="AV1166" s="905"/>
      <c r="AW1166" s="905"/>
      <c r="AX1166" s="905"/>
      <c r="AY1166" s="905"/>
      <c r="AZ1166" s="905"/>
      <c r="BA1166" s="905"/>
      <c r="BB1166" s="905"/>
      <c r="BC1166" s="905"/>
      <c r="BD1166" s="905"/>
      <c r="BE1166" s="905"/>
      <c r="BF1166" s="905"/>
      <c r="BG1166" s="905"/>
      <c r="BH1166" s="905"/>
      <c r="BI1166" s="905"/>
      <c r="BJ1166" s="905"/>
      <c r="BK1166" s="905"/>
      <c r="BL1166" s="905"/>
      <c r="BM1166" s="905"/>
      <c r="BN1166" s="905"/>
      <c r="BO1166" s="905"/>
      <c r="BP1166" s="905"/>
      <c r="BQ1166" s="905"/>
      <c r="BR1166" s="905"/>
      <c r="BS1166" s="905"/>
      <c r="BT1166" s="905"/>
      <c r="BU1166" s="905"/>
      <c r="BV1166" s="905"/>
      <c r="BW1166" s="905"/>
      <c r="BX1166" s="905"/>
      <c r="BY1166" s="905"/>
      <c r="BZ1166" s="905"/>
      <c r="CA1166" s="905"/>
      <c r="CB1166" s="905"/>
      <c r="CC1166" s="905"/>
      <c r="CD1166" s="905"/>
      <c r="CE1166" s="905"/>
      <c r="CF1166" s="905"/>
      <c r="CG1166" s="905"/>
      <c r="CH1166" s="905"/>
      <c r="CI1166" s="905"/>
      <c r="CJ1166" s="905"/>
      <c r="CK1166" s="905"/>
      <c r="CL1166" s="905"/>
      <c r="CM1166" s="905"/>
      <c r="CN1166" s="905"/>
      <c r="CO1166" s="905"/>
      <c r="CP1166" s="905"/>
      <c r="CQ1166" s="905"/>
      <c r="CR1166" s="905"/>
      <c r="CS1166" s="905"/>
      <c r="CT1166" s="905"/>
      <c r="CU1166" s="905"/>
      <c r="CV1166" s="905"/>
      <c r="CW1166" s="905"/>
      <c r="CX1166" s="905"/>
      <c r="CY1166" s="905"/>
      <c r="CZ1166" s="905"/>
      <c r="DA1166" s="905"/>
      <c r="DB1166" s="905"/>
      <c r="DC1166" s="905"/>
      <c r="DD1166" s="905"/>
      <c r="DE1166" s="905"/>
      <c r="DF1166" s="905"/>
      <c r="DG1166" s="905"/>
      <c r="DH1166" s="905"/>
      <c r="DI1166" s="905"/>
      <c r="DJ1166" s="905"/>
      <c r="DK1166" s="905"/>
      <c r="DL1166" s="905"/>
      <c r="DM1166" s="905"/>
      <c r="DN1166" s="905"/>
      <c r="DO1166" s="905"/>
      <c r="DP1166" s="905"/>
      <c r="DQ1166" s="905"/>
      <c r="DR1166" s="905"/>
      <c r="DS1166" s="905"/>
      <c r="DT1166" s="905"/>
      <c r="DU1166" s="905"/>
      <c r="DV1166" s="905"/>
      <c r="DW1166" s="905"/>
      <c r="DX1166" s="905"/>
      <c r="DY1166" s="905"/>
      <c r="DZ1166" s="905"/>
      <c r="EA1166" s="905"/>
      <c r="EB1166" s="905"/>
      <c r="EC1166" s="905"/>
      <c r="ED1166" s="905"/>
      <c r="EE1166" s="905"/>
      <c r="EF1166" s="905"/>
      <c r="EG1166" s="905"/>
      <c r="EH1166" s="905"/>
      <c r="EI1166" s="905"/>
      <c r="EJ1166" s="905"/>
      <c r="EK1166" s="905"/>
      <c r="EL1166" s="905"/>
      <c r="EM1166" s="905"/>
      <c r="EN1166" s="905"/>
      <c r="EO1166" s="905"/>
      <c r="EP1166" s="905"/>
      <c r="EQ1166" s="905"/>
      <c r="ER1166" s="905"/>
      <c r="ES1166" s="905"/>
      <c r="ET1166" s="905"/>
      <c r="EU1166" s="905"/>
      <c r="EV1166" s="905"/>
      <c r="EW1166" s="905"/>
      <c r="EX1166" s="905"/>
      <c r="EY1166" s="905"/>
      <c r="EZ1166" s="905"/>
      <c r="FA1166" s="905"/>
      <c r="FB1166" s="905"/>
      <c r="FC1166" s="905"/>
      <c r="FD1166" s="905"/>
      <c r="FE1166" s="905"/>
      <c r="FF1166" s="905"/>
      <c r="FG1166" s="905"/>
      <c r="FH1166" s="905"/>
      <c r="FI1166" s="905"/>
      <c r="FJ1166" s="905"/>
      <c r="FK1166" s="905"/>
      <c r="FL1166" s="905"/>
      <c r="FM1166" s="905"/>
      <c r="FN1166" s="905"/>
      <c r="FO1166" s="905"/>
      <c r="FP1166" s="905"/>
      <c r="FQ1166" s="905"/>
      <c r="FR1166" s="905"/>
      <c r="FS1166" s="905"/>
      <c r="FT1166" s="905"/>
      <c r="FU1166" s="905"/>
      <c r="FV1166" s="905"/>
      <c r="FW1166" s="905"/>
      <c r="FX1166" s="905"/>
      <c r="FY1166" s="905"/>
      <c r="FZ1166" s="905"/>
      <c r="GA1166" s="905"/>
      <c r="GB1166" s="905"/>
      <c r="GC1166" s="905"/>
      <c r="GD1166" s="905"/>
      <c r="GE1166" s="905"/>
      <c r="GF1166" s="905"/>
      <c r="GG1166" s="905"/>
      <c r="GH1166" s="905"/>
      <c r="GI1166" s="905"/>
      <c r="GJ1166" s="905"/>
      <c r="GK1166" s="905"/>
      <c r="GL1166" s="905"/>
      <c r="GM1166" s="905"/>
      <c r="GN1166" s="905"/>
      <c r="GO1166" s="905"/>
      <c r="GP1166" s="905"/>
      <c r="GQ1166" s="905"/>
      <c r="GR1166" s="905"/>
      <c r="GS1166" s="905"/>
      <c r="GT1166" s="905"/>
      <c r="GU1166" s="905"/>
      <c r="GV1166" s="905"/>
      <c r="GW1166" s="905"/>
      <c r="GX1166" s="905"/>
      <c r="GY1166" s="905"/>
      <c r="GZ1166" s="905"/>
      <c r="HA1166" s="905"/>
      <c r="HB1166" s="905"/>
      <c r="HC1166" s="905"/>
      <c r="HD1166" s="905"/>
      <c r="HE1166" s="905"/>
      <c r="HF1166" s="905"/>
      <c r="HG1166" s="905"/>
      <c r="HH1166" s="905"/>
      <c r="HI1166" s="905"/>
      <c r="HJ1166" s="905"/>
      <c r="HK1166" s="905"/>
      <c r="HL1166" s="905"/>
      <c r="HM1166" s="905"/>
      <c r="HN1166" s="905"/>
      <c r="HO1166" s="905"/>
      <c r="HP1166" s="905"/>
      <c r="HQ1166" s="905"/>
      <c r="HR1166" s="905"/>
      <c r="HS1166" s="905"/>
      <c r="HT1166" s="905"/>
      <c r="HU1166" s="905"/>
      <c r="HV1166" s="905"/>
      <c r="HW1166" s="905"/>
      <c r="HX1166" s="905"/>
      <c r="HY1166" s="905"/>
      <c r="HZ1166" s="905"/>
      <c r="IA1166" s="905"/>
      <c r="IB1166" s="905"/>
      <c r="IC1166" s="905"/>
      <c r="ID1166" s="905"/>
      <c r="IE1166" s="905"/>
      <c r="IF1166" s="905"/>
      <c r="IG1166" s="905"/>
      <c r="IH1166" s="905"/>
      <c r="II1166" s="905"/>
      <c r="IJ1166" s="905"/>
      <c r="IK1166" s="905"/>
      <c r="IL1166" s="905"/>
      <c r="IM1166" s="905"/>
      <c r="IN1166" s="905"/>
      <c r="IO1166" s="905"/>
      <c r="IP1166" s="905"/>
      <c r="IQ1166" s="905"/>
      <c r="IR1166" s="905"/>
      <c r="IS1166" s="905"/>
      <c r="IT1166" s="905"/>
      <c r="IU1166" s="905"/>
      <c r="IV1166" s="905"/>
      <c r="IW1166" s="905"/>
      <c r="IX1166" s="905"/>
      <c r="IY1166" s="905"/>
      <c r="IZ1166" s="905"/>
      <c r="JA1166" s="905"/>
      <c r="JB1166" s="905"/>
      <c r="JC1166" s="905"/>
      <c r="JD1166" s="905"/>
      <c r="JE1166" s="905"/>
      <c r="JF1166" s="905"/>
      <c r="JG1166" s="905"/>
      <c r="JH1166" s="905"/>
      <c r="JI1166" s="905"/>
      <c r="JJ1166" s="905"/>
      <c r="JK1166" s="905"/>
      <c r="JL1166" s="905"/>
      <c r="JM1166" s="905"/>
      <c r="JN1166" s="905"/>
      <c r="JO1166" s="905"/>
      <c r="JP1166" s="905"/>
      <c r="JQ1166" s="905"/>
      <c r="JR1166" s="905"/>
      <c r="JS1166" s="905"/>
      <c r="JT1166" s="905"/>
      <c r="JU1166" s="905"/>
      <c r="JV1166" s="905"/>
      <c r="JW1166" s="905"/>
      <c r="JX1166" s="905"/>
      <c r="JY1166" s="905"/>
      <c r="JZ1166" s="905"/>
      <c r="KA1166" s="905"/>
      <c r="KB1166" s="905"/>
      <c r="KC1166" s="905"/>
      <c r="KD1166" s="905"/>
      <c r="KE1166" s="905"/>
      <c r="KF1166" s="905"/>
      <c r="KG1166" s="905"/>
      <c r="KH1166" s="905"/>
      <c r="KI1166" s="905"/>
      <c r="KJ1166" s="905"/>
      <c r="KK1166" s="905"/>
      <c r="KL1166" s="905"/>
      <c r="KM1166" s="905"/>
      <c r="KN1166" s="905"/>
      <c r="KO1166" s="905"/>
      <c r="KP1166" s="905"/>
      <c r="KQ1166" s="905"/>
      <c r="KR1166" s="905"/>
      <c r="KS1166" s="905"/>
      <c r="KT1166" s="905"/>
      <c r="KU1166" s="905"/>
      <c r="KV1166" s="905"/>
      <c r="KW1166" s="905"/>
      <c r="KX1166" s="905"/>
      <c r="KY1166" s="905"/>
      <c r="KZ1166" s="905"/>
      <c r="LA1166" s="905"/>
      <c r="LB1166" s="905"/>
      <c r="LC1166" s="905"/>
      <c r="LD1166" s="905"/>
      <c r="LE1166" s="905"/>
      <c r="LF1166" s="905"/>
      <c r="LG1166" s="905"/>
      <c r="LH1166" s="905"/>
      <c r="LI1166" s="905"/>
      <c r="LJ1166" s="905"/>
      <c r="LK1166" s="905"/>
      <c r="LL1166" s="905"/>
      <c r="LM1166" s="905"/>
      <c r="LN1166" s="905"/>
      <c r="LO1166" s="905"/>
      <c r="LP1166" s="905"/>
      <c r="LQ1166" s="905"/>
      <c r="LR1166" s="905"/>
      <c r="LS1166" s="905"/>
      <c r="LT1166" s="905"/>
      <c r="LU1166" s="905"/>
      <c r="LV1166" s="905"/>
      <c r="LW1166" s="905"/>
      <c r="LX1166" s="905"/>
      <c r="LY1166" s="905"/>
      <c r="LZ1166" s="905"/>
      <c r="MA1166" s="905"/>
      <c r="MB1166" s="905"/>
      <c r="MC1166" s="905"/>
      <c r="MD1166" s="905"/>
      <c r="ME1166" s="905"/>
      <c r="MF1166" s="905"/>
      <c r="MG1166" s="905"/>
      <c r="MH1166" s="905"/>
      <c r="MI1166" s="905"/>
      <c r="MJ1166" s="905"/>
      <c r="MK1166" s="905"/>
      <c r="ML1166" s="905"/>
      <c r="MM1166" s="905"/>
      <c r="MN1166" s="905"/>
      <c r="MO1166" s="905"/>
      <c r="MP1166" s="905"/>
      <c r="MQ1166" s="905"/>
      <c r="MR1166" s="905"/>
      <c r="MS1166" s="905"/>
      <c r="MT1166" s="905"/>
      <c r="MU1166" s="905"/>
      <c r="MV1166" s="905"/>
      <c r="MW1166" s="905"/>
      <c r="MX1166" s="905"/>
      <c r="MY1166" s="905"/>
      <c r="MZ1166" s="905"/>
      <c r="NA1166" s="905"/>
      <c r="NB1166" s="905"/>
      <c r="NC1166" s="905"/>
      <c r="ND1166" s="905"/>
      <c r="NE1166" s="905"/>
      <c r="NF1166" s="905"/>
      <c r="NG1166" s="905"/>
      <c r="NH1166" s="905"/>
      <c r="NI1166" s="905"/>
      <c r="NJ1166" s="905"/>
      <c r="NK1166" s="905"/>
      <c r="NL1166" s="905"/>
      <c r="NM1166" s="905"/>
      <c r="NN1166" s="905"/>
      <c r="NO1166" s="905"/>
      <c r="NP1166" s="905"/>
      <c r="NQ1166" s="905"/>
      <c r="NR1166" s="905"/>
      <c r="NS1166" s="905"/>
      <c r="NT1166" s="905"/>
      <c r="NU1166" s="905"/>
      <c r="NV1166" s="905"/>
      <c r="NW1166" s="905"/>
      <c r="NX1166" s="905"/>
      <c r="NY1166" s="905"/>
      <c r="NZ1166" s="905"/>
      <c r="OA1166" s="905"/>
      <c r="OB1166" s="905"/>
      <c r="OC1166" s="905"/>
      <c r="OD1166" s="905"/>
      <c r="OE1166" s="905"/>
      <c r="OF1166" s="905"/>
      <c r="OG1166" s="905"/>
      <c r="OH1166" s="905"/>
      <c r="OI1166" s="905"/>
      <c r="OJ1166" s="905"/>
      <c r="OK1166" s="905"/>
      <c r="OL1166" s="905"/>
      <c r="OM1166" s="905"/>
      <c r="ON1166" s="905"/>
      <c r="OO1166" s="905"/>
      <c r="OP1166" s="905"/>
      <c r="OQ1166" s="905"/>
      <c r="OR1166" s="905"/>
      <c r="OS1166" s="905"/>
      <c r="OT1166" s="905"/>
      <c r="OU1166" s="905"/>
      <c r="OV1166" s="905"/>
      <c r="OW1166" s="905"/>
      <c r="OX1166" s="905"/>
      <c r="OY1166" s="905"/>
      <c r="OZ1166" s="905"/>
      <c r="PA1166" s="905"/>
      <c r="PB1166" s="905"/>
      <c r="PC1166" s="905"/>
      <c r="PD1166" s="905"/>
      <c r="PE1166" s="905"/>
      <c r="PF1166" s="905"/>
      <c r="PG1166" s="905"/>
      <c r="PH1166" s="905"/>
      <c r="PI1166" s="905"/>
      <c r="PJ1166" s="905"/>
      <c r="PK1166" s="905"/>
      <c r="PL1166" s="905"/>
      <c r="PM1166" s="905"/>
      <c r="PN1166" s="905"/>
      <c r="PO1166" s="905"/>
      <c r="PP1166" s="905"/>
      <c r="PQ1166" s="905"/>
      <c r="PR1166" s="905"/>
      <c r="PS1166" s="905"/>
      <c r="PT1166" s="905"/>
      <c r="PU1166" s="905"/>
      <c r="PV1166" s="905"/>
      <c r="PW1166" s="905"/>
      <c r="PX1166" s="905"/>
      <c r="PY1166" s="905"/>
      <c r="PZ1166" s="905"/>
      <c r="QA1166" s="905"/>
      <c r="QB1166" s="905"/>
      <c r="QC1166" s="905"/>
      <c r="QD1166" s="905"/>
      <c r="QE1166" s="905"/>
      <c r="QF1166" s="905"/>
      <c r="QG1166" s="905"/>
      <c r="QH1166" s="905"/>
      <c r="QI1166" s="905"/>
      <c r="QJ1166" s="905"/>
      <c r="QK1166" s="905"/>
      <c r="QL1166" s="905"/>
      <c r="QM1166" s="905"/>
      <c r="QN1166" s="905"/>
      <c r="QO1166" s="905"/>
      <c r="QP1166" s="905"/>
      <c r="QQ1166" s="905"/>
      <c r="QR1166" s="905"/>
      <c r="QS1166" s="905"/>
      <c r="QT1166" s="905"/>
      <c r="QU1166" s="905"/>
      <c r="QV1166" s="905"/>
      <c r="QW1166" s="905"/>
      <c r="QX1166" s="905"/>
      <c r="QY1166" s="905"/>
      <c r="QZ1166" s="905"/>
      <c r="RA1166" s="905"/>
      <c r="RB1166" s="905"/>
      <c r="RC1166" s="905"/>
      <c r="RD1166" s="905"/>
      <c r="RE1166" s="905"/>
      <c r="RF1166" s="905"/>
      <c r="RG1166" s="905"/>
      <c r="RH1166" s="905"/>
      <c r="RI1166" s="905"/>
      <c r="RJ1166" s="905"/>
      <c r="RK1166" s="905"/>
      <c r="RL1166" s="905"/>
      <c r="RM1166" s="905"/>
      <c r="RN1166" s="905"/>
      <c r="RO1166" s="905"/>
      <c r="RP1166" s="905"/>
      <c r="RQ1166" s="905"/>
      <c r="RR1166" s="905"/>
      <c r="RS1166" s="905"/>
      <c r="RT1166" s="905"/>
      <c r="RU1166" s="905"/>
      <c r="RV1166" s="905"/>
      <c r="RW1166" s="905"/>
      <c r="RX1166" s="905"/>
      <c r="RY1166" s="905"/>
      <c r="RZ1166" s="905"/>
      <c r="SA1166" s="905"/>
      <c r="SB1166" s="905"/>
      <c r="SC1166" s="905"/>
      <c r="SD1166" s="905"/>
      <c r="SE1166" s="905"/>
      <c r="SF1166" s="905"/>
      <c r="SG1166" s="905"/>
      <c r="SH1166" s="905"/>
      <c r="SI1166" s="905"/>
      <c r="SJ1166" s="905"/>
      <c r="SK1166" s="905"/>
      <c r="SL1166" s="905"/>
      <c r="SM1166" s="905"/>
      <c r="SN1166" s="905"/>
      <c r="SO1166" s="905"/>
      <c r="SP1166" s="905"/>
      <c r="SQ1166" s="905"/>
      <c r="SR1166" s="905"/>
      <c r="SS1166" s="905"/>
      <c r="ST1166" s="905"/>
      <c r="SU1166" s="905"/>
      <c r="SV1166" s="905"/>
      <c r="SW1166" s="905"/>
      <c r="SX1166" s="905"/>
      <c r="SY1166" s="905"/>
      <c r="SZ1166" s="905"/>
      <c r="TA1166" s="905"/>
      <c r="TB1166" s="905"/>
      <c r="TC1166" s="905"/>
      <c r="TD1166" s="905"/>
      <c r="TE1166" s="905"/>
      <c r="TF1166" s="905"/>
      <c r="TG1166" s="905"/>
      <c r="TH1166" s="905"/>
      <c r="TI1166" s="905"/>
      <c r="TJ1166" s="905"/>
      <c r="TK1166" s="905"/>
      <c r="TL1166" s="905"/>
      <c r="TM1166" s="905"/>
      <c r="TN1166" s="905"/>
      <c r="TO1166" s="905"/>
      <c r="TP1166" s="905"/>
      <c r="TQ1166" s="905"/>
      <c r="TR1166" s="905"/>
      <c r="TS1166" s="905"/>
      <c r="TT1166" s="905"/>
      <c r="TU1166" s="905"/>
      <c r="TV1166" s="905"/>
      <c r="TW1166" s="905"/>
      <c r="TX1166" s="905"/>
      <c r="TY1166" s="905"/>
      <c r="TZ1166" s="905"/>
      <c r="UA1166" s="905"/>
      <c r="UB1166" s="905"/>
      <c r="UC1166" s="905"/>
      <c r="UD1166" s="905"/>
      <c r="UE1166" s="905"/>
      <c r="UF1166" s="905"/>
      <c r="UG1166" s="905"/>
      <c r="UH1166" s="905"/>
      <c r="UI1166" s="905"/>
      <c r="UJ1166" s="905"/>
      <c r="UK1166" s="905"/>
      <c r="UL1166" s="905"/>
      <c r="UM1166" s="905"/>
      <c r="UN1166" s="905"/>
      <c r="UO1166" s="905"/>
      <c r="UP1166" s="905"/>
      <c r="UQ1166" s="905"/>
      <c r="UR1166" s="905"/>
      <c r="US1166" s="905"/>
      <c r="UT1166" s="905"/>
      <c r="UU1166" s="905"/>
      <c r="UV1166" s="905"/>
      <c r="UW1166" s="905"/>
      <c r="UX1166" s="905"/>
      <c r="UY1166" s="905"/>
      <c r="UZ1166" s="905"/>
      <c r="VA1166" s="905"/>
      <c r="VB1166" s="905"/>
      <c r="VC1166" s="905"/>
      <c r="VD1166" s="905"/>
      <c r="VE1166" s="905"/>
      <c r="VF1166" s="905"/>
      <c r="VG1166" s="905"/>
      <c r="VH1166" s="905"/>
      <c r="VI1166" s="905"/>
      <c r="VJ1166" s="905"/>
      <c r="VK1166" s="905"/>
      <c r="VL1166" s="905"/>
      <c r="VM1166" s="905"/>
      <c r="VN1166" s="905"/>
      <c r="VO1166" s="905"/>
      <c r="VP1166" s="905"/>
      <c r="VQ1166" s="905"/>
      <c r="VR1166" s="905"/>
      <c r="VS1166" s="905"/>
      <c r="VT1166" s="905"/>
      <c r="VU1166" s="905"/>
      <c r="VV1166" s="905"/>
      <c r="VW1166" s="905"/>
      <c r="VX1166" s="905"/>
      <c r="VY1166" s="905"/>
      <c r="VZ1166" s="905"/>
      <c r="WA1166" s="905"/>
      <c r="WB1166" s="905"/>
      <c r="WC1166" s="905"/>
      <c r="WD1166" s="905"/>
      <c r="WE1166" s="905"/>
      <c r="WF1166" s="905"/>
      <c r="WG1166" s="905"/>
      <c r="WH1166" s="905"/>
      <c r="WI1166" s="905"/>
      <c r="WJ1166" s="905"/>
      <c r="WK1166" s="905"/>
      <c r="WL1166" s="905"/>
      <c r="WM1166" s="905"/>
      <c r="WN1166" s="905"/>
      <c r="WO1166" s="905"/>
      <c r="WP1166" s="905"/>
      <c r="WQ1166" s="905"/>
      <c r="WR1166" s="905"/>
      <c r="WS1166" s="905"/>
      <c r="WT1166" s="905"/>
      <c r="WU1166" s="905"/>
      <c r="WV1166" s="905"/>
      <c r="WW1166" s="905"/>
      <c r="WX1166" s="905"/>
      <c r="WY1166" s="905"/>
      <c r="WZ1166" s="905"/>
      <c r="XA1166" s="905"/>
      <c r="XB1166" s="905"/>
      <c r="XC1166" s="905"/>
      <c r="XD1166" s="905"/>
      <c r="XE1166" s="905"/>
      <c r="XF1166" s="905"/>
      <c r="XG1166" s="905"/>
      <c r="XH1166" s="905"/>
      <c r="XI1166" s="905"/>
      <c r="XJ1166" s="905"/>
      <c r="XK1166" s="905"/>
      <c r="XL1166" s="905"/>
      <c r="XM1166" s="905"/>
      <c r="XN1166" s="905"/>
      <c r="XO1166" s="905"/>
      <c r="XP1166" s="905"/>
      <c r="XQ1166" s="905"/>
      <c r="XR1166" s="905"/>
      <c r="XS1166" s="905"/>
      <c r="XT1166" s="905"/>
      <c r="XU1166" s="905"/>
      <c r="XV1166" s="905"/>
      <c r="XW1166" s="905"/>
      <c r="XX1166" s="905"/>
      <c r="XY1166" s="905"/>
      <c r="XZ1166" s="905"/>
      <c r="YA1166" s="905"/>
      <c r="YB1166" s="905"/>
      <c r="YC1166" s="905"/>
      <c r="YD1166" s="905"/>
      <c r="YE1166" s="905"/>
      <c r="YF1166" s="905"/>
      <c r="YG1166" s="905"/>
      <c r="YH1166" s="905"/>
      <c r="YI1166" s="905"/>
      <c r="YJ1166" s="905"/>
      <c r="YK1166" s="905"/>
      <c r="YL1166" s="905"/>
      <c r="YM1166" s="905"/>
      <c r="YN1166" s="905"/>
      <c r="YO1166" s="905"/>
      <c r="YP1166" s="905"/>
      <c r="YQ1166" s="905"/>
      <c r="YR1166" s="905"/>
      <c r="YS1166" s="905"/>
      <c r="YT1166" s="905"/>
      <c r="YU1166" s="905"/>
      <c r="YV1166" s="905"/>
      <c r="YW1166" s="905"/>
      <c r="YX1166" s="905"/>
      <c r="YY1166" s="905"/>
      <c r="YZ1166" s="905"/>
      <c r="ZA1166" s="905"/>
      <c r="ZB1166" s="905"/>
      <c r="ZC1166" s="905"/>
      <c r="ZD1166" s="905"/>
      <c r="ZE1166" s="905"/>
      <c r="ZF1166" s="905"/>
      <c r="ZG1166" s="905"/>
      <c r="ZH1166" s="905"/>
      <c r="ZI1166" s="905"/>
      <c r="ZJ1166" s="905"/>
      <c r="ZK1166" s="905"/>
      <c r="ZL1166" s="905"/>
      <c r="ZM1166" s="905"/>
      <c r="ZN1166" s="905"/>
      <c r="ZO1166" s="905"/>
      <c r="ZP1166" s="905"/>
      <c r="ZQ1166" s="905"/>
      <c r="ZR1166" s="905"/>
      <c r="ZS1166" s="905"/>
      <c r="ZT1166" s="905"/>
      <c r="ZU1166" s="905"/>
      <c r="ZV1166" s="905"/>
      <c r="ZW1166" s="905"/>
      <c r="ZX1166" s="905"/>
      <c r="ZY1166" s="905"/>
      <c r="ZZ1166" s="905"/>
      <c r="AAA1166" s="905"/>
      <c r="AAB1166" s="905"/>
      <c r="AAC1166" s="905"/>
      <c r="AAD1166" s="905"/>
      <c r="AAE1166" s="905"/>
      <c r="AAF1166" s="905"/>
      <c r="AAG1166" s="905"/>
      <c r="AAH1166" s="905"/>
      <c r="AAI1166" s="905"/>
      <c r="AAJ1166" s="905"/>
      <c r="AAK1166" s="905"/>
      <c r="AAL1166" s="905"/>
      <c r="AAM1166" s="905"/>
      <c r="AAN1166" s="905"/>
      <c r="AAO1166" s="905"/>
      <c r="AAP1166" s="905"/>
      <c r="AAQ1166" s="905"/>
      <c r="AAR1166" s="905"/>
      <c r="AAS1166" s="905"/>
      <c r="AAT1166" s="905"/>
      <c r="AAU1166" s="905"/>
      <c r="AAV1166" s="905"/>
      <c r="AAW1166" s="905"/>
      <c r="AAX1166" s="905"/>
      <c r="AAY1166" s="905"/>
      <c r="AAZ1166" s="905"/>
      <c r="ABA1166" s="905"/>
      <c r="ABB1166" s="905"/>
      <c r="ABC1166" s="905"/>
      <c r="ABD1166" s="905"/>
      <c r="ABE1166" s="905"/>
      <c r="ABF1166" s="905"/>
      <c r="ABG1166" s="905"/>
      <c r="ABH1166" s="905"/>
      <c r="ABI1166" s="905"/>
      <c r="ABJ1166" s="905"/>
      <c r="ABK1166" s="905"/>
      <c r="ABL1166" s="905"/>
      <c r="ABM1166" s="905"/>
      <c r="ABN1166" s="905"/>
      <c r="ABO1166" s="905"/>
      <c r="ABP1166" s="905"/>
      <c r="ABQ1166" s="905"/>
      <c r="ABR1166" s="905"/>
      <c r="ABS1166" s="905"/>
      <c r="ABT1166" s="905"/>
      <c r="ABU1166" s="905"/>
      <c r="ABV1166" s="905"/>
      <c r="ABW1166" s="905"/>
      <c r="ABX1166" s="905"/>
      <c r="ABY1166" s="905"/>
      <c r="ABZ1166" s="905"/>
      <c r="ACA1166" s="905"/>
      <c r="ACB1166" s="905"/>
      <c r="ACC1166" s="905"/>
      <c r="ACD1166" s="905"/>
      <c r="ACE1166" s="905"/>
      <c r="ACF1166" s="905"/>
      <c r="ACG1166" s="905"/>
      <c r="ACH1166" s="905"/>
      <c r="ACI1166" s="905"/>
      <c r="ACJ1166" s="905"/>
      <c r="ACK1166" s="905"/>
      <c r="ACL1166" s="905"/>
      <c r="ACM1166" s="905"/>
      <c r="ACN1166" s="905"/>
      <c r="ACO1166" s="905"/>
      <c r="ACP1166" s="905"/>
      <c r="ACQ1166" s="905"/>
      <c r="ACR1166" s="905"/>
      <c r="ACS1166" s="905"/>
      <c r="ACT1166" s="905"/>
      <c r="ACU1166" s="905"/>
      <c r="ACV1166" s="905"/>
      <c r="ACW1166" s="905"/>
      <c r="ACX1166" s="905"/>
      <c r="ACY1166" s="905"/>
      <c r="ACZ1166" s="905"/>
      <c r="ADA1166" s="905"/>
      <c r="ADB1166" s="905"/>
      <c r="ADC1166" s="905"/>
      <c r="ADD1166" s="905"/>
      <c r="ADE1166" s="905"/>
      <c r="ADF1166" s="905"/>
      <c r="ADG1166" s="905"/>
      <c r="ADH1166" s="905"/>
      <c r="ADI1166" s="905"/>
      <c r="ADJ1166" s="905"/>
      <c r="ADK1166" s="905"/>
      <c r="ADL1166" s="905"/>
      <c r="ADM1166" s="905"/>
      <c r="ADN1166" s="905"/>
      <c r="ADO1166" s="905"/>
      <c r="ADP1166" s="905"/>
      <c r="ADQ1166" s="905"/>
      <c r="ADR1166" s="905"/>
      <c r="ADS1166" s="905"/>
      <c r="ADT1166" s="905"/>
      <c r="ADU1166" s="905"/>
      <c r="ADV1166" s="905"/>
      <c r="ADW1166" s="905"/>
      <c r="ADX1166" s="905"/>
      <c r="ADY1166" s="905"/>
      <c r="ADZ1166" s="905"/>
      <c r="AEA1166" s="905"/>
      <c r="AEB1166" s="905"/>
      <c r="AEC1166" s="905"/>
      <c r="AED1166" s="905"/>
      <c r="AEE1166" s="905"/>
      <c r="AEF1166" s="905"/>
      <c r="AEG1166" s="905"/>
      <c r="AEH1166" s="905"/>
      <c r="AEI1166" s="905"/>
      <c r="AEJ1166" s="905"/>
      <c r="AEK1166" s="905"/>
      <c r="AEL1166" s="905"/>
      <c r="AEM1166" s="905"/>
      <c r="AEN1166" s="905"/>
      <c r="AEO1166" s="905"/>
      <c r="AEP1166" s="905"/>
      <c r="AEQ1166" s="905"/>
      <c r="AER1166" s="905"/>
      <c r="AES1166" s="905"/>
      <c r="AET1166" s="905"/>
      <c r="AEU1166" s="905"/>
      <c r="AEV1166" s="905"/>
      <c r="AEW1166" s="905"/>
      <c r="AEX1166" s="905"/>
      <c r="AEY1166" s="905"/>
      <c r="AEZ1166" s="905"/>
      <c r="AFA1166" s="905"/>
      <c r="AFB1166" s="905"/>
      <c r="AFC1166" s="905"/>
      <c r="AFD1166" s="905"/>
      <c r="AFE1166" s="905"/>
      <c r="AFF1166" s="905"/>
      <c r="AFG1166" s="905"/>
      <c r="AFH1166" s="905"/>
      <c r="AFI1166" s="905"/>
      <c r="AFJ1166" s="905"/>
      <c r="AFK1166" s="905"/>
      <c r="AFL1166" s="905"/>
      <c r="AFM1166" s="905"/>
      <c r="AFN1166" s="905"/>
      <c r="AFO1166" s="905"/>
      <c r="AFP1166" s="905"/>
      <c r="AFQ1166" s="905"/>
      <c r="AFR1166" s="905"/>
      <c r="AFS1166" s="905"/>
      <c r="AFT1166" s="905"/>
      <c r="AFU1166" s="905"/>
      <c r="AFV1166" s="905"/>
      <c r="AFW1166" s="905"/>
      <c r="AFX1166" s="905"/>
      <c r="AFY1166" s="905"/>
      <c r="AFZ1166" s="905"/>
      <c r="AGA1166" s="905"/>
      <c r="AGB1166" s="905"/>
      <c r="AGC1166" s="905"/>
      <c r="AGD1166" s="905"/>
      <c r="AGE1166" s="905"/>
      <c r="AGF1166" s="905"/>
      <c r="AGG1166" s="905"/>
      <c r="AGH1166" s="905"/>
      <c r="AGI1166" s="905"/>
      <c r="AGJ1166" s="905"/>
    </row>
    <row r="1167" spans="1:868" s="898" customFormat="1">
      <c r="A1167" s="898" t="str">
        <f>Clothing!A362</f>
        <v>Clothing (product sector)</v>
      </c>
      <c r="B1167" s="898" t="str">
        <f>Clothing!B362</f>
        <v>Boots</v>
      </c>
      <c r="C1167" s="898" t="str">
        <f>Clothing!C362</f>
        <v>NL</v>
      </c>
      <c r="D1167" s="898" t="str">
        <f>Clothing!D362</f>
        <v>RUBBER</v>
      </c>
      <c r="E1167" s="901">
        <f>Clothing!E362</f>
        <v>0.193743560355818</v>
      </c>
      <c r="F1167" s="898">
        <f>Clothing!F362</f>
        <v>1</v>
      </c>
      <c r="G1167" s="898" t="str">
        <f>Clothing!G362</f>
        <v>https://eeb.org/library/draft-product-environmental-footprint-category-rules-pefcr-apparel-and-footwear/</v>
      </c>
      <c r="H1167" s="902">
        <f>Clothing!H362</f>
        <v>2</v>
      </c>
      <c r="I1167" s="902" t="str">
        <f>Clothing!I362</f>
        <v/>
      </c>
      <c r="J1167" s="902">
        <f>Clothing!J362</f>
        <v>2</v>
      </c>
      <c r="K1167" s="902">
        <f>Clothing!K362</f>
        <v>1</v>
      </c>
      <c r="L1167" s="902">
        <f>Clothing!L362</f>
        <v>2</v>
      </c>
      <c r="M1167" s="902">
        <f>Clothing!M362</f>
        <v>3</v>
      </c>
      <c r="N1167" s="185">
        <f t="shared" si="89"/>
        <v>1.0301997916669636</v>
      </c>
      <c r="O1167" s="159" t="e">
        <f t="shared" si="90"/>
        <v>#VALUE!</v>
      </c>
      <c r="Q1167" s="905"/>
      <c r="R1167" s="905"/>
      <c r="S1167" s="905"/>
      <c r="T1167" s="905"/>
      <c r="U1167" s="905"/>
      <c r="V1167" s="905"/>
      <c r="W1167" s="905"/>
      <c r="X1167" s="905"/>
      <c r="Y1167" s="905"/>
      <c r="Z1167" s="905"/>
      <c r="AA1167" s="905"/>
      <c r="AB1167" s="905"/>
      <c r="AC1167" s="905"/>
      <c r="AD1167" s="905"/>
      <c r="AE1167" s="905"/>
      <c r="AF1167" s="905"/>
      <c r="AG1167" s="905"/>
      <c r="AH1167" s="905"/>
      <c r="AI1167" s="905"/>
      <c r="AJ1167" s="905"/>
      <c r="AK1167" s="905"/>
      <c r="AL1167" s="905"/>
      <c r="AM1167" s="905"/>
      <c r="AN1167" s="905"/>
      <c r="AO1167" s="905"/>
      <c r="AP1167" s="905"/>
      <c r="AQ1167" s="905"/>
      <c r="AR1167" s="905"/>
      <c r="AS1167" s="905"/>
      <c r="AT1167" s="905"/>
      <c r="AU1167" s="905"/>
      <c r="AV1167" s="905"/>
      <c r="AW1167" s="905"/>
      <c r="AX1167" s="905"/>
      <c r="AY1167" s="905"/>
      <c r="AZ1167" s="905"/>
      <c r="BA1167" s="905"/>
      <c r="BB1167" s="905"/>
      <c r="BC1167" s="905"/>
      <c r="BD1167" s="905"/>
      <c r="BE1167" s="905"/>
      <c r="BF1167" s="905"/>
      <c r="BG1167" s="905"/>
      <c r="BH1167" s="905"/>
      <c r="BI1167" s="905"/>
      <c r="BJ1167" s="905"/>
      <c r="BK1167" s="905"/>
      <c r="BL1167" s="905"/>
      <c r="BM1167" s="905"/>
      <c r="BN1167" s="905"/>
      <c r="BO1167" s="905"/>
      <c r="BP1167" s="905"/>
      <c r="BQ1167" s="905"/>
      <c r="BR1167" s="905"/>
      <c r="BS1167" s="905"/>
      <c r="BT1167" s="905"/>
      <c r="BU1167" s="905"/>
      <c r="BV1167" s="905"/>
      <c r="BW1167" s="905"/>
      <c r="BX1167" s="905"/>
      <c r="BY1167" s="905"/>
      <c r="BZ1167" s="905"/>
      <c r="CA1167" s="905"/>
      <c r="CB1167" s="905"/>
      <c r="CC1167" s="905"/>
      <c r="CD1167" s="905"/>
      <c r="CE1167" s="905"/>
      <c r="CF1167" s="905"/>
      <c r="CG1167" s="905"/>
      <c r="CH1167" s="905"/>
      <c r="CI1167" s="905"/>
      <c r="CJ1167" s="905"/>
      <c r="CK1167" s="905"/>
      <c r="CL1167" s="905"/>
      <c r="CM1167" s="905"/>
      <c r="CN1167" s="905"/>
      <c r="CO1167" s="905"/>
      <c r="CP1167" s="905"/>
      <c r="CQ1167" s="905"/>
      <c r="CR1167" s="905"/>
      <c r="CS1167" s="905"/>
      <c r="CT1167" s="905"/>
      <c r="CU1167" s="905"/>
      <c r="CV1167" s="905"/>
      <c r="CW1167" s="905"/>
      <c r="CX1167" s="905"/>
      <c r="CY1167" s="905"/>
      <c r="CZ1167" s="905"/>
      <c r="DA1167" s="905"/>
      <c r="DB1167" s="905"/>
      <c r="DC1167" s="905"/>
      <c r="DD1167" s="905"/>
      <c r="DE1167" s="905"/>
      <c r="DF1167" s="905"/>
      <c r="DG1167" s="905"/>
      <c r="DH1167" s="905"/>
      <c r="DI1167" s="905"/>
      <c r="DJ1167" s="905"/>
      <c r="DK1167" s="905"/>
      <c r="DL1167" s="905"/>
      <c r="DM1167" s="905"/>
      <c r="DN1167" s="905"/>
      <c r="DO1167" s="905"/>
      <c r="DP1167" s="905"/>
      <c r="DQ1167" s="905"/>
      <c r="DR1167" s="905"/>
      <c r="DS1167" s="905"/>
      <c r="DT1167" s="905"/>
      <c r="DU1167" s="905"/>
      <c r="DV1167" s="905"/>
      <c r="DW1167" s="905"/>
      <c r="DX1167" s="905"/>
      <c r="DY1167" s="905"/>
      <c r="DZ1167" s="905"/>
      <c r="EA1167" s="905"/>
      <c r="EB1167" s="905"/>
      <c r="EC1167" s="905"/>
      <c r="ED1167" s="905"/>
      <c r="EE1167" s="905"/>
      <c r="EF1167" s="905"/>
      <c r="EG1167" s="905"/>
      <c r="EH1167" s="905"/>
      <c r="EI1167" s="905"/>
      <c r="EJ1167" s="905"/>
      <c r="EK1167" s="905"/>
      <c r="EL1167" s="905"/>
      <c r="EM1167" s="905"/>
      <c r="EN1167" s="905"/>
      <c r="EO1167" s="905"/>
      <c r="EP1167" s="905"/>
      <c r="EQ1167" s="905"/>
      <c r="ER1167" s="905"/>
      <c r="ES1167" s="905"/>
      <c r="ET1167" s="905"/>
      <c r="EU1167" s="905"/>
      <c r="EV1167" s="905"/>
      <c r="EW1167" s="905"/>
      <c r="EX1167" s="905"/>
      <c r="EY1167" s="905"/>
      <c r="EZ1167" s="905"/>
      <c r="FA1167" s="905"/>
      <c r="FB1167" s="905"/>
      <c r="FC1167" s="905"/>
      <c r="FD1167" s="905"/>
      <c r="FE1167" s="905"/>
      <c r="FF1167" s="905"/>
      <c r="FG1167" s="905"/>
      <c r="FH1167" s="905"/>
      <c r="FI1167" s="905"/>
      <c r="FJ1167" s="905"/>
      <c r="FK1167" s="905"/>
      <c r="FL1167" s="905"/>
      <c r="FM1167" s="905"/>
      <c r="FN1167" s="905"/>
      <c r="FO1167" s="905"/>
      <c r="FP1167" s="905"/>
      <c r="FQ1167" s="905"/>
      <c r="FR1167" s="905"/>
      <c r="FS1167" s="905"/>
      <c r="FT1167" s="905"/>
      <c r="FU1167" s="905"/>
      <c r="FV1167" s="905"/>
      <c r="FW1167" s="905"/>
      <c r="FX1167" s="905"/>
      <c r="FY1167" s="905"/>
      <c r="FZ1167" s="905"/>
      <c r="GA1167" s="905"/>
      <c r="GB1167" s="905"/>
      <c r="GC1167" s="905"/>
      <c r="GD1167" s="905"/>
      <c r="GE1167" s="905"/>
      <c r="GF1167" s="905"/>
      <c r="GG1167" s="905"/>
      <c r="GH1167" s="905"/>
      <c r="GI1167" s="905"/>
      <c r="GJ1167" s="905"/>
      <c r="GK1167" s="905"/>
      <c r="GL1167" s="905"/>
      <c r="GM1167" s="905"/>
      <c r="GN1167" s="905"/>
      <c r="GO1167" s="905"/>
      <c r="GP1167" s="905"/>
      <c r="GQ1167" s="905"/>
      <c r="GR1167" s="905"/>
      <c r="GS1167" s="905"/>
      <c r="GT1167" s="905"/>
      <c r="GU1167" s="905"/>
      <c r="GV1167" s="905"/>
      <c r="GW1167" s="905"/>
      <c r="GX1167" s="905"/>
      <c r="GY1167" s="905"/>
      <c r="GZ1167" s="905"/>
      <c r="HA1167" s="905"/>
      <c r="HB1167" s="905"/>
      <c r="HC1167" s="905"/>
      <c r="HD1167" s="905"/>
      <c r="HE1167" s="905"/>
      <c r="HF1167" s="905"/>
      <c r="HG1167" s="905"/>
      <c r="HH1167" s="905"/>
      <c r="HI1167" s="905"/>
      <c r="HJ1167" s="905"/>
      <c r="HK1167" s="905"/>
      <c r="HL1167" s="905"/>
      <c r="HM1167" s="905"/>
      <c r="HN1167" s="905"/>
      <c r="HO1167" s="905"/>
      <c r="HP1167" s="905"/>
      <c r="HQ1167" s="905"/>
      <c r="HR1167" s="905"/>
      <c r="HS1167" s="905"/>
      <c r="HT1167" s="905"/>
      <c r="HU1167" s="905"/>
      <c r="HV1167" s="905"/>
      <c r="HW1167" s="905"/>
      <c r="HX1167" s="905"/>
      <c r="HY1167" s="905"/>
      <c r="HZ1167" s="905"/>
      <c r="IA1167" s="905"/>
      <c r="IB1167" s="905"/>
      <c r="IC1167" s="905"/>
      <c r="ID1167" s="905"/>
      <c r="IE1167" s="905"/>
      <c r="IF1167" s="905"/>
      <c r="IG1167" s="905"/>
      <c r="IH1167" s="905"/>
      <c r="II1167" s="905"/>
      <c r="IJ1167" s="905"/>
      <c r="IK1167" s="905"/>
      <c r="IL1167" s="905"/>
      <c r="IM1167" s="905"/>
      <c r="IN1167" s="905"/>
      <c r="IO1167" s="905"/>
      <c r="IP1167" s="905"/>
      <c r="IQ1167" s="905"/>
      <c r="IR1167" s="905"/>
      <c r="IS1167" s="905"/>
      <c r="IT1167" s="905"/>
      <c r="IU1167" s="905"/>
      <c r="IV1167" s="905"/>
      <c r="IW1167" s="905"/>
      <c r="IX1167" s="905"/>
      <c r="IY1167" s="905"/>
      <c r="IZ1167" s="905"/>
      <c r="JA1167" s="905"/>
      <c r="JB1167" s="905"/>
      <c r="JC1167" s="905"/>
      <c r="JD1167" s="905"/>
      <c r="JE1167" s="905"/>
      <c r="JF1167" s="905"/>
      <c r="JG1167" s="905"/>
      <c r="JH1167" s="905"/>
      <c r="JI1167" s="905"/>
      <c r="JJ1167" s="905"/>
      <c r="JK1167" s="905"/>
      <c r="JL1167" s="905"/>
      <c r="JM1167" s="905"/>
      <c r="JN1167" s="905"/>
      <c r="JO1167" s="905"/>
      <c r="JP1167" s="905"/>
      <c r="JQ1167" s="905"/>
      <c r="JR1167" s="905"/>
      <c r="JS1167" s="905"/>
      <c r="JT1167" s="905"/>
      <c r="JU1167" s="905"/>
      <c r="JV1167" s="905"/>
      <c r="JW1167" s="905"/>
      <c r="JX1167" s="905"/>
      <c r="JY1167" s="905"/>
      <c r="JZ1167" s="905"/>
      <c r="KA1167" s="905"/>
      <c r="KB1167" s="905"/>
      <c r="KC1167" s="905"/>
      <c r="KD1167" s="905"/>
      <c r="KE1167" s="905"/>
      <c r="KF1167" s="905"/>
      <c r="KG1167" s="905"/>
      <c r="KH1167" s="905"/>
      <c r="KI1167" s="905"/>
      <c r="KJ1167" s="905"/>
      <c r="KK1167" s="905"/>
      <c r="KL1167" s="905"/>
      <c r="KM1167" s="905"/>
      <c r="KN1167" s="905"/>
      <c r="KO1167" s="905"/>
      <c r="KP1167" s="905"/>
      <c r="KQ1167" s="905"/>
      <c r="KR1167" s="905"/>
      <c r="KS1167" s="905"/>
      <c r="KT1167" s="905"/>
      <c r="KU1167" s="905"/>
      <c r="KV1167" s="905"/>
      <c r="KW1167" s="905"/>
      <c r="KX1167" s="905"/>
      <c r="KY1167" s="905"/>
      <c r="KZ1167" s="905"/>
      <c r="LA1167" s="905"/>
      <c r="LB1167" s="905"/>
      <c r="LC1167" s="905"/>
      <c r="LD1167" s="905"/>
      <c r="LE1167" s="905"/>
      <c r="LF1167" s="905"/>
      <c r="LG1167" s="905"/>
      <c r="LH1167" s="905"/>
      <c r="LI1167" s="905"/>
      <c r="LJ1167" s="905"/>
      <c r="LK1167" s="905"/>
      <c r="LL1167" s="905"/>
      <c r="LM1167" s="905"/>
      <c r="LN1167" s="905"/>
      <c r="LO1167" s="905"/>
      <c r="LP1167" s="905"/>
      <c r="LQ1167" s="905"/>
      <c r="LR1167" s="905"/>
      <c r="LS1167" s="905"/>
      <c r="LT1167" s="905"/>
      <c r="LU1167" s="905"/>
      <c r="LV1167" s="905"/>
      <c r="LW1167" s="905"/>
      <c r="LX1167" s="905"/>
      <c r="LY1167" s="905"/>
      <c r="LZ1167" s="905"/>
      <c r="MA1167" s="905"/>
      <c r="MB1167" s="905"/>
      <c r="MC1167" s="905"/>
      <c r="MD1167" s="905"/>
      <c r="ME1167" s="905"/>
      <c r="MF1167" s="905"/>
      <c r="MG1167" s="905"/>
      <c r="MH1167" s="905"/>
      <c r="MI1167" s="905"/>
      <c r="MJ1167" s="905"/>
      <c r="MK1167" s="905"/>
      <c r="ML1167" s="905"/>
      <c r="MM1167" s="905"/>
      <c r="MN1167" s="905"/>
      <c r="MO1167" s="905"/>
      <c r="MP1167" s="905"/>
      <c r="MQ1167" s="905"/>
      <c r="MR1167" s="905"/>
      <c r="MS1167" s="905"/>
      <c r="MT1167" s="905"/>
      <c r="MU1167" s="905"/>
      <c r="MV1167" s="905"/>
      <c r="MW1167" s="905"/>
      <c r="MX1167" s="905"/>
      <c r="MY1167" s="905"/>
      <c r="MZ1167" s="905"/>
      <c r="NA1167" s="905"/>
      <c r="NB1167" s="905"/>
      <c r="NC1167" s="905"/>
      <c r="ND1167" s="905"/>
      <c r="NE1167" s="905"/>
      <c r="NF1167" s="905"/>
      <c r="NG1167" s="905"/>
      <c r="NH1167" s="905"/>
      <c r="NI1167" s="905"/>
      <c r="NJ1167" s="905"/>
      <c r="NK1167" s="905"/>
      <c r="NL1167" s="905"/>
      <c r="NM1167" s="905"/>
      <c r="NN1167" s="905"/>
      <c r="NO1167" s="905"/>
      <c r="NP1167" s="905"/>
      <c r="NQ1167" s="905"/>
      <c r="NR1167" s="905"/>
      <c r="NS1167" s="905"/>
      <c r="NT1167" s="905"/>
      <c r="NU1167" s="905"/>
      <c r="NV1167" s="905"/>
      <c r="NW1167" s="905"/>
      <c r="NX1167" s="905"/>
      <c r="NY1167" s="905"/>
      <c r="NZ1167" s="905"/>
      <c r="OA1167" s="905"/>
      <c r="OB1167" s="905"/>
      <c r="OC1167" s="905"/>
      <c r="OD1167" s="905"/>
      <c r="OE1167" s="905"/>
      <c r="OF1167" s="905"/>
      <c r="OG1167" s="905"/>
      <c r="OH1167" s="905"/>
      <c r="OI1167" s="905"/>
      <c r="OJ1167" s="905"/>
      <c r="OK1167" s="905"/>
      <c r="OL1167" s="905"/>
      <c r="OM1167" s="905"/>
      <c r="ON1167" s="905"/>
      <c r="OO1167" s="905"/>
      <c r="OP1167" s="905"/>
      <c r="OQ1167" s="905"/>
      <c r="OR1167" s="905"/>
      <c r="OS1167" s="905"/>
      <c r="OT1167" s="905"/>
      <c r="OU1167" s="905"/>
      <c r="OV1167" s="905"/>
      <c r="OW1167" s="905"/>
      <c r="OX1167" s="905"/>
      <c r="OY1167" s="905"/>
      <c r="OZ1167" s="905"/>
      <c r="PA1167" s="905"/>
      <c r="PB1167" s="905"/>
      <c r="PC1167" s="905"/>
      <c r="PD1167" s="905"/>
      <c r="PE1167" s="905"/>
      <c r="PF1167" s="905"/>
      <c r="PG1167" s="905"/>
      <c r="PH1167" s="905"/>
      <c r="PI1167" s="905"/>
      <c r="PJ1167" s="905"/>
      <c r="PK1167" s="905"/>
      <c r="PL1167" s="905"/>
      <c r="PM1167" s="905"/>
      <c r="PN1167" s="905"/>
      <c r="PO1167" s="905"/>
      <c r="PP1167" s="905"/>
      <c r="PQ1167" s="905"/>
      <c r="PR1167" s="905"/>
      <c r="PS1167" s="905"/>
      <c r="PT1167" s="905"/>
      <c r="PU1167" s="905"/>
      <c r="PV1167" s="905"/>
      <c r="PW1167" s="905"/>
      <c r="PX1167" s="905"/>
      <c r="PY1167" s="905"/>
      <c r="PZ1167" s="905"/>
      <c r="QA1167" s="905"/>
      <c r="QB1167" s="905"/>
      <c r="QC1167" s="905"/>
      <c r="QD1167" s="905"/>
      <c r="QE1167" s="905"/>
      <c r="QF1167" s="905"/>
      <c r="QG1167" s="905"/>
      <c r="QH1167" s="905"/>
      <c r="QI1167" s="905"/>
      <c r="QJ1167" s="905"/>
      <c r="QK1167" s="905"/>
      <c r="QL1167" s="905"/>
      <c r="QM1167" s="905"/>
      <c r="QN1167" s="905"/>
      <c r="QO1167" s="905"/>
      <c r="QP1167" s="905"/>
      <c r="QQ1167" s="905"/>
      <c r="QR1167" s="905"/>
      <c r="QS1167" s="905"/>
      <c r="QT1167" s="905"/>
      <c r="QU1167" s="905"/>
      <c r="QV1167" s="905"/>
      <c r="QW1167" s="905"/>
      <c r="QX1167" s="905"/>
      <c r="QY1167" s="905"/>
      <c r="QZ1167" s="905"/>
      <c r="RA1167" s="905"/>
      <c r="RB1167" s="905"/>
      <c r="RC1167" s="905"/>
      <c r="RD1167" s="905"/>
      <c r="RE1167" s="905"/>
      <c r="RF1167" s="905"/>
      <c r="RG1167" s="905"/>
      <c r="RH1167" s="905"/>
      <c r="RI1167" s="905"/>
      <c r="RJ1167" s="905"/>
      <c r="RK1167" s="905"/>
      <c r="RL1167" s="905"/>
      <c r="RM1167" s="905"/>
      <c r="RN1167" s="905"/>
      <c r="RO1167" s="905"/>
      <c r="RP1167" s="905"/>
      <c r="RQ1167" s="905"/>
      <c r="RR1167" s="905"/>
      <c r="RS1167" s="905"/>
      <c r="RT1167" s="905"/>
      <c r="RU1167" s="905"/>
      <c r="RV1167" s="905"/>
      <c r="RW1167" s="905"/>
      <c r="RX1167" s="905"/>
      <c r="RY1167" s="905"/>
      <c r="RZ1167" s="905"/>
      <c r="SA1167" s="905"/>
      <c r="SB1167" s="905"/>
      <c r="SC1167" s="905"/>
      <c r="SD1167" s="905"/>
      <c r="SE1167" s="905"/>
      <c r="SF1167" s="905"/>
      <c r="SG1167" s="905"/>
      <c r="SH1167" s="905"/>
      <c r="SI1167" s="905"/>
      <c r="SJ1167" s="905"/>
      <c r="SK1167" s="905"/>
      <c r="SL1167" s="905"/>
      <c r="SM1167" s="905"/>
      <c r="SN1167" s="905"/>
      <c r="SO1167" s="905"/>
      <c r="SP1167" s="905"/>
      <c r="SQ1167" s="905"/>
      <c r="SR1167" s="905"/>
      <c r="SS1167" s="905"/>
      <c r="ST1167" s="905"/>
      <c r="SU1167" s="905"/>
      <c r="SV1167" s="905"/>
      <c r="SW1167" s="905"/>
      <c r="SX1167" s="905"/>
      <c r="SY1167" s="905"/>
      <c r="SZ1167" s="905"/>
      <c r="TA1167" s="905"/>
      <c r="TB1167" s="905"/>
      <c r="TC1167" s="905"/>
      <c r="TD1167" s="905"/>
      <c r="TE1167" s="905"/>
      <c r="TF1167" s="905"/>
      <c r="TG1167" s="905"/>
      <c r="TH1167" s="905"/>
      <c r="TI1167" s="905"/>
      <c r="TJ1167" s="905"/>
      <c r="TK1167" s="905"/>
      <c r="TL1167" s="905"/>
      <c r="TM1167" s="905"/>
      <c r="TN1167" s="905"/>
      <c r="TO1167" s="905"/>
      <c r="TP1167" s="905"/>
      <c r="TQ1167" s="905"/>
      <c r="TR1167" s="905"/>
      <c r="TS1167" s="905"/>
      <c r="TT1167" s="905"/>
      <c r="TU1167" s="905"/>
      <c r="TV1167" s="905"/>
      <c r="TW1167" s="905"/>
      <c r="TX1167" s="905"/>
      <c r="TY1167" s="905"/>
      <c r="TZ1167" s="905"/>
      <c r="UA1167" s="905"/>
      <c r="UB1167" s="905"/>
      <c r="UC1167" s="905"/>
      <c r="UD1167" s="905"/>
      <c r="UE1167" s="905"/>
      <c r="UF1167" s="905"/>
      <c r="UG1167" s="905"/>
      <c r="UH1167" s="905"/>
      <c r="UI1167" s="905"/>
      <c r="UJ1167" s="905"/>
      <c r="UK1167" s="905"/>
      <c r="UL1167" s="905"/>
      <c r="UM1167" s="905"/>
      <c r="UN1167" s="905"/>
      <c r="UO1167" s="905"/>
      <c r="UP1167" s="905"/>
      <c r="UQ1167" s="905"/>
      <c r="UR1167" s="905"/>
      <c r="US1167" s="905"/>
      <c r="UT1167" s="905"/>
      <c r="UU1167" s="905"/>
      <c r="UV1167" s="905"/>
      <c r="UW1167" s="905"/>
      <c r="UX1167" s="905"/>
      <c r="UY1167" s="905"/>
      <c r="UZ1167" s="905"/>
      <c r="VA1167" s="905"/>
      <c r="VB1167" s="905"/>
      <c r="VC1167" s="905"/>
      <c r="VD1167" s="905"/>
      <c r="VE1167" s="905"/>
      <c r="VF1167" s="905"/>
      <c r="VG1167" s="905"/>
      <c r="VH1167" s="905"/>
      <c r="VI1167" s="905"/>
      <c r="VJ1167" s="905"/>
      <c r="VK1167" s="905"/>
      <c r="VL1167" s="905"/>
      <c r="VM1167" s="905"/>
      <c r="VN1167" s="905"/>
      <c r="VO1167" s="905"/>
      <c r="VP1167" s="905"/>
      <c r="VQ1167" s="905"/>
      <c r="VR1167" s="905"/>
      <c r="VS1167" s="905"/>
      <c r="VT1167" s="905"/>
      <c r="VU1167" s="905"/>
      <c r="VV1167" s="905"/>
      <c r="VW1167" s="905"/>
      <c r="VX1167" s="905"/>
      <c r="VY1167" s="905"/>
      <c r="VZ1167" s="905"/>
      <c r="WA1167" s="905"/>
      <c r="WB1167" s="905"/>
      <c r="WC1167" s="905"/>
      <c r="WD1167" s="905"/>
      <c r="WE1167" s="905"/>
      <c r="WF1167" s="905"/>
      <c r="WG1167" s="905"/>
      <c r="WH1167" s="905"/>
      <c r="WI1167" s="905"/>
      <c r="WJ1167" s="905"/>
      <c r="WK1167" s="905"/>
      <c r="WL1167" s="905"/>
      <c r="WM1167" s="905"/>
      <c r="WN1167" s="905"/>
      <c r="WO1167" s="905"/>
      <c r="WP1167" s="905"/>
      <c r="WQ1167" s="905"/>
      <c r="WR1167" s="905"/>
      <c r="WS1167" s="905"/>
      <c r="WT1167" s="905"/>
      <c r="WU1167" s="905"/>
      <c r="WV1167" s="905"/>
      <c r="WW1167" s="905"/>
      <c r="WX1167" s="905"/>
      <c r="WY1167" s="905"/>
      <c r="WZ1167" s="905"/>
      <c r="XA1167" s="905"/>
      <c r="XB1167" s="905"/>
      <c r="XC1167" s="905"/>
      <c r="XD1167" s="905"/>
      <c r="XE1167" s="905"/>
      <c r="XF1167" s="905"/>
      <c r="XG1167" s="905"/>
      <c r="XH1167" s="905"/>
      <c r="XI1167" s="905"/>
      <c r="XJ1167" s="905"/>
      <c r="XK1167" s="905"/>
      <c r="XL1167" s="905"/>
      <c r="XM1167" s="905"/>
      <c r="XN1167" s="905"/>
      <c r="XO1167" s="905"/>
      <c r="XP1167" s="905"/>
      <c r="XQ1167" s="905"/>
      <c r="XR1167" s="905"/>
      <c r="XS1167" s="905"/>
      <c r="XT1167" s="905"/>
      <c r="XU1167" s="905"/>
      <c r="XV1167" s="905"/>
      <c r="XW1167" s="905"/>
      <c r="XX1167" s="905"/>
      <c r="XY1167" s="905"/>
      <c r="XZ1167" s="905"/>
      <c r="YA1167" s="905"/>
      <c r="YB1167" s="905"/>
      <c r="YC1167" s="905"/>
      <c r="YD1167" s="905"/>
      <c r="YE1167" s="905"/>
      <c r="YF1167" s="905"/>
      <c r="YG1167" s="905"/>
      <c r="YH1167" s="905"/>
      <c r="YI1167" s="905"/>
      <c r="YJ1167" s="905"/>
      <c r="YK1167" s="905"/>
      <c r="YL1167" s="905"/>
      <c r="YM1167" s="905"/>
      <c r="YN1167" s="905"/>
      <c r="YO1167" s="905"/>
      <c r="YP1167" s="905"/>
      <c r="YQ1167" s="905"/>
      <c r="YR1167" s="905"/>
      <c r="YS1167" s="905"/>
      <c r="YT1167" s="905"/>
      <c r="YU1167" s="905"/>
      <c r="YV1167" s="905"/>
      <c r="YW1167" s="905"/>
      <c r="YX1167" s="905"/>
      <c r="YY1167" s="905"/>
      <c r="YZ1167" s="905"/>
      <c r="ZA1167" s="905"/>
      <c r="ZB1167" s="905"/>
      <c r="ZC1167" s="905"/>
      <c r="ZD1167" s="905"/>
      <c r="ZE1167" s="905"/>
      <c r="ZF1167" s="905"/>
      <c r="ZG1167" s="905"/>
      <c r="ZH1167" s="905"/>
      <c r="ZI1167" s="905"/>
      <c r="ZJ1167" s="905"/>
      <c r="ZK1167" s="905"/>
      <c r="ZL1167" s="905"/>
      <c r="ZM1167" s="905"/>
      <c r="ZN1167" s="905"/>
      <c r="ZO1167" s="905"/>
      <c r="ZP1167" s="905"/>
      <c r="ZQ1167" s="905"/>
      <c r="ZR1167" s="905"/>
      <c r="ZS1167" s="905"/>
      <c r="ZT1167" s="905"/>
      <c r="ZU1167" s="905"/>
      <c r="ZV1167" s="905"/>
      <c r="ZW1167" s="905"/>
      <c r="ZX1167" s="905"/>
      <c r="ZY1167" s="905"/>
      <c r="ZZ1167" s="905"/>
      <c r="AAA1167" s="905"/>
      <c r="AAB1167" s="905"/>
      <c r="AAC1167" s="905"/>
      <c r="AAD1167" s="905"/>
      <c r="AAE1167" s="905"/>
      <c r="AAF1167" s="905"/>
      <c r="AAG1167" s="905"/>
      <c r="AAH1167" s="905"/>
      <c r="AAI1167" s="905"/>
      <c r="AAJ1167" s="905"/>
      <c r="AAK1167" s="905"/>
      <c r="AAL1167" s="905"/>
      <c r="AAM1167" s="905"/>
      <c r="AAN1167" s="905"/>
      <c r="AAO1167" s="905"/>
      <c r="AAP1167" s="905"/>
      <c r="AAQ1167" s="905"/>
      <c r="AAR1167" s="905"/>
      <c r="AAS1167" s="905"/>
      <c r="AAT1167" s="905"/>
      <c r="AAU1167" s="905"/>
      <c r="AAV1167" s="905"/>
      <c r="AAW1167" s="905"/>
      <c r="AAX1167" s="905"/>
      <c r="AAY1167" s="905"/>
      <c r="AAZ1167" s="905"/>
      <c r="ABA1167" s="905"/>
      <c r="ABB1167" s="905"/>
      <c r="ABC1167" s="905"/>
      <c r="ABD1167" s="905"/>
      <c r="ABE1167" s="905"/>
      <c r="ABF1167" s="905"/>
      <c r="ABG1167" s="905"/>
      <c r="ABH1167" s="905"/>
      <c r="ABI1167" s="905"/>
      <c r="ABJ1167" s="905"/>
      <c r="ABK1167" s="905"/>
      <c r="ABL1167" s="905"/>
      <c r="ABM1167" s="905"/>
      <c r="ABN1167" s="905"/>
      <c r="ABO1167" s="905"/>
      <c r="ABP1167" s="905"/>
      <c r="ABQ1167" s="905"/>
      <c r="ABR1167" s="905"/>
      <c r="ABS1167" s="905"/>
      <c r="ABT1167" s="905"/>
      <c r="ABU1167" s="905"/>
      <c r="ABV1167" s="905"/>
      <c r="ABW1167" s="905"/>
      <c r="ABX1167" s="905"/>
      <c r="ABY1167" s="905"/>
      <c r="ABZ1167" s="905"/>
      <c r="ACA1167" s="905"/>
      <c r="ACB1167" s="905"/>
      <c r="ACC1167" s="905"/>
      <c r="ACD1167" s="905"/>
      <c r="ACE1167" s="905"/>
      <c r="ACF1167" s="905"/>
      <c r="ACG1167" s="905"/>
      <c r="ACH1167" s="905"/>
      <c r="ACI1167" s="905"/>
      <c r="ACJ1167" s="905"/>
      <c r="ACK1167" s="905"/>
      <c r="ACL1167" s="905"/>
      <c r="ACM1167" s="905"/>
      <c r="ACN1167" s="905"/>
      <c r="ACO1167" s="905"/>
      <c r="ACP1167" s="905"/>
      <c r="ACQ1167" s="905"/>
      <c r="ACR1167" s="905"/>
      <c r="ACS1167" s="905"/>
      <c r="ACT1167" s="905"/>
      <c r="ACU1167" s="905"/>
      <c r="ACV1167" s="905"/>
      <c r="ACW1167" s="905"/>
      <c r="ACX1167" s="905"/>
      <c r="ACY1167" s="905"/>
      <c r="ACZ1167" s="905"/>
      <c r="ADA1167" s="905"/>
      <c r="ADB1167" s="905"/>
      <c r="ADC1167" s="905"/>
      <c r="ADD1167" s="905"/>
      <c r="ADE1167" s="905"/>
      <c r="ADF1167" s="905"/>
      <c r="ADG1167" s="905"/>
      <c r="ADH1167" s="905"/>
      <c r="ADI1167" s="905"/>
      <c r="ADJ1167" s="905"/>
      <c r="ADK1167" s="905"/>
      <c r="ADL1167" s="905"/>
      <c r="ADM1167" s="905"/>
      <c r="ADN1167" s="905"/>
      <c r="ADO1167" s="905"/>
      <c r="ADP1167" s="905"/>
      <c r="ADQ1167" s="905"/>
      <c r="ADR1167" s="905"/>
      <c r="ADS1167" s="905"/>
      <c r="ADT1167" s="905"/>
      <c r="ADU1167" s="905"/>
      <c r="ADV1167" s="905"/>
      <c r="ADW1167" s="905"/>
      <c r="ADX1167" s="905"/>
      <c r="ADY1167" s="905"/>
      <c r="ADZ1167" s="905"/>
      <c r="AEA1167" s="905"/>
      <c r="AEB1167" s="905"/>
      <c r="AEC1167" s="905"/>
      <c r="AED1167" s="905"/>
      <c r="AEE1167" s="905"/>
      <c r="AEF1167" s="905"/>
      <c r="AEG1167" s="905"/>
      <c r="AEH1167" s="905"/>
      <c r="AEI1167" s="905"/>
      <c r="AEJ1167" s="905"/>
      <c r="AEK1167" s="905"/>
      <c r="AEL1167" s="905"/>
      <c r="AEM1167" s="905"/>
      <c r="AEN1167" s="905"/>
      <c r="AEO1167" s="905"/>
      <c r="AEP1167" s="905"/>
      <c r="AEQ1167" s="905"/>
      <c r="AER1167" s="905"/>
      <c r="AES1167" s="905"/>
      <c r="AET1167" s="905"/>
      <c r="AEU1167" s="905"/>
      <c r="AEV1167" s="905"/>
      <c r="AEW1167" s="905"/>
      <c r="AEX1167" s="905"/>
      <c r="AEY1167" s="905"/>
      <c r="AEZ1167" s="905"/>
      <c r="AFA1167" s="905"/>
      <c r="AFB1167" s="905"/>
      <c r="AFC1167" s="905"/>
      <c r="AFD1167" s="905"/>
      <c r="AFE1167" s="905"/>
      <c r="AFF1167" s="905"/>
      <c r="AFG1167" s="905"/>
      <c r="AFH1167" s="905"/>
      <c r="AFI1167" s="905"/>
      <c r="AFJ1167" s="905"/>
      <c r="AFK1167" s="905"/>
      <c r="AFL1167" s="905"/>
      <c r="AFM1167" s="905"/>
      <c r="AFN1167" s="905"/>
      <c r="AFO1167" s="905"/>
      <c r="AFP1167" s="905"/>
      <c r="AFQ1167" s="905"/>
      <c r="AFR1167" s="905"/>
      <c r="AFS1167" s="905"/>
      <c r="AFT1167" s="905"/>
      <c r="AFU1167" s="905"/>
      <c r="AFV1167" s="905"/>
      <c r="AFW1167" s="905"/>
      <c r="AFX1167" s="905"/>
      <c r="AFY1167" s="905"/>
      <c r="AFZ1167" s="905"/>
      <c r="AGA1167" s="905"/>
      <c r="AGB1167" s="905"/>
      <c r="AGC1167" s="905"/>
      <c r="AGD1167" s="905"/>
      <c r="AGE1167" s="905"/>
      <c r="AGF1167" s="905"/>
      <c r="AGG1167" s="905"/>
      <c r="AGH1167" s="905"/>
      <c r="AGI1167" s="905"/>
      <c r="AGJ1167" s="905"/>
    </row>
    <row r="1168" spans="1:868" s="898" customFormat="1">
      <c r="A1168" s="898" t="str">
        <f>Clothing!A363</f>
        <v>Clothing (product sector)</v>
      </c>
      <c r="B1168" s="898" t="str">
        <f>Clothing!B363</f>
        <v>Closed-toed shoes</v>
      </c>
      <c r="C1168" s="898" t="str">
        <f>Clothing!C363</f>
        <v>NL</v>
      </c>
      <c r="D1168" s="898" t="str">
        <f>Clothing!D363</f>
        <v>OTHER</v>
      </c>
      <c r="E1168" s="901">
        <f>Clothing!E363</f>
        <v>0.27182748545887297</v>
      </c>
      <c r="F1168" s="898">
        <f>Clothing!F363</f>
        <v>1</v>
      </c>
      <c r="G1168" s="898" t="str">
        <f>Clothing!G363</f>
        <v>https://eeb.org/library/draft-product-environmental-footprint-category-rules-pefcr-apparel-and-footwear/</v>
      </c>
      <c r="H1168" s="902">
        <f>Clothing!H363</f>
        <v>2</v>
      </c>
      <c r="I1168" s="902" t="str">
        <f>Clothing!I363</f>
        <v/>
      </c>
      <c r="J1168" s="902">
        <f>Clothing!J363</f>
        <v>2</v>
      </c>
      <c r="K1168" s="902">
        <f>Clothing!K363</f>
        <v>1</v>
      </c>
      <c r="L1168" s="902">
        <f>Clothing!L363</f>
        <v>2</v>
      </c>
      <c r="M1168" s="902">
        <f>Clothing!M363</f>
        <v>3</v>
      </c>
      <c r="N1168" s="185">
        <f t="shared" si="89"/>
        <v>1.0301997916669636</v>
      </c>
      <c r="O1168" s="159" t="e">
        <f t="shared" si="90"/>
        <v>#VALUE!</v>
      </c>
      <c r="Q1168" s="905"/>
      <c r="R1168" s="905"/>
      <c r="S1168" s="905"/>
      <c r="T1168" s="905"/>
      <c r="U1168" s="905"/>
      <c r="V1168" s="905"/>
      <c r="W1168" s="905"/>
      <c r="X1168" s="905"/>
      <c r="Y1168" s="905"/>
      <c r="Z1168" s="905"/>
      <c r="AA1168" s="905"/>
      <c r="AB1168" s="905"/>
      <c r="AC1168" s="905"/>
      <c r="AD1168" s="905"/>
      <c r="AE1168" s="905"/>
      <c r="AF1168" s="905"/>
      <c r="AG1168" s="905"/>
      <c r="AH1168" s="905"/>
      <c r="AI1168" s="905"/>
      <c r="AJ1168" s="905"/>
      <c r="AK1168" s="905"/>
      <c r="AL1168" s="905"/>
      <c r="AM1168" s="905"/>
      <c r="AN1168" s="905"/>
      <c r="AO1168" s="905"/>
      <c r="AP1168" s="905"/>
      <c r="AQ1168" s="905"/>
      <c r="AR1168" s="905"/>
      <c r="AS1168" s="905"/>
      <c r="AT1168" s="905"/>
      <c r="AU1168" s="905"/>
      <c r="AV1168" s="905"/>
      <c r="AW1168" s="905"/>
      <c r="AX1168" s="905"/>
      <c r="AY1168" s="905"/>
      <c r="AZ1168" s="905"/>
      <c r="BA1168" s="905"/>
      <c r="BB1168" s="905"/>
      <c r="BC1168" s="905"/>
      <c r="BD1168" s="905"/>
      <c r="BE1168" s="905"/>
      <c r="BF1168" s="905"/>
      <c r="BG1168" s="905"/>
      <c r="BH1168" s="905"/>
      <c r="BI1168" s="905"/>
      <c r="BJ1168" s="905"/>
      <c r="BK1168" s="905"/>
      <c r="BL1168" s="905"/>
      <c r="BM1168" s="905"/>
      <c r="BN1168" s="905"/>
      <c r="BO1168" s="905"/>
      <c r="BP1168" s="905"/>
      <c r="BQ1168" s="905"/>
      <c r="BR1168" s="905"/>
      <c r="BS1168" s="905"/>
      <c r="BT1168" s="905"/>
      <c r="BU1168" s="905"/>
      <c r="BV1168" s="905"/>
      <c r="BW1168" s="905"/>
      <c r="BX1168" s="905"/>
      <c r="BY1168" s="905"/>
      <c r="BZ1168" s="905"/>
      <c r="CA1168" s="905"/>
      <c r="CB1168" s="905"/>
      <c r="CC1168" s="905"/>
      <c r="CD1168" s="905"/>
      <c r="CE1168" s="905"/>
      <c r="CF1168" s="905"/>
      <c r="CG1168" s="905"/>
      <c r="CH1168" s="905"/>
      <c r="CI1168" s="905"/>
      <c r="CJ1168" s="905"/>
      <c r="CK1168" s="905"/>
      <c r="CL1168" s="905"/>
      <c r="CM1168" s="905"/>
      <c r="CN1168" s="905"/>
      <c r="CO1168" s="905"/>
      <c r="CP1168" s="905"/>
      <c r="CQ1168" s="905"/>
      <c r="CR1168" s="905"/>
      <c r="CS1168" s="905"/>
      <c r="CT1168" s="905"/>
      <c r="CU1168" s="905"/>
      <c r="CV1168" s="905"/>
      <c r="CW1168" s="905"/>
      <c r="CX1168" s="905"/>
      <c r="CY1168" s="905"/>
      <c r="CZ1168" s="905"/>
      <c r="DA1168" s="905"/>
      <c r="DB1168" s="905"/>
      <c r="DC1168" s="905"/>
      <c r="DD1168" s="905"/>
      <c r="DE1168" s="905"/>
      <c r="DF1168" s="905"/>
      <c r="DG1168" s="905"/>
      <c r="DH1168" s="905"/>
      <c r="DI1168" s="905"/>
      <c r="DJ1168" s="905"/>
      <c r="DK1168" s="905"/>
      <c r="DL1168" s="905"/>
      <c r="DM1168" s="905"/>
      <c r="DN1168" s="905"/>
      <c r="DO1168" s="905"/>
      <c r="DP1168" s="905"/>
      <c r="DQ1168" s="905"/>
      <c r="DR1168" s="905"/>
      <c r="DS1168" s="905"/>
      <c r="DT1168" s="905"/>
      <c r="DU1168" s="905"/>
      <c r="DV1168" s="905"/>
      <c r="DW1168" s="905"/>
      <c r="DX1168" s="905"/>
      <c r="DY1168" s="905"/>
      <c r="DZ1168" s="905"/>
      <c r="EA1168" s="905"/>
      <c r="EB1168" s="905"/>
      <c r="EC1168" s="905"/>
      <c r="ED1168" s="905"/>
      <c r="EE1168" s="905"/>
      <c r="EF1168" s="905"/>
      <c r="EG1168" s="905"/>
      <c r="EH1168" s="905"/>
      <c r="EI1168" s="905"/>
      <c r="EJ1168" s="905"/>
      <c r="EK1168" s="905"/>
      <c r="EL1168" s="905"/>
      <c r="EM1168" s="905"/>
      <c r="EN1168" s="905"/>
      <c r="EO1168" s="905"/>
      <c r="EP1168" s="905"/>
      <c r="EQ1168" s="905"/>
      <c r="ER1168" s="905"/>
      <c r="ES1168" s="905"/>
      <c r="ET1168" s="905"/>
      <c r="EU1168" s="905"/>
      <c r="EV1168" s="905"/>
      <c r="EW1168" s="905"/>
      <c r="EX1168" s="905"/>
      <c r="EY1168" s="905"/>
      <c r="EZ1168" s="905"/>
      <c r="FA1168" s="905"/>
      <c r="FB1168" s="905"/>
      <c r="FC1168" s="905"/>
      <c r="FD1168" s="905"/>
      <c r="FE1168" s="905"/>
      <c r="FF1168" s="905"/>
      <c r="FG1168" s="905"/>
      <c r="FH1168" s="905"/>
      <c r="FI1168" s="905"/>
      <c r="FJ1168" s="905"/>
      <c r="FK1168" s="905"/>
      <c r="FL1168" s="905"/>
      <c r="FM1168" s="905"/>
      <c r="FN1168" s="905"/>
      <c r="FO1168" s="905"/>
      <c r="FP1168" s="905"/>
      <c r="FQ1168" s="905"/>
      <c r="FR1168" s="905"/>
      <c r="FS1168" s="905"/>
      <c r="FT1168" s="905"/>
      <c r="FU1168" s="905"/>
      <c r="FV1168" s="905"/>
      <c r="FW1168" s="905"/>
      <c r="FX1168" s="905"/>
      <c r="FY1168" s="905"/>
      <c r="FZ1168" s="905"/>
      <c r="GA1168" s="905"/>
      <c r="GB1168" s="905"/>
      <c r="GC1168" s="905"/>
      <c r="GD1168" s="905"/>
      <c r="GE1168" s="905"/>
      <c r="GF1168" s="905"/>
      <c r="GG1168" s="905"/>
      <c r="GH1168" s="905"/>
      <c r="GI1168" s="905"/>
      <c r="GJ1168" s="905"/>
      <c r="GK1168" s="905"/>
      <c r="GL1168" s="905"/>
      <c r="GM1168" s="905"/>
      <c r="GN1168" s="905"/>
      <c r="GO1168" s="905"/>
      <c r="GP1168" s="905"/>
      <c r="GQ1168" s="905"/>
      <c r="GR1168" s="905"/>
      <c r="GS1168" s="905"/>
      <c r="GT1168" s="905"/>
      <c r="GU1168" s="905"/>
      <c r="GV1168" s="905"/>
      <c r="GW1168" s="905"/>
      <c r="GX1168" s="905"/>
      <c r="GY1168" s="905"/>
      <c r="GZ1168" s="905"/>
      <c r="HA1168" s="905"/>
      <c r="HB1168" s="905"/>
      <c r="HC1168" s="905"/>
      <c r="HD1168" s="905"/>
      <c r="HE1168" s="905"/>
      <c r="HF1168" s="905"/>
      <c r="HG1168" s="905"/>
      <c r="HH1168" s="905"/>
      <c r="HI1168" s="905"/>
      <c r="HJ1168" s="905"/>
      <c r="HK1168" s="905"/>
      <c r="HL1168" s="905"/>
      <c r="HM1168" s="905"/>
      <c r="HN1168" s="905"/>
      <c r="HO1168" s="905"/>
      <c r="HP1168" s="905"/>
      <c r="HQ1168" s="905"/>
      <c r="HR1168" s="905"/>
      <c r="HS1168" s="905"/>
      <c r="HT1168" s="905"/>
      <c r="HU1168" s="905"/>
      <c r="HV1168" s="905"/>
      <c r="HW1168" s="905"/>
      <c r="HX1168" s="905"/>
      <c r="HY1168" s="905"/>
      <c r="HZ1168" s="905"/>
      <c r="IA1168" s="905"/>
      <c r="IB1168" s="905"/>
      <c r="IC1168" s="905"/>
      <c r="ID1168" s="905"/>
      <c r="IE1168" s="905"/>
      <c r="IF1168" s="905"/>
      <c r="IG1168" s="905"/>
      <c r="IH1168" s="905"/>
      <c r="II1168" s="905"/>
      <c r="IJ1168" s="905"/>
      <c r="IK1168" s="905"/>
      <c r="IL1168" s="905"/>
      <c r="IM1168" s="905"/>
      <c r="IN1168" s="905"/>
      <c r="IO1168" s="905"/>
      <c r="IP1168" s="905"/>
      <c r="IQ1168" s="905"/>
      <c r="IR1168" s="905"/>
      <c r="IS1168" s="905"/>
      <c r="IT1168" s="905"/>
      <c r="IU1168" s="905"/>
      <c r="IV1168" s="905"/>
      <c r="IW1168" s="905"/>
      <c r="IX1168" s="905"/>
      <c r="IY1168" s="905"/>
      <c r="IZ1168" s="905"/>
      <c r="JA1168" s="905"/>
      <c r="JB1168" s="905"/>
      <c r="JC1168" s="905"/>
      <c r="JD1168" s="905"/>
      <c r="JE1168" s="905"/>
      <c r="JF1168" s="905"/>
      <c r="JG1168" s="905"/>
      <c r="JH1168" s="905"/>
      <c r="JI1168" s="905"/>
      <c r="JJ1168" s="905"/>
      <c r="JK1168" s="905"/>
      <c r="JL1168" s="905"/>
      <c r="JM1168" s="905"/>
      <c r="JN1168" s="905"/>
      <c r="JO1168" s="905"/>
      <c r="JP1168" s="905"/>
      <c r="JQ1168" s="905"/>
      <c r="JR1168" s="905"/>
      <c r="JS1168" s="905"/>
      <c r="JT1168" s="905"/>
      <c r="JU1168" s="905"/>
      <c r="JV1168" s="905"/>
      <c r="JW1168" s="905"/>
      <c r="JX1168" s="905"/>
      <c r="JY1168" s="905"/>
      <c r="JZ1168" s="905"/>
      <c r="KA1168" s="905"/>
      <c r="KB1168" s="905"/>
      <c r="KC1168" s="905"/>
      <c r="KD1168" s="905"/>
      <c r="KE1168" s="905"/>
      <c r="KF1168" s="905"/>
      <c r="KG1168" s="905"/>
      <c r="KH1168" s="905"/>
      <c r="KI1168" s="905"/>
      <c r="KJ1168" s="905"/>
      <c r="KK1168" s="905"/>
      <c r="KL1168" s="905"/>
      <c r="KM1168" s="905"/>
      <c r="KN1168" s="905"/>
      <c r="KO1168" s="905"/>
      <c r="KP1168" s="905"/>
      <c r="KQ1168" s="905"/>
      <c r="KR1168" s="905"/>
      <c r="KS1168" s="905"/>
      <c r="KT1168" s="905"/>
      <c r="KU1168" s="905"/>
      <c r="KV1168" s="905"/>
      <c r="KW1168" s="905"/>
      <c r="KX1168" s="905"/>
      <c r="KY1168" s="905"/>
      <c r="KZ1168" s="905"/>
      <c r="LA1168" s="905"/>
      <c r="LB1168" s="905"/>
      <c r="LC1168" s="905"/>
      <c r="LD1168" s="905"/>
      <c r="LE1168" s="905"/>
      <c r="LF1168" s="905"/>
      <c r="LG1168" s="905"/>
      <c r="LH1168" s="905"/>
      <c r="LI1168" s="905"/>
      <c r="LJ1168" s="905"/>
      <c r="LK1168" s="905"/>
      <c r="LL1168" s="905"/>
      <c r="LM1168" s="905"/>
      <c r="LN1168" s="905"/>
      <c r="LO1168" s="905"/>
      <c r="LP1168" s="905"/>
      <c r="LQ1168" s="905"/>
      <c r="LR1168" s="905"/>
      <c r="LS1168" s="905"/>
      <c r="LT1168" s="905"/>
      <c r="LU1168" s="905"/>
      <c r="LV1168" s="905"/>
      <c r="LW1168" s="905"/>
      <c r="LX1168" s="905"/>
      <c r="LY1168" s="905"/>
      <c r="LZ1168" s="905"/>
      <c r="MA1168" s="905"/>
      <c r="MB1168" s="905"/>
      <c r="MC1168" s="905"/>
      <c r="MD1168" s="905"/>
      <c r="ME1168" s="905"/>
      <c r="MF1168" s="905"/>
      <c r="MG1168" s="905"/>
      <c r="MH1168" s="905"/>
      <c r="MI1168" s="905"/>
      <c r="MJ1168" s="905"/>
      <c r="MK1168" s="905"/>
      <c r="ML1168" s="905"/>
      <c r="MM1168" s="905"/>
      <c r="MN1168" s="905"/>
      <c r="MO1168" s="905"/>
      <c r="MP1168" s="905"/>
      <c r="MQ1168" s="905"/>
      <c r="MR1168" s="905"/>
      <c r="MS1168" s="905"/>
      <c r="MT1168" s="905"/>
      <c r="MU1168" s="905"/>
      <c r="MV1168" s="905"/>
      <c r="MW1168" s="905"/>
      <c r="MX1168" s="905"/>
      <c r="MY1168" s="905"/>
      <c r="MZ1168" s="905"/>
      <c r="NA1168" s="905"/>
      <c r="NB1168" s="905"/>
      <c r="NC1168" s="905"/>
      <c r="ND1168" s="905"/>
      <c r="NE1168" s="905"/>
      <c r="NF1168" s="905"/>
      <c r="NG1168" s="905"/>
      <c r="NH1168" s="905"/>
      <c r="NI1168" s="905"/>
      <c r="NJ1168" s="905"/>
      <c r="NK1168" s="905"/>
      <c r="NL1168" s="905"/>
      <c r="NM1168" s="905"/>
      <c r="NN1168" s="905"/>
      <c r="NO1168" s="905"/>
      <c r="NP1168" s="905"/>
      <c r="NQ1168" s="905"/>
      <c r="NR1168" s="905"/>
      <c r="NS1168" s="905"/>
      <c r="NT1168" s="905"/>
      <c r="NU1168" s="905"/>
      <c r="NV1168" s="905"/>
      <c r="NW1168" s="905"/>
      <c r="NX1168" s="905"/>
      <c r="NY1168" s="905"/>
      <c r="NZ1168" s="905"/>
      <c r="OA1168" s="905"/>
      <c r="OB1168" s="905"/>
      <c r="OC1168" s="905"/>
      <c r="OD1168" s="905"/>
      <c r="OE1168" s="905"/>
      <c r="OF1168" s="905"/>
      <c r="OG1168" s="905"/>
      <c r="OH1168" s="905"/>
      <c r="OI1168" s="905"/>
      <c r="OJ1168" s="905"/>
      <c r="OK1168" s="905"/>
      <c r="OL1168" s="905"/>
      <c r="OM1168" s="905"/>
      <c r="ON1168" s="905"/>
      <c r="OO1168" s="905"/>
      <c r="OP1168" s="905"/>
      <c r="OQ1168" s="905"/>
      <c r="OR1168" s="905"/>
      <c r="OS1168" s="905"/>
      <c r="OT1168" s="905"/>
      <c r="OU1168" s="905"/>
      <c r="OV1168" s="905"/>
      <c r="OW1168" s="905"/>
      <c r="OX1168" s="905"/>
      <c r="OY1168" s="905"/>
      <c r="OZ1168" s="905"/>
      <c r="PA1168" s="905"/>
      <c r="PB1168" s="905"/>
      <c r="PC1168" s="905"/>
      <c r="PD1168" s="905"/>
      <c r="PE1168" s="905"/>
      <c r="PF1168" s="905"/>
      <c r="PG1168" s="905"/>
      <c r="PH1168" s="905"/>
      <c r="PI1168" s="905"/>
      <c r="PJ1168" s="905"/>
      <c r="PK1168" s="905"/>
      <c r="PL1168" s="905"/>
      <c r="PM1168" s="905"/>
      <c r="PN1168" s="905"/>
      <c r="PO1168" s="905"/>
      <c r="PP1168" s="905"/>
      <c r="PQ1168" s="905"/>
      <c r="PR1168" s="905"/>
      <c r="PS1168" s="905"/>
      <c r="PT1168" s="905"/>
      <c r="PU1168" s="905"/>
      <c r="PV1168" s="905"/>
      <c r="PW1168" s="905"/>
      <c r="PX1168" s="905"/>
      <c r="PY1168" s="905"/>
      <c r="PZ1168" s="905"/>
      <c r="QA1168" s="905"/>
      <c r="QB1168" s="905"/>
      <c r="QC1168" s="905"/>
      <c r="QD1168" s="905"/>
      <c r="QE1168" s="905"/>
      <c r="QF1168" s="905"/>
      <c r="QG1168" s="905"/>
      <c r="QH1168" s="905"/>
      <c r="QI1168" s="905"/>
      <c r="QJ1168" s="905"/>
      <c r="QK1168" s="905"/>
      <c r="QL1168" s="905"/>
      <c r="QM1168" s="905"/>
      <c r="QN1168" s="905"/>
      <c r="QO1168" s="905"/>
      <c r="QP1168" s="905"/>
      <c r="QQ1168" s="905"/>
      <c r="QR1168" s="905"/>
      <c r="QS1168" s="905"/>
      <c r="QT1168" s="905"/>
      <c r="QU1168" s="905"/>
      <c r="QV1168" s="905"/>
      <c r="QW1168" s="905"/>
      <c r="QX1168" s="905"/>
      <c r="QY1168" s="905"/>
      <c r="QZ1168" s="905"/>
      <c r="RA1168" s="905"/>
      <c r="RB1168" s="905"/>
      <c r="RC1168" s="905"/>
      <c r="RD1168" s="905"/>
      <c r="RE1168" s="905"/>
      <c r="RF1168" s="905"/>
      <c r="RG1168" s="905"/>
      <c r="RH1168" s="905"/>
      <c r="RI1168" s="905"/>
      <c r="RJ1168" s="905"/>
      <c r="RK1168" s="905"/>
      <c r="RL1168" s="905"/>
      <c r="RM1168" s="905"/>
      <c r="RN1168" s="905"/>
      <c r="RO1168" s="905"/>
      <c r="RP1168" s="905"/>
      <c r="RQ1168" s="905"/>
      <c r="RR1168" s="905"/>
      <c r="RS1168" s="905"/>
      <c r="RT1168" s="905"/>
      <c r="RU1168" s="905"/>
      <c r="RV1168" s="905"/>
      <c r="RW1168" s="905"/>
      <c r="RX1168" s="905"/>
      <c r="RY1168" s="905"/>
      <c r="RZ1168" s="905"/>
      <c r="SA1168" s="905"/>
      <c r="SB1168" s="905"/>
      <c r="SC1168" s="905"/>
      <c r="SD1168" s="905"/>
      <c r="SE1168" s="905"/>
      <c r="SF1168" s="905"/>
      <c r="SG1168" s="905"/>
      <c r="SH1168" s="905"/>
      <c r="SI1168" s="905"/>
      <c r="SJ1168" s="905"/>
      <c r="SK1168" s="905"/>
      <c r="SL1168" s="905"/>
      <c r="SM1168" s="905"/>
      <c r="SN1168" s="905"/>
      <c r="SO1168" s="905"/>
      <c r="SP1168" s="905"/>
      <c r="SQ1168" s="905"/>
      <c r="SR1168" s="905"/>
      <c r="SS1168" s="905"/>
      <c r="ST1168" s="905"/>
      <c r="SU1168" s="905"/>
      <c r="SV1168" s="905"/>
      <c r="SW1168" s="905"/>
      <c r="SX1168" s="905"/>
      <c r="SY1168" s="905"/>
      <c r="SZ1168" s="905"/>
      <c r="TA1168" s="905"/>
      <c r="TB1168" s="905"/>
      <c r="TC1168" s="905"/>
      <c r="TD1168" s="905"/>
      <c r="TE1168" s="905"/>
      <c r="TF1168" s="905"/>
      <c r="TG1168" s="905"/>
      <c r="TH1168" s="905"/>
      <c r="TI1168" s="905"/>
      <c r="TJ1168" s="905"/>
      <c r="TK1168" s="905"/>
      <c r="TL1168" s="905"/>
      <c r="TM1168" s="905"/>
      <c r="TN1168" s="905"/>
      <c r="TO1168" s="905"/>
      <c r="TP1168" s="905"/>
      <c r="TQ1168" s="905"/>
      <c r="TR1168" s="905"/>
      <c r="TS1168" s="905"/>
      <c r="TT1168" s="905"/>
      <c r="TU1168" s="905"/>
      <c r="TV1168" s="905"/>
      <c r="TW1168" s="905"/>
      <c r="TX1168" s="905"/>
      <c r="TY1168" s="905"/>
      <c r="TZ1168" s="905"/>
      <c r="UA1168" s="905"/>
      <c r="UB1168" s="905"/>
      <c r="UC1168" s="905"/>
      <c r="UD1168" s="905"/>
      <c r="UE1168" s="905"/>
      <c r="UF1168" s="905"/>
      <c r="UG1168" s="905"/>
      <c r="UH1168" s="905"/>
      <c r="UI1168" s="905"/>
      <c r="UJ1168" s="905"/>
      <c r="UK1168" s="905"/>
      <c r="UL1168" s="905"/>
      <c r="UM1168" s="905"/>
      <c r="UN1168" s="905"/>
      <c r="UO1168" s="905"/>
      <c r="UP1168" s="905"/>
      <c r="UQ1168" s="905"/>
      <c r="UR1168" s="905"/>
      <c r="US1168" s="905"/>
      <c r="UT1168" s="905"/>
      <c r="UU1168" s="905"/>
      <c r="UV1168" s="905"/>
      <c r="UW1168" s="905"/>
      <c r="UX1168" s="905"/>
      <c r="UY1168" s="905"/>
      <c r="UZ1168" s="905"/>
      <c r="VA1168" s="905"/>
      <c r="VB1168" s="905"/>
      <c r="VC1168" s="905"/>
      <c r="VD1168" s="905"/>
      <c r="VE1168" s="905"/>
      <c r="VF1168" s="905"/>
      <c r="VG1168" s="905"/>
      <c r="VH1168" s="905"/>
      <c r="VI1168" s="905"/>
      <c r="VJ1168" s="905"/>
      <c r="VK1168" s="905"/>
      <c r="VL1168" s="905"/>
      <c r="VM1168" s="905"/>
      <c r="VN1168" s="905"/>
      <c r="VO1168" s="905"/>
      <c r="VP1168" s="905"/>
      <c r="VQ1168" s="905"/>
      <c r="VR1168" s="905"/>
      <c r="VS1168" s="905"/>
      <c r="VT1168" s="905"/>
      <c r="VU1168" s="905"/>
      <c r="VV1168" s="905"/>
      <c r="VW1168" s="905"/>
      <c r="VX1168" s="905"/>
      <c r="VY1168" s="905"/>
      <c r="VZ1168" s="905"/>
      <c r="WA1168" s="905"/>
      <c r="WB1168" s="905"/>
      <c r="WC1168" s="905"/>
      <c r="WD1168" s="905"/>
      <c r="WE1168" s="905"/>
      <c r="WF1168" s="905"/>
      <c r="WG1168" s="905"/>
      <c r="WH1168" s="905"/>
      <c r="WI1168" s="905"/>
      <c r="WJ1168" s="905"/>
      <c r="WK1168" s="905"/>
      <c r="WL1168" s="905"/>
      <c r="WM1168" s="905"/>
      <c r="WN1168" s="905"/>
      <c r="WO1168" s="905"/>
      <c r="WP1168" s="905"/>
      <c r="WQ1168" s="905"/>
      <c r="WR1168" s="905"/>
      <c r="WS1168" s="905"/>
      <c r="WT1168" s="905"/>
      <c r="WU1168" s="905"/>
      <c r="WV1168" s="905"/>
      <c r="WW1168" s="905"/>
      <c r="WX1168" s="905"/>
      <c r="WY1168" s="905"/>
      <c r="WZ1168" s="905"/>
      <c r="XA1168" s="905"/>
      <c r="XB1168" s="905"/>
      <c r="XC1168" s="905"/>
      <c r="XD1168" s="905"/>
      <c r="XE1168" s="905"/>
      <c r="XF1168" s="905"/>
      <c r="XG1168" s="905"/>
      <c r="XH1168" s="905"/>
      <c r="XI1168" s="905"/>
      <c r="XJ1168" s="905"/>
      <c r="XK1168" s="905"/>
      <c r="XL1168" s="905"/>
      <c r="XM1168" s="905"/>
      <c r="XN1168" s="905"/>
      <c r="XO1168" s="905"/>
      <c r="XP1168" s="905"/>
      <c r="XQ1168" s="905"/>
      <c r="XR1168" s="905"/>
      <c r="XS1168" s="905"/>
      <c r="XT1168" s="905"/>
      <c r="XU1168" s="905"/>
      <c r="XV1168" s="905"/>
      <c r="XW1168" s="905"/>
      <c r="XX1168" s="905"/>
      <c r="XY1168" s="905"/>
      <c r="XZ1168" s="905"/>
      <c r="YA1168" s="905"/>
      <c r="YB1168" s="905"/>
      <c r="YC1168" s="905"/>
      <c r="YD1168" s="905"/>
      <c r="YE1168" s="905"/>
      <c r="YF1168" s="905"/>
      <c r="YG1168" s="905"/>
      <c r="YH1168" s="905"/>
      <c r="YI1168" s="905"/>
      <c r="YJ1168" s="905"/>
      <c r="YK1168" s="905"/>
      <c r="YL1168" s="905"/>
      <c r="YM1168" s="905"/>
      <c r="YN1168" s="905"/>
      <c r="YO1168" s="905"/>
      <c r="YP1168" s="905"/>
      <c r="YQ1168" s="905"/>
      <c r="YR1168" s="905"/>
      <c r="YS1168" s="905"/>
      <c r="YT1168" s="905"/>
      <c r="YU1168" s="905"/>
      <c r="YV1168" s="905"/>
      <c r="YW1168" s="905"/>
      <c r="YX1168" s="905"/>
      <c r="YY1168" s="905"/>
      <c r="YZ1168" s="905"/>
      <c r="ZA1168" s="905"/>
      <c r="ZB1168" s="905"/>
      <c r="ZC1168" s="905"/>
      <c r="ZD1168" s="905"/>
      <c r="ZE1168" s="905"/>
      <c r="ZF1168" s="905"/>
      <c r="ZG1168" s="905"/>
      <c r="ZH1168" s="905"/>
      <c r="ZI1168" s="905"/>
      <c r="ZJ1168" s="905"/>
      <c r="ZK1168" s="905"/>
      <c r="ZL1168" s="905"/>
      <c r="ZM1168" s="905"/>
      <c r="ZN1168" s="905"/>
      <c r="ZO1168" s="905"/>
      <c r="ZP1168" s="905"/>
      <c r="ZQ1168" s="905"/>
      <c r="ZR1168" s="905"/>
      <c r="ZS1168" s="905"/>
      <c r="ZT1168" s="905"/>
      <c r="ZU1168" s="905"/>
      <c r="ZV1168" s="905"/>
      <c r="ZW1168" s="905"/>
      <c r="ZX1168" s="905"/>
      <c r="ZY1168" s="905"/>
      <c r="ZZ1168" s="905"/>
      <c r="AAA1168" s="905"/>
      <c r="AAB1168" s="905"/>
      <c r="AAC1168" s="905"/>
      <c r="AAD1168" s="905"/>
      <c r="AAE1168" s="905"/>
      <c r="AAF1168" s="905"/>
      <c r="AAG1168" s="905"/>
      <c r="AAH1168" s="905"/>
      <c r="AAI1168" s="905"/>
      <c r="AAJ1168" s="905"/>
      <c r="AAK1168" s="905"/>
      <c r="AAL1168" s="905"/>
      <c r="AAM1168" s="905"/>
      <c r="AAN1168" s="905"/>
      <c r="AAO1168" s="905"/>
      <c r="AAP1168" s="905"/>
      <c r="AAQ1168" s="905"/>
      <c r="AAR1168" s="905"/>
      <c r="AAS1168" s="905"/>
      <c r="AAT1168" s="905"/>
      <c r="AAU1168" s="905"/>
      <c r="AAV1168" s="905"/>
      <c r="AAW1168" s="905"/>
      <c r="AAX1168" s="905"/>
      <c r="AAY1168" s="905"/>
      <c r="AAZ1168" s="905"/>
      <c r="ABA1168" s="905"/>
      <c r="ABB1168" s="905"/>
      <c r="ABC1168" s="905"/>
      <c r="ABD1168" s="905"/>
      <c r="ABE1168" s="905"/>
      <c r="ABF1168" s="905"/>
      <c r="ABG1168" s="905"/>
      <c r="ABH1168" s="905"/>
      <c r="ABI1168" s="905"/>
      <c r="ABJ1168" s="905"/>
      <c r="ABK1168" s="905"/>
      <c r="ABL1168" s="905"/>
      <c r="ABM1168" s="905"/>
      <c r="ABN1168" s="905"/>
      <c r="ABO1168" s="905"/>
      <c r="ABP1168" s="905"/>
      <c r="ABQ1168" s="905"/>
      <c r="ABR1168" s="905"/>
      <c r="ABS1168" s="905"/>
      <c r="ABT1168" s="905"/>
      <c r="ABU1168" s="905"/>
      <c r="ABV1168" s="905"/>
      <c r="ABW1168" s="905"/>
      <c r="ABX1168" s="905"/>
      <c r="ABY1168" s="905"/>
      <c r="ABZ1168" s="905"/>
      <c r="ACA1168" s="905"/>
      <c r="ACB1168" s="905"/>
      <c r="ACC1168" s="905"/>
      <c r="ACD1168" s="905"/>
      <c r="ACE1168" s="905"/>
      <c r="ACF1168" s="905"/>
      <c r="ACG1168" s="905"/>
      <c r="ACH1168" s="905"/>
      <c r="ACI1168" s="905"/>
      <c r="ACJ1168" s="905"/>
      <c r="ACK1168" s="905"/>
      <c r="ACL1168" s="905"/>
      <c r="ACM1168" s="905"/>
      <c r="ACN1168" s="905"/>
      <c r="ACO1168" s="905"/>
      <c r="ACP1168" s="905"/>
      <c r="ACQ1168" s="905"/>
      <c r="ACR1168" s="905"/>
      <c r="ACS1168" s="905"/>
      <c r="ACT1168" s="905"/>
      <c r="ACU1168" s="905"/>
      <c r="ACV1168" s="905"/>
      <c r="ACW1168" s="905"/>
      <c r="ACX1168" s="905"/>
      <c r="ACY1168" s="905"/>
      <c r="ACZ1168" s="905"/>
      <c r="ADA1168" s="905"/>
      <c r="ADB1168" s="905"/>
      <c r="ADC1168" s="905"/>
      <c r="ADD1168" s="905"/>
      <c r="ADE1168" s="905"/>
      <c r="ADF1168" s="905"/>
      <c r="ADG1168" s="905"/>
      <c r="ADH1168" s="905"/>
      <c r="ADI1168" s="905"/>
      <c r="ADJ1168" s="905"/>
      <c r="ADK1168" s="905"/>
      <c r="ADL1168" s="905"/>
      <c r="ADM1168" s="905"/>
      <c r="ADN1168" s="905"/>
      <c r="ADO1168" s="905"/>
      <c r="ADP1168" s="905"/>
      <c r="ADQ1168" s="905"/>
      <c r="ADR1168" s="905"/>
      <c r="ADS1168" s="905"/>
      <c r="ADT1168" s="905"/>
      <c r="ADU1168" s="905"/>
      <c r="ADV1168" s="905"/>
      <c r="ADW1168" s="905"/>
      <c r="ADX1168" s="905"/>
      <c r="ADY1168" s="905"/>
      <c r="ADZ1168" s="905"/>
      <c r="AEA1168" s="905"/>
      <c r="AEB1168" s="905"/>
      <c r="AEC1168" s="905"/>
      <c r="AED1168" s="905"/>
      <c r="AEE1168" s="905"/>
      <c r="AEF1168" s="905"/>
      <c r="AEG1168" s="905"/>
      <c r="AEH1168" s="905"/>
      <c r="AEI1168" s="905"/>
      <c r="AEJ1168" s="905"/>
      <c r="AEK1168" s="905"/>
      <c r="AEL1168" s="905"/>
      <c r="AEM1168" s="905"/>
      <c r="AEN1168" s="905"/>
      <c r="AEO1168" s="905"/>
      <c r="AEP1168" s="905"/>
      <c r="AEQ1168" s="905"/>
      <c r="AER1168" s="905"/>
      <c r="AES1168" s="905"/>
      <c r="AET1168" s="905"/>
      <c r="AEU1168" s="905"/>
      <c r="AEV1168" s="905"/>
      <c r="AEW1168" s="905"/>
      <c r="AEX1168" s="905"/>
      <c r="AEY1168" s="905"/>
      <c r="AEZ1168" s="905"/>
      <c r="AFA1168" s="905"/>
      <c r="AFB1168" s="905"/>
      <c r="AFC1168" s="905"/>
      <c r="AFD1168" s="905"/>
      <c r="AFE1168" s="905"/>
      <c r="AFF1168" s="905"/>
      <c r="AFG1168" s="905"/>
      <c r="AFH1168" s="905"/>
      <c r="AFI1168" s="905"/>
      <c r="AFJ1168" s="905"/>
      <c r="AFK1168" s="905"/>
      <c r="AFL1168" s="905"/>
      <c r="AFM1168" s="905"/>
      <c r="AFN1168" s="905"/>
      <c r="AFO1168" s="905"/>
      <c r="AFP1168" s="905"/>
      <c r="AFQ1168" s="905"/>
      <c r="AFR1168" s="905"/>
      <c r="AFS1168" s="905"/>
      <c r="AFT1168" s="905"/>
      <c r="AFU1168" s="905"/>
      <c r="AFV1168" s="905"/>
      <c r="AFW1168" s="905"/>
      <c r="AFX1168" s="905"/>
      <c r="AFY1168" s="905"/>
      <c r="AFZ1168" s="905"/>
      <c r="AGA1168" s="905"/>
      <c r="AGB1168" s="905"/>
      <c r="AGC1168" s="905"/>
      <c r="AGD1168" s="905"/>
      <c r="AGE1168" s="905"/>
      <c r="AGF1168" s="905"/>
      <c r="AGG1168" s="905"/>
      <c r="AGH1168" s="905"/>
      <c r="AGI1168" s="905"/>
      <c r="AGJ1168" s="905"/>
    </row>
    <row r="1169" spans="1:868" s="898" customFormat="1">
      <c r="A1169" s="898" t="str">
        <f>Clothing!A364</f>
        <v>Clothing (product sector)</v>
      </c>
      <c r="B1169" s="898" t="str">
        <f>Clothing!B364</f>
        <v>Closed-toed shoes</v>
      </c>
      <c r="C1169" s="898" t="str">
        <f>Clothing!C364</f>
        <v>NL</v>
      </c>
      <c r="D1169" s="898" t="str">
        <f>Clothing!D364</f>
        <v>PA</v>
      </c>
      <c r="E1169" s="901">
        <f>Clothing!E364</f>
        <v>7.85221061171269E-2</v>
      </c>
      <c r="F1169" s="898">
        <f>Clothing!F364</f>
        <v>1</v>
      </c>
      <c r="G1169" s="898" t="str">
        <f>Clothing!G364</f>
        <v>https://eeb.org/library/draft-product-environmental-footprint-category-rules-pefcr-apparel-and-footwear/</v>
      </c>
      <c r="H1169" s="902">
        <f>Clothing!H364</f>
        <v>2</v>
      </c>
      <c r="I1169" s="902" t="str">
        <f>Clothing!I364</f>
        <v/>
      </c>
      <c r="J1169" s="902">
        <f>Clothing!J364</f>
        <v>2</v>
      </c>
      <c r="K1169" s="902">
        <f>Clothing!K364</f>
        <v>1</v>
      </c>
      <c r="L1169" s="902">
        <f>Clothing!L364</f>
        <v>2</v>
      </c>
      <c r="M1169" s="902">
        <f>Clothing!M364</f>
        <v>3</v>
      </c>
      <c r="N1169" s="185">
        <f t="shared" si="89"/>
        <v>1.0301997916669636</v>
      </c>
      <c r="O1169" s="159" t="e">
        <f t="shared" si="90"/>
        <v>#VALUE!</v>
      </c>
      <c r="Q1169" s="905"/>
      <c r="R1169" s="905"/>
      <c r="S1169" s="905"/>
      <c r="T1169" s="905"/>
      <c r="U1169" s="905"/>
      <c r="V1169" s="905"/>
      <c r="W1169" s="905"/>
      <c r="X1169" s="905"/>
      <c r="Y1169" s="905"/>
      <c r="Z1169" s="905"/>
      <c r="AA1169" s="905"/>
      <c r="AB1169" s="905"/>
      <c r="AC1169" s="905"/>
      <c r="AD1169" s="905"/>
      <c r="AE1169" s="905"/>
      <c r="AF1169" s="905"/>
      <c r="AG1169" s="905"/>
      <c r="AH1169" s="905"/>
      <c r="AI1169" s="905"/>
      <c r="AJ1169" s="905"/>
      <c r="AK1169" s="905"/>
      <c r="AL1169" s="905"/>
      <c r="AM1169" s="905"/>
      <c r="AN1169" s="905"/>
      <c r="AO1169" s="905"/>
      <c r="AP1169" s="905"/>
      <c r="AQ1169" s="905"/>
      <c r="AR1169" s="905"/>
      <c r="AS1169" s="905"/>
      <c r="AT1169" s="905"/>
      <c r="AU1169" s="905"/>
      <c r="AV1169" s="905"/>
      <c r="AW1169" s="905"/>
      <c r="AX1169" s="905"/>
      <c r="AY1169" s="905"/>
      <c r="AZ1169" s="905"/>
      <c r="BA1169" s="905"/>
      <c r="BB1169" s="905"/>
      <c r="BC1169" s="905"/>
      <c r="BD1169" s="905"/>
      <c r="BE1169" s="905"/>
      <c r="BF1169" s="905"/>
      <c r="BG1169" s="905"/>
      <c r="BH1169" s="905"/>
      <c r="BI1169" s="905"/>
      <c r="BJ1169" s="905"/>
      <c r="BK1169" s="905"/>
      <c r="BL1169" s="905"/>
      <c r="BM1169" s="905"/>
      <c r="BN1169" s="905"/>
      <c r="BO1169" s="905"/>
      <c r="BP1169" s="905"/>
      <c r="BQ1169" s="905"/>
      <c r="BR1169" s="905"/>
      <c r="BS1169" s="905"/>
      <c r="BT1169" s="905"/>
      <c r="BU1169" s="905"/>
      <c r="BV1169" s="905"/>
      <c r="BW1169" s="905"/>
      <c r="BX1169" s="905"/>
      <c r="BY1169" s="905"/>
      <c r="BZ1169" s="905"/>
      <c r="CA1169" s="905"/>
      <c r="CB1169" s="905"/>
      <c r="CC1169" s="905"/>
      <c r="CD1169" s="905"/>
      <c r="CE1169" s="905"/>
      <c r="CF1169" s="905"/>
      <c r="CG1169" s="905"/>
      <c r="CH1169" s="905"/>
      <c r="CI1169" s="905"/>
      <c r="CJ1169" s="905"/>
      <c r="CK1169" s="905"/>
      <c r="CL1169" s="905"/>
      <c r="CM1169" s="905"/>
      <c r="CN1169" s="905"/>
      <c r="CO1169" s="905"/>
      <c r="CP1169" s="905"/>
      <c r="CQ1169" s="905"/>
      <c r="CR1169" s="905"/>
      <c r="CS1169" s="905"/>
      <c r="CT1169" s="905"/>
      <c r="CU1169" s="905"/>
      <c r="CV1169" s="905"/>
      <c r="CW1169" s="905"/>
      <c r="CX1169" s="905"/>
      <c r="CY1169" s="905"/>
      <c r="CZ1169" s="905"/>
      <c r="DA1169" s="905"/>
      <c r="DB1169" s="905"/>
      <c r="DC1169" s="905"/>
      <c r="DD1169" s="905"/>
      <c r="DE1169" s="905"/>
      <c r="DF1169" s="905"/>
      <c r="DG1169" s="905"/>
      <c r="DH1169" s="905"/>
      <c r="DI1169" s="905"/>
      <c r="DJ1169" s="905"/>
      <c r="DK1169" s="905"/>
      <c r="DL1169" s="905"/>
      <c r="DM1169" s="905"/>
      <c r="DN1169" s="905"/>
      <c r="DO1169" s="905"/>
      <c r="DP1169" s="905"/>
      <c r="DQ1169" s="905"/>
      <c r="DR1169" s="905"/>
      <c r="DS1169" s="905"/>
      <c r="DT1169" s="905"/>
      <c r="DU1169" s="905"/>
      <c r="DV1169" s="905"/>
      <c r="DW1169" s="905"/>
      <c r="DX1169" s="905"/>
      <c r="DY1169" s="905"/>
      <c r="DZ1169" s="905"/>
      <c r="EA1169" s="905"/>
      <c r="EB1169" s="905"/>
      <c r="EC1169" s="905"/>
      <c r="ED1169" s="905"/>
      <c r="EE1169" s="905"/>
      <c r="EF1169" s="905"/>
      <c r="EG1169" s="905"/>
      <c r="EH1169" s="905"/>
      <c r="EI1169" s="905"/>
      <c r="EJ1169" s="905"/>
      <c r="EK1169" s="905"/>
      <c r="EL1169" s="905"/>
      <c r="EM1169" s="905"/>
      <c r="EN1169" s="905"/>
      <c r="EO1169" s="905"/>
      <c r="EP1169" s="905"/>
      <c r="EQ1169" s="905"/>
      <c r="ER1169" s="905"/>
      <c r="ES1169" s="905"/>
      <c r="ET1169" s="905"/>
      <c r="EU1169" s="905"/>
      <c r="EV1169" s="905"/>
      <c r="EW1169" s="905"/>
      <c r="EX1169" s="905"/>
      <c r="EY1169" s="905"/>
      <c r="EZ1169" s="905"/>
      <c r="FA1169" s="905"/>
      <c r="FB1169" s="905"/>
      <c r="FC1169" s="905"/>
      <c r="FD1169" s="905"/>
      <c r="FE1169" s="905"/>
      <c r="FF1169" s="905"/>
      <c r="FG1169" s="905"/>
      <c r="FH1169" s="905"/>
      <c r="FI1169" s="905"/>
      <c r="FJ1169" s="905"/>
      <c r="FK1169" s="905"/>
      <c r="FL1169" s="905"/>
      <c r="FM1169" s="905"/>
      <c r="FN1169" s="905"/>
      <c r="FO1169" s="905"/>
      <c r="FP1169" s="905"/>
      <c r="FQ1169" s="905"/>
      <c r="FR1169" s="905"/>
      <c r="FS1169" s="905"/>
      <c r="FT1169" s="905"/>
      <c r="FU1169" s="905"/>
      <c r="FV1169" s="905"/>
      <c r="FW1169" s="905"/>
      <c r="FX1169" s="905"/>
      <c r="FY1169" s="905"/>
      <c r="FZ1169" s="905"/>
      <c r="GA1169" s="905"/>
      <c r="GB1169" s="905"/>
      <c r="GC1169" s="905"/>
      <c r="GD1169" s="905"/>
      <c r="GE1169" s="905"/>
      <c r="GF1169" s="905"/>
      <c r="GG1169" s="905"/>
      <c r="GH1169" s="905"/>
      <c r="GI1169" s="905"/>
      <c r="GJ1169" s="905"/>
      <c r="GK1169" s="905"/>
      <c r="GL1169" s="905"/>
      <c r="GM1169" s="905"/>
      <c r="GN1169" s="905"/>
      <c r="GO1169" s="905"/>
      <c r="GP1169" s="905"/>
      <c r="GQ1169" s="905"/>
      <c r="GR1169" s="905"/>
      <c r="GS1169" s="905"/>
      <c r="GT1169" s="905"/>
      <c r="GU1169" s="905"/>
      <c r="GV1169" s="905"/>
      <c r="GW1169" s="905"/>
      <c r="GX1169" s="905"/>
      <c r="GY1169" s="905"/>
      <c r="GZ1169" s="905"/>
      <c r="HA1169" s="905"/>
      <c r="HB1169" s="905"/>
      <c r="HC1169" s="905"/>
      <c r="HD1169" s="905"/>
      <c r="HE1169" s="905"/>
      <c r="HF1169" s="905"/>
      <c r="HG1169" s="905"/>
      <c r="HH1169" s="905"/>
      <c r="HI1169" s="905"/>
      <c r="HJ1169" s="905"/>
      <c r="HK1169" s="905"/>
      <c r="HL1169" s="905"/>
      <c r="HM1169" s="905"/>
      <c r="HN1169" s="905"/>
      <c r="HO1169" s="905"/>
      <c r="HP1169" s="905"/>
      <c r="HQ1169" s="905"/>
      <c r="HR1169" s="905"/>
      <c r="HS1169" s="905"/>
      <c r="HT1169" s="905"/>
      <c r="HU1169" s="905"/>
      <c r="HV1169" s="905"/>
      <c r="HW1169" s="905"/>
      <c r="HX1169" s="905"/>
      <c r="HY1169" s="905"/>
      <c r="HZ1169" s="905"/>
      <c r="IA1169" s="905"/>
      <c r="IB1169" s="905"/>
      <c r="IC1169" s="905"/>
      <c r="ID1169" s="905"/>
      <c r="IE1169" s="905"/>
      <c r="IF1169" s="905"/>
      <c r="IG1169" s="905"/>
      <c r="IH1169" s="905"/>
      <c r="II1169" s="905"/>
      <c r="IJ1169" s="905"/>
      <c r="IK1169" s="905"/>
      <c r="IL1169" s="905"/>
      <c r="IM1169" s="905"/>
      <c r="IN1169" s="905"/>
      <c r="IO1169" s="905"/>
      <c r="IP1169" s="905"/>
      <c r="IQ1169" s="905"/>
      <c r="IR1169" s="905"/>
      <c r="IS1169" s="905"/>
      <c r="IT1169" s="905"/>
      <c r="IU1169" s="905"/>
      <c r="IV1169" s="905"/>
      <c r="IW1169" s="905"/>
      <c r="IX1169" s="905"/>
      <c r="IY1169" s="905"/>
      <c r="IZ1169" s="905"/>
      <c r="JA1169" s="905"/>
      <c r="JB1169" s="905"/>
      <c r="JC1169" s="905"/>
      <c r="JD1169" s="905"/>
      <c r="JE1169" s="905"/>
      <c r="JF1169" s="905"/>
      <c r="JG1169" s="905"/>
      <c r="JH1169" s="905"/>
      <c r="JI1169" s="905"/>
      <c r="JJ1169" s="905"/>
      <c r="JK1169" s="905"/>
      <c r="JL1169" s="905"/>
      <c r="JM1169" s="905"/>
      <c r="JN1169" s="905"/>
      <c r="JO1169" s="905"/>
      <c r="JP1169" s="905"/>
      <c r="JQ1169" s="905"/>
      <c r="JR1169" s="905"/>
      <c r="JS1169" s="905"/>
      <c r="JT1169" s="905"/>
      <c r="JU1169" s="905"/>
      <c r="JV1169" s="905"/>
      <c r="JW1169" s="905"/>
      <c r="JX1169" s="905"/>
      <c r="JY1169" s="905"/>
      <c r="JZ1169" s="905"/>
      <c r="KA1169" s="905"/>
      <c r="KB1169" s="905"/>
      <c r="KC1169" s="905"/>
      <c r="KD1169" s="905"/>
      <c r="KE1169" s="905"/>
      <c r="KF1169" s="905"/>
      <c r="KG1169" s="905"/>
      <c r="KH1169" s="905"/>
      <c r="KI1169" s="905"/>
      <c r="KJ1169" s="905"/>
      <c r="KK1169" s="905"/>
      <c r="KL1169" s="905"/>
      <c r="KM1169" s="905"/>
      <c r="KN1169" s="905"/>
      <c r="KO1169" s="905"/>
      <c r="KP1169" s="905"/>
      <c r="KQ1169" s="905"/>
      <c r="KR1169" s="905"/>
      <c r="KS1169" s="905"/>
      <c r="KT1169" s="905"/>
      <c r="KU1169" s="905"/>
      <c r="KV1169" s="905"/>
      <c r="KW1169" s="905"/>
      <c r="KX1169" s="905"/>
      <c r="KY1169" s="905"/>
      <c r="KZ1169" s="905"/>
      <c r="LA1169" s="905"/>
      <c r="LB1169" s="905"/>
      <c r="LC1169" s="905"/>
      <c r="LD1169" s="905"/>
      <c r="LE1169" s="905"/>
      <c r="LF1169" s="905"/>
      <c r="LG1169" s="905"/>
      <c r="LH1169" s="905"/>
      <c r="LI1169" s="905"/>
      <c r="LJ1169" s="905"/>
      <c r="LK1169" s="905"/>
      <c r="LL1169" s="905"/>
      <c r="LM1169" s="905"/>
      <c r="LN1169" s="905"/>
      <c r="LO1169" s="905"/>
      <c r="LP1169" s="905"/>
      <c r="LQ1169" s="905"/>
      <c r="LR1169" s="905"/>
      <c r="LS1169" s="905"/>
      <c r="LT1169" s="905"/>
      <c r="LU1169" s="905"/>
      <c r="LV1169" s="905"/>
      <c r="LW1169" s="905"/>
      <c r="LX1169" s="905"/>
      <c r="LY1169" s="905"/>
      <c r="LZ1169" s="905"/>
      <c r="MA1169" s="905"/>
      <c r="MB1169" s="905"/>
      <c r="MC1169" s="905"/>
      <c r="MD1169" s="905"/>
      <c r="ME1169" s="905"/>
      <c r="MF1169" s="905"/>
      <c r="MG1169" s="905"/>
      <c r="MH1169" s="905"/>
      <c r="MI1169" s="905"/>
      <c r="MJ1169" s="905"/>
      <c r="MK1169" s="905"/>
      <c r="ML1169" s="905"/>
      <c r="MM1169" s="905"/>
      <c r="MN1169" s="905"/>
      <c r="MO1169" s="905"/>
      <c r="MP1169" s="905"/>
      <c r="MQ1169" s="905"/>
      <c r="MR1169" s="905"/>
      <c r="MS1169" s="905"/>
      <c r="MT1169" s="905"/>
      <c r="MU1169" s="905"/>
      <c r="MV1169" s="905"/>
      <c r="MW1169" s="905"/>
      <c r="MX1169" s="905"/>
      <c r="MY1169" s="905"/>
      <c r="MZ1169" s="905"/>
      <c r="NA1169" s="905"/>
      <c r="NB1169" s="905"/>
      <c r="NC1169" s="905"/>
      <c r="ND1169" s="905"/>
      <c r="NE1169" s="905"/>
      <c r="NF1169" s="905"/>
      <c r="NG1169" s="905"/>
      <c r="NH1169" s="905"/>
      <c r="NI1169" s="905"/>
      <c r="NJ1169" s="905"/>
      <c r="NK1169" s="905"/>
      <c r="NL1169" s="905"/>
      <c r="NM1169" s="905"/>
      <c r="NN1169" s="905"/>
      <c r="NO1169" s="905"/>
      <c r="NP1169" s="905"/>
      <c r="NQ1169" s="905"/>
      <c r="NR1169" s="905"/>
      <c r="NS1169" s="905"/>
      <c r="NT1169" s="905"/>
      <c r="NU1169" s="905"/>
      <c r="NV1169" s="905"/>
      <c r="NW1169" s="905"/>
      <c r="NX1169" s="905"/>
      <c r="NY1169" s="905"/>
      <c r="NZ1169" s="905"/>
      <c r="OA1169" s="905"/>
      <c r="OB1169" s="905"/>
      <c r="OC1169" s="905"/>
      <c r="OD1169" s="905"/>
      <c r="OE1169" s="905"/>
      <c r="OF1169" s="905"/>
      <c r="OG1169" s="905"/>
      <c r="OH1169" s="905"/>
      <c r="OI1169" s="905"/>
      <c r="OJ1169" s="905"/>
      <c r="OK1169" s="905"/>
      <c r="OL1169" s="905"/>
      <c r="OM1169" s="905"/>
      <c r="ON1169" s="905"/>
      <c r="OO1169" s="905"/>
      <c r="OP1169" s="905"/>
      <c r="OQ1169" s="905"/>
      <c r="OR1169" s="905"/>
      <c r="OS1169" s="905"/>
      <c r="OT1169" s="905"/>
      <c r="OU1169" s="905"/>
      <c r="OV1169" s="905"/>
      <c r="OW1169" s="905"/>
      <c r="OX1169" s="905"/>
      <c r="OY1169" s="905"/>
      <c r="OZ1169" s="905"/>
      <c r="PA1169" s="905"/>
      <c r="PB1169" s="905"/>
      <c r="PC1169" s="905"/>
      <c r="PD1169" s="905"/>
      <c r="PE1169" s="905"/>
      <c r="PF1169" s="905"/>
      <c r="PG1169" s="905"/>
      <c r="PH1169" s="905"/>
      <c r="PI1169" s="905"/>
      <c r="PJ1169" s="905"/>
      <c r="PK1169" s="905"/>
      <c r="PL1169" s="905"/>
      <c r="PM1169" s="905"/>
      <c r="PN1169" s="905"/>
      <c r="PO1169" s="905"/>
      <c r="PP1169" s="905"/>
      <c r="PQ1169" s="905"/>
      <c r="PR1169" s="905"/>
      <c r="PS1169" s="905"/>
      <c r="PT1169" s="905"/>
      <c r="PU1169" s="905"/>
      <c r="PV1169" s="905"/>
      <c r="PW1169" s="905"/>
      <c r="PX1169" s="905"/>
      <c r="PY1169" s="905"/>
      <c r="PZ1169" s="905"/>
      <c r="QA1169" s="905"/>
      <c r="QB1169" s="905"/>
      <c r="QC1169" s="905"/>
      <c r="QD1169" s="905"/>
      <c r="QE1169" s="905"/>
      <c r="QF1169" s="905"/>
      <c r="QG1169" s="905"/>
      <c r="QH1169" s="905"/>
      <c r="QI1169" s="905"/>
      <c r="QJ1169" s="905"/>
      <c r="QK1169" s="905"/>
      <c r="QL1169" s="905"/>
      <c r="QM1169" s="905"/>
      <c r="QN1169" s="905"/>
      <c r="QO1169" s="905"/>
      <c r="QP1169" s="905"/>
      <c r="QQ1169" s="905"/>
      <c r="QR1169" s="905"/>
      <c r="QS1169" s="905"/>
      <c r="QT1169" s="905"/>
      <c r="QU1169" s="905"/>
      <c r="QV1169" s="905"/>
      <c r="QW1169" s="905"/>
      <c r="QX1169" s="905"/>
      <c r="QY1169" s="905"/>
      <c r="QZ1169" s="905"/>
      <c r="RA1169" s="905"/>
      <c r="RB1169" s="905"/>
      <c r="RC1169" s="905"/>
      <c r="RD1169" s="905"/>
      <c r="RE1169" s="905"/>
      <c r="RF1169" s="905"/>
      <c r="RG1169" s="905"/>
      <c r="RH1169" s="905"/>
      <c r="RI1169" s="905"/>
      <c r="RJ1169" s="905"/>
      <c r="RK1169" s="905"/>
      <c r="RL1169" s="905"/>
      <c r="RM1169" s="905"/>
      <c r="RN1169" s="905"/>
      <c r="RO1169" s="905"/>
      <c r="RP1169" s="905"/>
      <c r="RQ1169" s="905"/>
      <c r="RR1169" s="905"/>
      <c r="RS1169" s="905"/>
      <c r="RT1169" s="905"/>
      <c r="RU1169" s="905"/>
      <c r="RV1169" s="905"/>
      <c r="RW1169" s="905"/>
      <c r="RX1169" s="905"/>
      <c r="RY1169" s="905"/>
      <c r="RZ1169" s="905"/>
      <c r="SA1169" s="905"/>
      <c r="SB1169" s="905"/>
      <c r="SC1169" s="905"/>
      <c r="SD1169" s="905"/>
      <c r="SE1169" s="905"/>
      <c r="SF1169" s="905"/>
      <c r="SG1169" s="905"/>
      <c r="SH1169" s="905"/>
      <c r="SI1169" s="905"/>
      <c r="SJ1169" s="905"/>
      <c r="SK1169" s="905"/>
      <c r="SL1169" s="905"/>
      <c r="SM1169" s="905"/>
      <c r="SN1169" s="905"/>
      <c r="SO1169" s="905"/>
      <c r="SP1169" s="905"/>
      <c r="SQ1169" s="905"/>
      <c r="SR1169" s="905"/>
      <c r="SS1169" s="905"/>
      <c r="ST1169" s="905"/>
      <c r="SU1169" s="905"/>
      <c r="SV1169" s="905"/>
      <c r="SW1169" s="905"/>
      <c r="SX1169" s="905"/>
      <c r="SY1169" s="905"/>
      <c r="SZ1169" s="905"/>
      <c r="TA1169" s="905"/>
      <c r="TB1169" s="905"/>
      <c r="TC1169" s="905"/>
      <c r="TD1169" s="905"/>
      <c r="TE1169" s="905"/>
      <c r="TF1169" s="905"/>
      <c r="TG1169" s="905"/>
      <c r="TH1169" s="905"/>
      <c r="TI1169" s="905"/>
      <c r="TJ1169" s="905"/>
      <c r="TK1169" s="905"/>
      <c r="TL1169" s="905"/>
      <c r="TM1169" s="905"/>
      <c r="TN1169" s="905"/>
      <c r="TO1169" s="905"/>
      <c r="TP1169" s="905"/>
      <c r="TQ1169" s="905"/>
      <c r="TR1169" s="905"/>
      <c r="TS1169" s="905"/>
      <c r="TT1169" s="905"/>
      <c r="TU1169" s="905"/>
      <c r="TV1169" s="905"/>
      <c r="TW1169" s="905"/>
      <c r="TX1169" s="905"/>
      <c r="TY1169" s="905"/>
      <c r="TZ1169" s="905"/>
      <c r="UA1169" s="905"/>
      <c r="UB1169" s="905"/>
      <c r="UC1169" s="905"/>
      <c r="UD1169" s="905"/>
      <c r="UE1169" s="905"/>
      <c r="UF1169" s="905"/>
      <c r="UG1169" s="905"/>
      <c r="UH1169" s="905"/>
      <c r="UI1169" s="905"/>
      <c r="UJ1169" s="905"/>
      <c r="UK1169" s="905"/>
      <c r="UL1169" s="905"/>
      <c r="UM1169" s="905"/>
      <c r="UN1169" s="905"/>
      <c r="UO1169" s="905"/>
      <c r="UP1169" s="905"/>
      <c r="UQ1169" s="905"/>
      <c r="UR1169" s="905"/>
      <c r="US1169" s="905"/>
      <c r="UT1169" s="905"/>
      <c r="UU1169" s="905"/>
      <c r="UV1169" s="905"/>
      <c r="UW1169" s="905"/>
      <c r="UX1169" s="905"/>
      <c r="UY1169" s="905"/>
      <c r="UZ1169" s="905"/>
      <c r="VA1169" s="905"/>
      <c r="VB1169" s="905"/>
      <c r="VC1169" s="905"/>
      <c r="VD1169" s="905"/>
      <c r="VE1169" s="905"/>
      <c r="VF1169" s="905"/>
      <c r="VG1169" s="905"/>
      <c r="VH1169" s="905"/>
      <c r="VI1169" s="905"/>
      <c r="VJ1169" s="905"/>
      <c r="VK1169" s="905"/>
      <c r="VL1169" s="905"/>
      <c r="VM1169" s="905"/>
      <c r="VN1169" s="905"/>
      <c r="VO1169" s="905"/>
      <c r="VP1169" s="905"/>
      <c r="VQ1169" s="905"/>
      <c r="VR1169" s="905"/>
      <c r="VS1169" s="905"/>
      <c r="VT1169" s="905"/>
      <c r="VU1169" s="905"/>
      <c r="VV1169" s="905"/>
      <c r="VW1169" s="905"/>
      <c r="VX1169" s="905"/>
      <c r="VY1169" s="905"/>
      <c r="VZ1169" s="905"/>
      <c r="WA1169" s="905"/>
      <c r="WB1169" s="905"/>
      <c r="WC1169" s="905"/>
      <c r="WD1169" s="905"/>
      <c r="WE1169" s="905"/>
      <c r="WF1169" s="905"/>
      <c r="WG1169" s="905"/>
      <c r="WH1169" s="905"/>
      <c r="WI1169" s="905"/>
      <c r="WJ1169" s="905"/>
      <c r="WK1169" s="905"/>
      <c r="WL1169" s="905"/>
      <c r="WM1169" s="905"/>
      <c r="WN1169" s="905"/>
      <c r="WO1169" s="905"/>
      <c r="WP1169" s="905"/>
      <c r="WQ1169" s="905"/>
      <c r="WR1169" s="905"/>
      <c r="WS1169" s="905"/>
      <c r="WT1169" s="905"/>
      <c r="WU1169" s="905"/>
      <c r="WV1169" s="905"/>
      <c r="WW1169" s="905"/>
      <c r="WX1169" s="905"/>
      <c r="WY1169" s="905"/>
      <c r="WZ1169" s="905"/>
      <c r="XA1169" s="905"/>
      <c r="XB1169" s="905"/>
      <c r="XC1169" s="905"/>
      <c r="XD1169" s="905"/>
      <c r="XE1169" s="905"/>
      <c r="XF1169" s="905"/>
      <c r="XG1169" s="905"/>
      <c r="XH1169" s="905"/>
      <c r="XI1169" s="905"/>
      <c r="XJ1169" s="905"/>
      <c r="XK1169" s="905"/>
      <c r="XL1169" s="905"/>
      <c r="XM1169" s="905"/>
      <c r="XN1169" s="905"/>
      <c r="XO1169" s="905"/>
      <c r="XP1169" s="905"/>
      <c r="XQ1169" s="905"/>
      <c r="XR1169" s="905"/>
      <c r="XS1169" s="905"/>
      <c r="XT1169" s="905"/>
      <c r="XU1169" s="905"/>
      <c r="XV1169" s="905"/>
      <c r="XW1169" s="905"/>
      <c r="XX1169" s="905"/>
      <c r="XY1169" s="905"/>
      <c r="XZ1169" s="905"/>
      <c r="YA1169" s="905"/>
      <c r="YB1169" s="905"/>
      <c r="YC1169" s="905"/>
      <c r="YD1169" s="905"/>
      <c r="YE1169" s="905"/>
      <c r="YF1169" s="905"/>
      <c r="YG1169" s="905"/>
      <c r="YH1169" s="905"/>
      <c r="YI1169" s="905"/>
      <c r="YJ1169" s="905"/>
      <c r="YK1169" s="905"/>
      <c r="YL1169" s="905"/>
      <c r="YM1169" s="905"/>
      <c r="YN1169" s="905"/>
      <c r="YO1169" s="905"/>
      <c r="YP1169" s="905"/>
      <c r="YQ1169" s="905"/>
      <c r="YR1169" s="905"/>
      <c r="YS1169" s="905"/>
      <c r="YT1169" s="905"/>
      <c r="YU1169" s="905"/>
      <c r="YV1169" s="905"/>
      <c r="YW1169" s="905"/>
      <c r="YX1169" s="905"/>
      <c r="YY1169" s="905"/>
      <c r="YZ1169" s="905"/>
      <c r="ZA1169" s="905"/>
      <c r="ZB1169" s="905"/>
      <c r="ZC1169" s="905"/>
      <c r="ZD1169" s="905"/>
      <c r="ZE1169" s="905"/>
      <c r="ZF1169" s="905"/>
      <c r="ZG1169" s="905"/>
      <c r="ZH1169" s="905"/>
      <c r="ZI1169" s="905"/>
      <c r="ZJ1169" s="905"/>
      <c r="ZK1169" s="905"/>
      <c r="ZL1169" s="905"/>
      <c r="ZM1169" s="905"/>
      <c r="ZN1169" s="905"/>
      <c r="ZO1169" s="905"/>
      <c r="ZP1169" s="905"/>
      <c r="ZQ1169" s="905"/>
      <c r="ZR1169" s="905"/>
      <c r="ZS1169" s="905"/>
      <c r="ZT1169" s="905"/>
      <c r="ZU1169" s="905"/>
      <c r="ZV1169" s="905"/>
      <c r="ZW1169" s="905"/>
      <c r="ZX1169" s="905"/>
      <c r="ZY1169" s="905"/>
      <c r="ZZ1169" s="905"/>
      <c r="AAA1169" s="905"/>
      <c r="AAB1169" s="905"/>
      <c r="AAC1169" s="905"/>
      <c r="AAD1169" s="905"/>
      <c r="AAE1169" s="905"/>
      <c r="AAF1169" s="905"/>
      <c r="AAG1169" s="905"/>
      <c r="AAH1169" s="905"/>
      <c r="AAI1169" s="905"/>
      <c r="AAJ1169" s="905"/>
      <c r="AAK1169" s="905"/>
      <c r="AAL1169" s="905"/>
      <c r="AAM1169" s="905"/>
      <c r="AAN1169" s="905"/>
      <c r="AAO1169" s="905"/>
      <c r="AAP1169" s="905"/>
      <c r="AAQ1169" s="905"/>
      <c r="AAR1169" s="905"/>
      <c r="AAS1169" s="905"/>
      <c r="AAT1169" s="905"/>
      <c r="AAU1169" s="905"/>
      <c r="AAV1169" s="905"/>
      <c r="AAW1169" s="905"/>
      <c r="AAX1169" s="905"/>
      <c r="AAY1169" s="905"/>
      <c r="AAZ1169" s="905"/>
      <c r="ABA1169" s="905"/>
      <c r="ABB1169" s="905"/>
      <c r="ABC1169" s="905"/>
      <c r="ABD1169" s="905"/>
      <c r="ABE1169" s="905"/>
      <c r="ABF1169" s="905"/>
      <c r="ABG1169" s="905"/>
      <c r="ABH1169" s="905"/>
      <c r="ABI1169" s="905"/>
      <c r="ABJ1169" s="905"/>
      <c r="ABK1169" s="905"/>
      <c r="ABL1169" s="905"/>
      <c r="ABM1169" s="905"/>
      <c r="ABN1169" s="905"/>
      <c r="ABO1169" s="905"/>
      <c r="ABP1169" s="905"/>
      <c r="ABQ1169" s="905"/>
      <c r="ABR1169" s="905"/>
      <c r="ABS1169" s="905"/>
      <c r="ABT1169" s="905"/>
      <c r="ABU1169" s="905"/>
      <c r="ABV1169" s="905"/>
      <c r="ABW1169" s="905"/>
      <c r="ABX1169" s="905"/>
      <c r="ABY1169" s="905"/>
      <c r="ABZ1169" s="905"/>
      <c r="ACA1169" s="905"/>
      <c r="ACB1169" s="905"/>
      <c r="ACC1169" s="905"/>
      <c r="ACD1169" s="905"/>
      <c r="ACE1169" s="905"/>
      <c r="ACF1169" s="905"/>
      <c r="ACG1169" s="905"/>
      <c r="ACH1169" s="905"/>
      <c r="ACI1169" s="905"/>
      <c r="ACJ1169" s="905"/>
      <c r="ACK1169" s="905"/>
      <c r="ACL1169" s="905"/>
      <c r="ACM1169" s="905"/>
      <c r="ACN1169" s="905"/>
      <c r="ACO1169" s="905"/>
      <c r="ACP1169" s="905"/>
      <c r="ACQ1169" s="905"/>
      <c r="ACR1169" s="905"/>
      <c r="ACS1169" s="905"/>
      <c r="ACT1169" s="905"/>
      <c r="ACU1169" s="905"/>
      <c r="ACV1169" s="905"/>
      <c r="ACW1169" s="905"/>
      <c r="ACX1169" s="905"/>
      <c r="ACY1169" s="905"/>
      <c r="ACZ1169" s="905"/>
      <c r="ADA1169" s="905"/>
      <c r="ADB1169" s="905"/>
      <c r="ADC1169" s="905"/>
      <c r="ADD1169" s="905"/>
      <c r="ADE1169" s="905"/>
      <c r="ADF1169" s="905"/>
      <c r="ADG1169" s="905"/>
      <c r="ADH1169" s="905"/>
      <c r="ADI1169" s="905"/>
      <c r="ADJ1169" s="905"/>
      <c r="ADK1169" s="905"/>
      <c r="ADL1169" s="905"/>
      <c r="ADM1169" s="905"/>
      <c r="ADN1169" s="905"/>
      <c r="ADO1169" s="905"/>
      <c r="ADP1169" s="905"/>
      <c r="ADQ1169" s="905"/>
      <c r="ADR1169" s="905"/>
      <c r="ADS1169" s="905"/>
      <c r="ADT1169" s="905"/>
      <c r="ADU1169" s="905"/>
      <c r="ADV1169" s="905"/>
      <c r="ADW1169" s="905"/>
      <c r="ADX1169" s="905"/>
      <c r="ADY1169" s="905"/>
      <c r="ADZ1169" s="905"/>
      <c r="AEA1169" s="905"/>
      <c r="AEB1169" s="905"/>
      <c r="AEC1169" s="905"/>
      <c r="AED1169" s="905"/>
      <c r="AEE1169" s="905"/>
      <c r="AEF1169" s="905"/>
      <c r="AEG1169" s="905"/>
      <c r="AEH1169" s="905"/>
      <c r="AEI1169" s="905"/>
      <c r="AEJ1169" s="905"/>
      <c r="AEK1169" s="905"/>
      <c r="AEL1169" s="905"/>
      <c r="AEM1169" s="905"/>
      <c r="AEN1169" s="905"/>
      <c r="AEO1169" s="905"/>
      <c r="AEP1169" s="905"/>
      <c r="AEQ1169" s="905"/>
      <c r="AER1169" s="905"/>
      <c r="AES1169" s="905"/>
      <c r="AET1169" s="905"/>
      <c r="AEU1169" s="905"/>
      <c r="AEV1169" s="905"/>
      <c r="AEW1169" s="905"/>
      <c r="AEX1169" s="905"/>
      <c r="AEY1169" s="905"/>
      <c r="AEZ1169" s="905"/>
      <c r="AFA1169" s="905"/>
      <c r="AFB1169" s="905"/>
      <c r="AFC1169" s="905"/>
      <c r="AFD1169" s="905"/>
      <c r="AFE1169" s="905"/>
      <c r="AFF1169" s="905"/>
      <c r="AFG1169" s="905"/>
      <c r="AFH1169" s="905"/>
      <c r="AFI1169" s="905"/>
      <c r="AFJ1169" s="905"/>
      <c r="AFK1169" s="905"/>
      <c r="AFL1169" s="905"/>
      <c r="AFM1169" s="905"/>
      <c r="AFN1169" s="905"/>
      <c r="AFO1169" s="905"/>
      <c r="AFP1169" s="905"/>
      <c r="AFQ1169" s="905"/>
      <c r="AFR1169" s="905"/>
      <c r="AFS1169" s="905"/>
      <c r="AFT1169" s="905"/>
      <c r="AFU1169" s="905"/>
      <c r="AFV1169" s="905"/>
      <c r="AFW1169" s="905"/>
      <c r="AFX1169" s="905"/>
      <c r="AFY1169" s="905"/>
      <c r="AFZ1169" s="905"/>
      <c r="AGA1169" s="905"/>
      <c r="AGB1169" s="905"/>
      <c r="AGC1169" s="905"/>
      <c r="AGD1169" s="905"/>
      <c r="AGE1169" s="905"/>
      <c r="AGF1169" s="905"/>
      <c r="AGG1169" s="905"/>
      <c r="AGH1169" s="905"/>
      <c r="AGI1169" s="905"/>
      <c r="AGJ1169" s="905"/>
    </row>
    <row r="1170" spans="1:868" s="898" customFormat="1">
      <c r="A1170" s="898" t="str">
        <f>Clothing!A365</f>
        <v>Clothing (product sector)</v>
      </c>
      <c r="B1170" s="898" t="str">
        <f>Clothing!B365</f>
        <v>Closed-toed shoes</v>
      </c>
      <c r="C1170" s="898" t="str">
        <f>Clothing!C365</f>
        <v>NL</v>
      </c>
      <c r="D1170" s="898" t="str">
        <f>Clothing!D365</f>
        <v>PET</v>
      </c>
      <c r="E1170" s="901">
        <f>Clothing!E365</f>
        <v>0.16111489938070001</v>
      </c>
      <c r="F1170" s="898">
        <f>Clothing!F365</f>
        <v>1</v>
      </c>
      <c r="G1170" s="898" t="str">
        <f>Clothing!G365</f>
        <v>https://eeb.org/library/draft-product-environmental-footprint-category-rules-pefcr-apparel-and-footwear/</v>
      </c>
      <c r="H1170" s="902">
        <f>Clothing!H365</f>
        <v>2</v>
      </c>
      <c r="I1170" s="902" t="str">
        <f>Clothing!I365</f>
        <v/>
      </c>
      <c r="J1170" s="902">
        <f>Clothing!J365</f>
        <v>2</v>
      </c>
      <c r="K1170" s="902">
        <f>Clothing!K365</f>
        <v>1</v>
      </c>
      <c r="L1170" s="902">
        <f>Clothing!L365</f>
        <v>2</v>
      </c>
      <c r="M1170" s="902">
        <f>Clothing!M365</f>
        <v>3</v>
      </c>
      <c r="N1170" s="185">
        <f t="shared" si="89"/>
        <v>1.0301997916669636</v>
      </c>
      <c r="O1170" s="159" t="e">
        <f t="shared" si="90"/>
        <v>#VALUE!</v>
      </c>
      <c r="Q1170" s="905"/>
      <c r="R1170" s="905"/>
      <c r="S1170" s="905"/>
      <c r="T1170" s="905"/>
      <c r="U1170" s="905"/>
      <c r="V1170" s="905"/>
      <c r="W1170" s="905"/>
      <c r="X1170" s="905"/>
      <c r="Y1170" s="905"/>
      <c r="Z1170" s="905"/>
      <c r="AA1170" s="905"/>
      <c r="AB1170" s="905"/>
      <c r="AC1170" s="905"/>
      <c r="AD1170" s="905"/>
      <c r="AE1170" s="905"/>
      <c r="AF1170" s="905"/>
      <c r="AG1170" s="905"/>
      <c r="AH1170" s="905"/>
      <c r="AI1170" s="905"/>
      <c r="AJ1170" s="905"/>
      <c r="AK1170" s="905"/>
      <c r="AL1170" s="905"/>
      <c r="AM1170" s="905"/>
      <c r="AN1170" s="905"/>
      <c r="AO1170" s="905"/>
      <c r="AP1170" s="905"/>
      <c r="AQ1170" s="905"/>
      <c r="AR1170" s="905"/>
      <c r="AS1170" s="905"/>
      <c r="AT1170" s="905"/>
      <c r="AU1170" s="905"/>
      <c r="AV1170" s="905"/>
      <c r="AW1170" s="905"/>
      <c r="AX1170" s="905"/>
      <c r="AY1170" s="905"/>
      <c r="AZ1170" s="905"/>
      <c r="BA1170" s="905"/>
      <c r="BB1170" s="905"/>
      <c r="BC1170" s="905"/>
      <c r="BD1170" s="905"/>
      <c r="BE1170" s="905"/>
      <c r="BF1170" s="905"/>
      <c r="BG1170" s="905"/>
      <c r="BH1170" s="905"/>
      <c r="BI1170" s="905"/>
      <c r="BJ1170" s="905"/>
      <c r="BK1170" s="905"/>
      <c r="BL1170" s="905"/>
      <c r="BM1170" s="905"/>
      <c r="BN1170" s="905"/>
      <c r="BO1170" s="905"/>
      <c r="BP1170" s="905"/>
      <c r="BQ1170" s="905"/>
      <c r="BR1170" s="905"/>
      <c r="BS1170" s="905"/>
      <c r="BT1170" s="905"/>
      <c r="BU1170" s="905"/>
      <c r="BV1170" s="905"/>
      <c r="BW1170" s="905"/>
      <c r="BX1170" s="905"/>
      <c r="BY1170" s="905"/>
      <c r="BZ1170" s="905"/>
      <c r="CA1170" s="905"/>
      <c r="CB1170" s="905"/>
      <c r="CC1170" s="905"/>
      <c r="CD1170" s="905"/>
      <c r="CE1170" s="905"/>
      <c r="CF1170" s="905"/>
      <c r="CG1170" s="905"/>
      <c r="CH1170" s="905"/>
      <c r="CI1170" s="905"/>
      <c r="CJ1170" s="905"/>
      <c r="CK1170" s="905"/>
      <c r="CL1170" s="905"/>
      <c r="CM1170" s="905"/>
      <c r="CN1170" s="905"/>
      <c r="CO1170" s="905"/>
      <c r="CP1170" s="905"/>
      <c r="CQ1170" s="905"/>
      <c r="CR1170" s="905"/>
      <c r="CS1170" s="905"/>
      <c r="CT1170" s="905"/>
      <c r="CU1170" s="905"/>
      <c r="CV1170" s="905"/>
      <c r="CW1170" s="905"/>
      <c r="CX1170" s="905"/>
      <c r="CY1170" s="905"/>
      <c r="CZ1170" s="905"/>
      <c r="DA1170" s="905"/>
      <c r="DB1170" s="905"/>
      <c r="DC1170" s="905"/>
      <c r="DD1170" s="905"/>
      <c r="DE1170" s="905"/>
      <c r="DF1170" s="905"/>
      <c r="DG1170" s="905"/>
      <c r="DH1170" s="905"/>
      <c r="DI1170" s="905"/>
      <c r="DJ1170" s="905"/>
      <c r="DK1170" s="905"/>
      <c r="DL1170" s="905"/>
      <c r="DM1170" s="905"/>
      <c r="DN1170" s="905"/>
      <c r="DO1170" s="905"/>
      <c r="DP1170" s="905"/>
      <c r="DQ1170" s="905"/>
      <c r="DR1170" s="905"/>
      <c r="DS1170" s="905"/>
      <c r="DT1170" s="905"/>
      <c r="DU1170" s="905"/>
      <c r="DV1170" s="905"/>
      <c r="DW1170" s="905"/>
      <c r="DX1170" s="905"/>
      <c r="DY1170" s="905"/>
      <c r="DZ1170" s="905"/>
      <c r="EA1170" s="905"/>
      <c r="EB1170" s="905"/>
      <c r="EC1170" s="905"/>
      <c r="ED1170" s="905"/>
      <c r="EE1170" s="905"/>
      <c r="EF1170" s="905"/>
      <c r="EG1170" s="905"/>
      <c r="EH1170" s="905"/>
      <c r="EI1170" s="905"/>
      <c r="EJ1170" s="905"/>
      <c r="EK1170" s="905"/>
      <c r="EL1170" s="905"/>
      <c r="EM1170" s="905"/>
      <c r="EN1170" s="905"/>
      <c r="EO1170" s="905"/>
      <c r="EP1170" s="905"/>
      <c r="EQ1170" s="905"/>
      <c r="ER1170" s="905"/>
      <c r="ES1170" s="905"/>
      <c r="ET1170" s="905"/>
      <c r="EU1170" s="905"/>
      <c r="EV1170" s="905"/>
      <c r="EW1170" s="905"/>
      <c r="EX1170" s="905"/>
      <c r="EY1170" s="905"/>
      <c r="EZ1170" s="905"/>
      <c r="FA1170" s="905"/>
      <c r="FB1170" s="905"/>
      <c r="FC1170" s="905"/>
      <c r="FD1170" s="905"/>
      <c r="FE1170" s="905"/>
      <c r="FF1170" s="905"/>
      <c r="FG1170" s="905"/>
      <c r="FH1170" s="905"/>
      <c r="FI1170" s="905"/>
      <c r="FJ1170" s="905"/>
      <c r="FK1170" s="905"/>
      <c r="FL1170" s="905"/>
      <c r="FM1170" s="905"/>
      <c r="FN1170" s="905"/>
      <c r="FO1170" s="905"/>
      <c r="FP1170" s="905"/>
      <c r="FQ1170" s="905"/>
      <c r="FR1170" s="905"/>
      <c r="FS1170" s="905"/>
      <c r="FT1170" s="905"/>
      <c r="FU1170" s="905"/>
      <c r="FV1170" s="905"/>
      <c r="FW1170" s="905"/>
      <c r="FX1170" s="905"/>
      <c r="FY1170" s="905"/>
      <c r="FZ1170" s="905"/>
      <c r="GA1170" s="905"/>
      <c r="GB1170" s="905"/>
      <c r="GC1170" s="905"/>
      <c r="GD1170" s="905"/>
      <c r="GE1170" s="905"/>
      <c r="GF1170" s="905"/>
      <c r="GG1170" s="905"/>
      <c r="GH1170" s="905"/>
      <c r="GI1170" s="905"/>
      <c r="GJ1170" s="905"/>
      <c r="GK1170" s="905"/>
      <c r="GL1170" s="905"/>
      <c r="GM1170" s="905"/>
      <c r="GN1170" s="905"/>
      <c r="GO1170" s="905"/>
      <c r="GP1170" s="905"/>
      <c r="GQ1170" s="905"/>
      <c r="GR1170" s="905"/>
      <c r="GS1170" s="905"/>
      <c r="GT1170" s="905"/>
      <c r="GU1170" s="905"/>
      <c r="GV1170" s="905"/>
      <c r="GW1170" s="905"/>
      <c r="GX1170" s="905"/>
      <c r="GY1170" s="905"/>
      <c r="GZ1170" s="905"/>
      <c r="HA1170" s="905"/>
      <c r="HB1170" s="905"/>
      <c r="HC1170" s="905"/>
      <c r="HD1170" s="905"/>
      <c r="HE1170" s="905"/>
      <c r="HF1170" s="905"/>
      <c r="HG1170" s="905"/>
      <c r="HH1170" s="905"/>
      <c r="HI1170" s="905"/>
      <c r="HJ1170" s="905"/>
      <c r="HK1170" s="905"/>
      <c r="HL1170" s="905"/>
      <c r="HM1170" s="905"/>
      <c r="HN1170" s="905"/>
      <c r="HO1170" s="905"/>
      <c r="HP1170" s="905"/>
      <c r="HQ1170" s="905"/>
      <c r="HR1170" s="905"/>
      <c r="HS1170" s="905"/>
      <c r="HT1170" s="905"/>
      <c r="HU1170" s="905"/>
      <c r="HV1170" s="905"/>
      <c r="HW1170" s="905"/>
      <c r="HX1170" s="905"/>
      <c r="HY1170" s="905"/>
      <c r="HZ1170" s="905"/>
      <c r="IA1170" s="905"/>
      <c r="IB1170" s="905"/>
      <c r="IC1170" s="905"/>
      <c r="ID1170" s="905"/>
      <c r="IE1170" s="905"/>
      <c r="IF1170" s="905"/>
      <c r="IG1170" s="905"/>
      <c r="IH1170" s="905"/>
      <c r="II1170" s="905"/>
      <c r="IJ1170" s="905"/>
      <c r="IK1170" s="905"/>
      <c r="IL1170" s="905"/>
      <c r="IM1170" s="905"/>
      <c r="IN1170" s="905"/>
      <c r="IO1170" s="905"/>
      <c r="IP1170" s="905"/>
      <c r="IQ1170" s="905"/>
      <c r="IR1170" s="905"/>
      <c r="IS1170" s="905"/>
      <c r="IT1170" s="905"/>
      <c r="IU1170" s="905"/>
      <c r="IV1170" s="905"/>
      <c r="IW1170" s="905"/>
      <c r="IX1170" s="905"/>
      <c r="IY1170" s="905"/>
      <c r="IZ1170" s="905"/>
      <c r="JA1170" s="905"/>
      <c r="JB1170" s="905"/>
      <c r="JC1170" s="905"/>
      <c r="JD1170" s="905"/>
      <c r="JE1170" s="905"/>
      <c r="JF1170" s="905"/>
      <c r="JG1170" s="905"/>
      <c r="JH1170" s="905"/>
      <c r="JI1170" s="905"/>
      <c r="JJ1170" s="905"/>
      <c r="JK1170" s="905"/>
      <c r="JL1170" s="905"/>
      <c r="JM1170" s="905"/>
      <c r="JN1170" s="905"/>
      <c r="JO1170" s="905"/>
      <c r="JP1170" s="905"/>
      <c r="JQ1170" s="905"/>
      <c r="JR1170" s="905"/>
      <c r="JS1170" s="905"/>
      <c r="JT1170" s="905"/>
      <c r="JU1170" s="905"/>
      <c r="JV1170" s="905"/>
      <c r="JW1170" s="905"/>
      <c r="JX1170" s="905"/>
      <c r="JY1170" s="905"/>
      <c r="JZ1170" s="905"/>
      <c r="KA1170" s="905"/>
      <c r="KB1170" s="905"/>
      <c r="KC1170" s="905"/>
      <c r="KD1170" s="905"/>
      <c r="KE1170" s="905"/>
      <c r="KF1170" s="905"/>
      <c r="KG1170" s="905"/>
      <c r="KH1170" s="905"/>
      <c r="KI1170" s="905"/>
      <c r="KJ1170" s="905"/>
      <c r="KK1170" s="905"/>
      <c r="KL1170" s="905"/>
      <c r="KM1170" s="905"/>
      <c r="KN1170" s="905"/>
      <c r="KO1170" s="905"/>
      <c r="KP1170" s="905"/>
      <c r="KQ1170" s="905"/>
      <c r="KR1170" s="905"/>
      <c r="KS1170" s="905"/>
      <c r="KT1170" s="905"/>
      <c r="KU1170" s="905"/>
      <c r="KV1170" s="905"/>
      <c r="KW1170" s="905"/>
      <c r="KX1170" s="905"/>
      <c r="KY1170" s="905"/>
      <c r="KZ1170" s="905"/>
      <c r="LA1170" s="905"/>
      <c r="LB1170" s="905"/>
      <c r="LC1170" s="905"/>
      <c r="LD1170" s="905"/>
      <c r="LE1170" s="905"/>
      <c r="LF1170" s="905"/>
      <c r="LG1170" s="905"/>
      <c r="LH1170" s="905"/>
      <c r="LI1170" s="905"/>
      <c r="LJ1170" s="905"/>
      <c r="LK1170" s="905"/>
      <c r="LL1170" s="905"/>
      <c r="LM1170" s="905"/>
      <c r="LN1170" s="905"/>
      <c r="LO1170" s="905"/>
      <c r="LP1170" s="905"/>
      <c r="LQ1170" s="905"/>
      <c r="LR1170" s="905"/>
      <c r="LS1170" s="905"/>
      <c r="LT1170" s="905"/>
      <c r="LU1170" s="905"/>
      <c r="LV1170" s="905"/>
      <c r="LW1170" s="905"/>
      <c r="LX1170" s="905"/>
      <c r="LY1170" s="905"/>
      <c r="LZ1170" s="905"/>
      <c r="MA1170" s="905"/>
      <c r="MB1170" s="905"/>
      <c r="MC1170" s="905"/>
      <c r="MD1170" s="905"/>
      <c r="ME1170" s="905"/>
      <c r="MF1170" s="905"/>
      <c r="MG1170" s="905"/>
      <c r="MH1170" s="905"/>
      <c r="MI1170" s="905"/>
      <c r="MJ1170" s="905"/>
      <c r="MK1170" s="905"/>
      <c r="ML1170" s="905"/>
      <c r="MM1170" s="905"/>
      <c r="MN1170" s="905"/>
      <c r="MO1170" s="905"/>
      <c r="MP1170" s="905"/>
      <c r="MQ1170" s="905"/>
      <c r="MR1170" s="905"/>
      <c r="MS1170" s="905"/>
      <c r="MT1170" s="905"/>
      <c r="MU1170" s="905"/>
      <c r="MV1170" s="905"/>
      <c r="MW1170" s="905"/>
      <c r="MX1170" s="905"/>
      <c r="MY1170" s="905"/>
      <c r="MZ1170" s="905"/>
      <c r="NA1170" s="905"/>
      <c r="NB1170" s="905"/>
      <c r="NC1170" s="905"/>
      <c r="ND1170" s="905"/>
      <c r="NE1170" s="905"/>
      <c r="NF1170" s="905"/>
      <c r="NG1170" s="905"/>
      <c r="NH1170" s="905"/>
      <c r="NI1170" s="905"/>
      <c r="NJ1170" s="905"/>
      <c r="NK1170" s="905"/>
      <c r="NL1170" s="905"/>
      <c r="NM1170" s="905"/>
      <c r="NN1170" s="905"/>
      <c r="NO1170" s="905"/>
      <c r="NP1170" s="905"/>
      <c r="NQ1170" s="905"/>
      <c r="NR1170" s="905"/>
      <c r="NS1170" s="905"/>
      <c r="NT1170" s="905"/>
      <c r="NU1170" s="905"/>
      <c r="NV1170" s="905"/>
      <c r="NW1170" s="905"/>
      <c r="NX1170" s="905"/>
      <c r="NY1170" s="905"/>
      <c r="NZ1170" s="905"/>
      <c r="OA1170" s="905"/>
      <c r="OB1170" s="905"/>
      <c r="OC1170" s="905"/>
      <c r="OD1170" s="905"/>
      <c r="OE1170" s="905"/>
      <c r="OF1170" s="905"/>
      <c r="OG1170" s="905"/>
      <c r="OH1170" s="905"/>
      <c r="OI1170" s="905"/>
      <c r="OJ1170" s="905"/>
      <c r="OK1170" s="905"/>
      <c r="OL1170" s="905"/>
      <c r="OM1170" s="905"/>
      <c r="ON1170" s="905"/>
      <c r="OO1170" s="905"/>
      <c r="OP1170" s="905"/>
      <c r="OQ1170" s="905"/>
      <c r="OR1170" s="905"/>
      <c r="OS1170" s="905"/>
      <c r="OT1170" s="905"/>
      <c r="OU1170" s="905"/>
      <c r="OV1170" s="905"/>
      <c r="OW1170" s="905"/>
      <c r="OX1170" s="905"/>
      <c r="OY1170" s="905"/>
      <c r="OZ1170" s="905"/>
      <c r="PA1170" s="905"/>
      <c r="PB1170" s="905"/>
      <c r="PC1170" s="905"/>
      <c r="PD1170" s="905"/>
      <c r="PE1170" s="905"/>
      <c r="PF1170" s="905"/>
      <c r="PG1170" s="905"/>
      <c r="PH1170" s="905"/>
      <c r="PI1170" s="905"/>
      <c r="PJ1170" s="905"/>
      <c r="PK1170" s="905"/>
      <c r="PL1170" s="905"/>
      <c r="PM1170" s="905"/>
      <c r="PN1170" s="905"/>
      <c r="PO1170" s="905"/>
      <c r="PP1170" s="905"/>
      <c r="PQ1170" s="905"/>
      <c r="PR1170" s="905"/>
      <c r="PS1170" s="905"/>
      <c r="PT1170" s="905"/>
      <c r="PU1170" s="905"/>
      <c r="PV1170" s="905"/>
      <c r="PW1170" s="905"/>
      <c r="PX1170" s="905"/>
      <c r="PY1170" s="905"/>
      <c r="PZ1170" s="905"/>
      <c r="QA1170" s="905"/>
      <c r="QB1170" s="905"/>
      <c r="QC1170" s="905"/>
      <c r="QD1170" s="905"/>
      <c r="QE1170" s="905"/>
      <c r="QF1170" s="905"/>
      <c r="QG1170" s="905"/>
      <c r="QH1170" s="905"/>
      <c r="QI1170" s="905"/>
      <c r="QJ1170" s="905"/>
      <c r="QK1170" s="905"/>
      <c r="QL1170" s="905"/>
      <c r="QM1170" s="905"/>
      <c r="QN1170" s="905"/>
      <c r="QO1170" s="905"/>
      <c r="QP1170" s="905"/>
      <c r="QQ1170" s="905"/>
      <c r="QR1170" s="905"/>
      <c r="QS1170" s="905"/>
      <c r="QT1170" s="905"/>
      <c r="QU1170" s="905"/>
      <c r="QV1170" s="905"/>
      <c r="QW1170" s="905"/>
      <c r="QX1170" s="905"/>
      <c r="QY1170" s="905"/>
      <c r="QZ1170" s="905"/>
      <c r="RA1170" s="905"/>
      <c r="RB1170" s="905"/>
      <c r="RC1170" s="905"/>
      <c r="RD1170" s="905"/>
      <c r="RE1170" s="905"/>
      <c r="RF1170" s="905"/>
      <c r="RG1170" s="905"/>
      <c r="RH1170" s="905"/>
      <c r="RI1170" s="905"/>
      <c r="RJ1170" s="905"/>
      <c r="RK1170" s="905"/>
      <c r="RL1170" s="905"/>
      <c r="RM1170" s="905"/>
      <c r="RN1170" s="905"/>
      <c r="RO1170" s="905"/>
      <c r="RP1170" s="905"/>
      <c r="RQ1170" s="905"/>
      <c r="RR1170" s="905"/>
      <c r="RS1170" s="905"/>
      <c r="RT1170" s="905"/>
      <c r="RU1170" s="905"/>
      <c r="RV1170" s="905"/>
      <c r="RW1170" s="905"/>
      <c r="RX1170" s="905"/>
      <c r="RY1170" s="905"/>
      <c r="RZ1170" s="905"/>
      <c r="SA1170" s="905"/>
      <c r="SB1170" s="905"/>
      <c r="SC1170" s="905"/>
      <c r="SD1170" s="905"/>
      <c r="SE1170" s="905"/>
      <c r="SF1170" s="905"/>
      <c r="SG1170" s="905"/>
      <c r="SH1170" s="905"/>
      <c r="SI1170" s="905"/>
      <c r="SJ1170" s="905"/>
      <c r="SK1170" s="905"/>
      <c r="SL1170" s="905"/>
      <c r="SM1170" s="905"/>
      <c r="SN1170" s="905"/>
      <c r="SO1170" s="905"/>
      <c r="SP1170" s="905"/>
      <c r="SQ1170" s="905"/>
      <c r="SR1170" s="905"/>
      <c r="SS1170" s="905"/>
      <c r="ST1170" s="905"/>
      <c r="SU1170" s="905"/>
      <c r="SV1170" s="905"/>
      <c r="SW1170" s="905"/>
      <c r="SX1170" s="905"/>
      <c r="SY1170" s="905"/>
      <c r="SZ1170" s="905"/>
      <c r="TA1170" s="905"/>
      <c r="TB1170" s="905"/>
      <c r="TC1170" s="905"/>
      <c r="TD1170" s="905"/>
      <c r="TE1170" s="905"/>
      <c r="TF1170" s="905"/>
      <c r="TG1170" s="905"/>
      <c r="TH1170" s="905"/>
      <c r="TI1170" s="905"/>
      <c r="TJ1170" s="905"/>
      <c r="TK1170" s="905"/>
      <c r="TL1170" s="905"/>
      <c r="TM1170" s="905"/>
      <c r="TN1170" s="905"/>
      <c r="TO1170" s="905"/>
      <c r="TP1170" s="905"/>
      <c r="TQ1170" s="905"/>
      <c r="TR1170" s="905"/>
      <c r="TS1170" s="905"/>
      <c r="TT1170" s="905"/>
      <c r="TU1170" s="905"/>
      <c r="TV1170" s="905"/>
      <c r="TW1170" s="905"/>
      <c r="TX1170" s="905"/>
      <c r="TY1170" s="905"/>
      <c r="TZ1170" s="905"/>
      <c r="UA1170" s="905"/>
      <c r="UB1170" s="905"/>
      <c r="UC1170" s="905"/>
      <c r="UD1170" s="905"/>
      <c r="UE1170" s="905"/>
      <c r="UF1170" s="905"/>
      <c r="UG1170" s="905"/>
      <c r="UH1170" s="905"/>
      <c r="UI1170" s="905"/>
      <c r="UJ1170" s="905"/>
      <c r="UK1170" s="905"/>
      <c r="UL1170" s="905"/>
      <c r="UM1170" s="905"/>
      <c r="UN1170" s="905"/>
      <c r="UO1170" s="905"/>
      <c r="UP1170" s="905"/>
      <c r="UQ1170" s="905"/>
      <c r="UR1170" s="905"/>
      <c r="US1170" s="905"/>
      <c r="UT1170" s="905"/>
      <c r="UU1170" s="905"/>
      <c r="UV1170" s="905"/>
      <c r="UW1170" s="905"/>
      <c r="UX1170" s="905"/>
      <c r="UY1170" s="905"/>
      <c r="UZ1170" s="905"/>
      <c r="VA1170" s="905"/>
      <c r="VB1170" s="905"/>
      <c r="VC1170" s="905"/>
      <c r="VD1170" s="905"/>
      <c r="VE1170" s="905"/>
      <c r="VF1170" s="905"/>
      <c r="VG1170" s="905"/>
      <c r="VH1170" s="905"/>
      <c r="VI1170" s="905"/>
      <c r="VJ1170" s="905"/>
      <c r="VK1170" s="905"/>
      <c r="VL1170" s="905"/>
      <c r="VM1170" s="905"/>
      <c r="VN1170" s="905"/>
      <c r="VO1170" s="905"/>
      <c r="VP1170" s="905"/>
      <c r="VQ1170" s="905"/>
      <c r="VR1170" s="905"/>
      <c r="VS1170" s="905"/>
      <c r="VT1170" s="905"/>
      <c r="VU1170" s="905"/>
      <c r="VV1170" s="905"/>
      <c r="VW1170" s="905"/>
      <c r="VX1170" s="905"/>
      <c r="VY1170" s="905"/>
      <c r="VZ1170" s="905"/>
      <c r="WA1170" s="905"/>
      <c r="WB1170" s="905"/>
      <c r="WC1170" s="905"/>
      <c r="WD1170" s="905"/>
      <c r="WE1170" s="905"/>
      <c r="WF1170" s="905"/>
      <c r="WG1170" s="905"/>
      <c r="WH1170" s="905"/>
      <c r="WI1170" s="905"/>
      <c r="WJ1170" s="905"/>
      <c r="WK1170" s="905"/>
      <c r="WL1170" s="905"/>
      <c r="WM1170" s="905"/>
      <c r="WN1170" s="905"/>
      <c r="WO1170" s="905"/>
      <c r="WP1170" s="905"/>
      <c r="WQ1170" s="905"/>
      <c r="WR1170" s="905"/>
      <c r="WS1170" s="905"/>
      <c r="WT1170" s="905"/>
      <c r="WU1170" s="905"/>
      <c r="WV1170" s="905"/>
      <c r="WW1170" s="905"/>
      <c r="WX1170" s="905"/>
      <c r="WY1170" s="905"/>
      <c r="WZ1170" s="905"/>
      <c r="XA1170" s="905"/>
      <c r="XB1170" s="905"/>
      <c r="XC1170" s="905"/>
      <c r="XD1170" s="905"/>
      <c r="XE1170" s="905"/>
      <c r="XF1170" s="905"/>
      <c r="XG1170" s="905"/>
      <c r="XH1170" s="905"/>
      <c r="XI1170" s="905"/>
      <c r="XJ1170" s="905"/>
      <c r="XK1170" s="905"/>
      <c r="XL1170" s="905"/>
      <c r="XM1170" s="905"/>
      <c r="XN1170" s="905"/>
      <c r="XO1170" s="905"/>
      <c r="XP1170" s="905"/>
      <c r="XQ1170" s="905"/>
      <c r="XR1170" s="905"/>
      <c r="XS1170" s="905"/>
      <c r="XT1170" s="905"/>
      <c r="XU1170" s="905"/>
      <c r="XV1170" s="905"/>
      <c r="XW1170" s="905"/>
      <c r="XX1170" s="905"/>
      <c r="XY1170" s="905"/>
      <c r="XZ1170" s="905"/>
      <c r="YA1170" s="905"/>
      <c r="YB1170" s="905"/>
      <c r="YC1170" s="905"/>
      <c r="YD1170" s="905"/>
      <c r="YE1170" s="905"/>
      <c r="YF1170" s="905"/>
      <c r="YG1170" s="905"/>
      <c r="YH1170" s="905"/>
      <c r="YI1170" s="905"/>
      <c r="YJ1170" s="905"/>
      <c r="YK1170" s="905"/>
      <c r="YL1170" s="905"/>
      <c r="YM1170" s="905"/>
      <c r="YN1170" s="905"/>
      <c r="YO1170" s="905"/>
      <c r="YP1170" s="905"/>
      <c r="YQ1170" s="905"/>
      <c r="YR1170" s="905"/>
      <c r="YS1170" s="905"/>
      <c r="YT1170" s="905"/>
      <c r="YU1170" s="905"/>
      <c r="YV1170" s="905"/>
      <c r="YW1170" s="905"/>
      <c r="YX1170" s="905"/>
      <c r="YY1170" s="905"/>
      <c r="YZ1170" s="905"/>
      <c r="ZA1170" s="905"/>
      <c r="ZB1170" s="905"/>
      <c r="ZC1170" s="905"/>
      <c r="ZD1170" s="905"/>
      <c r="ZE1170" s="905"/>
      <c r="ZF1170" s="905"/>
      <c r="ZG1170" s="905"/>
      <c r="ZH1170" s="905"/>
      <c r="ZI1170" s="905"/>
      <c r="ZJ1170" s="905"/>
      <c r="ZK1170" s="905"/>
      <c r="ZL1170" s="905"/>
      <c r="ZM1170" s="905"/>
      <c r="ZN1170" s="905"/>
      <c r="ZO1170" s="905"/>
      <c r="ZP1170" s="905"/>
      <c r="ZQ1170" s="905"/>
      <c r="ZR1170" s="905"/>
      <c r="ZS1170" s="905"/>
      <c r="ZT1170" s="905"/>
      <c r="ZU1170" s="905"/>
      <c r="ZV1170" s="905"/>
      <c r="ZW1170" s="905"/>
      <c r="ZX1170" s="905"/>
      <c r="ZY1170" s="905"/>
      <c r="ZZ1170" s="905"/>
      <c r="AAA1170" s="905"/>
      <c r="AAB1170" s="905"/>
      <c r="AAC1170" s="905"/>
      <c r="AAD1170" s="905"/>
      <c r="AAE1170" s="905"/>
      <c r="AAF1170" s="905"/>
      <c r="AAG1170" s="905"/>
      <c r="AAH1170" s="905"/>
      <c r="AAI1170" s="905"/>
      <c r="AAJ1170" s="905"/>
      <c r="AAK1170" s="905"/>
      <c r="AAL1170" s="905"/>
      <c r="AAM1170" s="905"/>
      <c r="AAN1170" s="905"/>
      <c r="AAO1170" s="905"/>
      <c r="AAP1170" s="905"/>
      <c r="AAQ1170" s="905"/>
      <c r="AAR1170" s="905"/>
      <c r="AAS1170" s="905"/>
      <c r="AAT1170" s="905"/>
      <c r="AAU1170" s="905"/>
      <c r="AAV1170" s="905"/>
      <c r="AAW1170" s="905"/>
      <c r="AAX1170" s="905"/>
      <c r="AAY1170" s="905"/>
      <c r="AAZ1170" s="905"/>
      <c r="ABA1170" s="905"/>
      <c r="ABB1170" s="905"/>
      <c r="ABC1170" s="905"/>
      <c r="ABD1170" s="905"/>
      <c r="ABE1170" s="905"/>
      <c r="ABF1170" s="905"/>
      <c r="ABG1170" s="905"/>
      <c r="ABH1170" s="905"/>
      <c r="ABI1170" s="905"/>
      <c r="ABJ1170" s="905"/>
      <c r="ABK1170" s="905"/>
      <c r="ABL1170" s="905"/>
      <c r="ABM1170" s="905"/>
      <c r="ABN1170" s="905"/>
      <c r="ABO1170" s="905"/>
      <c r="ABP1170" s="905"/>
      <c r="ABQ1170" s="905"/>
      <c r="ABR1170" s="905"/>
      <c r="ABS1170" s="905"/>
      <c r="ABT1170" s="905"/>
      <c r="ABU1170" s="905"/>
      <c r="ABV1170" s="905"/>
      <c r="ABW1170" s="905"/>
      <c r="ABX1170" s="905"/>
      <c r="ABY1170" s="905"/>
      <c r="ABZ1170" s="905"/>
      <c r="ACA1170" s="905"/>
      <c r="ACB1170" s="905"/>
      <c r="ACC1170" s="905"/>
      <c r="ACD1170" s="905"/>
      <c r="ACE1170" s="905"/>
      <c r="ACF1170" s="905"/>
      <c r="ACG1170" s="905"/>
      <c r="ACH1170" s="905"/>
      <c r="ACI1170" s="905"/>
      <c r="ACJ1170" s="905"/>
      <c r="ACK1170" s="905"/>
      <c r="ACL1170" s="905"/>
      <c r="ACM1170" s="905"/>
      <c r="ACN1170" s="905"/>
      <c r="ACO1170" s="905"/>
      <c r="ACP1170" s="905"/>
      <c r="ACQ1170" s="905"/>
      <c r="ACR1170" s="905"/>
      <c r="ACS1170" s="905"/>
      <c r="ACT1170" s="905"/>
      <c r="ACU1170" s="905"/>
      <c r="ACV1170" s="905"/>
      <c r="ACW1170" s="905"/>
      <c r="ACX1170" s="905"/>
      <c r="ACY1170" s="905"/>
      <c r="ACZ1170" s="905"/>
      <c r="ADA1170" s="905"/>
      <c r="ADB1170" s="905"/>
      <c r="ADC1170" s="905"/>
      <c r="ADD1170" s="905"/>
      <c r="ADE1170" s="905"/>
      <c r="ADF1170" s="905"/>
      <c r="ADG1170" s="905"/>
      <c r="ADH1170" s="905"/>
      <c r="ADI1170" s="905"/>
      <c r="ADJ1170" s="905"/>
      <c r="ADK1170" s="905"/>
      <c r="ADL1170" s="905"/>
      <c r="ADM1170" s="905"/>
      <c r="ADN1170" s="905"/>
      <c r="ADO1170" s="905"/>
      <c r="ADP1170" s="905"/>
      <c r="ADQ1170" s="905"/>
      <c r="ADR1170" s="905"/>
      <c r="ADS1170" s="905"/>
      <c r="ADT1170" s="905"/>
      <c r="ADU1170" s="905"/>
      <c r="ADV1170" s="905"/>
      <c r="ADW1170" s="905"/>
      <c r="ADX1170" s="905"/>
      <c r="ADY1170" s="905"/>
      <c r="ADZ1170" s="905"/>
      <c r="AEA1170" s="905"/>
      <c r="AEB1170" s="905"/>
      <c r="AEC1170" s="905"/>
      <c r="AED1170" s="905"/>
      <c r="AEE1170" s="905"/>
      <c r="AEF1170" s="905"/>
      <c r="AEG1170" s="905"/>
      <c r="AEH1170" s="905"/>
      <c r="AEI1170" s="905"/>
      <c r="AEJ1170" s="905"/>
      <c r="AEK1170" s="905"/>
      <c r="AEL1170" s="905"/>
      <c r="AEM1170" s="905"/>
      <c r="AEN1170" s="905"/>
      <c r="AEO1170" s="905"/>
      <c r="AEP1170" s="905"/>
      <c r="AEQ1170" s="905"/>
      <c r="AER1170" s="905"/>
      <c r="AES1170" s="905"/>
      <c r="AET1170" s="905"/>
      <c r="AEU1170" s="905"/>
      <c r="AEV1170" s="905"/>
      <c r="AEW1170" s="905"/>
      <c r="AEX1170" s="905"/>
      <c r="AEY1170" s="905"/>
      <c r="AEZ1170" s="905"/>
      <c r="AFA1170" s="905"/>
      <c r="AFB1170" s="905"/>
      <c r="AFC1170" s="905"/>
      <c r="AFD1170" s="905"/>
      <c r="AFE1170" s="905"/>
      <c r="AFF1170" s="905"/>
      <c r="AFG1170" s="905"/>
      <c r="AFH1170" s="905"/>
      <c r="AFI1170" s="905"/>
      <c r="AFJ1170" s="905"/>
      <c r="AFK1170" s="905"/>
      <c r="AFL1170" s="905"/>
      <c r="AFM1170" s="905"/>
      <c r="AFN1170" s="905"/>
      <c r="AFO1170" s="905"/>
      <c r="AFP1170" s="905"/>
      <c r="AFQ1170" s="905"/>
      <c r="AFR1170" s="905"/>
      <c r="AFS1170" s="905"/>
      <c r="AFT1170" s="905"/>
      <c r="AFU1170" s="905"/>
      <c r="AFV1170" s="905"/>
      <c r="AFW1170" s="905"/>
      <c r="AFX1170" s="905"/>
      <c r="AFY1170" s="905"/>
      <c r="AFZ1170" s="905"/>
      <c r="AGA1170" s="905"/>
      <c r="AGB1170" s="905"/>
      <c r="AGC1170" s="905"/>
      <c r="AGD1170" s="905"/>
      <c r="AGE1170" s="905"/>
      <c r="AGF1170" s="905"/>
      <c r="AGG1170" s="905"/>
      <c r="AGH1170" s="905"/>
      <c r="AGI1170" s="905"/>
      <c r="AGJ1170" s="905"/>
    </row>
    <row r="1171" spans="1:868" s="898" customFormat="1">
      <c r="A1171" s="898" t="str">
        <f>Clothing!A366</f>
        <v>Clothing (product sector)</v>
      </c>
      <c r="B1171" s="898" t="str">
        <f>Clothing!B366</f>
        <v>Closed-toed shoes</v>
      </c>
      <c r="C1171" s="898" t="str">
        <f>Clothing!C366</f>
        <v>NL</v>
      </c>
      <c r="D1171" s="898" t="str">
        <f>Clothing!D366</f>
        <v>PUR</v>
      </c>
      <c r="E1171" s="901">
        <f>Clothing!E366</f>
        <v>0.403659576736695</v>
      </c>
      <c r="F1171" s="898">
        <f>Clothing!F366</f>
        <v>1</v>
      </c>
      <c r="G1171" s="898" t="str">
        <f>Clothing!G366</f>
        <v>https://eeb.org/library/draft-product-environmental-footprint-category-rules-pefcr-apparel-and-footwear/</v>
      </c>
      <c r="H1171" s="902">
        <f>Clothing!H366</f>
        <v>2</v>
      </c>
      <c r="I1171" s="902" t="str">
        <f>Clothing!I366</f>
        <v/>
      </c>
      <c r="J1171" s="902">
        <f>Clothing!J366</f>
        <v>2</v>
      </c>
      <c r="K1171" s="902">
        <f>Clothing!K366</f>
        <v>1</v>
      </c>
      <c r="L1171" s="902">
        <f>Clothing!L366</f>
        <v>2</v>
      </c>
      <c r="M1171" s="902">
        <f>Clothing!M366</f>
        <v>3</v>
      </c>
      <c r="N1171" s="185">
        <f t="shared" si="89"/>
        <v>1.0301997916669636</v>
      </c>
      <c r="O1171" s="159" t="e">
        <f t="shared" si="90"/>
        <v>#VALUE!</v>
      </c>
      <c r="Q1171" s="905"/>
      <c r="R1171" s="905"/>
      <c r="S1171" s="905"/>
      <c r="T1171" s="905"/>
      <c r="U1171" s="905"/>
      <c r="V1171" s="905"/>
      <c r="W1171" s="905"/>
      <c r="X1171" s="905"/>
      <c r="Y1171" s="905"/>
      <c r="Z1171" s="905"/>
      <c r="AA1171" s="905"/>
      <c r="AB1171" s="905"/>
      <c r="AC1171" s="905"/>
      <c r="AD1171" s="905"/>
      <c r="AE1171" s="905"/>
      <c r="AF1171" s="905"/>
      <c r="AG1171" s="905"/>
      <c r="AH1171" s="905"/>
      <c r="AI1171" s="905"/>
      <c r="AJ1171" s="905"/>
      <c r="AK1171" s="905"/>
      <c r="AL1171" s="905"/>
      <c r="AM1171" s="905"/>
      <c r="AN1171" s="905"/>
      <c r="AO1171" s="905"/>
      <c r="AP1171" s="905"/>
      <c r="AQ1171" s="905"/>
      <c r="AR1171" s="905"/>
      <c r="AS1171" s="905"/>
      <c r="AT1171" s="905"/>
      <c r="AU1171" s="905"/>
      <c r="AV1171" s="905"/>
      <c r="AW1171" s="905"/>
      <c r="AX1171" s="905"/>
      <c r="AY1171" s="905"/>
      <c r="AZ1171" s="905"/>
      <c r="BA1171" s="905"/>
      <c r="BB1171" s="905"/>
      <c r="BC1171" s="905"/>
      <c r="BD1171" s="905"/>
      <c r="BE1171" s="905"/>
      <c r="BF1171" s="905"/>
      <c r="BG1171" s="905"/>
      <c r="BH1171" s="905"/>
      <c r="BI1171" s="905"/>
      <c r="BJ1171" s="905"/>
      <c r="BK1171" s="905"/>
      <c r="BL1171" s="905"/>
      <c r="BM1171" s="905"/>
      <c r="BN1171" s="905"/>
      <c r="BO1171" s="905"/>
      <c r="BP1171" s="905"/>
      <c r="BQ1171" s="905"/>
      <c r="BR1171" s="905"/>
      <c r="BS1171" s="905"/>
      <c r="BT1171" s="905"/>
      <c r="BU1171" s="905"/>
      <c r="BV1171" s="905"/>
      <c r="BW1171" s="905"/>
      <c r="BX1171" s="905"/>
      <c r="BY1171" s="905"/>
      <c r="BZ1171" s="905"/>
      <c r="CA1171" s="905"/>
      <c r="CB1171" s="905"/>
      <c r="CC1171" s="905"/>
      <c r="CD1171" s="905"/>
      <c r="CE1171" s="905"/>
      <c r="CF1171" s="905"/>
      <c r="CG1171" s="905"/>
      <c r="CH1171" s="905"/>
      <c r="CI1171" s="905"/>
      <c r="CJ1171" s="905"/>
      <c r="CK1171" s="905"/>
      <c r="CL1171" s="905"/>
      <c r="CM1171" s="905"/>
      <c r="CN1171" s="905"/>
      <c r="CO1171" s="905"/>
      <c r="CP1171" s="905"/>
      <c r="CQ1171" s="905"/>
      <c r="CR1171" s="905"/>
      <c r="CS1171" s="905"/>
      <c r="CT1171" s="905"/>
      <c r="CU1171" s="905"/>
      <c r="CV1171" s="905"/>
      <c r="CW1171" s="905"/>
      <c r="CX1171" s="905"/>
      <c r="CY1171" s="905"/>
      <c r="CZ1171" s="905"/>
      <c r="DA1171" s="905"/>
      <c r="DB1171" s="905"/>
      <c r="DC1171" s="905"/>
      <c r="DD1171" s="905"/>
      <c r="DE1171" s="905"/>
      <c r="DF1171" s="905"/>
      <c r="DG1171" s="905"/>
      <c r="DH1171" s="905"/>
      <c r="DI1171" s="905"/>
      <c r="DJ1171" s="905"/>
      <c r="DK1171" s="905"/>
      <c r="DL1171" s="905"/>
      <c r="DM1171" s="905"/>
      <c r="DN1171" s="905"/>
      <c r="DO1171" s="905"/>
      <c r="DP1171" s="905"/>
      <c r="DQ1171" s="905"/>
      <c r="DR1171" s="905"/>
      <c r="DS1171" s="905"/>
      <c r="DT1171" s="905"/>
      <c r="DU1171" s="905"/>
      <c r="DV1171" s="905"/>
      <c r="DW1171" s="905"/>
      <c r="DX1171" s="905"/>
      <c r="DY1171" s="905"/>
      <c r="DZ1171" s="905"/>
      <c r="EA1171" s="905"/>
      <c r="EB1171" s="905"/>
      <c r="EC1171" s="905"/>
      <c r="ED1171" s="905"/>
      <c r="EE1171" s="905"/>
      <c r="EF1171" s="905"/>
      <c r="EG1171" s="905"/>
      <c r="EH1171" s="905"/>
      <c r="EI1171" s="905"/>
      <c r="EJ1171" s="905"/>
      <c r="EK1171" s="905"/>
      <c r="EL1171" s="905"/>
      <c r="EM1171" s="905"/>
      <c r="EN1171" s="905"/>
      <c r="EO1171" s="905"/>
      <c r="EP1171" s="905"/>
      <c r="EQ1171" s="905"/>
      <c r="ER1171" s="905"/>
      <c r="ES1171" s="905"/>
      <c r="ET1171" s="905"/>
      <c r="EU1171" s="905"/>
      <c r="EV1171" s="905"/>
      <c r="EW1171" s="905"/>
      <c r="EX1171" s="905"/>
      <c r="EY1171" s="905"/>
      <c r="EZ1171" s="905"/>
      <c r="FA1171" s="905"/>
      <c r="FB1171" s="905"/>
      <c r="FC1171" s="905"/>
      <c r="FD1171" s="905"/>
      <c r="FE1171" s="905"/>
      <c r="FF1171" s="905"/>
      <c r="FG1171" s="905"/>
      <c r="FH1171" s="905"/>
      <c r="FI1171" s="905"/>
      <c r="FJ1171" s="905"/>
      <c r="FK1171" s="905"/>
      <c r="FL1171" s="905"/>
      <c r="FM1171" s="905"/>
      <c r="FN1171" s="905"/>
      <c r="FO1171" s="905"/>
      <c r="FP1171" s="905"/>
      <c r="FQ1171" s="905"/>
      <c r="FR1171" s="905"/>
      <c r="FS1171" s="905"/>
      <c r="FT1171" s="905"/>
      <c r="FU1171" s="905"/>
      <c r="FV1171" s="905"/>
      <c r="FW1171" s="905"/>
      <c r="FX1171" s="905"/>
      <c r="FY1171" s="905"/>
      <c r="FZ1171" s="905"/>
      <c r="GA1171" s="905"/>
      <c r="GB1171" s="905"/>
      <c r="GC1171" s="905"/>
      <c r="GD1171" s="905"/>
      <c r="GE1171" s="905"/>
      <c r="GF1171" s="905"/>
      <c r="GG1171" s="905"/>
      <c r="GH1171" s="905"/>
      <c r="GI1171" s="905"/>
      <c r="GJ1171" s="905"/>
      <c r="GK1171" s="905"/>
      <c r="GL1171" s="905"/>
      <c r="GM1171" s="905"/>
      <c r="GN1171" s="905"/>
      <c r="GO1171" s="905"/>
      <c r="GP1171" s="905"/>
      <c r="GQ1171" s="905"/>
      <c r="GR1171" s="905"/>
      <c r="GS1171" s="905"/>
      <c r="GT1171" s="905"/>
      <c r="GU1171" s="905"/>
      <c r="GV1171" s="905"/>
      <c r="GW1171" s="905"/>
      <c r="GX1171" s="905"/>
      <c r="GY1171" s="905"/>
      <c r="GZ1171" s="905"/>
      <c r="HA1171" s="905"/>
      <c r="HB1171" s="905"/>
      <c r="HC1171" s="905"/>
      <c r="HD1171" s="905"/>
      <c r="HE1171" s="905"/>
      <c r="HF1171" s="905"/>
      <c r="HG1171" s="905"/>
      <c r="HH1171" s="905"/>
      <c r="HI1171" s="905"/>
      <c r="HJ1171" s="905"/>
      <c r="HK1171" s="905"/>
      <c r="HL1171" s="905"/>
      <c r="HM1171" s="905"/>
      <c r="HN1171" s="905"/>
      <c r="HO1171" s="905"/>
      <c r="HP1171" s="905"/>
      <c r="HQ1171" s="905"/>
      <c r="HR1171" s="905"/>
      <c r="HS1171" s="905"/>
      <c r="HT1171" s="905"/>
      <c r="HU1171" s="905"/>
      <c r="HV1171" s="905"/>
      <c r="HW1171" s="905"/>
      <c r="HX1171" s="905"/>
      <c r="HY1171" s="905"/>
      <c r="HZ1171" s="905"/>
      <c r="IA1171" s="905"/>
      <c r="IB1171" s="905"/>
      <c r="IC1171" s="905"/>
      <c r="ID1171" s="905"/>
      <c r="IE1171" s="905"/>
      <c r="IF1171" s="905"/>
      <c r="IG1171" s="905"/>
      <c r="IH1171" s="905"/>
      <c r="II1171" s="905"/>
      <c r="IJ1171" s="905"/>
      <c r="IK1171" s="905"/>
      <c r="IL1171" s="905"/>
      <c r="IM1171" s="905"/>
      <c r="IN1171" s="905"/>
      <c r="IO1171" s="905"/>
      <c r="IP1171" s="905"/>
      <c r="IQ1171" s="905"/>
      <c r="IR1171" s="905"/>
      <c r="IS1171" s="905"/>
      <c r="IT1171" s="905"/>
      <c r="IU1171" s="905"/>
      <c r="IV1171" s="905"/>
      <c r="IW1171" s="905"/>
      <c r="IX1171" s="905"/>
      <c r="IY1171" s="905"/>
      <c r="IZ1171" s="905"/>
      <c r="JA1171" s="905"/>
      <c r="JB1171" s="905"/>
      <c r="JC1171" s="905"/>
      <c r="JD1171" s="905"/>
      <c r="JE1171" s="905"/>
      <c r="JF1171" s="905"/>
      <c r="JG1171" s="905"/>
      <c r="JH1171" s="905"/>
      <c r="JI1171" s="905"/>
      <c r="JJ1171" s="905"/>
      <c r="JK1171" s="905"/>
      <c r="JL1171" s="905"/>
      <c r="JM1171" s="905"/>
      <c r="JN1171" s="905"/>
      <c r="JO1171" s="905"/>
      <c r="JP1171" s="905"/>
      <c r="JQ1171" s="905"/>
      <c r="JR1171" s="905"/>
      <c r="JS1171" s="905"/>
      <c r="JT1171" s="905"/>
      <c r="JU1171" s="905"/>
      <c r="JV1171" s="905"/>
      <c r="JW1171" s="905"/>
      <c r="JX1171" s="905"/>
      <c r="JY1171" s="905"/>
      <c r="JZ1171" s="905"/>
      <c r="KA1171" s="905"/>
      <c r="KB1171" s="905"/>
      <c r="KC1171" s="905"/>
      <c r="KD1171" s="905"/>
      <c r="KE1171" s="905"/>
      <c r="KF1171" s="905"/>
      <c r="KG1171" s="905"/>
      <c r="KH1171" s="905"/>
      <c r="KI1171" s="905"/>
      <c r="KJ1171" s="905"/>
      <c r="KK1171" s="905"/>
      <c r="KL1171" s="905"/>
      <c r="KM1171" s="905"/>
      <c r="KN1171" s="905"/>
      <c r="KO1171" s="905"/>
      <c r="KP1171" s="905"/>
      <c r="KQ1171" s="905"/>
      <c r="KR1171" s="905"/>
      <c r="KS1171" s="905"/>
      <c r="KT1171" s="905"/>
      <c r="KU1171" s="905"/>
      <c r="KV1171" s="905"/>
      <c r="KW1171" s="905"/>
      <c r="KX1171" s="905"/>
      <c r="KY1171" s="905"/>
      <c r="KZ1171" s="905"/>
      <c r="LA1171" s="905"/>
      <c r="LB1171" s="905"/>
      <c r="LC1171" s="905"/>
      <c r="LD1171" s="905"/>
      <c r="LE1171" s="905"/>
      <c r="LF1171" s="905"/>
      <c r="LG1171" s="905"/>
      <c r="LH1171" s="905"/>
      <c r="LI1171" s="905"/>
      <c r="LJ1171" s="905"/>
      <c r="LK1171" s="905"/>
      <c r="LL1171" s="905"/>
      <c r="LM1171" s="905"/>
      <c r="LN1171" s="905"/>
      <c r="LO1171" s="905"/>
      <c r="LP1171" s="905"/>
      <c r="LQ1171" s="905"/>
      <c r="LR1171" s="905"/>
      <c r="LS1171" s="905"/>
      <c r="LT1171" s="905"/>
      <c r="LU1171" s="905"/>
      <c r="LV1171" s="905"/>
      <c r="LW1171" s="905"/>
      <c r="LX1171" s="905"/>
      <c r="LY1171" s="905"/>
      <c r="LZ1171" s="905"/>
      <c r="MA1171" s="905"/>
      <c r="MB1171" s="905"/>
      <c r="MC1171" s="905"/>
      <c r="MD1171" s="905"/>
      <c r="ME1171" s="905"/>
      <c r="MF1171" s="905"/>
      <c r="MG1171" s="905"/>
      <c r="MH1171" s="905"/>
      <c r="MI1171" s="905"/>
      <c r="MJ1171" s="905"/>
      <c r="MK1171" s="905"/>
      <c r="ML1171" s="905"/>
      <c r="MM1171" s="905"/>
      <c r="MN1171" s="905"/>
      <c r="MO1171" s="905"/>
      <c r="MP1171" s="905"/>
      <c r="MQ1171" s="905"/>
      <c r="MR1171" s="905"/>
      <c r="MS1171" s="905"/>
      <c r="MT1171" s="905"/>
      <c r="MU1171" s="905"/>
      <c r="MV1171" s="905"/>
      <c r="MW1171" s="905"/>
      <c r="MX1171" s="905"/>
      <c r="MY1171" s="905"/>
      <c r="MZ1171" s="905"/>
      <c r="NA1171" s="905"/>
      <c r="NB1171" s="905"/>
      <c r="NC1171" s="905"/>
      <c r="ND1171" s="905"/>
      <c r="NE1171" s="905"/>
      <c r="NF1171" s="905"/>
      <c r="NG1171" s="905"/>
      <c r="NH1171" s="905"/>
      <c r="NI1171" s="905"/>
      <c r="NJ1171" s="905"/>
      <c r="NK1171" s="905"/>
      <c r="NL1171" s="905"/>
      <c r="NM1171" s="905"/>
      <c r="NN1171" s="905"/>
      <c r="NO1171" s="905"/>
      <c r="NP1171" s="905"/>
      <c r="NQ1171" s="905"/>
      <c r="NR1171" s="905"/>
      <c r="NS1171" s="905"/>
      <c r="NT1171" s="905"/>
      <c r="NU1171" s="905"/>
      <c r="NV1171" s="905"/>
      <c r="NW1171" s="905"/>
      <c r="NX1171" s="905"/>
      <c r="NY1171" s="905"/>
      <c r="NZ1171" s="905"/>
      <c r="OA1171" s="905"/>
      <c r="OB1171" s="905"/>
      <c r="OC1171" s="905"/>
      <c r="OD1171" s="905"/>
      <c r="OE1171" s="905"/>
      <c r="OF1171" s="905"/>
      <c r="OG1171" s="905"/>
      <c r="OH1171" s="905"/>
      <c r="OI1171" s="905"/>
      <c r="OJ1171" s="905"/>
      <c r="OK1171" s="905"/>
      <c r="OL1171" s="905"/>
      <c r="OM1171" s="905"/>
      <c r="ON1171" s="905"/>
      <c r="OO1171" s="905"/>
      <c r="OP1171" s="905"/>
      <c r="OQ1171" s="905"/>
      <c r="OR1171" s="905"/>
      <c r="OS1171" s="905"/>
      <c r="OT1171" s="905"/>
      <c r="OU1171" s="905"/>
      <c r="OV1171" s="905"/>
      <c r="OW1171" s="905"/>
      <c r="OX1171" s="905"/>
      <c r="OY1171" s="905"/>
      <c r="OZ1171" s="905"/>
      <c r="PA1171" s="905"/>
      <c r="PB1171" s="905"/>
      <c r="PC1171" s="905"/>
      <c r="PD1171" s="905"/>
      <c r="PE1171" s="905"/>
      <c r="PF1171" s="905"/>
      <c r="PG1171" s="905"/>
      <c r="PH1171" s="905"/>
      <c r="PI1171" s="905"/>
      <c r="PJ1171" s="905"/>
      <c r="PK1171" s="905"/>
      <c r="PL1171" s="905"/>
      <c r="PM1171" s="905"/>
      <c r="PN1171" s="905"/>
      <c r="PO1171" s="905"/>
      <c r="PP1171" s="905"/>
      <c r="PQ1171" s="905"/>
      <c r="PR1171" s="905"/>
      <c r="PS1171" s="905"/>
      <c r="PT1171" s="905"/>
      <c r="PU1171" s="905"/>
      <c r="PV1171" s="905"/>
      <c r="PW1171" s="905"/>
      <c r="PX1171" s="905"/>
      <c r="PY1171" s="905"/>
      <c r="PZ1171" s="905"/>
      <c r="QA1171" s="905"/>
      <c r="QB1171" s="905"/>
      <c r="QC1171" s="905"/>
      <c r="QD1171" s="905"/>
      <c r="QE1171" s="905"/>
      <c r="QF1171" s="905"/>
      <c r="QG1171" s="905"/>
      <c r="QH1171" s="905"/>
      <c r="QI1171" s="905"/>
      <c r="QJ1171" s="905"/>
      <c r="QK1171" s="905"/>
      <c r="QL1171" s="905"/>
      <c r="QM1171" s="905"/>
      <c r="QN1171" s="905"/>
      <c r="QO1171" s="905"/>
      <c r="QP1171" s="905"/>
      <c r="QQ1171" s="905"/>
      <c r="QR1171" s="905"/>
      <c r="QS1171" s="905"/>
      <c r="QT1171" s="905"/>
      <c r="QU1171" s="905"/>
      <c r="QV1171" s="905"/>
      <c r="QW1171" s="905"/>
      <c r="QX1171" s="905"/>
      <c r="QY1171" s="905"/>
      <c r="QZ1171" s="905"/>
      <c r="RA1171" s="905"/>
      <c r="RB1171" s="905"/>
      <c r="RC1171" s="905"/>
      <c r="RD1171" s="905"/>
      <c r="RE1171" s="905"/>
      <c r="RF1171" s="905"/>
      <c r="RG1171" s="905"/>
      <c r="RH1171" s="905"/>
      <c r="RI1171" s="905"/>
      <c r="RJ1171" s="905"/>
      <c r="RK1171" s="905"/>
      <c r="RL1171" s="905"/>
      <c r="RM1171" s="905"/>
      <c r="RN1171" s="905"/>
      <c r="RO1171" s="905"/>
      <c r="RP1171" s="905"/>
      <c r="RQ1171" s="905"/>
      <c r="RR1171" s="905"/>
      <c r="RS1171" s="905"/>
      <c r="RT1171" s="905"/>
      <c r="RU1171" s="905"/>
      <c r="RV1171" s="905"/>
      <c r="RW1171" s="905"/>
      <c r="RX1171" s="905"/>
      <c r="RY1171" s="905"/>
      <c r="RZ1171" s="905"/>
      <c r="SA1171" s="905"/>
      <c r="SB1171" s="905"/>
      <c r="SC1171" s="905"/>
      <c r="SD1171" s="905"/>
      <c r="SE1171" s="905"/>
      <c r="SF1171" s="905"/>
      <c r="SG1171" s="905"/>
      <c r="SH1171" s="905"/>
      <c r="SI1171" s="905"/>
      <c r="SJ1171" s="905"/>
      <c r="SK1171" s="905"/>
      <c r="SL1171" s="905"/>
      <c r="SM1171" s="905"/>
      <c r="SN1171" s="905"/>
      <c r="SO1171" s="905"/>
      <c r="SP1171" s="905"/>
      <c r="SQ1171" s="905"/>
      <c r="SR1171" s="905"/>
      <c r="SS1171" s="905"/>
      <c r="ST1171" s="905"/>
      <c r="SU1171" s="905"/>
      <c r="SV1171" s="905"/>
      <c r="SW1171" s="905"/>
      <c r="SX1171" s="905"/>
      <c r="SY1171" s="905"/>
      <c r="SZ1171" s="905"/>
      <c r="TA1171" s="905"/>
      <c r="TB1171" s="905"/>
      <c r="TC1171" s="905"/>
      <c r="TD1171" s="905"/>
      <c r="TE1171" s="905"/>
      <c r="TF1171" s="905"/>
      <c r="TG1171" s="905"/>
      <c r="TH1171" s="905"/>
      <c r="TI1171" s="905"/>
      <c r="TJ1171" s="905"/>
      <c r="TK1171" s="905"/>
      <c r="TL1171" s="905"/>
      <c r="TM1171" s="905"/>
      <c r="TN1171" s="905"/>
      <c r="TO1171" s="905"/>
      <c r="TP1171" s="905"/>
      <c r="TQ1171" s="905"/>
      <c r="TR1171" s="905"/>
      <c r="TS1171" s="905"/>
      <c r="TT1171" s="905"/>
      <c r="TU1171" s="905"/>
      <c r="TV1171" s="905"/>
      <c r="TW1171" s="905"/>
      <c r="TX1171" s="905"/>
      <c r="TY1171" s="905"/>
      <c r="TZ1171" s="905"/>
      <c r="UA1171" s="905"/>
      <c r="UB1171" s="905"/>
      <c r="UC1171" s="905"/>
      <c r="UD1171" s="905"/>
      <c r="UE1171" s="905"/>
      <c r="UF1171" s="905"/>
      <c r="UG1171" s="905"/>
      <c r="UH1171" s="905"/>
      <c r="UI1171" s="905"/>
      <c r="UJ1171" s="905"/>
      <c r="UK1171" s="905"/>
      <c r="UL1171" s="905"/>
      <c r="UM1171" s="905"/>
      <c r="UN1171" s="905"/>
      <c r="UO1171" s="905"/>
      <c r="UP1171" s="905"/>
      <c r="UQ1171" s="905"/>
      <c r="UR1171" s="905"/>
      <c r="US1171" s="905"/>
      <c r="UT1171" s="905"/>
      <c r="UU1171" s="905"/>
      <c r="UV1171" s="905"/>
      <c r="UW1171" s="905"/>
      <c r="UX1171" s="905"/>
      <c r="UY1171" s="905"/>
      <c r="UZ1171" s="905"/>
      <c r="VA1171" s="905"/>
      <c r="VB1171" s="905"/>
      <c r="VC1171" s="905"/>
      <c r="VD1171" s="905"/>
      <c r="VE1171" s="905"/>
      <c r="VF1171" s="905"/>
      <c r="VG1171" s="905"/>
      <c r="VH1171" s="905"/>
      <c r="VI1171" s="905"/>
      <c r="VJ1171" s="905"/>
      <c r="VK1171" s="905"/>
      <c r="VL1171" s="905"/>
      <c r="VM1171" s="905"/>
      <c r="VN1171" s="905"/>
      <c r="VO1171" s="905"/>
      <c r="VP1171" s="905"/>
      <c r="VQ1171" s="905"/>
      <c r="VR1171" s="905"/>
      <c r="VS1171" s="905"/>
      <c r="VT1171" s="905"/>
      <c r="VU1171" s="905"/>
      <c r="VV1171" s="905"/>
      <c r="VW1171" s="905"/>
      <c r="VX1171" s="905"/>
      <c r="VY1171" s="905"/>
      <c r="VZ1171" s="905"/>
      <c r="WA1171" s="905"/>
      <c r="WB1171" s="905"/>
      <c r="WC1171" s="905"/>
      <c r="WD1171" s="905"/>
      <c r="WE1171" s="905"/>
      <c r="WF1171" s="905"/>
      <c r="WG1171" s="905"/>
      <c r="WH1171" s="905"/>
      <c r="WI1171" s="905"/>
      <c r="WJ1171" s="905"/>
      <c r="WK1171" s="905"/>
      <c r="WL1171" s="905"/>
      <c r="WM1171" s="905"/>
      <c r="WN1171" s="905"/>
      <c r="WO1171" s="905"/>
      <c r="WP1171" s="905"/>
      <c r="WQ1171" s="905"/>
      <c r="WR1171" s="905"/>
      <c r="WS1171" s="905"/>
      <c r="WT1171" s="905"/>
      <c r="WU1171" s="905"/>
      <c r="WV1171" s="905"/>
      <c r="WW1171" s="905"/>
      <c r="WX1171" s="905"/>
      <c r="WY1171" s="905"/>
      <c r="WZ1171" s="905"/>
      <c r="XA1171" s="905"/>
      <c r="XB1171" s="905"/>
      <c r="XC1171" s="905"/>
      <c r="XD1171" s="905"/>
      <c r="XE1171" s="905"/>
      <c r="XF1171" s="905"/>
      <c r="XG1171" s="905"/>
      <c r="XH1171" s="905"/>
      <c r="XI1171" s="905"/>
      <c r="XJ1171" s="905"/>
      <c r="XK1171" s="905"/>
      <c r="XL1171" s="905"/>
      <c r="XM1171" s="905"/>
      <c r="XN1171" s="905"/>
      <c r="XO1171" s="905"/>
      <c r="XP1171" s="905"/>
      <c r="XQ1171" s="905"/>
      <c r="XR1171" s="905"/>
      <c r="XS1171" s="905"/>
      <c r="XT1171" s="905"/>
      <c r="XU1171" s="905"/>
      <c r="XV1171" s="905"/>
      <c r="XW1171" s="905"/>
      <c r="XX1171" s="905"/>
      <c r="XY1171" s="905"/>
      <c r="XZ1171" s="905"/>
      <c r="YA1171" s="905"/>
      <c r="YB1171" s="905"/>
      <c r="YC1171" s="905"/>
      <c r="YD1171" s="905"/>
      <c r="YE1171" s="905"/>
      <c r="YF1171" s="905"/>
      <c r="YG1171" s="905"/>
      <c r="YH1171" s="905"/>
      <c r="YI1171" s="905"/>
      <c r="YJ1171" s="905"/>
      <c r="YK1171" s="905"/>
      <c r="YL1171" s="905"/>
      <c r="YM1171" s="905"/>
      <c r="YN1171" s="905"/>
      <c r="YO1171" s="905"/>
      <c r="YP1171" s="905"/>
      <c r="YQ1171" s="905"/>
      <c r="YR1171" s="905"/>
      <c r="YS1171" s="905"/>
      <c r="YT1171" s="905"/>
      <c r="YU1171" s="905"/>
      <c r="YV1171" s="905"/>
      <c r="YW1171" s="905"/>
      <c r="YX1171" s="905"/>
      <c r="YY1171" s="905"/>
      <c r="YZ1171" s="905"/>
      <c r="ZA1171" s="905"/>
      <c r="ZB1171" s="905"/>
      <c r="ZC1171" s="905"/>
      <c r="ZD1171" s="905"/>
      <c r="ZE1171" s="905"/>
      <c r="ZF1171" s="905"/>
      <c r="ZG1171" s="905"/>
      <c r="ZH1171" s="905"/>
      <c r="ZI1171" s="905"/>
      <c r="ZJ1171" s="905"/>
      <c r="ZK1171" s="905"/>
      <c r="ZL1171" s="905"/>
      <c r="ZM1171" s="905"/>
      <c r="ZN1171" s="905"/>
      <c r="ZO1171" s="905"/>
      <c r="ZP1171" s="905"/>
      <c r="ZQ1171" s="905"/>
      <c r="ZR1171" s="905"/>
      <c r="ZS1171" s="905"/>
      <c r="ZT1171" s="905"/>
      <c r="ZU1171" s="905"/>
      <c r="ZV1171" s="905"/>
      <c r="ZW1171" s="905"/>
      <c r="ZX1171" s="905"/>
      <c r="ZY1171" s="905"/>
      <c r="ZZ1171" s="905"/>
      <c r="AAA1171" s="905"/>
      <c r="AAB1171" s="905"/>
      <c r="AAC1171" s="905"/>
      <c r="AAD1171" s="905"/>
      <c r="AAE1171" s="905"/>
      <c r="AAF1171" s="905"/>
      <c r="AAG1171" s="905"/>
      <c r="AAH1171" s="905"/>
      <c r="AAI1171" s="905"/>
      <c r="AAJ1171" s="905"/>
      <c r="AAK1171" s="905"/>
      <c r="AAL1171" s="905"/>
      <c r="AAM1171" s="905"/>
      <c r="AAN1171" s="905"/>
      <c r="AAO1171" s="905"/>
      <c r="AAP1171" s="905"/>
      <c r="AAQ1171" s="905"/>
      <c r="AAR1171" s="905"/>
      <c r="AAS1171" s="905"/>
      <c r="AAT1171" s="905"/>
      <c r="AAU1171" s="905"/>
      <c r="AAV1171" s="905"/>
      <c r="AAW1171" s="905"/>
      <c r="AAX1171" s="905"/>
      <c r="AAY1171" s="905"/>
      <c r="AAZ1171" s="905"/>
      <c r="ABA1171" s="905"/>
      <c r="ABB1171" s="905"/>
      <c r="ABC1171" s="905"/>
      <c r="ABD1171" s="905"/>
      <c r="ABE1171" s="905"/>
      <c r="ABF1171" s="905"/>
      <c r="ABG1171" s="905"/>
      <c r="ABH1171" s="905"/>
      <c r="ABI1171" s="905"/>
      <c r="ABJ1171" s="905"/>
      <c r="ABK1171" s="905"/>
      <c r="ABL1171" s="905"/>
      <c r="ABM1171" s="905"/>
      <c r="ABN1171" s="905"/>
      <c r="ABO1171" s="905"/>
      <c r="ABP1171" s="905"/>
      <c r="ABQ1171" s="905"/>
      <c r="ABR1171" s="905"/>
      <c r="ABS1171" s="905"/>
      <c r="ABT1171" s="905"/>
      <c r="ABU1171" s="905"/>
      <c r="ABV1171" s="905"/>
      <c r="ABW1171" s="905"/>
      <c r="ABX1171" s="905"/>
      <c r="ABY1171" s="905"/>
      <c r="ABZ1171" s="905"/>
      <c r="ACA1171" s="905"/>
      <c r="ACB1171" s="905"/>
      <c r="ACC1171" s="905"/>
      <c r="ACD1171" s="905"/>
      <c r="ACE1171" s="905"/>
      <c r="ACF1171" s="905"/>
      <c r="ACG1171" s="905"/>
      <c r="ACH1171" s="905"/>
      <c r="ACI1171" s="905"/>
      <c r="ACJ1171" s="905"/>
      <c r="ACK1171" s="905"/>
      <c r="ACL1171" s="905"/>
      <c r="ACM1171" s="905"/>
      <c r="ACN1171" s="905"/>
      <c r="ACO1171" s="905"/>
      <c r="ACP1171" s="905"/>
      <c r="ACQ1171" s="905"/>
      <c r="ACR1171" s="905"/>
      <c r="ACS1171" s="905"/>
      <c r="ACT1171" s="905"/>
      <c r="ACU1171" s="905"/>
      <c r="ACV1171" s="905"/>
      <c r="ACW1171" s="905"/>
      <c r="ACX1171" s="905"/>
      <c r="ACY1171" s="905"/>
      <c r="ACZ1171" s="905"/>
      <c r="ADA1171" s="905"/>
      <c r="ADB1171" s="905"/>
      <c r="ADC1171" s="905"/>
      <c r="ADD1171" s="905"/>
      <c r="ADE1171" s="905"/>
      <c r="ADF1171" s="905"/>
      <c r="ADG1171" s="905"/>
      <c r="ADH1171" s="905"/>
      <c r="ADI1171" s="905"/>
      <c r="ADJ1171" s="905"/>
      <c r="ADK1171" s="905"/>
      <c r="ADL1171" s="905"/>
      <c r="ADM1171" s="905"/>
      <c r="ADN1171" s="905"/>
      <c r="ADO1171" s="905"/>
      <c r="ADP1171" s="905"/>
      <c r="ADQ1171" s="905"/>
      <c r="ADR1171" s="905"/>
      <c r="ADS1171" s="905"/>
      <c r="ADT1171" s="905"/>
      <c r="ADU1171" s="905"/>
      <c r="ADV1171" s="905"/>
      <c r="ADW1171" s="905"/>
      <c r="ADX1171" s="905"/>
      <c r="ADY1171" s="905"/>
      <c r="ADZ1171" s="905"/>
      <c r="AEA1171" s="905"/>
      <c r="AEB1171" s="905"/>
      <c r="AEC1171" s="905"/>
      <c r="AED1171" s="905"/>
      <c r="AEE1171" s="905"/>
      <c r="AEF1171" s="905"/>
      <c r="AEG1171" s="905"/>
      <c r="AEH1171" s="905"/>
      <c r="AEI1171" s="905"/>
      <c r="AEJ1171" s="905"/>
      <c r="AEK1171" s="905"/>
      <c r="AEL1171" s="905"/>
      <c r="AEM1171" s="905"/>
      <c r="AEN1171" s="905"/>
      <c r="AEO1171" s="905"/>
      <c r="AEP1171" s="905"/>
      <c r="AEQ1171" s="905"/>
      <c r="AER1171" s="905"/>
      <c r="AES1171" s="905"/>
      <c r="AET1171" s="905"/>
      <c r="AEU1171" s="905"/>
      <c r="AEV1171" s="905"/>
      <c r="AEW1171" s="905"/>
      <c r="AEX1171" s="905"/>
      <c r="AEY1171" s="905"/>
      <c r="AEZ1171" s="905"/>
      <c r="AFA1171" s="905"/>
      <c r="AFB1171" s="905"/>
      <c r="AFC1171" s="905"/>
      <c r="AFD1171" s="905"/>
      <c r="AFE1171" s="905"/>
      <c r="AFF1171" s="905"/>
      <c r="AFG1171" s="905"/>
      <c r="AFH1171" s="905"/>
      <c r="AFI1171" s="905"/>
      <c r="AFJ1171" s="905"/>
      <c r="AFK1171" s="905"/>
      <c r="AFL1171" s="905"/>
      <c r="AFM1171" s="905"/>
      <c r="AFN1171" s="905"/>
      <c r="AFO1171" s="905"/>
      <c r="AFP1171" s="905"/>
      <c r="AFQ1171" s="905"/>
      <c r="AFR1171" s="905"/>
      <c r="AFS1171" s="905"/>
      <c r="AFT1171" s="905"/>
      <c r="AFU1171" s="905"/>
      <c r="AFV1171" s="905"/>
      <c r="AFW1171" s="905"/>
      <c r="AFX1171" s="905"/>
      <c r="AFY1171" s="905"/>
      <c r="AFZ1171" s="905"/>
      <c r="AGA1171" s="905"/>
      <c r="AGB1171" s="905"/>
      <c r="AGC1171" s="905"/>
      <c r="AGD1171" s="905"/>
      <c r="AGE1171" s="905"/>
      <c r="AGF1171" s="905"/>
      <c r="AGG1171" s="905"/>
      <c r="AGH1171" s="905"/>
      <c r="AGI1171" s="905"/>
      <c r="AGJ1171" s="905"/>
    </row>
    <row r="1172" spans="1:868">
      <c r="A1172" s="898" t="str">
        <f>Clothing!A367</f>
        <v>Clothing (product sector)</v>
      </c>
      <c r="B1172" s="898" t="str">
        <f>Clothing!B367</f>
        <v>Closed-toed shoes</v>
      </c>
      <c r="C1172" s="898" t="str">
        <f>Clothing!C367</f>
        <v>NL</v>
      </c>
      <c r="D1172" s="898" t="str">
        <f>Clothing!D367</f>
        <v>PVC</v>
      </c>
      <c r="E1172" s="901">
        <f>Clothing!E367</f>
        <v>0.42492030094842498</v>
      </c>
      <c r="F1172" s="898">
        <f>Clothing!F367</f>
        <v>1</v>
      </c>
      <c r="G1172" s="898" t="str">
        <f>Clothing!G367</f>
        <v>https://eeb.org/library/draft-product-environmental-footprint-category-rules-pefcr-apparel-and-footwear/</v>
      </c>
      <c r="H1172" s="902">
        <f>Clothing!H367</f>
        <v>2</v>
      </c>
      <c r="I1172" s="902" t="str">
        <f>Clothing!I367</f>
        <v/>
      </c>
      <c r="J1172" s="902">
        <f>Clothing!J367</f>
        <v>2</v>
      </c>
      <c r="K1172" s="902">
        <f>Clothing!K367</f>
        <v>1</v>
      </c>
      <c r="L1172" s="902">
        <f>Clothing!L367</f>
        <v>2</v>
      </c>
      <c r="M1172" s="902">
        <f>Clothing!M367</f>
        <v>3</v>
      </c>
      <c r="N1172" s="185">
        <f t="shared" si="89"/>
        <v>1.0301997916669636</v>
      </c>
      <c r="O1172" s="159" t="e">
        <f t="shared" si="90"/>
        <v>#VALUE!</v>
      </c>
    </row>
    <row r="1173" spans="1:868">
      <c r="A1173" s="898" t="str">
        <f>Clothing!A368</f>
        <v>Clothing (product sector)</v>
      </c>
      <c r="B1173" s="898" t="str">
        <f>Clothing!B368</f>
        <v>Closed-toed shoes</v>
      </c>
      <c r="C1173" s="898" t="str">
        <f>Clothing!C368</f>
        <v>NL</v>
      </c>
      <c r="D1173" s="898" t="str">
        <f>Clothing!D368</f>
        <v>RUBBER</v>
      </c>
      <c r="E1173" s="901">
        <f>Clothing!E368</f>
        <v>0.60875160214096102</v>
      </c>
      <c r="F1173" s="898">
        <f>Clothing!F368</f>
        <v>1</v>
      </c>
      <c r="G1173" s="898" t="str">
        <f>Clothing!G368</f>
        <v>https://eeb.org/library/draft-product-environmental-footprint-category-rules-pefcr-apparel-and-footwear/</v>
      </c>
      <c r="H1173" s="902">
        <f>Clothing!H368</f>
        <v>2</v>
      </c>
      <c r="I1173" s="902" t="str">
        <f>Clothing!I368</f>
        <v/>
      </c>
      <c r="J1173" s="902">
        <f>Clothing!J368</f>
        <v>2</v>
      </c>
      <c r="K1173" s="902">
        <f>Clothing!K368</f>
        <v>1</v>
      </c>
      <c r="L1173" s="902">
        <f>Clothing!L368</f>
        <v>2</v>
      </c>
      <c r="M1173" s="902">
        <f>Clothing!M368</f>
        <v>3</v>
      </c>
      <c r="N1173" s="185">
        <f t="shared" si="89"/>
        <v>1.0301997916669636</v>
      </c>
      <c r="O1173" s="159" t="e">
        <f t="shared" si="90"/>
        <v>#VALUE!</v>
      </c>
    </row>
    <row r="1174" spans="1:868">
      <c r="A1174" s="898" t="str">
        <f>Clothing!A369</f>
        <v>Clothing (product sector)</v>
      </c>
      <c r="B1174" s="898" t="str">
        <f>Clothing!B369</f>
        <v>Dresses skirts and jumpsuits</v>
      </c>
      <c r="C1174" s="898" t="str">
        <f>Clothing!C369</f>
        <v>NL</v>
      </c>
      <c r="D1174" s="898" t="str">
        <f>Clothing!D369</f>
        <v>Acryl</v>
      </c>
      <c r="E1174" s="901">
        <f>Clothing!E369</f>
        <v>0</v>
      </c>
      <c r="F1174" s="898">
        <f>Clothing!F369</f>
        <v>1</v>
      </c>
      <c r="G1174" s="898" t="str">
        <f>Clothing!G369</f>
        <v>https://eeb.org/library/draft-product-environmental-footprint-category-rules-pefcr-apparel-and-footwear/</v>
      </c>
      <c r="H1174" s="902">
        <f>Clothing!H369</f>
        <v>2</v>
      </c>
      <c r="I1174" s="902" t="str">
        <f>Clothing!I369</f>
        <v/>
      </c>
      <c r="J1174" s="902">
        <f>Clothing!J369</f>
        <v>2</v>
      </c>
      <c r="K1174" s="902">
        <f>Clothing!K369</f>
        <v>1</v>
      </c>
      <c r="L1174" s="902">
        <f>Clothing!L369</f>
        <v>2</v>
      </c>
      <c r="M1174" s="902">
        <f>Clothing!M369</f>
        <v>3</v>
      </c>
      <c r="N1174" s="185">
        <f t="shared" si="89"/>
        <v>1.0301997916669636</v>
      </c>
      <c r="O1174" s="159" t="e">
        <f t="shared" si="90"/>
        <v>#VALUE!</v>
      </c>
    </row>
    <row r="1175" spans="1:868">
      <c r="A1175" s="898" t="str">
        <f>Clothing!A370</f>
        <v>Clothing (product sector)</v>
      </c>
      <c r="B1175" s="898" t="str">
        <f>Clothing!B370</f>
        <v>Dresses skirts and jumpsuits</v>
      </c>
      <c r="C1175" s="898" t="str">
        <f>Clothing!C370</f>
        <v>NL</v>
      </c>
      <c r="D1175" s="898" t="str">
        <f>Clothing!D370</f>
        <v>OTHER</v>
      </c>
      <c r="E1175" s="901">
        <f>Clothing!E370</f>
        <v>0</v>
      </c>
      <c r="F1175" s="898">
        <f>Clothing!F370</f>
        <v>1</v>
      </c>
      <c r="G1175" s="898" t="str">
        <f>Clothing!G370</f>
        <v>https://eeb.org/library/draft-product-environmental-footprint-category-rules-pefcr-apparel-and-footwear/</v>
      </c>
      <c r="H1175" s="902">
        <f>Clothing!H370</f>
        <v>2</v>
      </c>
      <c r="I1175" s="902" t="str">
        <f>Clothing!I370</f>
        <v/>
      </c>
      <c r="J1175" s="902">
        <f>Clothing!J370</f>
        <v>2</v>
      </c>
      <c r="K1175" s="902">
        <f>Clothing!K370</f>
        <v>1</v>
      </c>
      <c r="L1175" s="902">
        <f>Clothing!L370</f>
        <v>2</v>
      </c>
      <c r="M1175" s="902">
        <f>Clothing!M370</f>
        <v>3</v>
      </c>
      <c r="N1175" s="185">
        <f t="shared" si="89"/>
        <v>1.0301997916669636</v>
      </c>
      <c r="O1175" s="159" t="e">
        <f t="shared" si="90"/>
        <v>#VALUE!</v>
      </c>
    </row>
    <row r="1176" spans="1:868">
      <c r="A1176" s="898" t="str">
        <f>Clothing!A371</f>
        <v>Clothing (product sector)</v>
      </c>
      <c r="B1176" s="898" t="str">
        <f>Clothing!B371</f>
        <v>Dresses skirts and jumpsuits</v>
      </c>
      <c r="C1176" s="898" t="str">
        <f>Clothing!C371</f>
        <v>NL</v>
      </c>
      <c r="D1176" s="898" t="str">
        <f>Clothing!D371</f>
        <v>PA</v>
      </c>
      <c r="E1176" s="901">
        <f>Clothing!E371</f>
        <v>2.6768924468610299E-2</v>
      </c>
      <c r="F1176" s="898">
        <f>Clothing!F371</f>
        <v>1</v>
      </c>
      <c r="G1176" s="898" t="str">
        <f>Clothing!G371</f>
        <v>https://eeb.org/library/draft-product-environmental-footprint-category-rules-pefcr-apparel-and-footwear/</v>
      </c>
      <c r="H1176" s="902">
        <f>Clothing!H371</f>
        <v>2</v>
      </c>
      <c r="I1176" s="902" t="str">
        <f>Clothing!I371</f>
        <v/>
      </c>
      <c r="J1176" s="902">
        <f>Clothing!J371</f>
        <v>2</v>
      </c>
      <c r="K1176" s="902">
        <f>Clothing!K371</f>
        <v>1</v>
      </c>
      <c r="L1176" s="902">
        <f>Clothing!L371</f>
        <v>2</v>
      </c>
      <c r="M1176" s="902">
        <f>Clothing!M371</f>
        <v>3</v>
      </c>
      <c r="N1176" s="185">
        <f t="shared" si="89"/>
        <v>1.0301997916669636</v>
      </c>
      <c r="O1176" s="159" t="e">
        <f t="shared" si="90"/>
        <v>#VALUE!</v>
      </c>
    </row>
    <row r="1177" spans="1:868">
      <c r="A1177" s="898" t="str">
        <f>Clothing!A372</f>
        <v>Clothing (product sector)</v>
      </c>
      <c r="B1177" s="898" t="str">
        <f>Clothing!B372</f>
        <v>Dresses skirts and jumpsuits</v>
      </c>
      <c r="C1177" s="898" t="str">
        <f>Clothing!C372</f>
        <v>NL</v>
      </c>
      <c r="D1177" s="898" t="str">
        <f>Clothing!D372</f>
        <v>PET</v>
      </c>
      <c r="E1177" s="901">
        <f>Clothing!E372</f>
        <v>3.7642965218586497E-2</v>
      </c>
      <c r="F1177" s="898">
        <f>Clothing!F372</f>
        <v>1</v>
      </c>
      <c r="G1177" s="898" t="str">
        <f>Clothing!G372</f>
        <v>https://eeb.org/library/draft-product-environmental-footprint-category-rules-pefcr-apparel-and-footwear/</v>
      </c>
      <c r="H1177" s="902">
        <f>Clothing!H372</f>
        <v>2</v>
      </c>
      <c r="I1177" s="902" t="str">
        <f>Clothing!I372</f>
        <v/>
      </c>
      <c r="J1177" s="902">
        <f>Clothing!J372</f>
        <v>2</v>
      </c>
      <c r="K1177" s="902">
        <f>Clothing!K372</f>
        <v>1</v>
      </c>
      <c r="L1177" s="902">
        <f>Clothing!L372</f>
        <v>2</v>
      </c>
      <c r="M1177" s="902">
        <f>Clothing!M372</f>
        <v>3</v>
      </c>
      <c r="N1177" s="185">
        <f t="shared" si="89"/>
        <v>1.0301997916669636</v>
      </c>
      <c r="O1177" s="159" t="e">
        <f t="shared" si="90"/>
        <v>#VALUE!</v>
      </c>
    </row>
    <row r="1178" spans="1:868">
      <c r="A1178" s="898" t="str">
        <f>Clothing!A373</f>
        <v>Clothing (product sector)</v>
      </c>
      <c r="B1178" s="898" t="str">
        <f>Clothing!B373</f>
        <v>Jackets and coats</v>
      </c>
      <c r="C1178" s="898" t="str">
        <f>Clothing!C373</f>
        <v>NL</v>
      </c>
      <c r="D1178" s="898" t="str">
        <f>Clothing!D373</f>
        <v>Acryl</v>
      </c>
      <c r="E1178" s="901">
        <f>Clothing!E373</f>
        <v>0.54133729510796103</v>
      </c>
      <c r="F1178" s="898">
        <f>Clothing!F373</f>
        <v>1</v>
      </c>
      <c r="G1178" s="898" t="str">
        <f>Clothing!G373</f>
        <v>https://eeb.org/library/draft-product-environmental-footprint-category-rules-pefcr-apparel-and-footwear/</v>
      </c>
      <c r="H1178" s="902">
        <f>Clothing!H373</f>
        <v>2</v>
      </c>
      <c r="I1178" s="902" t="str">
        <f>Clothing!I373</f>
        <v/>
      </c>
      <c r="J1178" s="902">
        <f>Clothing!J373</f>
        <v>2</v>
      </c>
      <c r="K1178" s="902">
        <f>Clothing!K373</f>
        <v>1</v>
      </c>
      <c r="L1178" s="902">
        <f>Clothing!L373</f>
        <v>2</v>
      </c>
      <c r="M1178" s="902">
        <f>Clothing!M373</f>
        <v>3</v>
      </c>
      <c r="N1178" s="185">
        <f t="shared" si="89"/>
        <v>1.0301997916669636</v>
      </c>
      <c r="O1178" s="159" t="e">
        <f t="shared" si="90"/>
        <v>#VALUE!</v>
      </c>
    </row>
    <row r="1179" spans="1:868">
      <c r="A1179" s="898" t="str">
        <f>Clothing!A374</f>
        <v>Clothing (product sector)</v>
      </c>
      <c r="B1179" s="898" t="str">
        <f>Clothing!B374</f>
        <v>Jackets and coats</v>
      </c>
      <c r="C1179" s="898" t="str">
        <f>Clothing!C374</f>
        <v>NL</v>
      </c>
      <c r="D1179" s="898" t="str">
        <f>Clothing!D374</f>
        <v>OTHER</v>
      </c>
      <c r="E1179" s="901">
        <f>Clothing!E374</f>
        <v>5.6392942598084E-2</v>
      </c>
      <c r="F1179" s="898">
        <f>Clothing!F374</f>
        <v>1</v>
      </c>
      <c r="G1179" s="898" t="str">
        <f>Clothing!G374</f>
        <v>https://eeb.org/library/draft-product-environmental-footprint-category-rules-pefcr-apparel-and-footwear/</v>
      </c>
      <c r="H1179" s="902">
        <f>Clothing!H374</f>
        <v>2</v>
      </c>
      <c r="I1179" s="902" t="str">
        <f>Clothing!I374</f>
        <v/>
      </c>
      <c r="J1179" s="902">
        <f>Clothing!J374</f>
        <v>2</v>
      </c>
      <c r="K1179" s="902">
        <f>Clothing!K374</f>
        <v>1</v>
      </c>
      <c r="L1179" s="902">
        <f>Clothing!L374</f>
        <v>2</v>
      </c>
      <c r="M1179" s="902">
        <f>Clothing!M374</f>
        <v>3</v>
      </c>
      <c r="N1179" s="185">
        <f t="shared" si="89"/>
        <v>1.0301997916669636</v>
      </c>
      <c r="O1179" s="159" t="e">
        <f t="shared" si="90"/>
        <v>#VALUE!</v>
      </c>
    </row>
    <row r="1180" spans="1:868">
      <c r="A1180" s="898" t="str">
        <f>Clothing!A375</f>
        <v>Clothing (product sector)</v>
      </c>
      <c r="B1180" s="898" t="str">
        <f>Clothing!B375</f>
        <v>Jackets and coats</v>
      </c>
      <c r="C1180" s="898" t="str">
        <f>Clothing!C375</f>
        <v>NL</v>
      </c>
      <c r="D1180" s="898" t="str">
        <f>Clothing!D375</f>
        <v>PA</v>
      </c>
      <c r="E1180" s="901">
        <f>Clothing!E375</f>
        <v>0.316751637003654</v>
      </c>
      <c r="F1180" s="898">
        <f>Clothing!F375</f>
        <v>1</v>
      </c>
      <c r="G1180" s="898" t="str">
        <f>Clothing!G375</f>
        <v>https://eeb.org/library/draft-product-environmental-footprint-category-rules-pefcr-apparel-and-footwear/</v>
      </c>
      <c r="H1180" s="902">
        <f>Clothing!H375</f>
        <v>2</v>
      </c>
      <c r="I1180" s="902" t="str">
        <f>Clothing!I375</f>
        <v/>
      </c>
      <c r="J1180" s="902">
        <f>Clothing!J375</f>
        <v>2</v>
      </c>
      <c r="K1180" s="902">
        <f>Clothing!K375</f>
        <v>1</v>
      </c>
      <c r="L1180" s="902">
        <f>Clothing!L375</f>
        <v>2</v>
      </c>
      <c r="M1180" s="902">
        <f>Clothing!M375</f>
        <v>3</v>
      </c>
      <c r="N1180" s="185">
        <f t="shared" si="89"/>
        <v>1.0301997916669636</v>
      </c>
      <c r="O1180" s="159" t="e">
        <f t="shared" si="90"/>
        <v>#VALUE!</v>
      </c>
    </row>
    <row r="1181" spans="1:868">
      <c r="A1181" s="898" t="str">
        <f>Clothing!A376</f>
        <v>Clothing (product sector)</v>
      </c>
      <c r="B1181" s="898" t="str">
        <f>Clothing!B376</f>
        <v>Jackets and coats</v>
      </c>
      <c r="C1181" s="898" t="str">
        <f>Clothing!C376</f>
        <v>NL</v>
      </c>
      <c r="D1181" s="898" t="str">
        <f>Clothing!D376</f>
        <v>PET</v>
      </c>
      <c r="E1181" s="901">
        <f>Clothing!E376</f>
        <v>0.177496509266894</v>
      </c>
      <c r="F1181" s="898">
        <f>Clothing!F376</f>
        <v>1</v>
      </c>
      <c r="G1181" s="898" t="str">
        <f>Clothing!G376</f>
        <v>https://eeb.org/library/draft-product-environmental-footprint-category-rules-pefcr-apparel-and-footwear/</v>
      </c>
      <c r="H1181" s="902">
        <f>Clothing!H376</f>
        <v>2</v>
      </c>
      <c r="I1181" s="902" t="str">
        <f>Clothing!I376</f>
        <v/>
      </c>
      <c r="J1181" s="902">
        <f>Clothing!J376</f>
        <v>2</v>
      </c>
      <c r="K1181" s="902">
        <f>Clothing!K376</f>
        <v>1</v>
      </c>
      <c r="L1181" s="902">
        <f>Clothing!L376</f>
        <v>2</v>
      </c>
      <c r="M1181" s="902">
        <f>Clothing!M376</f>
        <v>3</v>
      </c>
      <c r="N1181" s="185">
        <f t="shared" si="89"/>
        <v>1.0301997916669636</v>
      </c>
      <c r="O1181" s="159" t="e">
        <f t="shared" si="90"/>
        <v>#VALUE!</v>
      </c>
    </row>
    <row r="1182" spans="1:868">
      <c r="A1182" s="898" t="str">
        <f>Clothing!A377</f>
        <v>Clothing (product sector)</v>
      </c>
      <c r="B1182" s="898" t="str">
        <f>Clothing!B377</f>
        <v>Leggings stockings tights and socks</v>
      </c>
      <c r="C1182" s="898" t="str">
        <f>Clothing!C377</f>
        <v>NL</v>
      </c>
      <c r="D1182" s="898" t="str">
        <f>Clothing!D377</f>
        <v>Acryl</v>
      </c>
      <c r="E1182" s="901">
        <f>Clothing!E377</f>
        <v>8.7360882099383006E-3</v>
      </c>
      <c r="F1182" s="898">
        <f>Clothing!F377</f>
        <v>1</v>
      </c>
      <c r="G1182" s="898" t="str">
        <f>Clothing!G377</f>
        <v>https://eeb.org/library/draft-product-environmental-footprint-category-rules-pefcr-apparel-and-footwear/</v>
      </c>
      <c r="H1182" s="902">
        <f>Clothing!H377</f>
        <v>2</v>
      </c>
      <c r="I1182" s="902" t="str">
        <f>Clothing!I377</f>
        <v/>
      </c>
      <c r="J1182" s="902">
        <f>Clothing!J377</f>
        <v>2</v>
      </c>
      <c r="K1182" s="902">
        <f>Clothing!K377</f>
        <v>1</v>
      </c>
      <c r="L1182" s="902">
        <f>Clothing!L377</f>
        <v>2</v>
      </c>
      <c r="M1182" s="902">
        <f>Clothing!M377</f>
        <v>3</v>
      </c>
      <c r="N1182" s="185">
        <f t="shared" si="89"/>
        <v>1.0301997916669636</v>
      </c>
      <c r="O1182" s="159" t="e">
        <f t="shared" si="90"/>
        <v>#VALUE!</v>
      </c>
    </row>
    <row r="1183" spans="1:868">
      <c r="A1183" s="898" t="str">
        <f>Clothing!A378</f>
        <v>Clothing (product sector)</v>
      </c>
      <c r="B1183" s="898" t="str">
        <f>Clothing!B378</f>
        <v>Leggings stockings tights and socks</v>
      </c>
      <c r="C1183" s="898" t="str">
        <f>Clothing!C378</f>
        <v>NL</v>
      </c>
      <c r="D1183" s="898" t="str">
        <f>Clothing!D378</f>
        <v>OTHER</v>
      </c>
      <c r="E1183" s="901">
        <f>Clothing!E378</f>
        <v>7.1505338716285304E-3</v>
      </c>
      <c r="F1183" s="898">
        <f>Clothing!F378</f>
        <v>1</v>
      </c>
      <c r="G1183" s="898" t="str">
        <f>Clothing!G378</f>
        <v>https://eeb.org/library/draft-product-environmental-footprint-category-rules-pefcr-apparel-and-footwear/</v>
      </c>
      <c r="H1183" s="902">
        <f>Clothing!H378</f>
        <v>2</v>
      </c>
      <c r="I1183" s="902" t="str">
        <f>Clothing!I378</f>
        <v/>
      </c>
      <c r="J1183" s="902">
        <f>Clothing!J378</f>
        <v>2</v>
      </c>
      <c r="K1183" s="902">
        <f>Clothing!K378</f>
        <v>1</v>
      </c>
      <c r="L1183" s="902">
        <f>Clothing!L378</f>
        <v>2</v>
      </c>
      <c r="M1183" s="902">
        <f>Clothing!M378</f>
        <v>3</v>
      </c>
      <c r="N1183" s="185">
        <f t="shared" si="89"/>
        <v>1.0301997916669636</v>
      </c>
      <c r="O1183" s="159" t="e">
        <f t="shared" si="90"/>
        <v>#VALUE!</v>
      </c>
    </row>
    <row r="1184" spans="1:868">
      <c r="A1184" s="898" t="str">
        <f>Clothing!A379</f>
        <v>Clothing (product sector)</v>
      </c>
      <c r="B1184" s="898" t="str">
        <f>Clothing!B379</f>
        <v>Leggings stockings tights and socks</v>
      </c>
      <c r="C1184" s="898" t="str">
        <f>Clothing!C379</f>
        <v>NL</v>
      </c>
      <c r="D1184" s="898" t="str">
        <f>Clothing!D379</f>
        <v>PA</v>
      </c>
      <c r="E1184" s="901">
        <f>Clothing!E379</f>
        <v>1.6600952614077898E-2</v>
      </c>
      <c r="F1184" s="898">
        <f>Clothing!F379</f>
        <v>1</v>
      </c>
      <c r="G1184" s="898" t="str">
        <f>Clothing!G379</f>
        <v>https://eeb.org/library/draft-product-environmental-footprint-category-rules-pefcr-apparel-and-footwear/</v>
      </c>
      <c r="H1184" s="902">
        <f>Clothing!H379</f>
        <v>2</v>
      </c>
      <c r="I1184" s="902" t="str">
        <f>Clothing!I379</f>
        <v/>
      </c>
      <c r="J1184" s="902">
        <f>Clothing!J379</f>
        <v>2</v>
      </c>
      <c r="K1184" s="902">
        <f>Clothing!K379</f>
        <v>1</v>
      </c>
      <c r="L1184" s="902">
        <f>Clothing!L379</f>
        <v>2</v>
      </c>
      <c r="M1184" s="902">
        <f>Clothing!M379</f>
        <v>3</v>
      </c>
      <c r="N1184" s="185">
        <f t="shared" si="89"/>
        <v>1.0301997916669636</v>
      </c>
      <c r="O1184" s="159" t="e">
        <f t="shared" si="90"/>
        <v>#VALUE!</v>
      </c>
    </row>
    <row r="1185" spans="1:15">
      <c r="A1185" s="898" t="str">
        <f>Clothing!A380</f>
        <v>Clothing (product sector)</v>
      </c>
      <c r="B1185" s="898" t="str">
        <f>Clothing!B380</f>
        <v>Leggings stockings tights and socks</v>
      </c>
      <c r="C1185" s="898" t="str">
        <f>Clothing!C380</f>
        <v>NL</v>
      </c>
      <c r="D1185" s="898" t="str">
        <f>Clothing!D380</f>
        <v>PET</v>
      </c>
      <c r="E1185" s="901">
        <f>Clothing!E380</f>
        <v>2.3642950478169398E-3</v>
      </c>
      <c r="F1185" s="898">
        <f>Clothing!F380</f>
        <v>1</v>
      </c>
      <c r="G1185" s="898" t="str">
        <f>Clothing!G380</f>
        <v>https://eeb.org/library/draft-product-environmental-footprint-category-rules-pefcr-apparel-and-footwear/</v>
      </c>
      <c r="H1185" s="902">
        <f>Clothing!H380</f>
        <v>2</v>
      </c>
      <c r="I1185" s="902" t="str">
        <f>Clothing!I380</f>
        <v/>
      </c>
      <c r="J1185" s="902">
        <f>Clothing!J380</f>
        <v>2</v>
      </c>
      <c r="K1185" s="902">
        <f>Clothing!K380</f>
        <v>1</v>
      </c>
      <c r="L1185" s="902">
        <f>Clothing!L380</f>
        <v>2</v>
      </c>
      <c r="M1185" s="902">
        <f>Clothing!M380</f>
        <v>3</v>
      </c>
      <c r="N1185" s="185">
        <f t="shared" si="89"/>
        <v>1.0301997916669636</v>
      </c>
      <c r="O1185" s="159" t="e">
        <f t="shared" si="90"/>
        <v>#VALUE!</v>
      </c>
    </row>
    <row r="1186" spans="1:15">
      <c r="A1186" s="898" t="str">
        <f>Clothing!A381</f>
        <v>Clothing (product sector)</v>
      </c>
      <c r="B1186" s="898" t="str">
        <f>Clothing!B381</f>
        <v>Open-toed shoes</v>
      </c>
      <c r="C1186" s="898" t="str">
        <f>Clothing!C381</f>
        <v>NL</v>
      </c>
      <c r="D1186" s="898" t="str">
        <f>Clothing!D381</f>
        <v>OTHER</v>
      </c>
      <c r="E1186" s="901">
        <f>Clothing!E381</f>
        <v>0.29706901814013198</v>
      </c>
      <c r="F1186" s="898">
        <f>Clothing!F381</f>
        <v>1</v>
      </c>
      <c r="G1186" s="898" t="str">
        <f>Clothing!G381</f>
        <v>https://eeb.org/library/draft-product-environmental-footprint-category-rules-pefcr-apparel-and-footwear/</v>
      </c>
      <c r="H1186" s="902">
        <f>Clothing!H381</f>
        <v>2</v>
      </c>
      <c r="I1186" s="902" t="str">
        <f>Clothing!I381</f>
        <v/>
      </c>
      <c r="J1186" s="902">
        <f>Clothing!J381</f>
        <v>2</v>
      </c>
      <c r="K1186" s="902">
        <f>Clothing!K381</f>
        <v>1</v>
      </c>
      <c r="L1186" s="902">
        <f>Clothing!L381</f>
        <v>2</v>
      </c>
      <c r="M1186" s="902">
        <f>Clothing!M381</f>
        <v>3</v>
      </c>
      <c r="N1186" s="185">
        <f t="shared" si="89"/>
        <v>1.0301997916669636</v>
      </c>
      <c r="O1186" s="159" t="e">
        <f t="shared" si="90"/>
        <v>#VALUE!</v>
      </c>
    </row>
    <row r="1187" spans="1:15">
      <c r="A1187" s="898" t="str">
        <f>Clothing!A382</f>
        <v>Clothing (product sector)</v>
      </c>
      <c r="B1187" s="898" t="str">
        <f>Clothing!B382</f>
        <v>Open-toed shoes</v>
      </c>
      <c r="C1187" s="898" t="str">
        <f>Clothing!C382</f>
        <v>NL</v>
      </c>
      <c r="D1187" s="898" t="str">
        <f>Clothing!D382</f>
        <v>PA</v>
      </c>
      <c r="E1187" s="901">
        <f>Clothing!E382</f>
        <v>0</v>
      </c>
      <c r="F1187" s="898">
        <f>Clothing!F382</f>
        <v>1</v>
      </c>
      <c r="G1187" s="898" t="str">
        <f>Clothing!G382</f>
        <v>https://eeb.org/library/draft-product-environmental-footprint-category-rules-pefcr-apparel-and-footwear/</v>
      </c>
      <c r="H1187" s="902">
        <f>Clothing!H382</f>
        <v>2</v>
      </c>
      <c r="I1187" s="902" t="str">
        <f>Clothing!I382</f>
        <v/>
      </c>
      <c r="J1187" s="902">
        <f>Clothing!J382</f>
        <v>2</v>
      </c>
      <c r="K1187" s="902">
        <f>Clothing!K382</f>
        <v>1</v>
      </c>
      <c r="L1187" s="902">
        <f>Clothing!L382</f>
        <v>2</v>
      </c>
      <c r="M1187" s="902">
        <f>Clothing!M382</f>
        <v>3</v>
      </c>
      <c r="N1187" s="185">
        <f t="shared" si="89"/>
        <v>1.0301997916669636</v>
      </c>
      <c r="O1187" s="159" t="e">
        <f t="shared" si="90"/>
        <v>#VALUE!</v>
      </c>
    </row>
    <row r="1188" spans="1:15">
      <c r="A1188" s="898" t="str">
        <f>Clothing!A383</f>
        <v>Clothing (product sector)</v>
      </c>
      <c r="B1188" s="898" t="str">
        <f>Clothing!B383</f>
        <v>Open-toed shoes</v>
      </c>
      <c r="C1188" s="898" t="str">
        <f>Clothing!C383</f>
        <v>NL</v>
      </c>
      <c r="D1188" s="898" t="str">
        <f>Clothing!D383</f>
        <v>PET</v>
      </c>
      <c r="E1188" s="901">
        <f>Clothing!E383</f>
        <v>4.55368476843149E-3</v>
      </c>
      <c r="F1188" s="898">
        <f>Clothing!F383</f>
        <v>1</v>
      </c>
      <c r="G1188" s="898" t="str">
        <f>Clothing!G383</f>
        <v>https://eeb.org/library/draft-product-environmental-footprint-category-rules-pefcr-apparel-and-footwear/</v>
      </c>
      <c r="H1188" s="902">
        <f>Clothing!H383</f>
        <v>2</v>
      </c>
      <c r="I1188" s="902" t="str">
        <f>Clothing!I383</f>
        <v/>
      </c>
      <c r="J1188" s="902">
        <f>Clothing!J383</f>
        <v>2</v>
      </c>
      <c r="K1188" s="902">
        <f>Clothing!K383</f>
        <v>1</v>
      </c>
      <c r="L1188" s="902">
        <f>Clothing!L383</f>
        <v>2</v>
      </c>
      <c r="M1188" s="902">
        <f>Clothing!M383</f>
        <v>3</v>
      </c>
      <c r="N1188" s="185">
        <f t="shared" si="89"/>
        <v>1.0301997916669636</v>
      </c>
      <c r="O1188" s="159" t="e">
        <f t="shared" si="90"/>
        <v>#VALUE!</v>
      </c>
    </row>
    <row r="1189" spans="1:15">
      <c r="A1189" s="898" t="str">
        <f>Clothing!A384</f>
        <v>Clothing (product sector)</v>
      </c>
      <c r="B1189" s="898" t="str">
        <f>Clothing!B384</f>
        <v>Open-toed shoes</v>
      </c>
      <c r="C1189" s="898" t="str">
        <f>Clothing!C384</f>
        <v>NL</v>
      </c>
      <c r="D1189" s="898" t="str">
        <f>Clothing!D384</f>
        <v>PUR</v>
      </c>
      <c r="E1189" s="901">
        <f>Clothing!E384</f>
        <v>9.8031746472176898E-2</v>
      </c>
      <c r="F1189" s="898">
        <f>Clothing!F384</f>
        <v>1</v>
      </c>
      <c r="G1189" s="898" t="str">
        <f>Clothing!G384</f>
        <v>https://eeb.org/library/draft-product-environmental-footprint-category-rules-pefcr-apparel-and-footwear/</v>
      </c>
      <c r="H1189" s="902">
        <f>Clothing!H384</f>
        <v>2</v>
      </c>
      <c r="I1189" s="902" t="str">
        <f>Clothing!I384</f>
        <v/>
      </c>
      <c r="J1189" s="902">
        <f>Clothing!J384</f>
        <v>2</v>
      </c>
      <c r="K1189" s="902">
        <f>Clothing!K384</f>
        <v>1</v>
      </c>
      <c r="L1189" s="902">
        <f>Clothing!L384</f>
        <v>2</v>
      </c>
      <c r="M1189" s="902">
        <f>Clothing!M384</f>
        <v>3</v>
      </c>
      <c r="N1189" s="185">
        <f t="shared" si="89"/>
        <v>1.0301997916669636</v>
      </c>
      <c r="O1189" s="159" t="e">
        <f t="shared" si="90"/>
        <v>#VALUE!</v>
      </c>
    </row>
    <row r="1190" spans="1:15">
      <c r="A1190" s="898" t="str">
        <f>Clothing!A385</f>
        <v>Clothing (product sector)</v>
      </c>
      <c r="B1190" s="898" t="str">
        <f>Clothing!B385</f>
        <v>Open-toed shoes</v>
      </c>
      <c r="C1190" s="898" t="str">
        <f>Clothing!C385</f>
        <v>NL</v>
      </c>
      <c r="D1190" s="898" t="str">
        <f>Clothing!D385</f>
        <v>PVC</v>
      </c>
      <c r="E1190" s="901">
        <f>Clothing!E385</f>
        <v>0.116094456358476</v>
      </c>
      <c r="F1190" s="898">
        <f>Clothing!F385</f>
        <v>1</v>
      </c>
      <c r="G1190" s="898" t="str">
        <f>Clothing!G385</f>
        <v>https://eeb.org/library/draft-product-environmental-footprint-category-rules-pefcr-apparel-and-footwear/</v>
      </c>
      <c r="H1190" s="902">
        <f>Clothing!H385</f>
        <v>2</v>
      </c>
      <c r="I1190" s="902" t="str">
        <f>Clothing!I385</f>
        <v/>
      </c>
      <c r="J1190" s="902">
        <f>Clothing!J385</f>
        <v>2</v>
      </c>
      <c r="K1190" s="902">
        <f>Clothing!K385</f>
        <v>1</v>
      </c>
      <c r="L1190" s="902">
        <f>Clothing!L385</f>
        <v>2</v>
      </c>
      <c r="M1190" s="902">
        <f>Clothing!M385</f>
        <v>3</v>
      </c>
      <c r="N1190" s="185">
        <f t="shared" si="89"/>
        <v>1.0301997916669636</v>
      </c>
      <c r="O1190" s="159" t="e">
        <f t="shared" si="90"/>
        <v>#VALUE!</v>
      </c>
    </row>
    <row r="1191" spans="1:15">
      <c r="A1191" s="898" t="str">
        <f>Clothing!A386</f>
        <v>Clothing (product sector)</v>
      </c>
      <c r="B1191" s="898" t="str">
        <f>Clothing!B386</f>
        <v>Open-toed shoes</v>
      </c>
      <c r="C1191" s="898" t="str">
        <f>Clothing!C386</f>
        <v>NL</v>
      </c>
      <c r="D1191" s="898" t="str">
        <f>Clothing!D386</f>
        <v>RUBBER</v>
      </c>
      <c r="E1191" s="901">
        <f>Clothing!E386</f>
        <v>0.19750483750322201</v>
      </c>
      <c r="F1191" s="898">
        <f>Clothing!F386</f>
        <v>1</v>
      </c>
      <c r="G1191" s="898" t="str">
        <f>Clothing!G386</f>
        <v>https://eeb.org/library/draft-product-environmental-footprint-category-rules-pefcr-apparel-and-footwear/</v>
      </c>
      <c r="H1191" s="902">
        <f>Clothing!H386</f>
        <v>2</v>
      </c>
      <c r="I1191" s="902" t="str">
        <f>Clothing!I386</f>
        <v/>
      </c>
      <c r="J1191" s="902">
        <f>Clothing!J386</f>
        <v>2</v>
      </c>
      <c r="K1191" s="902">
        <f>Clothing!K386</f>
        <v>1</v>
      </c>
      <c r="L1191" s="902">
        <f>Clothing!L386</f>
        <v>2</v>
      </c>
      <c r="M1191" s="902">
        <f>Clothing!M386</f>
        <v>3</v>
      </c>
      <c r="N1191" s="185">
        <f t="shared" si="89"/>
        <v>1.0301997916669636</v>
      </c>
      <c r="O1191" s="159" t="e">
        <f t="shared" si="90"/>
        <v>#VALUE!</v>
      </c>
    </row>
    <row r="1192" spans="1:15">
      <c r="A1192" s="898" t="str">
        <f>Clothing!A387</f>
        <v>Clothing (product sector)</v>
      </c>
      <c r="B1192" s="898" t="str">
        <f>Clothing!B387</f>
        <v>Pants and shorts</v>
      </c>
      <c r="C1192" s="898" t="str">
        <f>Clothing!C387</f>
        <v>NL</v>
      </c>
      <c r="D1192" s="898" t="str">
        <f>Clothing!D387</f>
        <v>Acryl</v>
      </c>
      <c r="E1192" s="901">
        <f>Clothing!E387</f>
        <v>0</v>
      </c>
      <c r="F1192" s="898">
        <f>Clothing!F387</f>
        <v>1</v>
      </c>
      <c r="G1192" s="898" t="str">
        <f>Clothing!G387</f>
        <v>https://eeb.org/library/draft-product-environmental-footprint-category-rules-pefcr-apparel-and-footwear/</v>
      </c>
      <c r="H1192" s="902">
        <f>Clothing!H387</f>
        <v>2</v>
      </c>
      <c r="I1192" s="902" t="str">
        <f>Clothing!I387</f>
        <v/>
      </c>
      <c r="J1192" s="902">
        <f>Clothing!J387</f>
        <v>2</v>
      </c>
      <c r="K1192" s="902">
        <f>Clothing!K387</f>
        <v>1</v>
      </c>
      <c r="L1192" s="902">
        <f>Clothing!L387</f>
        <v>2</v>
      </c>
      <c r="M1192" s="902">
        <f>Clothing!M387</f>
        <v>3</v>
      </c>
      <c r="N1192" s="185">
        <f t="shared" si="89"/>
        <v>1.0301997916669636</v>
      </c>
      <c r="O1192" s="159" t="e">
        <f t="shared" si="90"/>
        <v>#VALUE!</v>
      </c>
    </row>
    <row r="1193" spans="1:15">
      <c r="A1193" s="898" t="str">
        <f>Clothing!A388</f>
        <v>Clothing (product sector)</v>
      </c>
      <c r="B1193" s="898" t="str">
        <f>Clothing!B388</f>
        <v>Pants and shorts</v>
      </c>
      <c r="C1193" s="898" t="str">
        <f>Clothing!C388</f>
        <v>NL</v>
      </c>
      <c r="D1193" s="898" t="str">
        <f>Clothing!D388</f>
        <v>OTHER</v>
      </c>
      <c r="E1193" s="901">
        <f>Clothing!E388</f>
        <v>0.24244671248286101</v>
      </c>
      <c r="F1193" s="898">
        <f>Clothing!F388</f>
        <v>1</v>
      </c>
      <c r="G1193" s="898" t="str">
        <f>Clothing!G388</f>
        <v>https://eeb.org/library/draft-product-environmental-footprint-category-rules-pefcr-apparel-and-footwear/</v>
      </c>
      <c r="H1193" s="902">
        <f>Clothing!H388</f>
        <v>2</v>
      </c>
      <c r="I1193" s="902" t="str">
        <f>Clothing!I388</f>
        <v/>
      </c>
      <c r="J1193" s="902">
        <f>Clothing!J388</f>
        <v>2</v>
      </c>
      <c r="K1193" s="902">
        <f>Clothing!K388</f>
        <v>1</v>
      </c>
      <c r="L1193" s="902">
        <f>Clothing!L388</f>
        <v>2</v>
      </c>
      <c r="M1193" s="902">
        <f>Clothing!M388</f>
        <v>3</v>
      </c>
      <c r="N1193" s="185">
        <f t="shared" si="89"/>
        <v>1.0301997916669636</v>
      </c>
      <c r="O1193" s="159" t="e">
        <f t="shared" si="90"/>
        <v>#VALUE!</v>
      </c>
    </row>
    <row r="1194" spans="1:15">
      <c r="A1194" s="898" t="str">
        <f>Clothing!A389</f>
        <v>Clothing (product sector)</v>
      </c>
      <c r="B1194" s="898" t="str">
        <f>Clothing!B389</f>
        <v>Pants and shorts</v>
      </c>
      <c r="C1194" s="898" t="str">
        <f>Clothing!C389</f>
        <v>NL</v>
      </c>
      <c r="D1194" s="898" t="str">
        <f>Clothing!D389</f>
        <v>PA</v>
      </c>
      <c r="E1194" s="901">
        <f>Clothing!E389</f>
        <v>0.28597607786863399</v>
      </c>
      <c r="F1194" s="898">
        <f>Clothing!F389</f>
        <v>1</v>
      </c>
      <c r="G1194" s="898" t="str">
        <f>Clothing!G389</f>
        <v>https://eeb.org/library/draft-product-environmental-footprint-category-rules-pefcr-apparel-and-footwear/</v>
      </c>
      <c r="H1194" s="902">
        <f>Clothing!H389</f>
        <v>2</v>
      </c>
      <c r="I1194" s="902" t="str">
        <f>Clothing!I389</f>
        <v/>
      </c>
      <c r="J1194" s="902">
        <f>Clothing!J389</f>
        <v>2</v>
      </c>
      <c r="K1194" s="902">
        <f>Clothing!K389</f>
        <v>1</v>
      </c>
      <c r="L1194" s="902">
        <f>Clothing!L389</f>
        <v>2</v>
      </c>
      <c r="M1194" s="902">
        <f>Clothing!M389</f>
        <v>3</v>
      </c>
      <c r="N1194" s="185">
        <f t="shared" si="89"/>
        <v>1.0301997916669636</v>
      </c>
      <c r="O1194" s="159" t="e">
        <f t="shared" si="90"/>
        <v>#VALUE!</v>
      </c>
    </row>
    <row r="1195" spans="1:15">
      <c r="A1195" s="898" t="str">
        <f>Clothing!A390</f>
        <v>Clothing (product sector)</v>
      </c>
      <c r="B1195" s="898" t="str">
        <f>Clothing!B390</f>
        <v>Pants and shorts</v>
      </c>
      <c r="C1195" s="898" t="str">
        <f>Clothing!C390</f>
        <v>NL</v>
      </c>
      <c r="D1195" s="898" t="str">
        <f>Clothing!D390</f>
        <v>PET</v>
      </c>
      <c r="E1195" s="901">
        <f>Clothing!E390</f>
        <v>0.29396686796317101</v>
      </c>
      <c r="F1195" s="898">
        <f>Clothing!F390</f>
        <v>1</v>
      </c>
      <c r="G1195" s="898" t="str">
        <f>Clothing!G390</f>
        <v>https://eeb.org/library/draft-product-environmental-footprint-category-rules-pefcr-apparel-and-footwear/</v>
      </c>
      <c r="H1195" s="902">
        <f>Clothing!H390</f>
        <v>2</v>
      </c>
      <c r="I1195" s="902" t="str">
        <f>Clothing!I390</f>
        <v/>
      </c>
      <c r="J1195" s="902">
        <f>Clothing!J390</f>
        <v>2</v>
      </c>
      <c r="K1195" s="902">
        <f>Clothing!K390</f>
        <v>1</v>
      </c>
      <c r="L1195" s="902">
        <f>Clothing!L390</f>
        <v>2</v>
      </c>
      <c r="M1195" s="902">
        <f>Clothing!M390</f>
        <v>3</v>
      </c>
      <c r="N1195" s="185">
        <f t="shared" si="89"/>
        <v>1.0301997916669636</v>
      </c>
      <c r="O1195" s="159" t="e">
        <f t="shared" si="90"/>
        <v>#VALUE!</v>
      </c>
    </row>
    <row r="1196" spans="1:15">
      <c r="A1196" s="898" t="str">
        <f>Clothing!A391</f>
        <v>Clothing (product sector)</v>
      </c>
      <c r="B1196" s="898" t="str">
        <f>Clothing!B391</f>
        <v>Shirts and blouses</v>
      </c>
      <c r="C1196" s="898" t="str">
        <f>Clothing!C391</f>
        <v>NL</v>
      </c>
      <c r="D1196" s="898" t="str">
        <f>Clothing!D391</f>
        <v>Acryl</v>
      </c>
      <c r="E1196" s="901">
        <f>Clothing!E391</f>
        <v>0</v>
      </c>
      <c r="F1196" s="898">
        <f>Clothing!F391</f>
        <v>1</v>
      </c>
      <c r="G1196" s="898" t="str">
        <f>Clothing!G391</f>
        <v>https://eeb.org/library/draft-product-environmental-footprint-category-rules-pefcr-apparel-and-footwear/</v>
      </c>
      <c r="H1196" s="902">
        <f>Clothing!H391</f>
        <v>2</v>
      </c>
      <c r="I1196" s="902" t="str">
        <f>Clothing!I391</f>
        <v/>
      </c>
      <c r="J1196" s="902">
        <f>Clothing!J391</f>
        <v>2</v>
      </c>
      <c r="K1196" s="902">
        <f>Clothing!K391</f>
        <v>1</v>
      </c>
      <c r="L1196" s="902">
        <f>Clothing!L391</f>
        <v>2</v>
      </c>
      <c r="M1196" s="902">
        <f>Clothing!M391</f>
        <v>3</v>
      </c>
      <c r="N1196" s="185">
        <f t="shared" si="89"/>
        <v>1.0301997916669636</v>
      </c>
      <c r="O1196" s="159" t="e">
        <f t="shared" si="90"/>
        <v>#VALUE!</v>
      </c>
    </row>
    <row r="1197" spans="1:15">
      <c r="A1197" s="898" t="str">
        <f>Clothing!A392</f>
        <v>Clothing (product sector)</v>
      </c>
      <c r="B1197" s="898" t="str">
        <f>Clothing!B392</f>
        <v>Shirts and blouses</v>
      </c>
      <c r="C1197" s="898" t="str">
        <f>Clothing!C392</f>
        <v>NL</v>
      </c>
      <c r="D1197" s="898" t="str">
        <f>Clothing!D392</f>
        <v>OTHER</v>
      </c>
      <c r="E1197" s="901">
        <f>Clothing!E392</f>
        <v>0</v>
      </c>
      <c r="F1197" s="898">
        <f>Clothing!F392</f>
        <v>1</v>
      </c>
      <c r="G1197" s="898" t="str">
        <f>Clothing!G392</f>
        <v>https://eeb.org/library/draft-product-environmental-footprint-category-rules-pefcr-apparel-and-footwear/</v>
      </c>
      <c r="H1197" s="902">
        <f>Clothing!H392</f>
        <v>2</v>
      </c>
      <c r="I1197" s="902" t="str">
        <f>Clothing!I392</f>
        <v/>
      </c>
      <c r="J1197" s="902">
        <f>Clothing!J392</f>
        <v>2</v>
      </c>
      <c r="K1197" s="902">
        <f>Clothing!K392</f>
        <v>1</v>
      </c>
      <c r="L1197" s="902">
        <f>Clothing!L392</f>
        <v>2</v>
      </c>
      <c r="M1197" s="902">
        <f>Clothing!M392</f>
        <v>3</v>
      </c>
      <c r="N1197" s="185">
        <f t="shared" si="89"/>
        <v>1.0301997916669636</v>
      </c>
      <c r="O1197" s="159" t="e">
        <f t="shared" si="90"/>
        <v>#VALUE!</v>
      </c>
    </row>
    <row r="1198" spans="1:15">
      <c r="A1198" s="898" t="str">
        <f>Clothing!A393</f>
        <v>Clothing (product sector)</v>
      </c>
      <c r="B1198" s="898" t="str">
        <f>Clothing!B393</f>
        <v>Shirts and blouses</v>
      </c>
      <c r="C1198" s="898" t="str">
        <f>Clothing!C393</f>
        <v>NL</v>
      </c>
      <c r="D1198" s="898" t="str">
        <f>Clothing!D393</f>
        <v>PA</v>
      </c>
      <c r="E1198" s="901">
        <f>Clothing!E393</f>
        <v>0</v>
      </c>
      <c r="F1198" s="898">
        <f>Clothing!F393</f>
        <v>1</v>
      </c>
      <c r="G1198" s="898" t="str">
        <f>Clothing!G393</f>
        <v>https://eeb.org/library/draft-product-environmental-footprint-category-rules-pefcr-apparel-and-footwear/</v>
      </c>
      <c r="H1198" s="902">
        <f>Clothing!H393</f>
        <v>2</v>
      </c>
      <c r="I1198" s="902" t="str">
        <f>Clothing!I393</f>
        <v/>
      </c>
      <c r="J1198" s="902">
        <f>Clothing!J393</f>
        <v>2</v>
      </c>
      <c r="K1198" s="902">
        <f>Clothing!K393</f>
        <v>1</v>
      </c>
      <c r="L1198" s="902">
        <f>Clothing!L393</f>
        <v>2</v>
      </c>
      <c r="M1198" s="902">
        <f>Clothing!M393</f>
        <v>3</v>
      </c>
      <c r="N1198" s="185">
        <f t="shared" si="89"/>
        <v>1.0301997916669636</v>
      </c>
      <c r="O1198" s="159" t="e">
        <f t="shared" si="90"/>
        <v>#VALUE!</v>
      </c>
    </row>
    <row r="1199" spans="1:15">
      <c r="A1199" s="898" t="str">
        <f>Clothing!A394</f>
        <v>Clothing (product sector)</v>
      </c>
      <c r="B1199" s="898" t="str">
        <f>Clothing!B394</f>
        <v>Shirts and blouses</v>
      </c>
      <c r="C1199" s="898" t="str">
        <f>Clothing!C394</f>
        <v>NL</v>
      </c>
      <c r="D1199" s="898" t="str">
        <f>Clothing!D394</f>
        <v>PET</v>
      </c>
      <c r="E1199" s="901">
        <f>Clothing!E394</f>
        <v>3.5289348959709699E-2</v>
      </c>
      <c r="F1199" s="898">
        <f>Clothing!F394</f>
        <v>1</v>
      </c>
      <c r="G1199" s="898" t="str">
        <f>Clothing!G394</f>
        <v>https://eeb.org/library/draft-product-environmental-footprint-category-rules-pefcr-apparel-and-footwear/</v>
      </c>
      <c r="H1199" s="902">
        <f>Clothing!H394</f>
        <v>2</v>
      </c>
      <c r="I1199" s="902" t="str">
        <f>Clothing!I394</f>
        <v/>
      </c>
      <c r="J1199" s="902">
        <f>Clothing!J394</f>
        <v>2</v>
      </c>
      <c r="K1199" s="902">
        <f>Clothing!K394</f>
        <v>1</v>
      </c>
      <c r="L1199" s="902">
        <f>Clothing!L394</f>
        <v>2</v>
      </c>
      <c r="M1199" s="902">
        <f>Clothing!M394</f>
        <v>3</v>
      </c>
      <c r="N1199" s="185">
        <f t="shared" si="89"/>
        <v>1.0301997916669636</v>
      </c>
      <c r="O1199" s="159" t="e">
        <f t="shared" si="90"/>
        <v>#VALUE!</v>
      </c>
    </row>
    <row r="1200" spans="1:15">
      <c r="A1200" s="898" t="str">
        <f>Clothing!A395</f>
        <v>Clothing (product sector)</v>
      </c>
      <c r="B1200" s="898" t="str">
        <f>Clothing!B395</f>
        <v>Sweaters and midlayers</v>
      </c>
      <c r="C1200" s="898" t="str">
        <f>Clothing!C395</f>
        <v>NL</v>
      </c>
      <c r="D1200" s="898" t="str">
        <f>Clothing!D395</f>
        <v>Acryl</v>
      </c>
      <c r="E1200" s="901">
        <f>Clothing!E395</f>
        <v>0.27112317706827499</v>
      </c>
      <c r="F1200" s="898">
        <f>Clothing!F395</f>
        <v>1</v>
      </c>
      <c r="G1200" s="898" t="str">
        <f>Clothing!G395</f>
        <v>https://eeb.org/library/draft-product-environmental-footprint-category-rules-pefcr-apparel-and-footwear/</v>
      </c>
      <c r="H1200" s="902">
        <f>Clothing!H395</f>
        <v>2</v>
      </c>
      <c r="I1200" s="902" t="str">
        <f>Clothing!I395</f>
        <v/>
      </c>
      <c r="J1200" s="902">
        <f>Clothing!J395</f>
        <v>2</v>
      </c>
      <c r="K1200" s="902">
        <f>Clothing!K395</f>
        <v>1</v>
      </c>
      <c r="L1200" s="902">
        <f>Clothing!L395</f>
        <v>2</v>
      </c>
      <c r="M1200" s="902">
        <f>Clothing!M395</f>
        <v>3</v>
      </c>
      <c r="N1200" s="185">
        <f t="shared" si="89"/>
        <v>1.0301997916669636</v>
      </c>
      <c r="O1200" s="159" t="e">
        <f t="shared" si="90"/>
        <v>#VALUE!</v>
      </c>
    </row>
    <row r="1201" spans="1:15">
      <c r="A1201" s="898" t="str">
        <f>Clothing!A396</f>
        <v>Clothing (product sector)</v>
      </c>
      <c r="B1201" s="898" t="str">
        <f>Clothing!B396</f>
        <v>Sweaters and midlayers</v>
      </c>
      <c r="C1201" s="898" t="str">
        <f>Clothing!C396</f>
        <v>NL</v>
      </c>
      <c r="D1201" s="898" t="str">
        <f>Clothing!D396</f>
        <v>OTHER</v>
      </c>
      <c r="E1201" s="901">
        <f>Clothing!E396</f>
        <v>0</v>
      </c>
      <c r="F1201" s="898">
        <f>Clothing!F396</f>
        <v>1</v>
      </c>
      <c r="G1201" s="898" t="str">
        <f>Clothing!G396</f>
        <v>https://eeb.org/library/draft-product-environmental-footprint-category-rules-pefcr-apparel-and-footwear/</v>
      </c>
      <c r="H1201" s="902">
        <f>Clothing!H396</f>
        <v>2</v>
      </c>
      <c r="I1201" s="902" t="str">
        <f>Clothing!I396</f>
        <v/>
      </c>
      <c r="J1201" s="902">
        <f>Clothing!J396</f>
        <v>2</v>
      </c>
      <c r="K1201" s="902">
        <f>Clothing!K396</f>
        <v>1</v>
      </c>
      <c r="L1201" s="902">
        <f>Clothing!L396</f>
        <v>2</v>
      </c>
      <c r="M1201" s="902">
        <f>Clothing!M396</f>
        <v>3</v>
      </c>
      <c r="N1201" s="185">
        <f t="shared" si="89"/>
        <v>1.0301997916669636</v>
      </c>
      <c r="O1201" s="159" t="e">
        <f t="shared" si="90"/>
        <v>#VALUE!</v>
      </c>
    </row>
    <row r="1202" spans="1:15">
      <c r="A1202" s="898" t="str">
        <f>Clothing!A397</f>
        <v>Clothing (product sector)</v>
      </c>
      <c r="B1202" s="898" t="str">
        <f>Clothing!B397</f>
        <v>Sweaters and midlayers</v>
      </c>
      <c r="C1202" s="898" t="str">
        <f>Clothing!C397</f>
        <v>NL</v>
      </c>
      <c r="D1202" s="898" t="str">
        <f>Clothing!D397</f>
        <v>PA</v>
      </c>
      <c r="E1202" s="901">
        <f>Clothing!E397</f>
        <v>4.6534921098200503E-2</v>
      </c>
      <c r="F1202" s="898">
        <f>Clothing!F397</f>
        <v>1</v>
      </c>
      <c r="G1202" s="898" t="str">
        <f>Clothing!G397</f>
        <v>https://eeb.org/library/draft-product-environmental-footprint-category-rules-pefcr-apparel-and-footwear/</v>
      </c>
      <c r="H1202" s="902">
        <f>Clothing!H397</f>
        <v>2</v>
      </c>
      <c r="I1202" s="902" t="str">
        <f>Clothing!I397</f>
        <v/>
      </c>
      <c r="J1202" s="902">
        <f>Clothing!J397</f>
        <v>2</v>
      </c>
      <c r="K1202" s="902">
        <f>Clothing!K397</f>
        <v>1</v>
      </c>
      <c r="L1202" s="902">
        <f>Clothing!L397</f>
        <v>2</v>
      </c>
      <c r="M1202" s="902">
        <f>Clothing!M397</f>
        <v>3</v>
      </c>
      <c r="N1202" s="185">
        <f t="shared" si="89"/>
        <v>1.0301997916669636</v>
      </c>
      <c r="O1202" s="159" t="e">
        <f t="shared" si="90"/>
        <v>#VALUE!</v>
      </c>
    </row>
    <row r="1203" spans="1:15">
      <c r="A1203" s="898" t="str">
        <f>Clothing!A398</f>
        <v>Clothing (product sector)</v>
      </c>
      <c r="B1203" s="898" t="str">
        <f>Clothing!B398</f>
        <v>Sweaters and midlayers</v>
      </c>
      <c r="C1203" s="898" t="str">
        <f>Clothing!C398</f>
        <v>NL</v>
      </c>
      <c r="D1203" s="898" t="str">
        <f>Clothing!D398</f>
        <v>PET</v>
      </c>
      <c r="E1203" s="901">
        <f>Clothing!E398</f>
        <v>0.12692557252900899</v>
      </c>
      <c r="F1203" s="898">
        <f>Clothing!F398</f>
        <v>1</v>
      </c>
      <c r="G1203" s="898" t="str">
        <f>Clothing!G398</f>
        <v>https://eeb.org/library/draft-product-environmental-footprint-category-rules-pefcr-apparel-and-footwear/</v>
      </c>
      <c r="H1203" s="902">
        <f>Clothing!H398</f>
        <v>2</v>
      </c>
      <c r="I1203" s="902" t="str">
        <f>Clothing!I398</f>
        <v/>
      </c>
      <c r="J1203" s="902">
        <f>Clothing!J398</f>
        <v>2</v>
      </c>
      <c r="K1203" s="902">
        <f>Clothing!K398</f>
        <v>1</v>
      </c>
      <c r="L1203" s="902">
        <f>Clothing!L398</f>
        <v>2</v>
      </c>
      <c r="M1203" s="902">
        <f>Clothing!M398</f>
        <v>3</v>
      </c>
      <c r="N1203" s="185">
        <f t="shared" si="89"/>
        <v>1.0301997916669636</v>
      </c>
      <c r="O1203" s="159" t="e">
        <f t="shared" si="90"/>
        <v>#VALUE!</v>
      </c>
    </row>
    <row r="1204" spans="1:15">
      <c r="A1204" s="898" t="str">
        <f>Clothing!A399</f>
        <v>Clothing (product sector)</v>
      </c>
      <c r="B1204" s="898" t="str">
        <f>Clothing!B399</f>
        <v>Swimwear</v>
      </c>
      <c r="C1204" s="898" t="str">
        <f>Clothing!C399</f>
        <v>NL</v>
      </c>
      <c r="D1204" s="898" t="str">
        <f>Clothing!D399</f>
        <v>Acryl</v>
      </c>
      <c r="E1204" s="901">
        <f>Clothing!E399</f>
        <v>0</v>
      </c>
      <c r="F1204" s="898">
        <f>Clothing!F399</f>
        <v>1</v>
      </c>
      <c r="G1204" s="898" t="str">
        <f>Clothing!G399</f>
        <v>https://eeb.org/library/draft-product-environmental-footprint-category-rules-pefcr-apparel-and-footwear/</v>
      </c>
      <c r="H1204" s="902">
        <f>Clothing!H399</f>
        <v>2</v>
      </c>
      <c r="I1204" s="902" t="str">
        <f>Clothing!I399</f>
        <v/>
      </c>
      <c r="J1204" s="902">
        <f>Clothing!J399</f>
        <v>2</v>
      </c>
      <c r="K1204" s="902">
        <f>Clothing!K399</f>
        <v>1</v>
      </c>
      <c r="L1204" s="902">
        <f>Clothing!L399</f>
        <v>2</v>
      </c>
      <c r="M1204" s="902">
        <f>Clothing!M399</f>
        <v>3</v>
      </c>
      <c r="N1204" s="185">
        <f t="shared" si="89"/>
        <v>1.0301997916669636</v>
      </c>
      <c r="O1204" s="159" t="e">
        <f t="shared" si="90"/>
        <v>#VALUE!</v>
      </c>
    </row>
    <row r="1205" spans="1:15">
      <c r="A1205" s="898" t="str">
        <f>Clothing!A400</f>
        <v>Clothing (product sector)</v>
      </c>
      <c r="B1205" s="898" t="str">
        <f>Clothing!B400</f>
        <v>Swimwear</v>
      </c>
      <c r="C1205" s="898" t="str">
        <f>Clothing!C400</f>
        <v>NL</v>
      </c>
      <c r="D1205" s="898" t="str">
        <f>Clothing!D400</f>
        <v>OTHER</v>
      </c>
      <c r="E1205" s="901">
        <f>Clothing!E400</f>
        <v>1.0791935569565101E-2</v>
      </c>
      <c r="F1205" s="898">
        <f>Clothing!F400</f>
        <v>1</v>
      </c>
      <c r="G1205" s="898" t="str">
        <f>Clothing!G400</f>
        <v>https://eeb.org/library/draft-product-environmental-footprint-category-rules-pefcr-apparel-and-footwear/</v>
      </c>
      <c r="H1205" s="902">
        <f>Clothing!H400</f>
        <v>2</v>
      </c>
      <c r="I1205" s="902" t="str">
        <f>Clothing!I400</f>
        <v/>
      </c>
      <c r="J1205" s="902">
        <f>Clothing!J400</f>
        <v>2</v>
      </c>
      <c r="K1205" s="902">
        <f>Clothing!K400</f>
        <v>1</v>
      </c>
      <c r="L1205" s="902">
        <f>Clothing!L400</f>
        <v>2</v>
      </c>
      <c r="M1205" s="902">
        <f>Clothing!M400</f>
        <v>3</v>
      </c>
      <c r="N1205" s="185">
        <f t="shared" si="89"/>
        <v>1.0301997916669636</v>
      </c>
      <c r="O1205" s="159" t="e">
        <f t="shared" si="90"/>
        <v>#VALUE!</v>
      </c>
    </row>
    <row r="1206" spans="1:15">
      <c r="A1206" s="898" t="str">
        <f>Clothing!A401</f>
        <v>Clothing (product sector)</v>
      </c>
      <c r="B1206" s="898" t="str">
        <f>Clothing!B401</f>
        <v>Swimwear</v>
      </c>
      <c r="C1206" s="898" t="str">
        <f>Clothing!C401</f>
        <v>NL</v>
      </c>
      <c r="D1206" s="898" t="str">
        <f>Clothing!D401</f>
        <v>PA</v>
      </c>
      <c r="E1206" s="901">
        <f>Clothing!E401</f>
        <v>4.1219466628532E-2</v>
      </c>
      <c r="F1206" s="898">
        <f>Clothing!F401</f>
        <v>1</v>
      </c>
      <c r="G1206" s="898" t="str">
        <f>Clothing!G401</f>
        <v>https://eeb.org/library/draft-product-environmental-footprint-category-rules-pefcr-apparel-and-footwear/</v>
      </c>
      <c r="H1206" s="902">
        <f>Clothing!H401</f>
        <v>2</v>
      </c>
      <c r="I1206" s="902" t="str">
        <f>Clothing!I401</f>
        <v/>
      </c>
      <c r="J1206" s="902">
        <f>Clothing!J401</f>
        <v>2</v>
      </c>
      <c r="K1206" s="902">
        <f>Clothing!K401</f>
        <v>1</v>
      </c>
      <c r="L1206" s="902">
        <f>Clothing!L401</f>
        <v>2</v>
      </c>
      <c r="M1206" s="902">
        <f>Clothing!M401</f>
        <v>3</v>
      </c>
      <c r="N1206" s="185">
        <f t="shared" si="89"/>
        <v>1.0301997916669636</v>
      </c>
      <c r="O1206" s="159" t="e">
        <f t="shared" si="90"/>
        <v>#VALUE!</v>
      </c>
    </row>
    <row r="1207" spans="1:15">
      <c r="A1207" s="898" t="str">
        <f>Clothing!A402</f>
        <v>Clothing (product sector)</v>
      </c>
      <c r="B1207" s="898" t="str">
        <f>Clothing!B402</f>
        <v>Swimwear</v>
      </c>
      <c r="C1207" s="898" t="str">
        <f>Clothing!C402</f>
        <v>NL</v>
      </c>
      <c r="D1207" s="898" t="str">
        <f>Clothing!D402</f>
        <v>PET</v>
      </c>
      <c r="E1207" s="901">
        <f>Clothing!E402</f>
        <v>6.7935128176699004E-3</v>
      </c>
      <c r="F1207" s="898">
        <f>Clothing!F402</f>
        <v>1</v>
      </c>
      <c r="G1207" s="898" t="str">
        <f>Clothing!G402</f>
        <v>https://eeb.org/library/draft-product-environmental-footprint-category-rules-pefcr-apparel-and-footwear/</v>
      </c>
      <c r="H1207" s="902">
        <f>Clothing!H402</f>
        <v>2</v>
      </c>
      <c r="I1207" s="902" t="str">
        <f>Clothing!I402</f>
        <v/>
      </c>
      <c r="J1207" s="902">
        <f>Clothing!J402</f>
        <v>2</v>
      </c>
      <c r="K1207" s="902">
        <f>Clothing!K402</f>
        <v>1</v>
      </c>
      <c r="L1207" s="902">
        <f>Clothing!L402</f>
        <v>2</v>
      </c>
      <c r="M1207" s="902">
        <f>Clothing!M402</f>
        <v>3</v>
      </c>
      <c r="N1207" s="185">
        <f t="shared" si="89"/>
        <v>1.0301997916669636</v>
      </c>
      <c r="O1207" s="159" t="e">
        <f t="shared" si="90"/>
        <v>#VALUE!</v>
      </c>
    </row>
    <row r="1208" spans="1:15">
      <c r="A1208" s="898" t="str">
        <f>Clothing!A403</f>
        <v>Clothing (product sector)</v>
      </c>
      <c r="B1208" s="898" t="str">
        <f>Clothing!B403</f>
        <v>T-shirts</v>
      </c>
      <c r="C1208" s="898" t="str">
        <f>Clothing!C403</f>
        <v>NL</v>
      </c>
      <c r="D1208" s="898" t="str">
        <f>Clothing!D403</f>
        <v>Acryl</v>
      </c>
      <c r="E1208" s="901">
        <f>Clothing!E403</f>
        <v>0</v>
      </c>
      <c r="F1208" s="898">
        <f>Clothing!F403</f>
        <v>1</v>
      </c>
      <c r="G1208" s="898" t="str">
        <f>Clothing!G403</f>
        <v>https://eeb.org/library/draft-product-environmental-footprint-category-rules-pefcr-apparel-and-footwear/</v>
      </c>
      <c r="H1208" s="902">
        <f>Clothing!H403</f>
        <v>2</v>
      </c>
      <c r="I1208" s="902" t="str">
        <f>Clothing!I403</f>
        <v/>
      </c>
      <c r="J1208" s="902">
        <f>Clothing!J403</f>
        <v>2</v>
      </c>
      <c r="K1208" s="902">
        <f>Clothing!K403</f>
        <v>1</v>
      </c>
      <c r="L1208" s="902">
        <f>Clothing!L403</f>
        <v>2</v>
      </c>
      <c r="M1208" s="902">
        <f>Clothing!M403</f>
        <v>3</v>
      </c>
      <c r="N1208" s="185">
        <f t="shared" si="89"/>
        <v>1.0301997916669636</v>
      </c>
      <c r="O1208" s="159" t="e">
        <f t="shared" si="90"/>
        <v>#VALUE!</v>
      </c>
    </row>
    <row r="1209" spans="1:15">
      <c r="A1209" s="898" t="str">
        <f>Clothing!A404</f>
        <v>Clothing (product sector)</v>
      </c>
      <c r="B1209" s="898" t="str">
        <f>Clothing!B404</f>
        <v>T-shirts</v>
      </c>
      <c r="C1209" s="898" t="str">
        <f>Clothing!C404</f>
        <v>NL</v>
      </c>
      <c r="D1209" s="898" t="str">
        <f>Clothing!D404</f>
        <v>OTHER</v>
      </c>
      <c r="E1209" s="901">
        <f>Clothing!E404</f>
        <v>0</v>
      </c>
      <c r="F1209" s="898">
        <f>Clothing!F404</f>
        <v>1</v>
      </c>
      <c r="G1209" s="898" t="str">
        <f>Clothing!G404</f>
        <v>https://eeb.org/library/draft-product-environmental-footprint-category-rules-pefcr-apparel-and-footwear/</v>
      </c>
      <c r="H1209" s="902">
        <f>Clothing!H404</f>
        <v>2</v>
      </c>
      <c r="I1209" s="902" t="str">
        <f>Clothing!I404</f>
        <v/>
      </c>
      <c r="J1209" s="902">
        <f>Clothing!J404</f>
        <v>2</v>
      </c>
      <c r="K1209" s="902">
        <f>Clothing!K404</f>
        <v>1</v>
      </c>
      <c r="L1209" s="902">
        <f>Clothing!L404</f>
        <v>2</v>
      </c>
      <c r="M1209" s="902">
        <f>Clothing!M404</f>
        <v>3</v>
      </c>
      <c r="N1209" s="185">
        <f t="shared" si="89"/>
        <v>1.0301997916669636</v>
      </c>
      <c r="O1209" s="159" t="e">
        <f t="shared" si="90"/>
        <v>#VALUE!</v>
      </c>
    </row>
    <row r="1210" spans="1:15">
      <c r="A1210" s="898" t="str">
        <f>Clothing!A405</f>
        <v>Clothing (product sector)</v>
      </c>
      <c r="B1210" s="898" t="str">
        <f>Clothing!B405</f>
        <v>T-shirts</v>
      </c>
      <c r="C1210" s="898" t="str">
        <f>Clothing!C405</f>
        <v>NL</v>
      </c>
      <c r="D1210" s="898" t="str">
        <f>Clothing!D405</f>
        <v>PA</v>
      </c>
      <c r="E1210" s="901">
        <f>Clothing!E405</f>
        <v>0</v>
      </c>
      <c r="F1210" s="898">
        <f>Clothing!F405</f>
        <v>1</v>
      </c>
      <c r="G1210" s="898" t="str">
        <f>Clothing!G405</f>
        <v>https://eeb.org/library/draft-product-environmental-footprint-category-rules-pefcr-apparel-and-footwear/</v>
      </c>
      <c r="H1210" s="902">
        <f>Clothing!H405</f>
        <v>2</v>
      </c>
      <c r="I1210" s="902" t="str">
        <f>Clothing!I405</f>
        <v/>
      </c>
      <c r="J1210" s="902">
        <f>Clothing!J405</f>
        <v>2</v>
      </c>
      <c r="K1210" s="902">
        <f>Clothing!K405</f>
        <v>1</v>
      </c>
      <c r="L1210" s="902">
        <f>Clothing!L405</f>
        <v>2</v>
      </c>
      <c r="M1210" s="902">
        <f>Clothing!M405</f>
        <v>3</v>
      </c>
      <c r="N1210" s="185">
        <f t="shared" ref="N1210:N1273" si="91">IF( OR( ISBLANK(H1210),ISBLANK(J1210), ISBLANK(K1210), ISBLANK(L1210), ISBLANK(M1210) ), "", 1.5*SQRT(   EXP(2.21*(H1210-1)) + EXP(2.21*(J1210-1)) + EXP(2.21*(K1210-1)) + EXP(2.21*(L1210-1)) + EXP(2.21*M1210)   )/100*2.45 )</f>
        <v>1.0301997916669636</v>
      </c>
      <c r="O1210" s="159" t="e">
        <f t="shared" ref="O1210:O1273" si="92">IF( OR( ISBLANK(I1210),ISBLANK(J1210), ISBLANK(K1210), ISBLANK(L1210), ISBLANK(M1210) ), "", 1.5*SQRT( EXP(2.21*(I1210-1)) + EXP(2.21*(J1210-1)) + EXP(2.21*(K1210-1)) + EXP(2.21*(L1210-1)) + EXP(2.21*M1210)   )/100*2.45 )</f>
        <v>#VALUE!</v>
      </c>
    </row>
    <row r="1211" spans="1:15">
      <c r="A1211" s="898" t="str">
        <f>Clothing!A406</f>
        <v>Clothing (product sector)</v>
      </c>
      <c r="B1211" s="898" t="str">
        <f>Clothing!B406</f>
        <v>T-shirts</v>
      </c>
      <c r="C1211" s="898" t="str">
        <f>Clothing!C406</f>
        <v>NL</v>
      </c>
      <c r="D1211" s="898" t="str">
        <f>Clothing!D406</f>
        <v>PET</v>
      </c>
      <c r="E1211" s="901">
        <f>Clothing!E406</f>
        <v>7.2517450647606799E-2</v>
      </c>
      <c r="F1211" s="898">
        <f>Clothing!F406</f>
        <v>1</v>
      </c>
      <c r="G1211" s="898" t="str">
        <f>Clothing!G406</f>
        <v>https://eeb.org/library/draft-product-environmental-footprint-category-rules-pefcr-apparel-and-footwear/</v>
      </c>
      <c r="H1211" s="902">
        <f>Clothing!H406</f>
        <v>2</v>
      </c>
      <c r="I1211" s="902" t="str">
        <f>Clothing!I406</f>
        <v/>
      </c>
      <c r="J1211" s="902">
        <f>Clothing!J406</f>
        <v>2</v>
      </c>
      <c r="K1211" s="902">
        <f>Clothing!K406</f>
        <v>1</v>
      </c>
      <c r="L1211" s="902">
        <f>Clothing!L406</f>
        <v>2</v>
      </c>
      <c r="M1211" s="902">
        <f>Clothing!M406</f>
        <v>3</v>
      </c>
      <c r="N1211" s="185">
        <f t="shared" si="91"/>
        <v>1.0301997916669636</v>
      </c>
      <c r="O1211" s="159" t="e">
        <f t="shared" si="92"/>
        <v>#VALUE!</v>
      </c>
    </row>
    <row r="1212" spans="1:15">
      <c r="A1212" s="898" t="str">
        <f>Clothing!A407</f>
        <v>Clothing (product sector)</v>
      </c>
      <c r="B1212" s="898" t="str">
        <f>Clothing!B407</f>
        <v>Underwear</v>
      </c>
      <c r="C1212" s="898" t="str">
        <f>Clothing!C407</f>
        <v>NL</v>
      </c>
      <c r="D1212" s="898" t="str">
        <f>Clothing!D407</f>
        <v>Acryl</v>
      </c>
      <c r="E1212" s="901">
        <f>Clothing!E407</f>
        <v>0</v>
      </c>
      <c r="F1212" s="898">
        <f>Clothing!F407</f>
        <v>1</v>
      </c>
      <c r="G1212" s="898" t="str">
        <f>Clothing!G407</f>
        <v>https://eeb.org/library/draft-product-environmental-footprint-category-rules-pefcr-apparel-and-footwear/</v>
      </c>
      <c r="H1212" s="902">
        <f>Clothing!H407</f>
        <v>2</v>
      </c>
      <c r="I1212" s="902" t="str">
        <f>Clothing!I407</f>
        <v/>
      </c>
      <c r="J1212" s="902">
        <f>Clothing!J407</f>
        <v>2</v>
      </c>
      <c r="K1212" s="902">
        <f>Clothing!K407</f>
        <v>1</v>
      </c>
      <c r="L1212" s="902">
        <f>Clothing!L407</f>
        <v>2</v>
      </c>
      <c r="M1212" s="902">
        <f>Clothing!M407</f>
        <v>3</v>
      </c>
      <c r="N1212" s="185">
        <f t="shared" si="91"/>
        <v>1.0301997916669636</v>
      </c>
      <c r="O1212" s="159" t="e">
        <f t="shared" si="92"/>
        <v>#VALUE!</v>
      </c>
    </row>
    <row r="1213" spans="1:15">
      <c r="A1213" s="898" t="str">
        <f>Clothing!A408</f>
        <v>Clothing (product sector)</v>
      </c>
      <c r="B1213" s="898" t="str">
        <f>Clothing!B408</f>
        <v>Underwear</v>
      </c>
      <c r="C1213" s="898" t="str">
        <f>Clothing!C408</f>
        <v>NL</v>
      </c>
      <c r="D1213" s="898" t="str">
        <f>Clothing!D408</f>
        <v>OTHER</v>
      </c>
      <c r="E1213" s="901">
        <f>Clothing!E408</f>
        <v>0.11432137187885601</v>
      </c>
      <c r="F1213" s="898">
        <f>Clothing!F408</f>
        <v>1</v>
      </c>
      <c r="G1213" s="898" t="str">
        <f>Clothing!G408</f>
        <v>https://eeb.org/library/draft-product-environmental-footprint-category-rules-pefcr-apparel-and-footwear/</v>
      </c>
      <c r="H1213" s="902">
        <f>Clothing!H408</f>
        <v>2</v>
      </c>
      <c r="I1213" s="902" t="str">
        <f>Clothing!I408</f>
        <v/>
      </c>
      <c r="J1213" s="902">
        <f>Clothing!J408</f>
        <v>2</v>
      </c>
      <c r="K1213" s="902">
        <f>Clothing!K408</f>
        <v>1</v>
      </c>
      <c r="L1213" s="902">
        <f>Clothing!L408</f>
        <v>2</v>
      </c>
      <c r="M1213" s="902">
        <f>Clothing!M408</f>
        <v>3</v>
      </c>
      <c r="N1213" s="185">
        <f t="shared" si="91"/>
        <v>1.0301997916669636</v>
      </c>
      <c r="O1213" s="159" t="e">
        <f t="shared" si="92"/>
        <v>#VALUE!</v>
      </c>
    </row>
    <row r="1214" spans="1:15">
      <c r="A1214" s="898" t="str">
        <f>Clothing!A409</f>
        <v>Clothing (product sector)</v>
      </c>
      <c r="B1214" s="898" t="str">
        <f>Clothing!B409</f>
        <v>Underwear</v>
      </c>
      <c r="C1214" s="898" t="str">
        <f>Clothing!C409</f>
        <v>NL</v>
      </c>
      <c r="D1214" s="898" t="str">
        <f>Clothing!D409</f>
        <v>PA</v>
      </c>
      <c r="E1214" s="901">
        <f>Clothing!E409</f>
        <v>0.13209488185454599</v>
      </c>
      <c r="F1214" s="898">
        <f>Clothing!F409</f>
        <v>1</v>
      </c>
      <c r="G1214" s="898" t="str">
        <f>Clothing!G409</f>
        <v>https://eeb.org/library/draft-product-environmental-footprint-category-rules-pefcr-apparel-and-footwear/</v>
      </c>
      <c r="H1214" s="902">
        <f>Clothing!H409</f>
        <v>2</v>
      </c>
      <c r="I1214" s="902" t="str">
        <f>Clothing!I409</f>
        <v/>
      </c>
      <c r="J1214" s="902">
        <f>Clothing!J409</f>
        <v>2</v>
      </c>
      <c r="K1214" s="902">
        <f>Clothing!K409</f>
        <v>1</v>
      </c>
      <c r="L1214" s="902">
        <f>Clothing!L409</f>
        <v>2</v>
      </c>
      <c r="M1214" s="902">
        <f>Clothing!M409</f>
        <v>3</v>
      </c>
      <c r="N1214" s="185">
        <f t="shared" si="91"/>
        <v>1.0301997916669636</v>
      </c>
      <c r="O1214" s="159" t="e">
        <f t="shared" si="92"/>
        <v>#VALUE!</v>
      </c>
    </row>
    <row r="1215" spans="1:15" ht="15.75" thickBot="1">
      <c r="A1215" s="913" t="str">
        <f>Clothing!A410</f>
        <v>Clothing (product sector)</v>
      </c>
      <c r="B1215" s="913" t="str">
        <f>Clothing!B410</f>
        <v>Underwear</v>
      </c>
      <c r="C1215" s="913" t="str">
        <f>Clothing!C410</f>
        <v>NL</v>
      </c>
      <c r="D1215" s="913" t="str">
        <f>Clothing!D410</f>
        <v>PET</v>
      </c>
      <c r="E1215" s="916">
        <f>Clothing!E410</f>
        <v>1.1916314104423099E-2</v>
      </c>
      <c r="F1215" s="913">
        <f>Clothing!F410</f>
        <v>1</v>
      </c>
      <c r="G1215" s="913" t="str">
        <f>Clothing!G410</f>
        <v>https://eeb.org/library/draft-product-environmental-footprint-category-rules-pefcr-apparel-and-footwear/</v>
      </c>
      <c r="H1215" s="914">
        <f>Clothing!H410</f>
        <v>2</v>
      </c>
      <c r="I1215" s="914" t="str">
        <f>Clothing!I410</f>
        <v/>
      </c>
      <c r="J1215" s="914">
        <f>Clothing!J410</f>
        <v>2</v>
      </c>
      <c r="K1215" s="914">
        <f>Clothing!K410</f>
        <v>1</v>
      </c>
      <c r="L1215" s="914">
        <f>Clothing!L410</f>
        <v>2</v>
      </c>
      <c r="M1215" s="914">
        <f>Clothing!M410</f>
        <v>3</v>
      </c>
      <c r="N1215" s="915">
        <f t="shared" si="91"/>
        <v>1.0301997916669636</v>
      </c>
      <c r="O1215" s="160" t="e">
        <f t="shared" si="92"/>
        <v>#VALUE!</v>
      </c>
    </row>
    <row r="1216" spans="1:15">
      <c r="A1216" s="898" t="str">
        <f>Clothing!A415</f>
        <v>Clothing (product sector)</v>
      </c>
      <c r="B1216" s="898" t="str">
        <f>Clothing!B415</f>
        <v>Apparel accessories</v>
      </c>
      <c r="C1216" s="898" t="str">
        <f>Clothing!C415</f>
        <v>EU</v>
      </c>
      <c r="D1216" s="898" t="str">
        <f>Clothing!D415</f>
        <v>Acryl</v>
      </c>
      <c r="E1216" s="898">
        <f>Clothing!E415</f>
        <v>0.20473868095515499</v>
      </c>
      <c r="F1216" s="898">
        <f>Clothing!F415</f>
        <v>1</v>
      </c>
      <c r="G1216" s="898" t="str">
        <f>Clothing!G415</f>
        <v>https://eeb.org/library/draft-product-environmental-footprint-category-rules-pefcr-apparel-and-footwear/</v>
      </c>
      <c r="H1216" s="911" t="str">
        <f>Clothing!H415</f>
        <v/>
      </c>
      <c r="I1216" s="911">
        <f>Clothing!I415</f>
        <v>1</v>
      </c>
      <c r="J1216" s="911">
        <f>Clothing!J415</f>
        <v>2</v>
      </c>
      <c r="K1216" s="911">
        <f>Clothing!K415</f>
        <v>1</v>
      </c>
      <c r="L1216" s="911">
        <f>Clothing!L415</f>
        <v>2</v>
      </c>
      <c r="M1216" s="911">
        <f>Clothing!M415</f>
        <v>3</v>
      </c>
      <c r="N1216" s="912" t="e">
        <f t="shared" si="91"/>
        <v>#VALUE!</v>
      </c>
      <c r="O1216" s="815">
        <f t="shared" si="92"/>
        <v>1.0248662490928169</v>
      </c>
    </row>
    <row r="1217" spans="1:15">
      <c r="A1217" s="898" t="str">
        <f>Clothing!A416</f>
        <v>Clothing (product sector)</v>
      </c>
      <c r="B1217" s="898" t="str">
        <f>Clothing!B416</f>
        <v>Apparel accessories</v>
      </c>
      <c r="C1217" s="898" t="str">
        <f>Clothing!C416</f>
        <v>EU</v>
      </c>
      <c r="D1217" s="898" t="str">
        <f>Clothing!D416</f>
        <v>OTHER</v>
      </c>
      <c r="E1217" s="898">
        <f>Clothing!E416</f>
        <v>0</v>
      </c>
      <c r="F1217" s="898">
        <f>Clothing!F416</f>
        <v>1</v>
      </c>
      <c r="G1217" s="898" t="str">
        <f>Clothing!G416</f>
        <v>https://eeb.org/library/draft-product-environmental-footprint-category-rules-pefcr-apparel-and-footwear/</v>
      </c>
      <c r="H1217" s="902" t="str">
        <f>Clothing!H416</f>
        <v/>
      </c>
      <c r="I1217" s="902">
        <f>Clothing!I416</f>
        <v>1</v>
      </c>
      <c r="J1217" s="902">
        <f>Clothing!J416</f>
        <v>2</v>
      </c>
      <c r="K1217" s="902">
        <f>Clothing!K416</f>
        <v>1</v>
      </c>
      <c r="L1217" s="902">
        <f>Clothing!L416</f>
        <v>2</v>
      </c>
      <c r="M1217" s="902">
        <f>Clothing!M416</f>
        <v>3</v>
      </c>
      <c r="N1217" s="185" t="e">
        <f t="shared" si="91"/>
        <v>#VALUE!</v>
      </c>
      <c r="O1217" s="159">
        <f t="shared" si="92"/>
        <v>1.0248662490928169</v>
      </c>
    </row>
    <row r="1218" spans="1:15">
      <c r="A1218" s="898" t="str">
        <f>Clothing!A417</f>
        <v>Clothing (product sector)</v>
      </c>
      <c r="B1218" s="898" t="str">
        <f>Clothing!B417</f>
        <v>Apparel accessories</v>
      </c>
      <c r="C1218" s="898" t="str">
        <f>Clothing!C417</f>
        <v>EU</v>
      </c>
      <c r="D1218" s="898" t="str">
        <f>Clothing!D417</f>
        <v>PA</v>
      </c>
      <c r="E1218" s="898">
        <f>Clothing!E417</f>
        <v>2.3681463973251202E-2</v>
      </c>
      <c r="F1218" s="898">
        <f>Clothing!F417</f>
        <v>1</v>
      </c>
      <c r="G1218" s="898" t="str">
        <f>Clothing!G417</f>
        <v>https://eeb.org/library/draft-product-environmental-footprint-category-rules-pefcr-apparel-and-footwear/</v>
      </c>
      <c r="H1218" s="902" t="str">
        <f>Clothing!H417</f>
        <v/>
      </c>
      <c r="I1218" s="902">
        <f>Clothing!I417</f>
        <v>1</v>
      </c>
      <c r="J1218" s="902">
        <f>Clothing!J417</f>
        <v>2</v>
      </c>
      <c r="K1218" s="902">
        <f>Clothing!K417</f>
        <v>1</v>
      </c>
      <c r="L1218" s="902">
        <f>Clothing!L417</f>
        <v>2</v>
      </c>
      <c r="M1218" s="902">
        <f>Clothing!M417</f>
        <v>3</v>
      </c>
      <c r="N1218" s="185" t="e">
        <f t="shared" si="91"/>
        <v>#VALUE!</v>
      </c>
      <c r="O1218" s="159">
        <f t="shared" si="92"/>
        <v>1.0248662490928169</v>
      </c>
    </row>
    <row r="1219" spans="1:15">
      <c r="A1219" s="898" t="str">
        <f>Clothing!A418</f>
        <v>Clothing (product sector)</v>
      </c>
      <c r="B1219" s="898" t="str">
        <f>Clothing!B418</f>
        <v>Apparel accessories</v>
      </c>
      <c r="C1219" s="898" t="str">
        <f>Clothing!C418</f>
        <v>EU</v>
      </c>
      <c r="D1219" s="898" t="str">
        <f>Clothing!D418</f>
        <v>PET</v>
      </c>
      <c r="E1219" s="898">
        <f>Clothing!E418</f>
        <v>3.8019718326065099E-2</v>
      </c>
      <c r="F1219" s="898">
        <f>Clothing!F418</f>
        <v>1</v>
      </c>
      <c r="G1219" s="898" t="str">
        <f>Clothing!G418</f>
        <v>https://eeb.org/library/draft-product-environmental-footprint-category-rules-pefcr-apparel-and-footwear/</v>
      </c>
      <c r="H1219" s="902" t="str">
        <f>Clothing!H418</f>
        <v/>
      </c>
      <c r="I1219" s="902">
        <f>Clothing!I418</f>
        <v>1</v>
      </c>
      <c r="J1219" s="902">
        <f>Clothing!J418</f>
        <v>2</v>
      </c>
      <c r="K1219" s="902">
        <f>Clothing!K418</f>
        <v>1</v>
      </c>
      <c r="L1219" s="902">
        <f>Clothing!L418</f>
        <v>2</v>
      </c>
      <c r="M1219" s="902">
        <f>Clothing!M418</f>
        <v>3</v>
      </c>
      <c r="N1219" s="185" t="e">
        <f t="shared" si="91"/>
        <v>#VALUE!</v>
      </c>
      <c r="O1219" s="159">
        <f t="shared" si="92"/>
        <v>1.0248662490928169</v>
      </c>
    </row>
    <row r="1220" spans="1:15">
      <c r="A1220" s="898" t="str">
        <f>Clothing!A419</f>
        <v>Clothing (product sector)</v>
      </c>
      <c r="B1220" s="898" t="str">
        <f>Clothing!B419</f>
        <v>Boots</v>
      </c>
      <c r="C1220" s="898" t="str">
        <f>Clothing!C419</f>
        <v>EU</v>
      </c>
      <c r="D1220" s="898" t="str">
        <f>Clothing!D419</f>
        <v>OTHER</v>
      </c>
      <c r="E1220" s="898">
        <f>Clothing!E419</f>
        <v>0</v>
      </c>
      <c r="F1220" s="898">
        <f>Clothing!F419</f>
        <v>1</v>
      </c>
      <c r="G1220" s="898" t="str">
        <f>Clothing!G419</f>
        <v>https://eeb.org/library/draft-product-environmental-footprint-category-rules-pefcr-apparel-and-footwear/</v>
      </c>
      <c r="H1220" s="902" t="str">
        <f>Clothing!H419</f>
        <v/>
      </c>
      <c r="I1220" s="902">
        <f>Clothing!I419</f>
        <v>1</v>
      </c>
      <c r="J1220" s="902">
        <f>Clothing!J419</f>
        <v>2</v>
      </c>
      <c r="K1220" s="902">
        <f>Clothing!K419</f>
        <v>1</v>
      </c>
      <c r="L1220" s="902">
        <f>Clothing!L419</f>
        <v>2</v>
      </c>
      <c r="M1220" s="902">
        <f>Clothing!M419</f>
        <v>3</v>
      </c>
      <c r="N1220" s="185" t="e">
        <f t="shared" si="91"/>
        <v>#VALUE!</v>
      </c>
      <c r="O1220" s="159">
        <f t="shared" si="92"/>
        <v>1.0248662490928169</v>
      </c>
    </row>
    <row r="1221" spans="1:15">
      <c r="A1221" s="898" t="str">
        <f>Clothing!A420</f>
        <v>Clothing (product sector)</v>
      </c>
      <c r="B1221" s="898" t="str">
        <f>Clothing!B420</f>
        <v>Boots</v>
      </c>
      <c r="C1221" s="898" t="str">
        <f>Clothing!C420</f>
        <v>EU</v>
      </c>
      <c r="D1221" s="898" t="str">
        <f>Clothing!D420</f>
        <v>PA</v>
      </c>
      <c r="E1221" s="898">
        <f>Clothing!E420</f>
        <v>3.7359578080546699E-2</v>
      </c>
      <c r="F1221" s="898">
        <f>Clothing!F420</f>
        <v>1</v>
      </c>
      <c r="G1221" s="898" t="str">
        <f>Clothing!G420</f>
        <v>https://eeb.org/library/draft-product-environmental-footprint-category-rules-pefcr-apparel-and-footwear/</v>
      </c>
      <c r="H1221" s="902" t="str">
        <f>Clothing!H420</f>
        <v/>
      </c>
      <c r="I1221" s="902">
        <f>Clothing!I420</f>
        <v>1</v>
      </c>
      <c r="J1221" s="902">
        <f>Clothing!J420</f>
        <v>2</v>
      </c>
      <c r="K1221" s="902">
        <f>Clothing!K420</f>
        <v>1</v>
      </c>
      <c r="L1221" s="902">
        <f>Clothing!L420</f>
        <v>2</v>
      </c>
      <c r="M1221" s="902">
        <f>Clothing!M420</f>
        <v>3</v>
      </c>
      <c r="N1221" s="185" t="e">
        <f t="shared" si="91"/>
        <v>#VALUE!</v>
      </c>
      <c r="O1221" s="159">
        <f t="shared" si="92"/>
        <v>1.0248662490928169</v>
      </c>
    </row>
    <row r="1222" spans="1:15">
      <c r="A1222" s="898" t="str">
        <f>Clothing!A421</f>
        <v>Clothing (product sector)</v>
      </c>
      <c r="B1222" s="898" t="str">
        <f>Clothing!B421</f>
        <v>Boots</v>
      </c>
      <c r="C1222" s="898" t="str">
        <f>Clothing!C421</f>
        <v>EU</v>
      </c>
      <c r="D1222" s="898" t="str">
        <f>Clothing!D421</f>
        <v>PET</v>
      </c>
      <c r="E1222" s="898">
        <f>Clothing!E421</f>
        <v>3.9590380740080401E-2</v>
      </c>
      <c r="F1222" s="898">
        <f>Clothing!F421</f>
        <v>1</v>
      </c>
      <c r="G1222" s="898" t="str">
        <f>Clothing!G421</f>
        <v>https://eeb.org/library/draft-product-environmental-footprint-category-rules-pefcr-apparel-and-footwear/</v>
      </c>
      <c r="H1222" s="902" t="str">
        <f>Clothing!H421</f>
        <v/>
      </c>
      <c r="I1222" s="902">
        <f>Clothing!I421</f>
        <v>1</v>
      </c>
      <c r="J1222" s="902">
        <f>Clothing!J421</f>
        <v>2</v>
      </c>
      <c r="K1222" s="902">
        <f>Clothing!K421</f>
        <v>1</v>
      </c>
      <c r="L1222" s="902">
        <f>Clothing!L421</f>
        <v>2</v>
      </c>
      <c r="M1222" s="902">
        <f>Clothing!M421</f>
        <v>3</v>
      </c>
      <c r="N1222" s="185" t="e">
        <f t="shared" si="91"/>
        <v>#VALUE!</v>
      </c>
      <c r="O1222" s="159">
        <f t="shared" si="92"/>
        <v>1.0248662490928169</v>
      </c>
    </row>
    <row r="1223" spans="1:15">
      <c r="A1223" s="898" t="str">
        <f>Clothing!A422</f>
        <v>Clothing (product sector)</v>
      </c>
      <c r="B1223" s="898" t="str">
        <f>Clothing!B422</f>
        <v>Boots</v>
      </c>
      <c r="C1223" s="898" t="str">
        <f>Clothing!C422</f>
        <v>EU</v>
      </c>
      <c r="D1223" s="898" t="str">
        <f>Clothing!D422</f>
        <v>PUR</v>
      </c>
      <c r="E1223" s="898">
        <f>Clothing!E422</f>
        <v>0.48339514392578797</v>
      </c>
      <c r="F1223" s="898">
        <f>Clothing!F422</f>
        <v>1</v>
      </c>
      <c r="G1223" s="898" t="str">
        <f>Clothing!G422</f>
        <v>https://eeb.org/library/draft-product-environmental-footprint-category-rules-pefcr-apparel-and-footwear/</v>
      </c>
      <c r="H1223" s="902" t="str">
        <f>Clothing!H422</f>
        <v/>
      </c>
      <c r="I1223" s="902">
        <f>Clothing!I422</f>
        <v>1</v>
      </c>
      <c r="J1223" s="902">
        <f>Clothing!J422</f>
        <v>2</v>
      </c>
      <c r="K1223" s="902">
        <f>Clothing!K422</f>
        <v>1</v>
      </c>
      <c r="L1223" s="902">
        <f>Clothing!L422</f>
        <v>2</v>
      </c>
      <c r="M1223" s="902">
        <f>Clothing!M422</f>
        <v>3</v>
      </c>
      <c r="N1223" s="185" t="e">
        <f t="shared" si="91"/>
        <v>#VALUE!</v>
      </c>
      <c r="O1223" s="159">
        <f t="shared" si="92"/>
        <v>1.0248662490928169</v>
      </c>
    </row>
    <row r="1224" spans="1:15">
      <c r="A1224" s="898" t="str">
        <f>Clothing!A423</f>
        <v>Clothing (product sector)</v>
      </c>
      <c r="B1224" s="898" t="str">
        <f>Clothing!B423</f>
        <v>Boots</v>
      </c>
      <c r="C1224" s="898" t="str">
        <f>Clothing!C423</f>
        <v>EU</v>
      </c>
      <c r="D1224" s="898" t="str">
        <f>Clothing!D423</f>
        <v>PVC</v>
      </c>
      <c r="E1224" s="898">
        <f>Clothing!E423</f>
        <v>0.44302860064517702</v>
      </c>
      <c r="F1224" s="898">
        <f>Clothing!F423</f>
        <v>1</v>
      </c>
      <c r="G1224" s="898" t="str">
        <f>Clothing!G423</f>
        <v>https://eeb.org/library/draft-product-environmental-footprint-category-rules-pefcr-apparel-and-footwear/</v>
      </c>
      <c r="H1224" s="902" t="str">
        <f>Clothing!H423</f>
        <v/>
      </c>
      <c r="I1224" s="902">
        <f>Clothing!I423</f>
        <v>1</v>
      </c>
      <c r="J1224" s="902">
        <f>Clothing!J423</f>
        <v>2</v>
      </c>
      <c r="K1224" s="902">
        <f>Clothing!K423</f>
        <v>1</v>
      </c>
      <c r="L1224" s="902">
        <f>Clothing!L423</f>
        <v>2</v>
      </c>
      <c r="M1224" s="902">
        <f>Clothing!M423</f>
        <v>3</v>
      </c>
      <c r="N1224" s="185" t="e">
        <f t="shared" si="91"/>
        <v>#VALUE!</v>
      </c>
      <c r="O1224" s="159">
        <f t="shared" si="92"/>
        <v>1.0248662490928169</v>
      </c>
    </row>
    <row r="1225" spans="1:15">
      <c r="A1225" s="898" t="str">
        <f>Clothing!A424</f>
        <v>Clothing (product sector)</v>
      </c>
      <c r="B1225" s="898" t="str">
        <f>Clothing!B424</f>
        <v>Boots</v>
      </c>
      <c r="C1225" s="898" t="str">
        <f>Clothing!C424</f>
        <v>EU</v>
      </c>
      <c r="D1225" s="898" t="str">
        <f>Clothing!D424</f>
        <v>RUBBER</v>
      </c>
      <c r="E1225" s="898">
        <f>Clothing!E424</f>
        <v>0.18274958314372799</v>
      </c>
      <c r="F1225" s="898">
        <f>Clothing!F424</f>
        <v>1</v>
      </c>
      <c r="G1225" s="898" t="str">
        <f>Clothing!G424</f>
        <v>https://eeb.org/library/draft-product-environmental-footprint-category-rules-pefcr-apparel-and-footwear/</v>
      </c>
      <c r="H1225" s="902" t="str">
        <f>Clothing!H424</f>
        <v/>
      </c>
      <c r="I1225" s="902">
        <f>Clothing!I424</f>
        <v>1</v>
      </c>
      <c r="J1225" s="902">
        <f>Clothing!J424</f>
        <v>2</v>
      </c>
      <c r="K1225" s="902">
        <f>Clothing!K424</f>
        <v>1</v>
      </c>
      <c r="L1225" s="902">
        <f>Clothing!L424</f>
        <v>2</v>
      </c>
      <c r="M1225" s="902">
        <f>Clothing!M424</f>
        <v>3</v>
      </c>
      <c r="N1225" s="185" t="e">
        <f t="shared" si="91"/>
        <v>#VALUE!</v>
      </c>
      <c r="O1225" s="159">
        <f t="shared" si="92"/>
        <v>1.0248662490928169</v>
      </c>
    </row>
    <row r="1226" spans="1:15">
      <c r="A1226" s="898" t="str">
        <f>Clothing!A425</f>
        <v>Clothing (product sector)</v>
      </c>
      <c r="B1226" s="898" t="str">
        <f>Clothing!B425</f>
        <v>Closed-toed shoes</v>
      </c>
      <c r="C1226" s="898" t="str">
        <f>Clothing!C425</f>
        <v>EU</v>
      </c>
      <c r="D1226" s="898" t="str">
        <f>Clothing!D425</f>
        <v>OTHER</v>
      </c>
      <c r="E1226" s="898">
        <f>Clothing!E425</f>
        <v>0.26221150695503298</v>
      </c>
      <c r="F1226" s="898">
        <f>Clothing!F425</f>
        <v>1</v>
      </c>
      <c r="G1226" s="898" t="str">
        <f>Clothing!G425</f>
        <v>https://eeb.org/library/draft-product-environmental-footprint-category-rules-pefcr-apparel-and-footwear/</v>
      </c>
      <c r="H1226" s="902" t="str">
        <f>Clothing!H425</f>
        <v/>
      </c>
      <c r="I1226" s="902">
        <f>Clothing!I425</f>
        <v>1</v>
      </c>
      <c r="J1226" s="902">
        <f>Clothing!J425</f>
        <v>2</v>
      </c>
      <c r="K1226" s="902">
        <f>Clothing!K425</f>
        <v>1</v>
      </c>
      <c r="L1226" s="902">
        <f>Clothing!L425</f>
        <v>2</v>
      </c>
      <c r="M1226" s="902">
        <f>Clothing!M425</f>
        <v>3</v>
      </c>
      <c r="N1226" s="185" t="e">
        <f t="shared" si="91"/>
        <v>#VALUE!</v>
      </c>
      <c r="O1226" s="159">
        <f t="shared" si="92"/>
        <v>1.0248662490928169</v>
      </c>
    </row>
    <row r="1227" spans="1:15">
      <c r="A1227" s="898" t="str">
        <f>Clothing!A426</f>
        <v>Clothing (product sector)</v>
      </c>
      <c r="B1227" s="898" t="str">
        <f>Clothing!B426</f>
        <v>Closed-toed shoes</v>
      </c>
      <c r="C1227" s="898" t="str">
        <f>Clothing!C426</f>
        <v>EU</v>
      </c>
      <c r="D1227" s="898" t="str">
        <f>Clothing!D426</f>
        <v>PA</v>
      </c>
      <c r="E1227" s="898">
        <f>Clothing!E426</f>
        <v>8.1491138548843198E-2</v>
      </c>
      <c r="F1227" s="898">
        <f>Clothing!F426</f>
        <v>1</v>
      </c>
      <c r="G1227" s="898" t="str">
        <f>Clothing!G426</f>
        <v>https://eeb.org/library/draft-product-environmental-footprint-category-rules-pefcr-apparel-and-footwear/</v>
      </c>
      <c r="H1227" s="902" t="str">
        <f>Clothing!H426</f>
        <v/>
      </c>
      <c r="I1227" s="902">
        <f>Clothing!I426</f>
        <v>1</v>
      </c>
      <c r="J1227" s="902">
        <f>Clothing!J426</f>
        <v>2</v>
      </c>
      <c r="K1227" s="902">
        <f>Clothing!K426</f>
        <v>1</v>
      </c>
      <c r="L1227" s="902">
        <f>Clothing!L426</f>
        <v>2</v>
      </c>
      <c r="M1227" s="902">
        <f>Clothing!M426</f>
        <v>3</v>
      </c>
      <c r="N1227" s="185" t="e">
        <f t="shared" si="91"/>
        <v>#VALUE!</v>
      </c>
      <c r="O1227" s="159">
        <f t="shared" si="92"/>
        <v>1.0248662490928169</v>
      </c>
    </row>
    <row r="1228" spans="1:15">
      <c r="A1228" s="898" t="str">
        <f>Clothing!A427</f>
        <v>Clothing (product sector)</v>
      </c>
      <c r="B1228" s="898" t="str">
        <f>Clothing!B427</f>
        <v>Closed-toed shoes</v>
      </c>
      <c r="C1228" s="898" t="str">
        <f>Clothing!C427</f>
        <v>EU</v>
      </c>
      <c r="D1228" s="898" t="str">
        <f>Clothing!D427</f>
        <v>PET</v>
      </c>
      <c r="E1228" s="898">
        <f>Clothing!E427</f>
        <v>0.16695707975953999</v>
      </c>
      <c r="F1228" s="898">
        <f>Clothing!F427</f>
        <v>1</v>
      </c>
      <c r="G1228" s="898" t="str">
        <f>Clothing!G427</f>
        <v>https://eeb.org/library/draft-product-environmental-footprint-category-rules-pefcr-apparel-and-footwear/</v>
      </c>
      <c r="H1228" s="902" t="str">
        <f>Clothing!H427</f>
        <v/>
      </c>
      <c r="I1228" s="902">
        <f>Clothing!I427</f>
        <v>1</v>
      </c>
      <c r="J1228" s="902">
        <f>Clothing!J427</f>
        <v>2</v>
      </c>
      <c r="K1228" s="902">
        <f>Clothing!K427</f>
        <v>1</v>
      </c>
      <c r="L1228" s="902">
        <f>Clothing!L427</f>
        <v>2</v>
      </c>
      <c r="M1228" s="902">
        <f>Clothing!M427</f>
        <v>3</v>
      </c>
      <c r="N1228" s="185" t="e">
        <f t="shared" si="91"/>
        <v>#VALUE!</v>
      </c>
      <c r="O1228" s="159">
        <f t="shared" si="92"/>
        <v>1.0248662490928169</v>
      </c>
    </row>
    <row r="1229" spans="1:15">
      <c r="A1229" s="898" t="str">
        <f>Clothing!A428</f>
        <v>Clothing (product sector)</v>
      </c>
      <c r="B1229" s="898" t="str">
        <f>Clothing!B428</f>
        <v>Closed-toed shoes</v>
      </c>
      <c r="C1229" s="898" t="str">
        <f>Clothing!C428</f>
        <v>EU</v>
      </c>
      <c r="D1229" s="898" t="str">
        <f>Clothing!D428</f>
        <v>PUR</v>
      </c>
      <c r="E1229" s="898">
        <f>Clothing!E428</f>
        <v>0.395404833292331</v>
      </c>
      <c r="F1229" s="898">
        <f>Clothing!F428</f>
        <v>1</v>
      </c>
      <c r="G1229" s="898" t="str">
        <f>Clothing!G428</f>
        <v>https://eeb.org/library/draft-product-environmental-footprint-category-rules-pefcr-apparel-and-footwear/</v>
      </c>
      <c r="H1229" s="902" t="str">
        <f>Clothing!H428</f>
        <v/>
      </c>
      <c r="I1229" s="902">
        <f>Clothing!I428</f>
        <v>1</v>
      </c>
      <c r="J1229" s="902">
        <f>Clothing!J428</f>
        <v>2</v>
      </c>
      <c r="K1229" s="902">
        <f>Clothing!K428</f>
        <v>1</v>
      </c>
      <c r="L1229" s="902">
        <f>Clothing!L428</f>
        <v>2</v>
      </c>
      <c r="M1229" s="902">
        <f>Clothing!M428</f>
        <v>3</v>
      </c>
      <c r="N1229" s="185" t="e">
        <f t="shared" si="91"/>
        <v>#VALUE!</v>
      </c>
      <c r="O1229" s="159">
        <f t="shared" si="92"/>
        <v>1.0248662490928169</v>
      </c>
    </row>
    <row r="1230" spans="1:15">
      <c r="A1230" s="898" t="str">
        <f>Clothing!A429</f>
        <v>Clothing (product sector)</v>
      </c>
      <c r="B1230" s="898" t="str">
        <f>Clothing!B429</f>
        <v>Closed-toed shoes</v>
      </c>
      <c r="C1230" s="898" t="str">
        <f>Clothing!C429</f>
        <v>EU</v>
      </c>
      <c r="D1230" s="898" t="str">
        <f>Clothing!D429</f>
        <v>PVC</v>
      </c>
      <c r="E1230" s="898">
        <f>Clothing!E429</f>
        <v>0.41415546960298899</v>
      </c>
      <c r="F1230" s="898">
        <f>Clothing!F429</f>
        <v>1</v>
      </c>
      <c r="G1230" s="898" t="str">
        <f>Clothing!G429</f>
        <v>https://eeb.org/library/draft-product-environmental-footprint-category-rules-pefcr-apparel-and-footwear/</v>
      </c>
      <c r="H1230" s="902" t="str">
        <f>Clothing!H429</f>
        <v/>
      </c>
      <c r="I1230" s="902">
        <f>Clothing!I429</f>
        <v>1</v>
      </c>
      <c r="J1230" s="902">
        <f>Clothing!J429</f>
        <v>2</v>
      </c>
      <c r="K1230" s="902">
        <f>Clothing!K429</f>
        <v>1</v>
      </c>
      <c r="L1230" s="902">
        <f>Clothing!L429</f>
        <v>2</v>
      </c>
      <c r="M1230" s="902">
        <f>Clothing!M429</f>
        <v>3</v>
      </c>
      <c r="N1230" s="185" t="e">
        <f t="shared" si="91"/>
        <v>#VALUE!</v>
      </c>
      <c r="O1230" s="159">
        <f t="shared" si="92"/>
        <v>1.0248662490928169</v>
      </c>
    </row>
    <row r="1231" spans="1:15">
      <c r="A1231" s="898" t="str">
        <f>Clothing!A430</f>
        <v>Clothing (product sector)</v>
      </c>
      <c r="B1231" s="898" t="str">
        <f>Clothing!B430</f>
        <v>Closed-toed shoes</v>
      </c>
      <c r="C1231" s="898" t="str">
        <f>Clothing!C430</f>
        <v>EU</v>
      </c>
      <c r="D1231" s="898" t="str">
        <f>Clothing!D430</f>
        <v>RUBBER</v>
      </c>
      <c r="E1231" s="898">
        <f>Clothing!E430</f>
        <v>0.57981856287566402</v>
      </c>
      <c r="F1231" s="898">
        <f>Clothing!F430</f>
        <v>1</v>
      </c>
      <c r="G1231" s="898" t="str">
        <f>Clothing!G430</f>
        <v>https://eeb.org/library/draft-product-environmental-footprint-category-rules-pefcr-apparel-and-footwear/</v>
      </c>
      <c r="H1231" s="902" t="str">
        <f>Clothing!H430</f>
        <v/>
      </c>
      <c r="I1231" s="902">
        <f>Clothing!I430</f>
        <v>1</v>
      </c>
      <c r="J1231" s="902">
        <f>Clothing!J430</f>
        <v>2</v>
      </c>
      <c r="K1231" s="902">
        <f>Clothing!K430</f>
        <v>1</v>
      </c>
      <c r="L1231" s="902">
        <f>Clothing!L430</f>
        <v>2</v>
      </c>
      <c r="M1231" s="902">
        <f>Clothing!M430</f>
        <v>3</v>
      </c>
      <c r="N1231" s="185" t="e">
        <f t="shared" si="91"/>
        <v>#VALUE!</v>
      </c>
      <c r="O1231" s="159">
        <f t="shared" si="92"/>
        <v>1.0248662490928169</v>
      </c>
    </row>
    <row r="1232" spans="1:15">
      <c r="A1232" s="898" t="str">
        <f>Clothing!A431</f>
        <v>Clothing (product sector)</v>
      </c>
      <c r="B1232" s="898" t="str">
        <f>Clothing!B431</f>
        <v>Dresses skirts and jumpsuits</v>
      </c>
      <c r="C1232" s="898" t="str">
        <f>Clothing!C431</f>
        <v>EU</v>
      </c>
      <c r="D1232" s="898" t="str">
        <f>Clothing!D431</f>
        <v>Acryl</v>
      </c>
      <c r="E1232" s="898">
        <f>Clothing!E431</f>
        <v>0</v>
      </c>
      <c r="F1232" s="898">
        <f>Clothing!F431</f>
        <v>1</v>
      </c>
      <c r="G1232" s="898" t="str">
        <f>Clothing!G431</f>
        <v>https://eeb.org/library/draft-product-environmental-footprint-category-rules-pefcr-apparel-and-footwear/</v>
      </c>
      <c r="H1232" s="902" t="str">
        <f>Clothing!H431</f>
        <v/>
      </c>
      <c r="I1232" s="902">
        <f>Clothing!I431</f>
        <v>1</v>
      </c>
      <c r="J1232" s="902">
        <f>Clothing!J431</f>
        <v>2</v>
      </c>
      <c r="K1232" s="902">
        <f>Clothing!K431</f>
        <v>1</v>
      </c>
      <c r="L1232" s="902">
        <f>Clothing!L431</f>
        <v>2</v>
      </c>
      <c r="M1232" s="902">
        <f>Clothing!M431</f>
        <v>3</v>
      </c>
      <c r="N1232" s="185" t="e">
        <f t="shared" si="91"/>
        <v>#VALUE!</v>
      </c>
      <c r="O1232" s="159">
        <f t="shared" si="92"/>
        <v>1.0248662490928169</v>
      </c>
    </row>
    <row r="1233" spans="1:15">
      <c r="A1233" s="898" t="str">
        <f>Clothing!A432</f>
        <v>Clothing (product sector)</v>
      </c>
      <c r="B1233" s="898" t="str">
        <f>Clothing!B432</f>
        <v>Dresses skirts and jumpsuits</v>
      </c>
      <c r="C1233" s="898" t="str">
        <f>Clothing!C432</f>
        <v>EU</v>
      </c>
      <c r="D1233" s="898" t="str">
        <f>Clothing!D432</f>
        <v>OTHER</v>
      </c>
      <c r="E1233" s="898">
        <f>Clothing!E432</f>
        <v>0</v>
      </c>
      <c r="F1233" s="898">
        <f>Clothing!F432</f>
        <v>1</v>
      </c>
      <c r="G1233" s="898" t="str">
        <f>Clothing!G432</f>
        <v>https://eeb.org/library/draft-product-environmental-footprint-category-rules-pefcr-apparel-and-footwear/</v>
      </c>
      <c r="H1233" s="902" t="str">
        <f>Clothing!H432</f>
        <v/>
      </c>
      <c r="I1233" s="902">
        <f>Clothing!I432</f>
        <v>1</v>
      </c>
      <c r="J1233" s="902">
        <f>Clothing!J432</f>
        <v>2</v>
      </c>
      <c r="K1233" s="902">
        <f>Clothing!K432</f>
        <v>1</v>
      </c>
      <c r="L1233" s="902">
        <f>Clothing!L432</f>
        <v>2</v>
      </c>
      <c r="M1233" s="902">
        <f>Clothing!M432</f>
        <v>3</v>
      </c>
      <c r="N1233" s="185" t="e">
        <f t="shared" si="91"/>
        <v>#VALUE!</v>
      </c>
      <c r="O1233" s="159">
        <f t="shared" si="92"/>
        <v>1.0248662490928169</v>
      </c>
    </row>
    <row r="1234" spans="1:15">
      <c r="A1234" s="898" t="str">
        <f>Clothing!A433</f>
        <v>Clothing (product sector)</v>
      </c>
      <c r="B1234" s="898" t="str">
        <f>Clothing!B433</f>
        <v>Dresses skirts and jumpsuits</v>
      </c>
      <c r="C1234" s="898" t="str">
        <f>Clothing!C433</f>
        <v>EU</v>
      </c>
      <c r="D1234" s="898" t="str">
        <f>Clothing!D433</f>
        <v>PA</v>
      </c>
      <c r="E1234" s="898">
        <f>Clothing!E433</f>
        <v>2.66840978650866E-2</v>
      </c>
      <c r="F1234" s="898">
        <f>Clothing!F433</f>
        <v>1</v>
      </c>
      <c r="G1234" s="898" t="str">
        <f>Clothing!G433</f>
        <v>https://eeb.org/library/draft-product-environmental-footprint-category-rules-pefcr-apparel-and-footwear/</v>
      </c>
      <c r="H1234" s="902" t="str">
        <f>Clothing!H433</f>
        <v/>
      </c>
      <c r="I1234" s="902">
        <f>Clothing!I433</f>
        <v>1</v>
      </c>
      <c r="J1234" s="902">
        <f>Clothing!J433</f>
        <v>2</v>
      </c>
      <c r="K1234" s="902">
        <f>Clothing!K433</f>
        <v>1</v>
      </c>
      <c r="L1234" s="902">
        <f>Clothing!L433</f>
        <v>2</v>
      </c>
      <c r="M1234" s="902">
        <f>Clothing!M433</f>
        <v>3</v>
      </c>
      <c r="N1234" s="185" t="e">
        <f t="shared" si="91"/>
        <v>#VALUE!</v>
      </c>
      <c r="O1234" s="159">
        <f t="shared" si="92"/>
        <v>1.0248662490928169</v>
      </c>
    </row>
    <row r="1235" spans="1:15">
      <c r="A1235" s="898" t="str">
        <f>Clothing!A434</f>
        <v>Clothing (product sector)</v>
      </c>
      <c r="B1235" s="898" t="str">
        <f>Clothing!B434</f>
        <v>Dresses skirts and jumpsuits</v>
      </c>
      <c r="C1235" s="898" t="str">
        <f>Clothing!C434</f>
        <v>EU</v>
      </c>
      <c r="D1235" s="898" t="str">
        <f>Clothing!D434</f>
        <v>PET</v>
      </c>
      <c r="E1235" s="898">
        <f>Clothing!E434</f>
        <v>3.7467621001403197E-2</v>
      </c>
      <c r="F1235" s="898">
        <f>Clothing!F434</f>
        <v>1</v>
      </c>
      <c r="G1235" s="898" t="str">
        <f>Clothing!G434</f>
        <v>https://eeb.org/library/draft-product-environmental-footprint-category-rules-pefcr-apparel-and-footwear/</v>
      </c>
      <c r="H1235" s="902" t="str">
        <f>Clothing!H434</f>
        <v/>
      </c>
      <c r="I1235" s="902">
        <f>Clothing!I434</f>
        <v>1</v>
      </c>
      <c r="J1235" s="902">
        <f>Clothing!J434</f>
        <v>2</v>
      </c>
      <c r="K1235" s="902">
        <f>Clothing!K434</f>
        <v>1</v>
      </c>
      <c r="L1235" s="902">
        <f>Clothing!L434</f>
        <v>2</v>
      </c>
      <c r="M1235" s="902">
        <f>Clothing!M434</f>
        <v>3</v>
      </c>
      <c r="N1235" s="185" t="e">
        <f t="shared" si="91"/>
        <v>#VALUE!</v>
      </c>
      <c r="O1235" s="159">
        <f t="shared" si="92"/>
        <v>1.0248662490928169</v>
      </c>
    </row>
    <row r="1236" spans="1:15">
      <c r="A1236" s="898" t="str">
        <f>Clothing!A435</f>
        <v>Clothing (product sector)</v>
      </c>
      <c r="B1236" s="898" t="str">
        <f>Clothing!B435</f>
        <v>Jackets and coats</v>
      </c>
      <c r="C1236" s="898" t="str">
        <f>Clothing!C435</f>
        <v>EU</v>
      </c>
      <c r="D1236" s="898" t="str">
        <f>Clothing!D435</f>
        <v>Acryl</v>
      </c>
      <c r="E1236" s="898">
        <f>Clothing!E435</f>
        <v>0.51736573665128205</v>
      </c>
      <c r="F1236" s="898">
        <f>Clothing!F435</f>
        <v>1</v>
      </c>
      <c r="G1236" s="898" t="str">
        <f>Clothing!G435</f>
        <v>https://eeb.org/library/draft-product-environmental-footprint-category-rules-pefcr-apparel-and-footwear/</v>
      </c>
      <c r="H1236" s="902" t="str">
        <f>Clothing!H435</f>
        <v/>
      </c>
      <c r="I1236" s="902">
        <f>Clothing!I435</f>
        <v>1</v>
      </c>
      <c r="J1236" s="902">
        <f>Clothing!J435</f>
        <v>2</v>
      </c>
      <c r="K1236" s="902">
        <f>Clothing!K435</f>
        <v>1</v>
      </c>
      <c r="L1236" s="902">
        <f>Clothing!L435</f>
        <v>2</v>
      </c>
      <c r="M1236" s="902">
        <f>Clothing!M435</f>
        <v>3</v>
      </c>
      <c r="N1236" s="185" t="e">
        <f t="shared" si="91"/>
        <v>#VALUE!</v>
      </c>
      <c r="O1236" s="159">
        <f t="shared" si="92"/>
        <v>1.0248662490928169</v>
      </c>
    </row>
    <row r="1237" spans="1:15">
      <c r="A1237" s="898" t="str">
        <f>Clothing!A436</f>
        <v>Clothing (product sector)</v>
      </c>
      <c r="B1237" s="898" t="str">
        <f>Clothing!B436</f>
        <v>Jackets and coats</v>
      </c>
      <c r="C1237" s="898" t="str">
        <f>Clothing!C436</f>
        <v>EU</v>
      </c>
      <c r="D1237" s="898" t="str">
        <f>Clothing!D436</f>
        <v>OTHER</v>
      </c>
      <c r="E1237" s="898">
        <f>Clothing!E436</f>
        <v>5.4014541765341199E-2</v>
      </c>
      <c r="F1237" s="898">
        <f>Clothing!F436</f>
        <v>1</v>
      </c>
      <c r="G1237" s="898" t="str">
        <f>Clothing!G436</f>
        <v>https://eeb.org/library/draft-product-environmental-footprint-category-rules-pefcr-apparel-and-footwear/</v>
      </c>
      <c r="H1237" s="902" t="str">
        <f>Clothing!H436</f>
        <v/>
      </c>
      <c r="I1237" s="902">
        <f>Clothing!I436</f>
        <v>1</v>
      </c>
      <c r="J1237" s="902">
        <f>Clothing!J436</f>
        <v>2</v>
      </c>
      <c r="K1237" s="902">
        <f>Clothing!K436</f>
        <v>1</v>
      </c>
      <c r="L1237" s="902">
        <f>Clothing!L436</f>
        <v>2</v>
      </c>
      <c r="M1237" s="902">
        <f>Clothing!M436</f>
        <v>3</v>
      </c>
      <c r="N1237" s="185" t="e">
        <f t="shared" si="91"/>
        <v>#VALUE!</v>
      </c>
      <c r="O1237" s="159">
        <f t="shared" si="92"/>
        <v>1.0248662490928169</v>
      </c>
    </row>
    <row r="1238" spans="1:15">
      <c r="A1238" s="898" t="str">
        <f>Clothing!A437</f>
        <v>Clothing (product sector)</v>
      </c>
      <c r="B1238" s="898" t="str">
        <f>Clothing!B437</f>
        <v>Jackets and coats</v>
      </c>
      <c r="C1238" s="898" t="str">
        <f>Clothing!C437</f>
        <v>EU</v>
      </c>
      <c r="D1238" s="898" t="str">
        <f>Clothing!D437</f>
        <v>PA</v>
      </c>
      <c r="E1238" s="898">
        <f>Clothing!E437</f>
        <v>0.32641106648312102</v>
      </c>
      <c r="F1238" s="898">
        <f>Clothing!F437</f>
        <v>1</v>
      </c>
      <c r="G1238" s="898" t="str">
        <f>Clothing!G437</f>
        <v>https://eeb.org/library/draft-product-environmental-footprint-category-rules-pefcr-apparel-and-footwear/</v>
      </c>
      <c r="H1238" s="902" t="str">
        <f>Clothing!H437</f>
        <v/>
      </c>
      <c r="I1238" s="902">
        <f>Clothing!I437</f>
        <v>1</v>
      </c>
      <c r="J1238" s="902">
        <f>Clothing!J437</f>
        <v>2</v>
      </c>
      <c r="K1238" s="902">
        <f>Clothing!K437</f>
        <v>1</v>
      </c>
      <c r="L1238" s="902">
        <f>Clothing!L437</f>
        <v>2</v>
      </c>
      <c r="M1238" s="902">
        <f>Clothing!M437</f>
        <v>3</v>
      </c>
      <c r="N1238" s="185" t="e">
        <f t="shared" si="91"/>
        <v>#VALUE!</v>
      </c>
      <c r="O1238" s="159">
        <f t="shared" si="92"/>
        <v>1.0248662490928169</v>
      </c>
    </row>
    <row r="1239" spans="1:15">
      <c r="A1239" s="898" t="str">
        <f>Clothing!A438</f>
        <v>Clothing (product sector)</v>
      </c>
      <c r="B1239" s="898" t="str">
        <f>Clothing!B438</f>
        <v>Jackets and coats</v>
      </c>
      <c r="C1239" s="898" t="str">
        <f>Clothing!C438</f>
        <v>EU</v>
      </c>
      <c r="D1239" s="898" t="str">
        <f>Clothing!D438</f>
        <v>PET</v>
      </c>
      <c r="E1239" s="898">
        <f>Clothing!E438</f>
        <v>0.18263605280568401</v>
      </c>
      <c r="F1239" s="898">
        <f>Clothing!F438</f>
        <v>1</v>
      </c>
      <c r="G1239" s="898" t="str">
        <f>Clothing!G438</f>
        <v>https://eeb.org/library/draft-product-environmental-footprint-category-rules-pefcr-apparel-and-footwear/</v>
      </c>
      <c r="H1239" s="902" t="str">
        <f>Clothing!H438</f>
        <v/>
      </c>
      <c r="I1239" s="902">
        <f>Clothing!I438</f>
        <v>1</v>
      </c>
      <c r="J1239" s="902">
        <f>Clothing!J438</f>
        <v>2</v>
      </c>
      <c r="K1239" s="902">
        <f>Clothing!K438</f>
        <v>1</v>
      </c>
      <c r="L1239" s="902">
        <f>Clothing!L438</f>
        <v>2</v>
      </c>
      <c r="M1239" s="902">
        <f>Clothing!M438</f>
        <v>3</v>
      </c>
      <c r="N1239" s="185" t="e">
        <f t="shared" si="91"/>
        <v>#VALUE!</v>
      </c>
      <c r="O1239" s="159">
        <f t="shared" si="92"/>
        <v>1.0248662490928169</v>
      </c>
    </row>
    <row r="1240" spans="1:15">
      <c r="A1240" s="898" t="str">
        <f>Clothing!A439</f>
        <v>Clothing (product sector)</v>
      </c>
      <c r="B1240" s="898" t="str">
        <f>Clothing!B439</f>
        <v>Leggings stockings tights and socks</v>
      </c>
      <c r="C1240" s="898" t="str">
        <f>Clothing!C439</f>
        <v>EU</v>
      </c>
      <c r="D1240" s="898" t="str">
        <f>Clothing!D439</f>
        <v>Acryl</v>
      </c>
      <c r="E1240" s="898">
        <f>Clothing!E439</f>
        <v>2.4568018849149401E-2</v>
      </c>
      <c r="F1240" s="898">
        <f>Clothing!F439</f>
        <v>1</v>
      </c>
      <c r="G1240" s="898" t="str">
        <f>Clothing!G439</f>
        <v>https://eeb.org/library/draft-product-environmental-footprint-category-rules-pefcr-apparel-and-footwear/</v>
      </c>
      <c r="H1240" s="902" t="str">
        <f>Clothing!H439</f>
        <v/>
      </c>
      <c r="I1240" s="902">
        <f>Clothing!I439</f>
        <v>1</v>
      </c>
      <c r="J1240" s="902">
        <f>Clothing!J439</f>
        <v>2</v>
      </c>
      <c r="K1240" s="902">
        <f>Clothing!K439</f>
        <v>1</v>
      </c>
      <c r="L1240" s="902">
        <f>Clothing!L439</f>
        <v>2</v>
      </c>
      <c r="M1240" s="902">
        <f>Clothing!M439</f>
        <v>3</v>
      </c>
      <c r="N1240" s="185" t="e">
        <f t="shared" si="91"/>
        <v>#VALUE!</v>
      </c>
      <c r="O1240" s="159">
        <f t="shared" si="92"/>
        <v>1.0248662490928169</v>
      </c>
    </row>
    <row r="1241" spans="1:15">
      <c r="A1241" s="898" t="str">
        <f>Clothing!A440</f>
        <v>Clothing (product sector)</v>
      </c>
      <c r="B1241" s="898" t="str">
        <f>Clothing!B440</f>
        <v>Leggings stockings tights and socks</v>
      </c>
      <c r="C1241" s="898" t="str">
        <f>Clothing!C440</f>
        <v>EU</v>
      </c>
      <c r="D1241" s="898" t="str">
        <f>Clothing!D440</f>
        <v>OTHER</v>
      </c>
      <c r="E1241" s="898">
        <f>Clothing!E440</f>
        <v>2.0153376516434E-2</v>
      </c>
      <c r="F1241" s="898">
        <f>Clothing!F440</f>
        <v>1</v>
      </c>
      <c r="G1241" s="898" t="str">
        <f>Clothing!G440</f>
        <v>https://eeb.org/library/draft-product-environmental-footprint-category-rules-pefcr-apparel-and-footwear/</v>
      </c>
      <c r="H1241" s="902" t="str">
        <f>Clothing!H440</f>
        <v/>
      </c>
      <c r="I1241" s="902">
        <f>Clothing!I440</f>
        <v>1</v>
      </c>
      <c r="J1241" s="902">
        <f>Clothing!J440</f>
        <v>2</v>
      </c>
      <c r="K1241" s="902">
        <f>Clothing!K440</f>
        <v>1</v>
      </c>
      <c r="L1241" s="902">
        <f>Clothing!L440</f>
        <v>2</v>
      </c>
      <c r="M1241" s="902">
        <f>Clothing!M440</f>
        <v>3</v>
      </c>
      <c r="N1241" s="185" t="e">
        <f t="shared" si="91"/>
        <v>#VALUE!</v>
      </c>
      <c r="O1241" s="159">
        <f t="shared" si="92"/>
        <v>1.0248662490928169</v>
      </c>
    </row>
    <row r="1242" spans="1:15">
      <c r="A1242" s="898" t="str">
        <f>Clothing!A441</f>
        <v>Clothing (product sector)</v>
      </c>
      <c r="B1242" s="898" t="str">
        <f>Clothing!B441</f>
        <v>Leggings stockings tights and socks</v>
      </c>
      <c r="C1242" s="898" t="str">
        <f>Clothing!C441</f>
        <v>EU</v>
      </c>
      <c r="D1242" s="898" t="str">
        <f>Clothing!D441</f>
        <v>PA</v>
      </c>
      <c r="E1242" s="898">
        <f>Clothing!E441</f>
        <v>5.0338750051631298E-2</v>
      </c>
      <c r="F1242" s="898">
        <f>Clothing!F441</f>
        <v>1</v>
      </c>
      <c r="G1242" s="898" t="str">
        <f>Clothing!G441</f>
        <v>https://eeb.org/library/draft-product-environmental-footprint-category-rules-pefcr-apparel-and-footwear/</v>
      </c>
      <c r="H1242" s="902" t="str">
        <f>Clothing!H441</f>
        <v/>
      </c>
      <c r="I1242" s="902">
        <f>Clothing!I441</f>
        <v>1</v>
      </c>
      <c r="J1242" s="902">
        <f>Clothing!J441</f>
        <v>2</v>
      </c>
      <c r="K1242" s="902">
        <f>Clothing!K441</f>
        <v>1</v>
      </c>
      <c r="L1242" s="902">
        <f>Clothing!L441</f>
        <v>2</v>
      </c>
      <c r="M1242" s="902">
        <f>Clothing!M441</f>
        <v>3</v>
      </c>
      <c r="N1242" s="185" t="e">
        <f t="shared" si="91"/>
        <v>#VALUE!</v>
      </c>
      <c r="O1242" s="159">
        <f t="shared" si="92"/>
        <v>1.0248662490928169</v>
      </c>
    </row>
    <row r="1243" spans="1:15">
      <c r="A1243" s="898" t="str">
        <f>Clothing!A442</f>
        <v>Clothing (product sector)</v>
      </c>
      <c r="B1243" s="898" t="str">
        <f>Clothing!B442</f>
        <v>Leggings stockings tights and socks</v>
      </c>
      <c r="C1243" s="898" t="str">
        <f>Clothing!C442</f>
        <v>EU</v>
      </c>
      <c r="D1243" s="898" t="str">
        <f>Clothing!D442</f>
        <v>PET</v>
      </c>
      <c r="E1243" s="898">
        <f>Clothing!E442</f>
        <v>7.1584958870518096E-3</v>
      </c>
      <c r="F1243" s="898">
        <f>Clothing!F442</f>
        <v>1</v>
      </c>
      <c r="G1243" s="898" t="str">
        <f>Clothing!G442</f>
        <v>https://eeb.org/library/draft-product-environmental-footprint-category-rules-pefcr-apparel-and-footwear/</v>
      </c>
      <c r="H1243" s="902" t="str">
        <f>Clothing!H442</f>
        <v/>
      </c>
      <c r="I1243" s="902">
        <f>Clothing!I442</f>
        <v>1</v>
      </c>
      <c r="J1243" s="902">
        <f>Clothing!J442</f>
        <v>2</v>
      </c>
      <c r="K1243" s="902">
        <f>Clothing!K442</f>
        <v>1</v>
      </c>
      <c r="L1243" s="902">
        <f>Clothing!L442</f>
        <v>2</v>
      </c>
      <c r="M1243" s="902">
        <f>Clothing!M442</f>
        <v>3</v>
      </c>
      <c r="N1243" s="185" t="e">
        <f t="shared" si="91"/>
        <v>#VALUE!</v>
      </c>
      <c r="O1243" s="159">
        <f t="shared" si="92"/>
        <v>1.0248662490928169</v>
      </c>
    </row>
    <row r="1244" spans="1:15">
      <c r="A1244" s="898" t="str">
        <f>Clothing!A443</f>
        <v>Clothing (product sector)</v>
      </c>
      <c r="B1244" s="898" t="str">
        <f>Clothing!B443</f>
        <v>Open-toed shoes</v>
      </c>
      <c r="C1244" s="898" t="str">
        <f>Clothing!C443</f>
        <v>EU</v>
      </c>
      <c r="D1244" s="898" t="str">
        <f>Clothing!D443</f>
        <v>OTHER</v>
      </c>
      <c r="E1244" s="898">
        <f>Clothing!E443</f>
        <v>0.36168041140019702</v>
      </c>
      <c r="F1244" s="898">
        <f>Clothing!F443</f>
        <v>1</v>
      </c>
      <c r="G1244" s="898" t="str">
        <f>Clothing!G443</f>
        <v>https://eeb.org/library/draft-product-environmental-footprint-category-rules-pefcr-apparel-and-footwear/</v>
      </c>
      <c r="H1244" s="902" t="str">
        <f>Clothing!H443</f>
        <v/>
      </c>
      <c r="I1244" s="902">
        <f>Clothing!I443</f>
        <v>1</v>
      </c>
      <c r="J1244" s="902">
        <f>Clothing!J443</f>
        <v>2</v>
      </c>
      <c r="K1244" s="902">
        <f>Clothing!K443</f>
        <v>1</v>
      </c>
      <c r="L1244" s="902">
        <f>Clothing!L443</f>
        <v>2</v>
      </c>
      <c r="M1244" s="902">
        <f>Clothing!M443</f>
        <v>3</v>
      </c>
      <c r="N1244" s="185" t="e">
        <f t="shared" si="91"/>
        <v>#VALUE!</v>
      </c>
      <c r="O1244" s="159">
        <f t="shared" si="92"/>
        <v>1.0248662490928169</v>
      </c>
    </row>
    <row r="1245" spans="1:15">
      <c r="A1245" s="898" t="str">
        <f>Clothing!A444</f>
        <v>Clothing (product sector)</v>
      </c>
      <c r="B1245" s="898" t="str">
        <f>Clothing!B444</f>
        <v>Open-toed shoes</v>
      </c>
      <c r="C1245" s="898" t="str">
        <f>Clothing!C444</f>
        <v>EU</v>
      </c>
      <c r="D1245" s="898" t="str">
        <f>Clothing!D444</f>
        <v>PA</v>
      </c>
      <c r="E1245" s="898">
        <f>Clothing!E444</f>
        <v>0</v>
      </c>
      <c r="F1245" s="898">
        <f>Clothing!F444</f>
        <v>1</v>
      </c>
      <c r="G1245" s="898" t="str">
        <f>Clothing!G444</f>
        <v>https://eeb.org/library/draft-product-environmental-footprint-category-rules-pefcr-apparel-and-footwear/</v>
      </c>
      <c r="H1245" s="902" t="str">
        <f>Clothing!H444</f>
        <v/>
      </c>
      <c r="I1245" s="902">
        <f>Clothing!I444</f>
        <v>1</v>
      </c>
      <c r="J1245" s="902">
        <f>Clothing!J444</f>
        <v>2</v>
      </c>
      <c r="K1245" s="902">
        <f>Clothing!K444</f>
        <v>1</v>
      </c>
      <c r="L1245" s="902">
        <f>Clothing!L444</f>
        <v>2</v>
      </c>
      <c r="M1245" s="902">
        <f>Clothing!M444</f>
        <v>3</v>
      </c>
      <c r="N1245" s="185" t="e">
        <f t="shared" si="91"/>
        <v>#VALUE!</v>
      </c>
      <c r="O1245" s="159">
        <f t="shared" si="92"/>
        <v>1.0248662490928169</v>
      </c>
    </row>
    <row r="1246" spans="1:15">
      <c r="A1246" s="898" t="str">
        <f>Clothing!A445</f>
        <v>Clothing (product sector)</v>
      </c>
      <c r="B1246" s="898" t="str">
        <f>Clothing!B445</f>
        <v>Open-toed shoes</v>
      </c>
      <c r="C1246" s="898" t="str">
        <f>Clothing!C445</f>
        <v>EU</v>
      </c>
      <c r="D1246" s="898" t="str">
        <f>Clothing!D445</f>
        <v>PET</v>
      </c>
      <c r="E1246" s="898">
        <f>Clothing!E445</f>
        <v>5.9558170262187298E-3</v>
      </c>
      <c r="F1246" s="898">
        <f>Clothing!F445</f>
        <v>1</v>
      </c>
      <c r="G1246" s="898" t="str">
        <f>Clothing!G445</f>
        <v>https://eeb.org/library/draft-product-environmental-footprint-category-rules-pefcr-apparel-and-footwear/</v>
      </c>
      <c r="H1246" s="902" t="str">
        <f>Clothing!H445</f>
        <v/>
      </c>
      <c r="I1246" s="902">
        <f>Clothing!I445</f>
        <v>1</v>
      </c>
      <c r="J1246" s="902">
        <f>Clothing!J445</f>
        <v>2</v>
      </c>
      <c r="K1246" s="902">
        <f>Clothing!K445</f>
        <v>1</v>
      </c>
      <c r="L1246" s="902">
        <f>Clothing!L445</f>
        <v>2</v>
      </c>
      <c r="M1246" s="902">
        <f>Clothing!M445</f>
        <v>3</v>
      </c>
      <c r="N1246" s="185" t="e">
        <f t="shared" si="91"/>
        <v>#VALUE!</v>
      </c>
      <c r="O1246" s="159">
        <f t="shared" si="92"/>
        <v>1.0248662490928169</v>
      </c>
    </row>
    <row r="1247" spans="1:15">
      <c r="A1247" s="898" t="str">
        <f>Clothing!A446</f>
        <v>Clothing (product sector)</v>
      </c>
      <c r="B1247" s="898" t="str">
        <f>Clothing!B446</f>
        <v>Open-toed shoes</v>
      </c>
      <c r="C1247" s="898" t="str">
        <f>Clothing!C446</f>
        <v>EU</v>
      </c>
      <c r="D1247" s="898" t="str">
        <f>Clothing!D446</f>
        <v>PUR</v>
      </c>
      <c r="E1247" s="898">
        <f>Clothing!E446</f>
        <v>0.12120002278188099</v>
      </c>
      <c r="F1247" s="898">
        <f>Clothing!F446</f>
        <v>1</v>
      </c>
      <c r="G1247" s="898" t="str">
        <f>Clothing!G446</f>
        <v>https://eeb.org/library/draft-product-environmental-footprint-category-rules-pefcr-apparel-and-footwear/</v>
      </c>
      <c r="H1247" s="902" t="str">
        <f>Clothing!H446</f>
        <v/>
      </c>
      <c r="I1247" s="902">
        <f>Clothing!I446</f>
        <v>1</v>
      </c>
      <c r="J1247" s="902">
        <f>Clothing!J446</f>
        <v>2</v>
      </c>
      <c r="K1247" s="902">
        <f>Clothing!K446</f>
        <v>1</v>
      </c>
      <c r="L1247" s="902">
        <f>Clothing!L446</f>
        <v>2</v>
      </c>
      <c r="M1247" s="902">
        <f>Clothing!M446</f>
        <v>3</v>
      </c>
      <c r="N1247" s="185" t="e">
        <f t="shared" si="91"/>
        <v>#VALUE!</v>
      </c>
      <c r="O1247" s="159">
        <f t="shared" si="92"/>
        <v>1.0248662490928169</v>
      </c>
    </row>
    <row r="1248" spans="1:15">
      <c r="A1248" s="898" t="str">
        <f>Clothing!A447</f>
        <v>Clothing (product sector)</v>
      </c>
      <c r="B1248" s="898" t="str">
        <f>Clothing!B447</f>
        <v>Open-toed shoes</v>
      </c>
      <c r="C1248" s="898" t="str">
        <f>Clothing!C447</f>
        <v>EU</v>
      </c>
      <c r="D1248" s="898" t="str">
        <f>Clothing!D447</f>
        <v>PVC</v>
      </c>
      <c r="E1248" s="898">
        <f>Clothing!E447</f>
        <v>0.14281592975183499</v>
      </c>
      <c r="F1248" s="898">
        <f>Clothing!F447</f>
        <v>1</v>
      </c>
      <c r="G1248" s="898" t="str">
        <f>Clothing!G447</f>
        <v>https://eeb.org/library/draft-product-environmental-footprint-category-rules-pefcr-apparel-and-footwear/</v>
      </c>
      <c r="H1248" s="902" t="str">
        <f>Clothing!H447</f>
        <v/>
      </c>
      <c r="I1248" s="902">
        <f>Clothing!I447</f>
        <v>1</v>
      </c>
      <c r="J1248" s="902">
        <f>Clothing!J447</f>
        <v>2</v>
      </c>
      <c r="K1248" s="902">
        <f>Clothing!K447</f>
        <v>1</v>
      </c>
      <c r="L1248" s="902">
        <f>Clothing!L447</f>
        <v>2</v>
      </c>
      <c r="M1248" s="902">
        <f>Clothing!M447</f>
        <v>3</v>
      </c>
      <c r="N1248" s="185" t="e">
        <f t="shared" si="91"/>
        <v>#VALUE!</v>
      </c>
      <c r="O1248" s="159">
        <f t="shared" si="92"/>
        <v>1.0248662490928169</v>
      </c>
    </row>
    <row r="1249" spans="1:15">
      <c r="A1249" s="898" t="str">
        <f>Clothing!A448</f>
        <v>Clothing (product sector)</v>
      </c>
      <c r="B1249" s="898" t="str">
        <f>Clothing!B448</f>
        <v>Open-toed shoes</v>
      </c>
      <c r="C1249" s="898" t="str">
        <f>Clothing!C448</f>
        <v>EU</v>
      </c>
      <c r="D1249" s="898" t="str">
        <f>Clothing!D448</f>
        <v>RUBBER</v>
      </c>
      <c r="E1249" s="898">
        <f>Clothing!E448</f>
        <v>0.23743185398060801</v>
      </c>
      <c r="F1249" s="898">
        <f>Clothing!F448</f>
        <v>1</v>
      </c>
      <c r="G1249" s="898" t="str">
        <f>Clothing!G448</f>
        <v>https://eeb.org/library/draft-product-environmental-footprint-category-rules-pefcr-apparel-and-footwear/</v>
      </c>
      <c r="H1249" s="902" t="str">
        <f>Clothing!H448</f>
        <v/>
      </c>
      <c r="I1249" s="902">
        <f>Clothing!I448</f>
        <v>1</v>
      </c>
      <c r="J1249" s="902">
        <f>Clothing!J448</f>
        <v>2</v>
      </c>
      <c r="K1249" s="902">
        <f>Clothing!K448</f>
        <v>1</v>
      </c>
      <c r="L1249" s="902">
        <f>Clothing!L448</f>
        <v>2</v>
      </c>
      <c r="M1249" s="902">
        <f>Clothing!M448</f>
        <v>3</v>
      </c>
      <c r="N1249" s="185" t="e">
        <f t="shared" si="91"/>
        <v>#VALUE!</v>
      </c>
      <c r="O1249" s="159">
        <f t="shared" si="92"/>
        <v>1.0248662490928169</v>
      </c>
    </row>
    <row r="1250" spans="1:15">
      <c r="A1250" s="898" t="str">
        <f>Clothing!A449</f>
        <v>Clothing (product sector)</v>
      </c>
      <c r="B1250" s="898" t="str">
        <f>Clothing!B449</f>
        <v>Pants and shorts</v>
      </c>
      <c r="C1250" s="898" t="str">
        <f>Clothing!C449</f>
        <v>EU</v>
      </c>
      <c r="D1250" s="898" t="str">
        <f>Clothing!D449</f>
        <v>Acryl</v>
      </c>
      <c r="E1250" s="898">
        <f>Clothing!E449</f>
        <v>0</v>
      </c>
      <c r="F1250" s="898">
        <f>Clothing!F449</f>
        <v>1</v>
      </c>
      <c r="G1250" s="898" t="str">
        <f>Clothing!G449</f>
        <v>https://eeb.org/library/draft-product-environmental-footprint-category-rules-pefcr-apparel-and-footwear/</v>
      </c>
      <c r="H1250" s="902" t="str">
        <f>Clothing!H449</f>
        <v/>
      </c>
      <c r="I1250" s="902">
        <f>Clothing!I449</f>
        <v>1</v>
      </c>
      <c r="J1250" s="902">
        <f>Clothing!J449</f>
        <v>2</v>
      </c>
      <c r="K1250" s="902">
        <f>Clothing!K449</f>
        <v>1</v>
      </c>
      <c r="L1250" s="902">
        <f>Clothing!L449</f>
        <v>2</v>
      </c>
      <c r="M1250" s="902">
        <f>Clothing!M449</f>
        <v>3</v>
      </c>
      <c r="N1250" s="185" t="e">
        <f t="shared" si="91"/>
        <v>#VALUE!</v>
      </c>
      <c r="O1250" s="159">
        <f t="shared" si="92"/>
        <v>1.0248662490928169</v>
      </c>
    </row>
    <row r="1251" spans="1:15">
      <c r="A1251" s="898" t="str">
        <f>Clothing!A450</f>
        <v>Clothing (product sector)</v>
      </c>
      <c r="B1251" s="898" t="str">
        <f>Clothing!B450</f>
        <v>Pants and shorts</v>
      </c>
      <c r="C1251" s="898" t="str">
        <f>Clothing!C450</f>
        <v>EU</v>
      </c>
      <c r="D1251" s="898" t="str">
        <f>Clothing!D450</f>
        <v>OTHER</v>
      </c>
      <c r="E1251" s="898">
        <f>Clothing!E450</f>
        <v>0.204823445098268</v>
      </c>
      <c r="F1251" s="898">
        <f>Clothing!F450</f>
        <v>1</v>
      </c>
      <c r="G1251" s="898" t="str">
        <f>Clothing!G450</f>
        <v>https://eeb.org/library/draft-product-environmental-footprint-category-rules-pefcr-apparel-and-footwear/</v>
      </c>
      <c r="H1251" s="902" t="str">
        <f>Clothing!H450</f>
        <v/>
      </c>
      <c r="I1251" s="902">
        <f>Clothing!I450</f>
        <v>1</v>
      </c>
      <c r="J1251" s="902">
        <f>Clothing!J450</f>
        <v>2</v>
      </c>
      <c r="K1251" s="902">
        <f>Clothing!K450</f>
        <v>1</v>
      </c>
      <c r="L1251" s="902">
        <f>Clothing!L450</f>
        <v>2</v>
      </c>
      <c r="M1251" s="902">
        <f>Clothing!M450</f>
        <v>3</v>
      </c>
      <c r="N1251" s="185" t="e">
        <f t="shared" si="91"/>
        <v>#VALUE!</v>
      </c>
      <c r="O1251" s="159">
        <f t="shared" si="92"/>
        <v>1.0248662490928169</v>
      </c>
    </row>
    <row r="1252" spans="1:15">
      <c r="A1252" s="898" t="str">
        <f>Clothing!A451</f>
        <v>Clothing (product sector)</v>
      </c>
      <c r="B1252" s="898" t="str">
        <f>Clothing!B451</f>
        <v>Pants and shorts</v>
      </c>
      <c r="C1252" s="898" t="str">
        <f>Clothing!C451</f>
        <v>EU</v>
      </c>
      <c r="D1252" s="898" t="str">
        <f>Clothing!D451</f>
        <v>PA</v>
      </c>
      <c r="E1252" s="898">
        <f>Clothing!E451</f>
        <v>0.259928044629197</v>
      </c>
      <c r="F1252" s="898">
        <f>Clothing!F451</f>
        <v>1</v>
      </c>
      <c r="G1252" s="898" t="str">
        <f>Clothing!G451</f>
        <v>https://eeb.org/library/draft-product-environmental-footprint-category-rules-pefcr-apparel-and-footwear/</v>
      </c>
      <c r="H1252" s="902" t="str">
        <f>Clothing!H451</f>
        <v/>
      </c>
      <c r="I1252" s="902">
        <f>Clothing!I451</f>
        <v>1</v>
      </c>
      <c r="J1252" s="902">
        <f>Clothing!J451</f>
        <v>2</v>
      </c>
      <c r="K1252" s="902">
        <f>Clothing!K451</f>
        <v>1</v>
      </c>
      <c r="L1252" s="902">
        <f>Clothing!L451</f>
        <v>2</v>
      </c>
      <c r="M1252" s="902">
        <f>Clothing!M451</f>
        <v>3</v>
      </c>
      <c r="N1252" s="185" t="e">
        <f t="shared" si="91"/>
        <v>#VALUE!</v>
      </c>
      <c r="O1252" s="159">
        <f t="shared" si="92"/>
        <v>1.0248662490928169</v>
      </c>
    </row>
    <row r="1253" spans="1:15">
      <c r="A1253" s="898" t="str">
        <f>Clothing!A452</f>
        <v>Clothing (product sector)</v>
      </c>
      <c r="B1253" s="898" t="str">
        <f>Clothing!B452</f>
        <v>Pants and shorts</v>
      </c>
      <c r="C1253" s="898" t="str">
        <f>Clothing!C452</f>
        <v>EU</v>
      </c>
      <c r="D1253" s="898" t="str">
        <f>Clothing!D452</f>
        <v>PET</v>
      </c>
      <c r="E1253" s="898">
        <f>Clothing!E452</f>
        <v>0.26679181959488901</v>
      </c>
      <c r="F1253" s="898">
        <f>Clothing!F452</f>
        <v>1</v>
      </c>
      <c r="G1253" s="898" t="str">
        <f>Clothing!G452</f>
        <v>https://eeb.org/library/draft-product-environmental-footprint-category-rules-pefcr-apparel-and-footwear/</v>
      </c>
      <c r="H1253" s="902" t="str">
        <f>Clothing!H452</f>
        <v/>
      </c>
      <c r="I1253" s="902">
        <f>Clothing!I452</f>
        <v>1</v>
      </c>
      <c r="J1253" s="902">
        <f>Clothing!J452</f>
        <v>2</v>
      </c>
      <c r="K1253" s="902">
        <f>Clothing!K452</f>
        <v>1</v>
      </c>
      <c r="L1253" s="902">
        <f>Clothing!L452</f>
        <v>2</v>
      </c>
      <c r="M1253" s="902">
        <f>Clothing!M452</f>
        <v>3</v>
      </c>
      <c r="N1253" s="185" t="e">
        <f t="shared" si="91"/>
        <v>#VALUE!</v>
      </c>
      <c r="O1253" s="159">
        <f t="shared" si="92"/>
        <v>1.0248662490928169</v>
      </c>
    </row>
    <row r="1254" spans="1:15">
      <c r="A1254" s="898" t="str">
        <f>Clothing!A453</f>
        <v>Clothing (product sector)</v>
      </c>
      <c r="B1254" s="898" t="str">
        <f>Clothing!B453</f>
        <v>Shirts and blouses</v>
      </c>
      <c r="C1254" s="898" t="str">
        <f>Clothing!C453</f>
        <v>EU</v>
      </c>
      <c r="D1254" s="898" t="str">
        <f>Clothing!D453</f>
        <v>Acryl</v>
      </c>
      <c r="E1254" s="898">
        <f>Clothing!E453</f>
        <v>0</v>
      </c>
      <c r="F1254" s="898">
        <f>Clothing!F453</f>
        <v>1</v>
      </c>
      <c r="G1254" s="898" t="str">
        <f>Clothing!G453</f>
        <v>https://eeb.org/library/draft-product-environmental-footprint-category-rules-pefcr-apparel-and-footwear/</v>
      </c>
      <c r="H1254" s="902" t="str">
        <f>Clothing!H453</f>
        <v/>
      </c>
      <c r="I1254" s="902">
        <f>Clothing!I453</f>
        <v>1</v>
      </c>
      <c r="J1254" s="902">
        <f>Clothing!J453</f>
        <v>2</v>
      </c>
      <c r="K1254" s="902">
        <f>Clothing!K453</f>
        <v>1</v>
      </c>
      <c r="L1254" s="902">
        <f>Clothing!L453</f>
        <v>2</v>
      </c>
      <c r="M1254" s="902">
        <f>Clothing!M453</f>
        <v>3</v>
      </c>
      <c r="N1254" s="185" t="e">
        <f t="shared" si="91"/>
        <v>#VALUE!</v>
      </c>
      <c r="O1254" s="159">
        <f t="shared" si="92"/>
        <v>1.0248662490928169</v>
      </c>
    </row>
    <row r="1255" spans="1:15">
      <c r="A1255" s="898" t="str">
        <f>Clothing!A454</f>
        <v>Clothing (product sector)</v>
      </c>
      <c r="B1255" s="898" t="str">
        <f>Clothing!B454</f>
        <v>Shirts and blouses</v>
      </c>
      <c r="C1255" s="898" t="str">
        <f>Clothing!C454</f>
        <v>EU</v>
      </c>
      <c r="D1255" s="898" t="str">
        <f>Clothing!D454</f>
        <v>OTHER</v>
      </c>
      <c r="E1255" s="898">
        <f>Clothing!E454</f>
        <v>0</v>
      </c>
      <c r="F1255" s="898">
        <f>Clothing!F454</f>
        <v>1</v>
      </c>
      <c r="G1255" s="898" t="str">
        <f>Clothing!G454</f>
        <v>https://eeb.org/library/draft-product-environmental-footprint-category-rules-pefcr-apparel-and-footwear/</v>
      </c>
      <c r="H1255" s="902" t="str">
        <f>Clothing!H454</f>
        <v/>
      </c>
      <c r="I1255" s="902">
        <f>Clothing!I454</f>
        <v>1</v>
      </c>
      <c r="J1255" s="902">
        <f>Clothing!J454</f>
        <v>2</v>
      </c>
      <c r="K1255" s="902">
        <f>Clothing!K454</f>
        <v>1</v>
      </c>
      <c r="L1255" s="902">
        <f>Clothing!L454</f>
        <v>2</v>
      </c>
      <c r="M1255" s="902">
        <f>Clothing!M454</f>
        <v>3</v>
      </c>
      <c r="N1255" s="185" t="e">
        <f t="shared" si="91"/>
        <v>#VALUE!</v>
      </c>
      <c r="O1255" s="159">
        <f t="shared" si="92"/>
        <v>1.0248662490928169</v>
      </c>
    </row>
    <row r="1256" spans="1:15">
      <c r="A1256" s="898" t="str">
        <f>Clothing!A455</f>
        <v>Clothing (product sector)</v>
      </c>
      <c r="B1256" s="898" t="str">
        <f>Clothing!B455</f>
        <v>Shirts and blouses</v>
      </c>
      <c r="C1256" s="898" t="str">
        <f>Clothing!C455</f>
        <v>EU</v>
      </c>
      <c r="D1256" s="898" t="str">
        <f>Clothing!D455</f>
        <v>PA</v>
      </c>
      <c r="E1256" s="898">
        <f>Clothing!E455</f>
        <v>0</v>
      </c>
      <c r="F1256" s="898">
        <f>Clothing!F455</f>
        <v>1</v>
      </c>
      <c r="G1256" s="898" t="str">
        <f>Clothing!G455</f>
        <v>https://eeb.org/library/draft-product-environmental-footprint-category-rules-pefcr-apparel-and-footwear/</v>
      </c>
      <c r="H1256" s="902" t="str">
        <f>Clothing!H455</f>
        <v/>
      </c>
      <c r="I1256" s="902">
        <f>Clothing!I455</f>
        <v>1</v>
      </c>
      <c r="J1256" s="902">
        <f>Clothing!J455</f>
        <v>2</v>
      </c>
      <c r="K1256" s="902">
        <f>Clothing!K455</f>
        <v>1</v>
      </c>
      <c r="L1256" s="902">
        <f>Clothing!L455</f>
        <v>2</v>
      </c>
      <c r="M1256" s="902">
        <f>Clothing!M455</f>
        <v>3</v>
      </c>
      <c r="N1256" s="185" t="e">
        <f t="shared" si="91"/>
        <v>#VALUE!</v>
      </c>
      <c r="O1256" s="159">
        <f t="shared" si="92"/>
        <v>1.0248662490928169</v>
      </c>
    </row>
    <row r="1257" spans="1:15">
      <c r="A1257" s="898" t="str">
        <f>Clothing!A456</f>
        <v>Clothing (product sector)</v>
      </c>
      <c r="B1257" s="898" t="str">
        <f>Clothing!B456</f>
        <v>Shirts and blouses</v>
      </c>
      <c r="C1257" s="898" t="str">
        <f>Clothing!C456</f>
        <v>EU</v>
      </c>
      <c r="D1257" s="898" t="str">
        <f>Clothing!D456</f>
        <v>PET</v>
      </c>
      <c r="E1257" s="898">
        <f>Clothing!E456</f>
        <v>4.0651954860777703E-2</v>
      </c>
      <c r="F1257" s="898">
        <f>Clothing!F456</f>
        <v>1</v>
      </c>
      <c r="G1257" s="898" t="str">
        <f>Clothing!G456</f>
        <v>https://eeb.org/library/draft-product-environmental-footprint-category-rules-pefcr-apparel-and-footwear/</v>
      </c>
      <c r="H1257" s="902" t="str">
        <f>Clothing!H456</f>
        <v/>
      </c>
      <c r="I1257" s="902">
        <f>Clothing!I456</f>
        <v>1</v>
      </c>
      <c r="J1257" s="902">
        <f>Clothing!J456</f>
        <v>2</v>
      </c>
      <c r="K1257" s="902">
        <f>Clothing!K456</f>
        <v>1</v>
      </c>
      <c r="L1257" s="902">
        <f>Clothing!L456</f>
        <v>2</v>
      </c>
      <c r="M1257" s="902">
        <f>Clothing!M456</f>
        <v>3</v>
      </c>
      <c r="N1257" s="185" t="e">
        <f t="shared" si="91"/>
        <v>#VALUE!</v>
      </c>
      <c r="O1257" s="159">
        <f t="shared" si="92"/>
        <v>1.0248662490928169</v>
      </c>
    </row>
    <row r="1258" spans="1:15">
      <c r="A1258" s="898" t="str">
        <f>Clothing!A457</f>
        <v>Clothing (product sector)</v>
      </c>
      <c r="B1258" s="898" t="str">
        <f>Clothing!B457</f>
        <v>Sweaters and midlayers</v>
      </c>
      <c r="C1258" s="898" t="str">
        <f>Clothing!C457</f>
        <v>EU</v>
      </c>
      <c r="D1258" s="898" t="str">
        <f>Clothing!D457</f>
        <v>Acryl</v>
      </c>
      <c r="E1258" s="898">
        <f>Clothing!E457</f>
        <v>0.25332756354441399</v>
      </c>
      <c r="F1258" s="898">
        <f>Clothing!F457</f>
        <v>1</v>
      </c>
      <c r="G1258" s="898" t="str">
        <f>Clothing!G457</f>
        <v>https://eeb.org/library/draft-product-environmental-footprint-category-rules-pefcr-apparel-and-footwear/</v>
      </c>
      <c r="H1258" s="902" t="str">
        <f>Clothing!H457</f>
        <v/>
      </c>
      <c r="I1258" s="902">
        <f>Clothing!I457</f>
        <v>1</v>
      </c>
      <c r="J1258" s="902">
        <f>Clothing!J457</f>
        <v>2</v>
      </c>
      <c r="K1258" s="902">
        <f>Clothing!K457</f>
        <v>1</v>
      </c>
      <c r="L1258" s="902">
        <f>Clothing!L457</f>
        <v>2</v>
      </c>
      <c r="M1258" s="902">
        <f>Clothing!M457</f>
        <v>3</v>
      </c>
      <c r="N1258" s="185" t="e">
        <f t="shared" si="91"/>
        <v>#VALUE!</v>
      </c>
      <c r="O1258" s="159">
        <f t="shared" si="92"/>
        <v>1.0248662490928169</v>
      </c>
    </row>
    <row r="1259" spans="1:15">
      <c r="A1259" s="898" t="str">
        <f>Clothing!A458</f>
        <v>Clothing (product sector)</v>
      </c>
      <c r="B1259" s="898" t="str">
        <f>Clothing!B458</f>
        <v>Sweaters and midlayers</v>
      </c>
      <c r="C1259" s="898" t="str">
        <f>Clothing!C458</f>
        <v>EU</v>
      </c>
      <c r="D1259" s="898" t="str">
        <f>Clothing!D458</f>
        <v>OTHER</v>
      </c>
      <c r="E1259" s="898">
        <f>Clothing!E458</f>
        <v>0</v>
      </c>
      <c r="F1259" s="898">
        <f>Clothing!F458</f>
        <v>1</v>
      </c>
      <c r="G1259" s="898" t="str">
        <f>Clothing!G458</f>
        <v>https://eeb.org/library/draft-product-environmental-footprint-category-rules-pefcr-apparel-and-footwear/</v>
      </c>
      <c r="H1259" s="902" t="str">
        <f>Clothing!H458</f>
        <v/>
      </c>
      <c r="I1259" s="902">
        <f>Clothing!I458</f>
        <v>1</v>
      </c>
      <c r="J1259" s="902">
        <f>Clothing!J458</f>
        <v>2</v>
      </c>
      <c r="K1259" s="902">
        <f>Clothing!K458</f>
        <v>1</v>
      </c>
      <c r="L1259" s="902">
        <f>Clothing!L458</f>
        <v>2</v>
      </c>
      <c r="M1259" s="902">
        <f>Clothing!M458</f>
        <v>3</v>
      </c>
      <c r="N1259" s="185" t="e">
        <f t="shared" si="91"/>
        <v>#VALUE!</v>
      </c>
      <c r="O1259" s="159">
        <f t="shared" si="92"/>
        <v>1.0248662490928169</v>
      </c>
    </row>
    <row r="1260" spans="1:15">
      <c r="A1260" s="898" t="str">
        <f>Clothing!A459</f>
        <v>Clothing (product sector)</v>
      </c>
      <c r="B1260" s="898" t="str">
        <f>Clothing!B459</f>
        <v>Sweaters and midlayers</v>
      </c>
      <c r="C1260" s="898" t="str">
        <f>Clothing!C459</f>
        <v>EU</v>
      </c>
      <c r="D1260" s="898" t="str">
        <f>Clothing!D459</f>
        <v>PA</v>
      </c>
      <c r="E1260" s="898">
        <f>Clothing!E459</f>
        <v>4.6882533708010599E-2</v>
      </c>
      <c r="F1260" s="898">
        <f>Clothing!F459</f>
        <v>1</v>
      </c>
      <c r="G1260" s="898" t="str">
        <f>Clothing!G459</f>
        <v>https://eeb.org/library/draft-product-environmental-footprint-category-rules-pefcr-apparel-and-footwear/</v>
      </c>
      <c r="H1260" s="902" t="str">
        <f>Clothing!H459</f>
        <v/>
      </c>
      <c r="I1260" s="902">
        <f>Clothing!I459</f>
        <v>1</v>
      </c>
      <c r="J1260" s="902">
        <f>Clothing!J459</f>
        <v>2</v>
      </c>
      <c r="K1260" s="902">
        <f>Clothing!K459</f>
        <v>1</v>
      </c>
      <c r="L1260" s="902">
        <f>Clothing!L459</f>
        <v>2</v>
      </c>
      <c r="M1260" s="902">
        <f>Clothing!M459</f>
        <v>3</v>
      </c>
      <c r="N1260" s="185" t="e">
        <f t="shared" si="91"/>
        <v>#VALUE!</v>
      </c>
      <c r="O1260" s="159">
        <f t="shared" si="92"/>
        <v>1.0248662490928169</v>
      </c>
    </row>
    <row r="1261" spans="1:15">
      <c r="A1261" s="898" t="str">
        <f>Clothing!A460</f>
        <v>Clothing (product sector)</v>
      </c>
      <c r="B1261" s="898" t="str">
        <f>Clothing!B460</f>
        <v>Sweaters and midlayers</v>
      </c>
      <c r="C1261" s="898" t="str">
        <f>Clothing!C460</f>
        <v>EU</v>
      </c>
      <c r="D1261" s="898" t="str">
        <f>Clothing!D460</f>
        <v>PET</v>
      </c>
      <c r="E1261" s="898">
        <f>Clothing!E460</f>
        <v>0.12768265754458599</v>
      </c>
      <c r="F1261" s="898">
        <f>Clothing!F460</f>
        <v>1</v>
      </c>
      <c r="G1261" s="898" t="str">
        <f>Clothing!G460</f>
        <v>https://eeb.org/library/draft-product-environmental-footprint-category-rules-pefcr-apparel-and-footwear/</v>
      </c>
      <c r="H1261" s="902" t="str">
        <f>Clothing!H460</f>
        <v/>
      </c>
      <c r="I1261" s="902">
        <f>Clothing!I460</f>
        <v>1</v>
      </c>
      <c r="J1261" s="902">
        <f>Clothing!J460</f>
        <v>2</v>
      </c>
      <c r="K1261" s="902">
        <f>Clothing!K460</f>
        <v>1</v>
      </c>
      <c r="L1261" s="902">
        <f>Clothing!L460</f>
        <v>2</v>
      </c>
      <c r="M1261" s="902">
        <f>Clothing!M460</f>
        <v>3</v>
      </c>
      <c r="N1261" s="185" t="e">
        <f t="shared" si="91"/>
        <v>#VALUE!</v>
      </c>
      <c r="O1261" s="159">
        <f t="shared" si="92"/>
        <v>1.0248662490928169</v>
      </c>
    </row>
    <row r="1262" spans="1:15">
      <c r="A1262" s="898" t="str">
        <f>Clothing!A461</f>
        <v>Clothing (product sector)</v>
      </c>
      <c r="B1262" s="898" t="str">
        <f>Clothing!B461</f>
        <v>Swimwear</v>
      </c>
      <c r="C1262" s="898" t="str">
        <f>Clothing!C461</f>
        <v>EU</v>
      </c>
      <c r="D1262" s="898" t="str">
        <f>Clothing!D461</f>
        <v>Acryl</v>
      </c>
      <c r="E1262" s="898">
        <f>Clothing!E461</f>
        <v>0</v>
      </c>
      <c r="F1262" s="898">
        <f>Clothing!F461</f>
        <v>1</v>
      </c>
      <c r="G1262" s="898" t="str">
        <f>Clothing!G461</f>
        <v>https://eeb.org/library/draft-product-environmental-footprint-category-rules-pefcr-apparel-and-footwear/</v>
      </c>
      <c r="H1262" s="902" t="str">
        <f>Clothing!H461</f>
        <v/>
      </c>
      <c r="I1262" s="902">
        <f>Clothing!I461</f>
        <v>1</v>
      </c>
      <c r="J1262" s="902">
        <f>Clothing!J461</f>
        <v>2</v>
      </c>
      <c r="K1262" s="902">
        <f>Clothing!K461</f>
        <v>1</v>
      </c>
      <c r="L1262" s="902">
        <f>Clothing!L461</f>
        <v>2</v>
      </c>
      <c r="M1262" s="902">
        <f>Clothing!M461</f>
        <v>3</v>
      </c>
      <c r="N1262" s="185" t="e">
        <f t="shared" si="91"/>
        <v>#VALUE!</v>
      </c>
      <c r="O1262" s="159">
        <f t="shared" si="92"/>
        <v>1.0248662490928169</v>
      </c>
    </row>
    <row r="1263" spans="1:15">
      <c r="A1263" s="898" t="str">
        <f>Clothing!A462</f>
        <v>Clothing (product sector)</v>
      </c>
      <c r="B1263" s="898" t="str">
        <f>Clothing!B462</f>
        <v>Swimwear</v>
      </c>
      <c r="C1263" s="898" t="str">
        <f>Clothing!C462</f>
        <v>EU</v>
      </c>
      <c r="D1263" s="898" t="str">
        <f>Clothing!D462</f>
        <v>OTHER</v>
      </c>
      <c r="E1263" s="898">
        <f>Clothing!E462</f>
        <v>9.2438734554126604E-3</v>
      </c>
      <c r="F1263" s="898">
        <f>Clothing!F462</f>
        <v>1</v>
      </c>
      <c r="G1263" s="898" t="str">
        <f>Clothing!G462</f>
        <v>https://eeb.org/library/draft-product-environmental-footprint-category-rules-pefcr-apparel-and-footwear/</v>
      </c>
      <c r="H1263" s="902" t="str">
        <f>Clothing!H462</f>
        <v/>
      </c>
      <c r="I1263" s="902">
        <f>Clothing!I462</f>
        <v>1</v>
      </c>
      <c r="J1263" s="902">
        <f>Clothing!J462</f>
        <v>2</v>
      </c>
      <c r="K1263" s="902">
        <f>Clothing!K462</f>
        <v>1</v>
      </c>
      <c r="L1263" s="902">
        <f>Clothing!L462</f>
        <v>2</v>
      </c>
      <c r="M1263" s="902">
        <f>Clothing!M462</f>
        <v>3</v>
      </c>
      <c r="N1263" s="185" t="e">
        <f t="shared" si="91"/>
        <v>#VALUE!</v>
      </c>
      <c r="O1263" s="159">
        <f t="shared" si="92"/>
        <v>1.0248662490928169</v>
      </c>
    </row>
    <row r="1264" spans="1:15">
      <c r="A1264" s="898" t="str">
        <f>Clothing!A463</f>
        <v>Clothing (product sector)</v>
      </c>
      <c r="B1264" s="898" t="str">
        <f>Clothing!B463</f>
        <v>Swimwear</v>
      </c>
      <c r="C1264" s="898" t="str">
        <f>Clothing!C463</f>
        <v>EU</v>
      </c>
      <c r="D1264" s="898" t="str">
        <f>Clothing!D463</f>
        <v>PA</v>
      </c>
      <c r="E1264" s="898">
        <f>Clothing!E463</f>
        <v>3.7985433111043902E-2</v>
      </c>
      <c r="F1264" s="898">
        <f>Clothing!F463</f>
        <v>1</v>
      </c>
      <c r="G1264" s="898" t="str">
        <f>Clothing!G463</f>
        <v>https://eeb.org/library/draft-product-environmental-footprint-category-rules-pefcr-apparel-and-footwear/</v>
      </c>
      <c r="H1264" s="902" t="str">
        <f>Clothing!H463</f>
        <v/>
      </c>
      <c r="I1264" s="902">
        <f>Clothing!I463</f>
        <v>1</v>
      </c>
      <c r="J1264" s="902">
        <f>Clothing!J463</f>
        <v>2</v>
      </c>
      <c r="K1264" s="902">
        <f>Clothing!K463</f>
        <v>1</v>
      </c>
      <c r="L1264" s="902">
        <f>Clothing!L463</f>
        <v>2</v>
      </c>
      <c r="M1264" s="902">
        <f>Clothing!M463</f>
        <v>3</v>
      </c>
      <c r="N1264" s="185" t="e">
        <f t="shared" si="91"/>
        <v>#VALUE!</v>
      </c>
      <c r="O1264" s="159">
        <f t="shared" si="92"/>
        <v>1.0248662490928169</v>
      </c>
    </row>
    <row r="1265" spans="1:15">
      <c r="A1265" s="898" t="str">
        <f>Clothing!A464</f>
        <v>Clothing (product sector)</v>
      </c>
      <c r="B1265" s="898" t="str">
        <f>Clothing!B464</f>
        <v>Swimwear</v>
      </c>
      <c r="C1265" s="898" t="str">
        <f>Clothing!C464</f>
        <v>EU</v>
      </c>
      <c r="D1265" s="898" t="str">
        <f>Clothing!D464</f>
        <v>PET</v>
      </c>
      <c r="E1265" s="898">
        <f>Clothing!E464</f>
        <v>6.25114832174729E-3</v>
      </c>
      <c r="F1265" s="898">
        <f>Clothing!F464</f>
        <v>1</v>
      </c>
      <c r="G1265" s="898" t="str">
        <f>Clothing!G464</f>
        <v>https://eeb.org/library/draft-product-environmental-footprint-category-rules-pefcr-apparel-and-footwear/</v>
      </c>
      <c r="H1265" s="902" t="str">
        <f>Clothing!H464</f>
        <v/>
      </c>
      <c r="I1265" s="902">
        <f>Clothing!I464</f>
        <v>1</v>
      </c>
      <c r="J1265" s="902">
        <f>Clothing!J464</f>
        <v>2</v>
      </c>
      <c r="K1265" s="902">
        <f>Clothing!K464</f>
        <v>1</v>
      </c>
      <c r="L1265" s="902">
        <f>Clothing!L464</f>
        <v>2</v>
      </c>
      <c r="M1265" s="902">
        <f>Clothing!M464</f>
        <v>3</v>
      </c>
      <c r="N1265" s="185" t="e">
        <f t="shared" si="91"/>
        <v>#VALUE!</v>
      </c>
      <c r="O1265" s="159">
        <f t="shared" si="92"/>
        <v>1.0248662490928169</v>
      </c>
    </row>
    <row r="1266" spans="1:15">
      <c r="A1266" s="898" t="str">
        <f>Clothing!A465</f>
        <v>Clothing (product sector)</v>
      </c>
      <c r="B1266" s="898" t="str">
        <f>Clothing!B465</f>
        <v>T-shirts</v>
      </c>
      <c r="C1266" s="898" t="str">
        <f>Clothing!C465</f>
        <v>EU</v>
      </c>
      <c r="D1266" s="898" t="str">
        <f>Clothing!D465</f>
        <v>Acryl</v>
      </c>
      <c r="E1266" s="898">
        <f>Clothing!E465</f>
        <v>0</v>
      </c>
      <c r="F1266" s="898">
        <f>Clothing!F465</f>
        <v>1</v>
      </c>
      <c r="G1266" s="898" t="str">
        <f>Clothing!G465</f>
        <v>https://eeb.org/library/draft-product-environmental-footprint-category-rules-pefcr-apparel-and-footwear/</v>
      </c>
      <c r="H1266" s="902" t="str">
        <f>Clothing!H465</f>
        <v/>
      </c>
      <c r="I1266" s="902">
        <f>Clothing!I465</f>
        <v>1</v>
      </c>
      <c r="J1266" s="902">
        <f>Clothing!J465</f>
        <v>2</v>
      </c>
      <c r="K1266" s="902">
        <f>Clothing!K465</f>
        <v>1</v>
      </c>
      <c r="L1266" s="902">
        <f>Clothing!L465</f>
        <v>2</v>
      </c>
      <c r="M1266" s="902">
        <f>Clothing!M465</f>
        <v>3</v>
      </c>
      <c r="N1266" s="185" t="e">
        <f t="shared" si="91"/>
        <v>#VALUE!</v>
      </c>
      <c r="O1266" s="159">
        <f t="shared" si="92"/>
        <v>1.0248662490928169</v>
      </c>
    </row>
    <row r="1267" spans="1:15">
      <c r="A1267" s="898" t="str">
        <f>Clothing!A466</f>
        <v>Clothing (product sector)</v>
      </c>
      <c r="B1267" s="898" t="str">
        <f>Clothing!B466</f>
        <v>T-shirts</v>
      </c>
      <c r="C1267" s="898" t="str">
        <f>Clothing!C466</f>
        <v>EU</v>
      </c>
      <c r="D1267" s="898" t="str">
        <f>Clothing!D466</f>
        <v>OTHER</v>
      </c>
      <c r="E1267" s="898">
        <f>Clothing!E466</f>
        <v>0</v>
      </c>
      <c r="F1267" s="898">
        <f>Clothing!F466</f>
        <v>1</v>
      </c>
      <c r="G1267" s="898" t="str">
        <f>Clothing!G466</f>
        <v>https://eeb.org/library/draft-product-environmental-footprint-category-rules-pefcr-apparel-and-footwear/</v>
      </c>
      <c r="H1267" s="902" t="str">
        <f>Clothing!H466</f>
        <v/>
      </c>
      <c r="I1267" s="902">
        <f>Clothing!I466</f>
        <v>1</v>
      </c>
      <c r="J1267" s="902">
        <f>Clothing!J466</f>
        <v>2</v>
      </c>
      <c r="K1267" s="902">
        <f>Clothing!K466</f>
        <v>1</v>
      </c>
      <c r="L1267" s="902">
        <f>Clothing!L466</f>
        <v>2</v>
      </c>
      <c r="M1267" s="902">
        <f>Clothing!M466</f>
        <v>3</v>
      </c>
      <c r="N1267" s="185" t="e">
        <f t="shared" si="91"/>
        <v>#VALUE!</v>
      </c>
      <c r="O1267" s="159">
        <f t="shared" si="92"/>
        <v>1.0248662490928169</v>
      </c>
    </row>
    <row r="1268" spans="1:15">
      <c r="A1268" s="898" t="str">
        <f>Clothing!A467</f>
        <v>Clothing (product sector)</v>
      </c>
      <c r="B1268" s="898" t="str">
        <f>Clothing!B467</f>
        <v>T-shirts</v>
      </c>
      <c r="C1268" s="898" t="str">
        <f>Clothing!C467</f>
        <v>EU</v>
      </c>
      <c r="D1268" s="898" t="str">
        <f>Clothing!D467</f>
        <v>PA</v>
      </c>
      <c r="E1268" s="898">
        <f>Clothing!E467</f>
        <v>0</v>
      </c>
      <c r="F1268" s="898">
        <f>Clothing!F467</f>
        <v>1</v>
      </c>
      <c r="G1268" s="898" t="str">
        <f>Clothing!G467</f>
        <v>https://eeb.org/library/draft-product-environmental-footprint-category-rules-pefcr-apparel-and-footwear/</v>
      </c>
      <c r="H1268" s="902" t="str">
        <f>Clothing!H467</f>
        <v/>
      </c>
      <c r="I1268" s="902">
        <f>Clothing!I467</f>
        <v>1</v>
      </c>
      <c r="J1268" s="902">
        <f>Clothing!J467</f>
        <v>2</v>
      </c>
      <c r="K1268" s="902">
        <f>Clothing!K467</f>
        <v>1</v>
      </c>
      <c r="L1268" s="902">
        <f>Clothing!L467</f>
        <v>2</v>
      </c>
      <c r="M1268" s="902">
        <f>Clothing!M467</f>
        <v>3</v>
      </c>
      <c r="N1268" s="185" t="e">
        <f t="shared" si="91"/>
        <v>#VALUE!</v>
      </c>
      <c r="O1268" s="159">
        <f t="shared" si="92"/>
        <v>1.0248662490928169</v>
      </c>
    </row>
    <row r="1269" spans="1:15">
      <c r="A1269" s="898" t="str">
        <f>Clothing!A468</f>
        <v>Clothing (product sector)</v>
      </c>
      <c r="B1269" s="898" t="str">
        <f>Clothing!B468</f>
        <v>T-shirts</v>
      </c>
      <c r="C1269" s="898" t="str">
        <f>Clothing!C468</f>
        <v>EU</v>
      </c>
      <c r="D1269" s="898" t="str">
        <f>Clothing!D468</f>
        <v>PET</v>
      </c>
      <c r="E1269" s="898">
        <f>Clothing!E468</f>
        <v>7.0997597165259593E-2</v>
      </c>
      <c r="F1269" s="898">
        <f>Clothing!F468</f>
        <v>1</v>
      </c>
      <c r="G1269" s="898" t="str">
        <f>Clothing!G468</f>
        <v>https://eeb.org/library/draft-product-environmental-footprint-category-rules-pefcr-apparel-and-footwear/</v>
      </c>
      <c r="H1269" s="902" t="str">
        <f>Clothing!H468</f>
        <v/>
      </c>
      <c r="I1269" s="902">
        <f>Clothing!I468</f>
        <v>1</v>
      </c>
      <c r="J1269" s="902">
        <f>Clothing!J468</f>
        <v>2</v>
      </c>
      <c r="K1269" s="902">
        <f>Clothing!K468</f>
        <v>1</v>
      </c>
      <c r="L1269" s="902">
        <f>Clothing!L468</f>
        <v>2</v>
      </c>
      <c r="M1269" s="902">
        <f>Clothing!M468</f>
        <v>3</v>
      </c>
      <c r="N1269" s="185" t="e">
        <f t="shared" si="91"/>
        <v>#VALUE!</v>
      </c>
      <c r="O1269" s="159">
        <f t="shared" si="92"/>
        <v>1.0248662490928169</v>
      </c>
    </row>
    <row r="1270" spans="1:15">
      <c r="A1270" s="898" t="str">
        <f>Clothing!A469</f>
        <v>Clothing (product sector)</v>
      </c>
      <c r="B1270" s="898" t="str">
        <f>Clothing!B469</f>
        <v>Underwear</v>
      </c>
      <c r="C1270" s="898" t="str">
        <f>Clothing!C469</f>
        <v>EU</v>
      </c>
      <c r="D1270" s="898" t="str">
        <f>Clothing!D469</f>
        <v>Acryl</v>
      </c>
      <c r="E1270" s="898">
        <f>Clothing!E469</f>
        <v>0</v>
      </c>
      <c r="F1270" s="898">
        <f>Clothing!F469</f>
        <v>1</v>
      </c>
      <c r="G1270" s="898" t="str">
        <f>Clothing!G469</f>
        <v>https://eeb.org/library/draft-product-environmental-footprint-category-rules-pefcr-apparel-and-footwear/</v>
      </c>
      <c r="H1270" s="902" t="str">
        <f>Clothing!H469</f>
        <v/>
      </c>
      <c r="I1270" s="902">
        <f>Clothing!I469</f>
        <v>1</v>
      </c>
      <c r="J1270" s="902">
        <f>Clothing!J469</f>
        <v>2</v>
      </c>
      <c r="K1270" s="902">
        <f>Clothing!K469</f>
        <v>1</v>
      </c>
      <c r="L1270" s="902">
        <f>Clothing!L469</f>
        <v>2</v>
      </c>
      <c r="M1270" s="902">
        <f>Clothing!M469</f>
        <v>3</v>
      </c>
      <c r="N1270" s="185" t="e">
        <f t="shared" si="91"/>
        <v>#VALUE!</v>
      </c>
      <c r="O1270" s="159">
        <f t="shared" si="92"/>
        <v>1.0248662490928169</v>
      </c>
    </row>
    <row r="1271" spans="1:15">
      <c r="A1271" s="898" t="str">
        <f>Clothing!A470</f>
        <v>Clothing (product sector)</v>
      </c>
      <c r="B1271" s="898" t="str">
        <f>Clothing!B470</f>
        <v>Underwear</v>
      </c>
      <c r="C1271" s="898" t="str">
        <f>Clothing!C470</f>
        <v>EU</v>
      </c>
      <c r="D1271" s="898" t="str">
        <f>Clothing!D470</f>
        <v>OTHER</v>
      </c>
      <c r="E1271" s="898">
        <f>Clothing!E470</f>
        <v>8.7872844809314496E-2</v>
      </c>
      <c r="F1271" s="898">
        <f>Clothing!F470</f>
        <v>1</v>
      </c>
      <c r="G1271" s="898" t="str">
        <f>Clothing!G470</f>
        <v>https://eeb.org/library/draft-product-environmental-footprint-category-rules-pefcr-apparel-and-footwear/</v>
      </c>
      <c r="H1271" s="902" t="str">
        <f>Clothing!H470</f>
        <v/>
      </c>
      <c r="I1271" s="902">
        <f>Clothing!I470</f>
        <v>1</v>
      </c>
      <c r="J1271" s="902">
        <f>Clothing!J470</f>
        <v>2</v>
      </c>
      <c r="K1271" s="902">
        <f>Clothing!K470</f>
        <v>1</v>
      </c>
      <c r="L1271" s="902">
        <f>Clothing!L470</f>
        <v>2</v>
      </c>
      <c r="M1271" s="902">
        <f>Clothing!M470</f>
        <v>3</v>
      </c>
      <c r="N1271" s="185" t="e">
        <f t="shared" si="91"/>
        <v>#VALUE!</v>
      </c>
      <c r="O1271" s="159">
        <f t="shared" si="92"/>
        <v>1.0248662490928169</v>
      </c>
    </row>
    <row r="1272" spans="1:15">
      <c r="A1272" s="898" t="str">
        <f>Clothing!A471</f>
        <v>Clothing (product sector)</v>
      </c>
      <c r="B1272" s="898" t="str">
        <f>Clothing!B471</f>
        <v>Underwear</v>
      </c>
      <c r="C1272" s="898" t="str">
        <f>Clothing!C471</f>
        <v>EU</v>
      </c>
      <c r="D1272" s="898" t="str">
        <f>Clothing!D471</f>
        <v>PA</v>
      </c>
      <c r="E1272" s="898">
        <f>Clothing!E471</f>
        <v>0.10923789354926899</v>
      </c>
      <c r="F1272" s="898">
        <f>Clothing!F471</f>
        <v>1</v>
      </c>
      <c r="G1272" s="898" t="str">
        <f>Clothing!G471</f>
        <v>https://eeb.org/library/draft-product-environmental-footprint-category-rules-pefcr-apparel-and-footwear/</v>
      </c>
      <c r="H1272" s="902" t="str">
        <f>Clothing!H471</f>
        <v/>
      </c>
      <c r="I1272" s="902">
        <f>Clothing!I471</f>
        <v>1</v>
      </c>
      <c r="J1272" s="902">
        <f>Clothing!J471</f>
        <v>2</v>
      </c>
      <c r="K1272" s="902">
        <f>Clothing!K471</f>
        <v>1</v>
      </c>
      <c r="L1272" s="902">
        <f>Clothing!L471</f>
        <v>2</v>
      </c>
      <c r="M1272" s="902">
        <f>Clothing!M471</f>
        <v>3</v>
      </c>
      <c r="N1272" s="185" t="e">
        <f t="shared" si="91"/>
        <v>#VALUE!</v>
      </c>
      <c r="O1272" s="159">
        <f t="shared" si="92"/>
        <v>1.0248662490928169</v>
      </c>
    </row>
    <row r="1273" spans="1:15" ht="15.75" thickBot="1">
      <c r="A1273" s="913" t="str">
        <f>Clothing!A472</f>
        <v>Clothing (product sector)</v>
      </c>
      <c r="B1273" s="913" t="str">
        <f>Clothing!B472</f>
        <v>Underwear</v>
      </c>
      <c r="C1273" s="913" t="str">
        <f>Clothing!C472</f>
        <v>EU</v>
      </c>
      <c r="D1273" s="913" t="str">
        <f>Clothing!D472</f>
        <v>PET</v>
      </c>
      <c r="E1273" s="913">
        <f>Clothing!E472</f>
        <v>9.8396569666965496E-3</v>
      </c>
      <c r="F1273" s="913">
        <f>Clothing!F472</f>
        <v>1</v>
      </c>
      <c r="G1273" s="913" t="str">
        <f>Clothing!G472</f>
        <v>https://eeb.org/library/draft-product-environmental-footprint-category-rules-pefcr-apparel-and-footwear/</v>
      </c>
      <c r="H1273" s="914" t="str">
        <f>Clothing!H472</f>
        <v/>
      </c>
      <c r="I1273" s="914">
        <f>Clothing!I472</f>
        <v>1</v>
      </c>
      <c r="J1273" s="914">
        <f>Clothing!J472</f>
        <v>2</v>
      </c>
      <c r="K1273" s="914">
        <f>Clothing!K472</f>
        <v>1</v>
      </c>
      <c r="L1273" s="914">
        <f>Clothing!L472</f>
        <v>2</v>
      </c>
      <c r="M1273" s="914">
        <f>Clothing!M472</f>
        <v>3</v>
      </c>
      <c r="N1273" s="915" t="e">
        <f t="shared" si="91"/>
        <v>#VALUE!</v>
      </c>
      <c r="O1273" s="160">
        <f t="shared" si="92"/>
        <v>1.0248662490928169</v>
      </c>
    </row>
    <row r="1274" spans="1:15">
      <c r="A1274" s="919" t="str">
        <f>Clothing!A691</f>
        <v>Clothing washing</v>
      </c>
      <c r="B1274" s="919" t="str">
        <f>Clothing!B691</f>
        <v>Clothing washing machine (with external filter)</v>
      </c>
      <c r="C1274" s="919" t="str">
        <f>Clothing!C691</f>
        <v>any</v>
      </c>
      <c r="D1274" s="919" t="str">
        <f>Clothing!D691</f>
        <v>any</v>
      </c>
      <c r="E1274" s="919">
        <f>Clothing!E691</f>
        <v>4.9000000000000002E-2</v>
      </c>
      <c r="F1274" s="919">
        <f>Clothing!F691</f>
        <v>2</v>
      </c>
      <c r="G1274" s="919" t="str">
        <f>Clothing!G691</f>
        <v>Assumption</v>
      </c>
      <c r="H1274" s="911"/>
      <c r="I1274" s="911"/>
      <c r="J1274" s="911"/>
      <c r="K1274" s="911"/>
      <c r="L1274" s="911"/>
      <c r="M1274" s="911"/>
      <c r="N1274" s="912" t="str">
        <f t="shared" ref="N1274" si="93">IF( OR( ISBLANK(H1274),ISBLANK(J1274), ISBLANK(K1274), ISBLANK(L1274), ISBLANK(M1274) ), "", 1.5*SQRT(   EXP(2.21*(H1274-1)) + EXP(2.21*(J1274-1)) + EXP(2.21*(K1274-1)) + EXP(2.21*(L1274-1)) + EXP(2.21*M1274)   )/100*2.45 )</f>
        <v/>
      </c>
      <c r="O1274" s="159" t="str">
        <f t="shared" ref="O1274" si="94">IF( OR( ISBLANK(I1274),ISBLANK(J1274), ISBLANK(K1274), ISBLANK(L1274), ISBLANK(M1274) ), "", 1.5*SQRT( EXP(2.21*(I1274-1)) + EXP(2.21*(J1274-1)) + EXP(2.21*(K1274-1)) + EXP(2.21*(L1274-1)) + EXP(2.21*M1274)   )/100*2.45 )</f>
        <v/>
      </c>
    </row>
    <row r="1275" spans="1:15">
      <c r="A1275" s="919" t="str">
        <f>Clothing!A692</f>
        <v>Clothing washing</v>
      </c>
      <c r="B1275" s="919" t="str">
        <f>Clothing!B692</f>
        <v>Clothing washing machine (without external filter)</v>
      </c>
      <c r="C1275" s="919" t="str">
        <f>Clothing!C692</f>
        <v>any</v>
      </c>
      <c r="D1275" s="919" t="str">
        <f>Clothing!D692</f>
        <v>any</v>
      </c>
      <c r="E1275" s="919" t="str">
        <f>Clothing!E692</f>
        <v>rest</v>
      </c>
      <c r="F1275" s="919">
        <f>Clothing!F692</f>
        <v>1</v>
      </c>
      <c r="G1275" s="919" t="str">
        <f>Clothing!G692</f>
        <v>Watergebruik CBS (2022)</v>
      </c>
      <c r="H1275" s="902"/>
      <c r="I1275" s="902"/>
      <c r="J1275" s="902"/>
      <c r="K1275" s="902"/>
      <c r="L1275" s="902"/>
      <c r="M1275" s="902"/>
      <c r="N1275" s="185" t="str">
        <f t="shared" ref="N1275:N1309" si="95">IF( OR( ISBLANK(H1275),ISBLANK(J1275), ISBLANK(K1275), ISBLANK(L1275), ISBLANK(M1275) ), "", 1.5*SQRT(   EXP(2.21*(H1275-1)) + EXP(2.21*(J1275-1)) + EXP(2.21*(K1275-1)) + EXP(2.21*(L1275-1)) + EXP(2.21*M1275)   )/100*2.45 )</f>
        <v/>
      </c>
      <c r="O1275" s="159" t="str">
        <f t="shared" ref="O1275:O1309" si="96">IF( OR( ISBLANK(I1275),ISBLANK(J1275), ISBLANK(K1275), ISBLANK(L1275), ISBLANK(M1275) ), "", 1.5*SQRT( EXP(2.21*(I1275-1)) + EXP(2.21*(J1275-1)) + EXP(2.21*(K1275-1)) + EXP(2.21*(L1275-1)) + EXP(2.21*M1275)   )/100*2.45 )</f>
        <v/>
      </c>
    </row>
    <row r="1276" spans="1:15">
      <c r="A1276" s="919" t="str">
        <f>Clothing!A693</f>
        <v>Clothing washing</v>
      </c>
      <c r="B1276" s="919" t="str">
        <f>Clothing!B693</f>
        <v>Clothing washing by hand</v>
      </c>
      <c r="C1276" s="919" t="str">
        <f>Clothing!C693</f>
        <v>any</v>
      </c>
      <c r="D1276" s="919" t="str">
        <f>Clothing!D693</f>
        <v>any</v>
      </c>
      <c r="E1276" s="919">
        <f>Clothing!E693</f>
        <v>2.0000000000000018E-2</v>
      </c>
      <c r="F1276" s="919">
        <f>Clothing!F693</f>
        <v>2</v>
      </c>
      <c r="G1276" s="919" t="str">
        <f>Clothing!G693</f>
        <v>Watergebruik CBS (2022)</v>
      </c>
      <c r="H1276" s="902">
        <f>Clothing!H691</f>
        <v>3</v>
      </c>
      <c r="I1276" s="902">
        <f>Clothing!I691</f>
        <v>3</v>
      </c>
      <c r="J1276" s="902">
        <f>Clothing!J691</f>
        <v>3</v>
      </c>
      <c r="K1276" s="902">
        <f>Clothing!K691</f>
        <v>3</v>
      </c>
      <c r="L1276" s="902">
        <f>Clothing!L691</f>
        <v>3</v>
      </c>
      <c r="M1276" s="902">
        <f>Clothing!M691</f>
        <v>3</v>
      </c>
      <c r="N1276" s="185">
        <f t="shared" si="95"/>
        <v>1.2132328390150593</v>
      </c>
      <c r="O1276" s="159">
        <f t="shared" si="96"/>
        <v>1.2132328390150593</v>
      </c>
    </row>
    <row r="1277" spans="1:15">
      <c r="A1277" s="919" t="str">
        <f>Clothing!A694</f>
        <v>Clothing washing machine (with external filter)</v>
      </c>
      <c r="B1277" s="919" t="str">
        <f>Clothing!B694</f>
        <v>Mixed waste collection</v>
      </c>
      <c r="C1277" s="919" t="str">
        <f>Clothing!C694</f>
        <v>any</v>
      </c>
      <c r="D1277" s="919" t="str">
        <f>Clothing!D694</f>
        <v>any</v>
      </c>
      <c r="E1277" s="919">
        <f>Clothing!E694</f>
        <v>0.25</v>
      </c>
      <c r="F1277" s="919">
        <f>Clothing!F694</f>
        <v>2</v>
      </c>
      <c r="G1277" s="919" t="str">
        <f>Clothing!G694</f>
        <v>(Kimmel et al., 2024) - Highest reported fraction of captured fibers</v>
      </c>
      <c r="H1277" s="902"/>
      <c r="I1277" s="902"/>
      <c r="J1277" s="902"/>
      <c r="K1277" s="902"/>
      <c r="L1277" s="902"/>
      <c r="M1277" s="902"/>
      <c r="N1277" s="185" t="str">
        <f t="shared" si="95"/>
        <v/>
      </c>
      <c r="O1277" s="159" t="str">
        <f t="shared" si="96"/>
        <v/>
      </c>
    </row>
    <row r="1278" spans="1:15">
      <c r="A1278" s="919" t="str">
        <f>Clothing!A695</f>
        <v>Clothing washing machine (with external filter)</v>
      </c>
      <c r="B1278" s="919" t="str">
        <f>Clothing!B695</f>
        <v>Mixed waste collection</v>
      </c>
      <c r="C1278" s="919" t="str">
        <f>Clothing!C695</f>
        <v>any</v>
      </c>
      <c r="D1278" s="919" t="str">
        <f>Clothing!D695</f>
        <v>any</v>
      </c>
      <c r="E1278" s="919">
        <f>Clothing!E695</f>
        <v>0.89</v>
      </c>
      <c r="F1278" s="919">
        <f>Clothing!F695</f>
        <v>2</v>
      </c>
      <c r="G1278" s="919" t="str">
        <f>Clothing!G695</f>
        <v>(Kimmel et al., 2024) - Lowest reported fraction of captured fibers</v>
      </c>
      <c r="H1278" s="902">
        <f>Clothing!H693</f>
        <v>1</v>
      </c>
      <c r="I1278" s="902">
        <f>Clothing!I693</f>
        <v>2</v>
      </c>
      <c r="J1278" s="902">
        <f>Clothing!J693</f>
        <v>1</v>
      </c>
      <c r="K1278" s="902">
        <f>Clothing!K693</f>
        <v>2</v>
      </c>
      <c r="L1278" s="902">
        <f>Clothing!L693</f>
        <v>2</v>
      </c>
      <c r="M1278" s="902">
        <f>Clothing!M693</f>
        <v>2</v>
      </c>
      <c r="N1278" s="185">
        <f t="shared" si="95"/>
        <v>0.37356464144298934</v>
      </c>
      <c r="O1278" s="159">
        <f t="shared" si="96"/>
        <v>0.38795788889711302</v>
      </c>
    </row>
    <row r="1279" spans="1:15">
      <c r="A1279" s="919" t="str">
        <f>Clothing!A696</f>
        <v>Clothing washing machine (with external filter)</v>
      </c>
      <c r="B1279" s="919" t="str">
        <f>Clothing!B696</f>
        <v>Wastewater (micro)</v>
      </c>
      <c r="C1279" s="919" t="str">
        <f>Clothing!C696</f>
        <v>any</v>
      </c>
      <c r="D1279" s="919" t="str">
        <f>Clothing!D696</f>
        <v>any</v>
      </c>
      <c r="E1279" s="919" t="str">
        <f>Clothing!E696</f>
        <v>rest</v>
      </c>
      <c r="F1279" s="919">
        <f>Clothing!F696</f>
        <v>1</v>
      </c>
      <c r="G1279" s="919"/>
      <c r="H1279" s="902">
        <f>Clothing!H694</f>
        <v>2</v>
      </c>
      <c r="I1279" s="902">
        <f>Clothing!I694</f>
        <v>2</v>
      </c>
      <c r="J1279" s="902">
        <f>Clothing!J694</f>
        <v>2</v>
      </c>
      <c r="K1279" s="902">
        <f>Clothing!K694</f>
        <v>2</v>
      </c>
      <c r="L1279" s="902">
        <f>Clothing!L694</f>
        <v>2</v>
      </c>
      <c r="M1279" s="902">
        <f>Clothing!M694</f>
        <v>1</v>
      </c>
      <c r="N1279" s="185">
        <f t="shared" si="95"/>
        <v>0.24810627482064512</v>
      </c>
      <c r="O1279" s="159">
        <f t="shared" si="96"/>
        <v>0.24810627482064512</v>
      </c>
    </row>
    <row r="1280" spans="1:15">
      <c r="A1280" s="919" t="str">
        <f>Clothing!A697</f>
        <v>Clothing washing machine (without external filter)</v>
      </c>
      <c r="B1280" s="919" t="str">
        <f>Clothing!B697</f>
        <v>Wastewater (micro)</v>
      </c>
      <c r="C1280" s="919" t="str">
        <f>Clothing!C697</f>
        <v>any</v>
      </c>
      <c r="D1280" s="919" t="str">
        <f>Clothing!D697</f>
        <v>any</v>
      </c>
      <c r="E1280" s="919">
        <f>Clothing!E697</f>
        <v>1</v>
      </c>
      <c r="F1280" s="919">
        <f>Clothing!F697</f>
        <v>1</v>
      </c>
      <c r="G1280" s="919"/>
      <c r="H1280" s="902">
        <f>Clothing!H695</f>
        <v>2</v>
      </c>
      <c r="I1280" s="902">
        <f>Clothing!I695</f>
        <v>2</v>
      </c>
      <c r="J1280" s="902">
        <f>Clothing!J695</f>
        <v>2</v>
      </c>
      <c r="K1280" s="902">
        <f>Clothing!K695</f>
        <v>2</v>
      </c>
      <c r="L1280" s="902">
        <f>Clothing!L695</f>
        <v>2</v>
      </c>
      <c r="M1280" s="902">
        <f>Clothing!M695</f>
        <v>1</v>
      </c>
      <c r="N1280" s="185">
        <f t="shared" si="95"/>
        <v>0.24810627482064512</v>
      </c>
      <c r="O1280" s="159">
        <f t="shared" si="96"/>
        <v>0.24810627482064512</v>
      </c>
    </row>
    <row r="1281" spans="1:15" ht="15.75" thickBot="1">
      <c r="A1281" s="913" t="str">
        <f>Clothing!A698</f>
        <v>Clothing washing by hand</v>
      </c>
      <c r="B1281" s="913" t="str">
        <f>Clothing!B698</f>
        <v>Wastewater (micro)</v>
      </c>
      <c r="C1281" s="913" t="str">
        <f>Clothing!C698</f>
        <v>any</v>
      </c>
      <c r="D1281" s="913" t="str">
        <f>Clothing!D698</f>
        <v>any</v>
      </c>
      <c r="E1281" s="913">
        <f>Clothing!E698</f>
        <v>1</v>
      </c>
      <c r="F1281" s="913">
        <f>Clothing!F698</f>
        <v>1</v>
      </c>
      <c r="G1281" s="913"/>
      <c r="H1281" s="914"/>
      <c r="I1281" s="914"/>
      <c r="J1281" s="914"/>
      <c r="K1281" s="914"/>
      <c r="L1281" s="914"/>
      <c r="M1281" s="914"/>
      <c r="N1281" s="915" t="str">
        <f t="shared" si="95"/>
        <v/>
      </c>
      <c r="O1281" s="160" t="str">
        <f t="shared" si="96"/>
        <v/>
      </c>
    </row>
    <row r="1282" spans="1:15">
      <c r="A1282" s="920" t="str">
        <f>Clothing!A701</f>
        <v>Clothing wearing</v>
      </c>
      <c r="B1282" s="920" t="str">
        <f>Clothing!B701</f>
        <v>Indoor air (micro)</v>
      </c>
      <c r="C1282" s="920" t="str">
        <f>Clothing!C701</f>
        <v>any</v>
      </c>
      <c r="D1282" s="920" t="str">
        <f>Clothing!D701</f>
        <v>any</v>
      </c>
      <c r="E1282" s="920">
        <f>Clothing!E701</f>
        <v>0.93</v>
      </c>
      <c r="F1282" s="920">
        <f>Clothing!F701</f>
        <v>2</v>
      </c>
      <c r="G1282" s="920" t="str">
        <f>Clothing!G701</f>
        <v>Kawecki and Nowack (2019)</v>
      </c>
      <c r="H1282" s="921">
        <f>Clothing!H701</f>
        <v>2</v>
      </c>
      <c r="I1282" s="921">
        <f>Clothing!I701</f>
        <v>2</v>
      </c>
      <c r="J1282" s="921">
        <f>Clothing!J701</f>
        <v>2</v>
      </c>
      <c r="K1282" s="921">
        <f>Clothing!K701</f>
        <v>1</v>
      </c>
      <c r="L1282" s="921">
        <f>Clothing!L701</f>
        <v>2</v>
      </c>
      <c r="M1282" s="921">
        <f>Clothing!M701</f>
        <v>2</v>
      </c>
      <c r="N1282" s="810">
        <f t="shared" si="95"/>
        <v>0.38795788889711302</v>
      </c>
      <c r="O1282" s="158">
        <f t="shared" si="96"/>
        <v>0.38795788889711302</v>
      </c>
    </row>
    <row r="1283" spans="1:15" ht="15.75" thickBot="1">
      <c r="A1283" s="913" t="str">
        <f>Clothing!A702</f>
        <v>Clothing wearing</v>
      </c>
      <c r="B1283" s="913" t="str">
        <f>Clothing!B702</f>
        <v>Outdoor air (micro)</v>
      </c>
      <c r="C1283" s="913" t="str">
        <f>Clothing!C702</f>
        <v>any</v>
      </c>
      <c r="D1283" s="913" t="str">
        <f>Clothing!D702</f>
        <v>any</v>
      </c>
      <c r="E1283" s="913" t="str">
        <f>Clothing!E702</f>
        <v>rest</v>
      </c>
      <c r="F1283" s="913">
        <f>Clothing!F702</f>
        <v>1</v>
      </c>
      <c r="G1283" s="913" t="str">
        <f>Clothing!G702</f>
        <v>Kawecki and Nowack (2019)</v>
      </c>
      <c r="H1283" s="914"/>
      <c r="I1283" s="914"/>
      <c r="J1283" s="914"/>
      <c r="K1283" s="914"/>
      <c r="L1283" s="914"/>
      <c r="M1283" s="914"/>
      <c r="N1283" s="915" t="str">
        <f t="shared" si="95"/>
        <v/>
      </c>
      <c r="O1283" s="160" t="str">
        <f t="shared" si="96"/>
        <v/>
      </c>
    </row>
    <row r="1284" spans="1:15">
      <c r="A1284" s="898" t="str">
        <f>Clothing!A705</f>
        <v>Clothing drying</v>
      </c>
      <c r="B1284" s="898" t="str">
        <f>Clothing!B705</f>
        <v>Clothing indoor drying</v>
      </c>
      <c r="C1284" s="898" t="str">
        <f>Clothing!C705</f>
        <v>any</v>
      </c>
      <c r="D1284" s="898" t="str">
        <f>Clothing!D705</f>
        <v>any</v>
      </c>
      <c r="E1284" s="898">
        <f>Clothing!E705</f>
        <v>0.34</v>
      </c>
      <c r="F1284" s="898">
        <f>Clothing!F705</f>
        <v>1</v>
      </c>
      <c r="G1284" s="898" t="str">
        <f>Clothing!G705</f>
        <v>Kawecki and Nowack (2019)</v>
      </c>
      <c r="H1284" s="911">
        <f>Clothing!H705</f>
        <v>2</v>
      </c>
      <c r="I1284" s="911">
        <f>Clothing!I705</f>
        <v>2</v>
      </c>
      <c r="J1284" s="911">
        <f>Clothing!J705</f>
        <v>2</v>
      </c>
      <c r="K1284" s="911">
        <f>Clothing!K705</f>
        <v>3</v>
      </c>
      <c r="L1284" s="911">
        <f>Clothing!L705</f>
        <v>1</v>
      </c>
      <c r="M1284" s="911">
        <f>Clothing!M705</f>
        <v>2</v>
      </c>
      <c r="N1284" s="912">
        <f t="shared" si="95"/>
        <v>0.50042652380814845</v>
      </c>
      <c r="O1284" s="815">
        <f t="shared" si="96"/>
        <v>0.50042652380814845</v>
      </c>
    </row>
    <row r="1285" spans="1:15">
      <c r="A1285" s="898" t="str">
        <f>Clothing!A706</f>
        <v>Clothing drying</v>
      </c>
      <c r="B1285" s="898" t="str">
        <f>Clothing!B706</f>
        <v>Clothing outdoor drying</v>
      </c>
      <c r="C1285" s="898" t="str">
        <f>Clothing!C706</f>
        <v>any</v>
      </c>
      <c r="D1285" s="898" t="str">
        <f>Clothing!D706</f>
        <v>any</v>
      </c>
      <c r="E1285" s="898">
        <f>Clothing!E706</f>
        <v>0.34</v>
      </c>
      <c r="F1285" s="898">
        <f>Clothing!F706</f>
        <v>1</v>
      </c>
      <c r="G1285" s="898" t="str">
        <f>Clothing!G706</f>
        <v>Kawecki and Nowack (2019)</v>
      </c>
      <c r="H1285" s="911">
        <f>Clothing!H706</f>
        <v>2</v>
      </c>
      <c r="I1285" s="911">
        <f>Clothing!I706</f>
        <v>2</v>
      </c>
      <c r="J1285" s="911">
        <f>Clothing!J706</f>
        <v>2</v>
      </c>
      <c r="K1285" s="911">
        <f>Clothing!K706</f>
        <v>3</v>
      </c>
      <c r="L1285" s="911">
        <f>Clothing!L706</f>
        <v>1</v>
      </c>
      <c r="M1285" s="911">
        <f>Clothing!M706</f>
        <v>2</v>
      </c>
      <c r="N1285" s="185">
        <f t="shared" si="95"/>
        <v>0.50042652380814845</v>
      </c>
      <c r="O1285" s="159">
        <f t="shared" si="96"/>
        <v>0.50042652380814845</v>
      </c>
    </row>
    <row r="1286" spans="1:15">
      <c r="A1286" s="898" t="str">
        <f>Clothing!A707</f>
        <v>Clothing drying</v>
      </c>
      <c r="B1286" s="898" t="str">
        <f>Clothing!B707</f>
        <v>Clothing drying VTD</v>
      </c>
      <c r="C1286" s="898" t="str">
        <f>Clothing!C707</f>
        <v>any</v>
      </c>
      <c r="D1286" s="898" t="str">
        <f>Clothing!D707</f>
        <v>any</v>
      </c>
      <c r="E1286" s="898">
        <f>Clothing!E707</f>
        <v>0.06</v>
      </c>
      <c r="F1286" s="898">
        <f>Clothing!F707</f>
        <v>2</v>
      </c>
      <c r="G1286" s="898" t="str">
        <f>Clothing!G707</f>
        <v>Combined data from CBS, RIVM, and Cummins et al. (2023)</v>
      </c>
      <c r="H1286" s="911">
        <f>Clothing!H707</f>
        <v>3</v>
      </c>
      <c r="I1286" s="911">
        <f>Clothing!I707</f>
        <v>3</v>
      </c>
      <c r="J1286" s="911">
        <f>Clothing!J707</f>
        <v>3</v>
      </c>
      <c r="K1286" s="911">
        <f>Clothing!K707</f>
        <v>3</v>
      </c>
      <c r="L1286" s="911">
        <f>Clothing!L707</f>
        <v>3</v>
      </c>
      <c r="M1286" s="911">
        <f>Clothing!M707</f>
        <v>3</v>
      </c>
      <c r="N1286" s="185">
        <f t="shared" si="95"/>
        <v>1.2132328390150593</v>
      </c>
      <c r="O1286" s="159">
        <f t="shared" si="96"/>
        <v>1.2132328390150593</v>
      </c>
    </row>
    <row r="1287" spans="1:15">
      <c r="A1287" s="898" t="str">
        <f>Clothing!A708</f>
        <v>Clothing drying</v>
      </c>
      <c r="B1287" s="898" t="str">
        <f>Clothing!B708</f>
        <v>Clothing drying CHPTD</v>
      </c>
      <c r="C1287" s="898" t="str">
        <f>Clothing!C708</f>
        <v>any</v>
      </c>
      <c r="D1287" s="898" t="str">
        <f>Clothing!D708</f>
        <v>any</v>
      </c>
      <c r="E1287" s="898">
        <f>Clothing!E708</f>
        <v>0.1</v>
      </c>
      <c r="F1287" s="898">
        <f>Clothing!F708</f>
        <v>2</v>
      </c>
      <c r="G1287" s="898" t="str">
        <f>Clothing!G708</f>
        <v>Combined data from CBS, RIVM, and Cummins et al. (2023)</v>
      </c>
      <c r="H1287" s="911">
        <f>Clothing!H708</f>
        <v>3</v>
      </c>
      <c r="I1287" s="911">
        <f>Clothing!I708</f>
        <v>3</v>
      </c>
      <c r="J1287" s="911">
        <f>Clothing!J708</f>
        <v>3</v>
      </c>
      <c r="K1287" s="911">
        <f>Clothing!K708</f>
        <v>3</v>
      </c>
      <c r="L1287" s="911">
        <f>Clothing!L708</f>
        <v>3</v>
      </c>
      <c r="M1287" s="911">
        <f>Clothing!M708</f>
        <v>3</v>
      </c>
      <c r="N1287" s="185">
        <f t="shared" si="95"/>
        <v>1.2132328390150593</v>
      </c>
      <c r="O1287" s="159">
        <f t="shared" si="96"/>
        <v>1.2132328390150593</v>
      </c>
    </row>
    <row r="1288" spans="1:15">
      <c r="A1288" s="898" t="str">
        <f>Clothing!A709</f>
        <v>Clothing drying</v>
      </c>
      <c r="B1288" s="898" t="str">
        <f>Clothing!B709</f>
        <v>Clothing drying CHETD</v>
      </c>
      <c r="C1288" s="898" t="str">
        <f>Clothing!C709</f>
        <v>any</v>
      </c>
      <c r="D1288" s="898" t="str">
        <f>Clothing!D709</f>
        <v>any</v>
      </c>
      <c r="E1288" s="898">
        <f>Clothing!E709</f>
        <v>0.13</v>
      </c>
      <c r="F1288" s="898">
        <f>Clothing!F709</f>
        <v>2</v>
      </c>
      <c r="G1288" s="898" t="str">
        <f>Clothing!G709</f>
        <v>Combined data from CBS, RIVM, and Cummins et al. (2023)</v>
      </c>
      <c r="H1288" s="911">
        <f>Clothing!H709</f>
        <v>3</v>
      </c>
      <c r="I1288" s="911">
        <f>Clothing!I709</f>
        <v>3</v>
      </c>
      <c r="J1288" s="911">
        <f>Clothing!J709</f>
        <v>3</v>
      </c>
      <c r="K1288" s="911">
        <f>Clothing!K709</f>
        <v>3</v>
      </c>
      <c r="L1288" s="911">
        <f>Clothing!L709</f>
        <v>3</v>
      </c>
      <c r="M1288" s="911">
        <f>Clothing!M709</f>
        <v>3</v>
      </c>
      <c r="N1288" s="185">
        <f t="shared" si="95"/>
        <v>1.2132328390150593</v>
      </c>
      <c r="O1288" s="159">
        <f t="shared" si="96"/>
        <v>1.2132328390150593</v>
      </c>
    </row>
    <row r="1289" spans="1:15">
      <c r="A1289" s="898" t="str">
        <f>Clothing!A710</f>
        <v>Clothing drying</v>
      </c>
      <c r="B1289" s="898" t="str">
        <f>Clothing!B710</f>
        <v>Clothing washer-dryer combo</v>
      </c>
      <c r="C1289" s="898" t="str">
        <f>Clothing!C710</f>
        <v>any</v>
      </c>
      <c r="D1289" s="898" t="str">
        <f>Clothing!D710</f>
        <v>any</v>
      </c>
      <c r="E1289" s="898">
        <f>Clothing!E710</f>
        <v>0.03</v>
      </c>
      <c r="F1289" s="898">
        <f>Clothing!F710</f>
        <v>2</v>
      </c>
      <c r="G1289" s="898" t="str">
        <f>Clothing!G710</f>
        <v>Combined data from CBS, RIVM, and Cummins et al. (2023)</v>
      </c>
      <c r="H1289" s="911">
        <f>Clothing!H710</f>
        <v>3</v>
      </c>
      <c r="I1289" s="911">
        <f>Clothing!I710</f>
        <v>3</v>
      </c>
      <c r="J1289" s="911">
        <f>Clothing!J710</f>
        <v>3</v>
      </c>
      <c r="K1289" s="911">
        <f>Clothing!K710</f>
        <v>3</v>
      </c>
      <c r="L1289" s="911">
        <f>Clothing!L710</f>
        <v>3</v>
      </c>
      <c r="M1289" s="911">
        <f>Clothing!M710</f>
        <v>3</v>
      </c>
      <c r="N1289" s="185">
        <f t="shared" si="95"/>
        <v>1.2132328390150593</v>
      </c>
      <c r="O1289" s="159">
        <f t="shared" si="96"/>
        <v>1.2132328390150593</v>
      </c>
    </row>
    <row r="1290" spans="1:15">
      <c r="A1290" s="898" t="str">
        <f>Clothing!A711</f>
        <v>Clothing indoor drying</v>
      </c>
      <c r="B1290" s="898" t="str">
        <f>Clothing!B711</f>
        <v>Indoor air (micro)</v>
      </c>
      <c r="C1290" s="898" t="str">
        <f>Clothing!C711</f>
        <v>any</v>
      </c>
      <c r="D1290" s="898" t="str">
        <f>Clothing!D711</f>
        <v>any</v>
      </c>
      <c r="E1290" s="898">
        <f>Clothing!E711</f>
        <v>0.5</v>
      </c>
      <c r="F1290" s="898">
        <f>Clothing!F711</f>
        <v>2</v>
      </c>
      <c r="G1290" s="898" t="str">
        <f>Clothing!G711</f>
        <v xml:space="preserve">Assumption Kawecki et al. 2019 (SI Table 17) </v>
      </c>
      <c r="H1290" s="911">
        <f>Clothing!H711</f>
        <v>3</v>
      </c>
      <c r="I1290" s="911">
        <f>Clothing!I711</f>
        <v>3</v>
      </c>
      <c r="J1290" s="911">
        <f>Clothing!J711</f>
        <v>3</v>
      </c>
      <c r="K1290" s="911">
        <f>Clothing!K711</f>
        <v>3</v>
      </c>
      <c r="L1290" s="911">
        <f>Clothing!L711</f>
        <v>3</v>
      </c>
      <c r="M1290" s="911">
        <f>Clothing!M711</f>
        <v>3</v>
      </c>
      <c r="N1290" s="185">
        <f t="shared" si="95"/>
        <v>1.2132328390150593</v>
      </c>
      <c r="O1290" s="159">
        <f t="shared" si="96"/>
        <v>1.2132328390150593</v>
      </c>
    </row>
    <row r="1291" spans="1:15">
      <c r="A1291" s="898" t="str">
        <f>Clothing!A712</f>
        <v>Clothing indoor drying</v>
      </c>
      <c r="B1291" s="898" t="str">
        <f>Clothing!B712</f>
        <v>Indoor floors (micro)</v>
      </c>
      <c r="C1291" s="898" t="str">
        <f>Clothing!C712</f>
        <v>any</v>
      </c>
      <c r="D1291" s="898" t="str">
        <f>Clothing!D712</f>
        <v>any</v>
      </c>
      <c r="E1291" s="898" t="str">
        <f>Clothing!E712</f>
        <v>rest</v>
      </c>
      <c r="F1291" s="898">
        <f>Clothing!F712</f>
        <v>1</v>
      </c>
      <c r="G1291" s="898" t="str">
        <f>Clothing!G712</f>
        <v xml:space="preserve">Assumption Kawecki et al. 2019 (SI Table 17) </v>
      </c>
      <c r="H1291" s="911"/>
      <c r="I1291" s="911"/>
      <c r="J1291" s="911"/>
      <c r="K1291" s="911"/>
      <c r="L1291" s="911"/>
      <c r="M1291" s="911"/>
      <c r="N1291" s="185" t="str">
        <f t="shared" si="95"/>
        <v/>
      </c>
      <c r="O1291" s="159" t="str">
        <f t="shared" si="96"/>
        <v/>
      </c>
    </row>
    <row r="1292" spans="1:15">
      <c r="A1292" s="898" t="str">
        <f>Clothing!A713</f>
        <v>Clothing outdoor drying</v>
      </c>
      <c r="B1292" s="898" t="str">
        <f>Clothing!B713</f>
        <v>Outdoor air (micro)</v>
      </c>
      <c r="C1292" s="898" t="str">
        <f>Clothing!C713</f>
        <v>any</v>
      </c>
      <c r="D1292" s="898" t="str">
        <f>Clothing!D713</f>
        <v>any</v>
      </c>
      <c r="E1292" s="898">
        <f>Clothing!E713</f>
        <v>0.5</v>
      </c>
      <c r="F1292" s="898">
        <f>Clothing!F713</f>
        <v>2</v>
      </c>
      <c r="G1292" s="898" t="str">
        <f>Clothing!G713</f>
        <v xml:space="preserve">Assumption Kawecki et al. 2019 (SI Table 17) </v>
      </c>
      <c r="H1292" s="911">
        <f>Clothing!H713</f>
        <v>3</v>
      </c>
      <c r="I1292" s="911">
        <f>Clothing!I713</f>
        <v>3</v>
      </c>
      <c r="J1292" s="911">
        <f>Clothing!J713</f>
        <v>3</v>
      </c>
      <c r="K1292" s="911">
        <f>Clothing!K713</f>
        <v>3</v>
      </c>
      <c r="L1292" s="911">
        <f>Clothing!L713</f>
        <v>3</v>
      </c>
      <c r="M1292" s="911">
        <f>Clothing!M713</f>
        <v>3</v>
      </c>
      <c r="N1292" s="185">
        <f t="shared" si="95"/>
        <v>1.2132328390150593</v>
      </c>
      <c r="O1292" s="159">
        <f t="shared" si="96"/>
        <v>1.2132328390150593</v>
      </c>
    </row>
    <row r="1293" spans="1:15">
      <c r="A1293" s="898" t="str">
        <f>Clothing!A714</f>
        <v>Clothing outdoor drying</v>
      </c>
      <c r="B1293" s="898" t="str">
        <f>Clothing!B714</f>
        <v>Residential soil (micro)</v>
      </c>
      <c r="C1293" s="898" t="str">
        <f>Clothing!C714</f>
        <v>any</v>
      </c>
      <c r="D1293" s="898" t="str">
        <f>Clothing!D714</f>
        <v>any</v>
      </c>
      <c r="E1293" s="898" t="str">
        <f>Clothing!E714</f>
        <v>rest</v>
      </c>
      <c r="F1293" s="898">
        <f>Clothing!F714</f>
        <v>1</v>
      </c>
      <c r="G1293" s="898" t="str">
        <f>Clothing!G714</f>
        <v xml:space="preserve">Assumption Kawecki et al. 2019 (SI Table 17) </v>
      </c>
      <c r="H1293" s="911"/>
      <c r="I1293" s="911"/>
      <c r="J1293" s="911"/>
      <c r="K1293" s="911"/>
      <c r="L1293" s="911"/>
      <c r="M1293" s="911"/>
      <c r="N1293" s="185" t="str">
        <f t="shared" si="95"/>
        <v/>
      </c>
      <c r="O1293" s="159" t="str">
        <f t="shared" si="96"/>
        <v/>
      </c>
    </row>
    <row r="1294" spans="1:15">
      <c r="A1294" s="898" t="str">
        <f>Clothing!A715</f>
        <v>Clothing drying VTD</v>
      </c>
      <c r="B1294" s="898" t="str">
        <f>Clothing!B715</f>
        <v>Outdoor air (micro)</v>
      </c>
      <c r="C1294" s="898" t="str">
        <f>Clothing!C715</f>
        <v>any</v>
      </c>
      <c r="D1294" s="898" t="str">
        <f>Clothing!D715</f>
        <v>any</v>
      </c>
      <c r="E1294" s="898">
        <f>Clothing!E715</f>
        <v>0.5</v>
      </c>
      <c r="F1294" s="898">
        <f>Clothing!F715</f>
        <v>2</v>
      </c>
      <c r="G1294" s="898" t="str">
        <f>Clothing!G715</f>
        <v xml:space="preserve">Assumption Kawecki et al. 2019 (SI Table 17) </v>
      </c>
      <c r="H1294" s="911">
        <f>Clothing!H715</f>
        <v>3</v>
      </c>
      <c r="I1294" s="911">
        <f>Clothing!I715</f>
        <v>3</v>
      </c>
      <c r="J1294" s="911">
        <f>Clothing!J715</f>
        <v>3</v>
      </c>
      <c r="K1294" s="911">
        <f>Clothing!K715</f>
        <v>3</v>
      </c>
      <c r="L1294" s="911">
        <f>Clothing!L715</f>
        <v>3</v>
      </c>
      <c r="M1294" s="911">
        <f>Clothing!M715</f>
        <v>3</v>
      </c>
      <c r="N1294" s="185">
        <f t="shared" si="95"/>
        <v>1.2132328390150593</v>
      </c>
      <c r="O1294" s="159">
        <f t="shared" si="96"/>
        <v>1.2132328390150593</v>
      </c>
    </row>
    <row r="1295" spans="1:15">
      <c r="A1295" s="898" t="str">
        <f>Clothing!A716</f>
        <v>Clothing drying VTD</v>
      </c>
      <c r="B1295" s="898" t="str">
        <f>Clothing!B716</f>
        <v>Lint filter (VTD)</v>
      </c>
      <c r="C1295" s="898" t="str">
        <f>Clothing!C716</f>
        <v>any</v>
      </c>
      <c r="D1295" s="898" t="str">
        <f>Clothing!D716</f>
        <v>any</v>
      </c>
      <c r="E1295" s="898" t="str">
        <f>Clothing!E716</f>
        <v>rest</v>
      </c>
      <c r="F1295" s="898">
        <f>Clothing!F716</f>
        <v>1</v>
      </c>
      <c r="G1295" s="898" t="str">
        <f>Clothing!G716</f>
        <v xml:space="preserve">Assumption Kawecki et al. 2019 (SI Table 17) </v>
      </c>
      <c r="H1295" s="911"/>
      <c r="I1295" s="911"/>
      <c r="J1295" s="911"/>
      <c r="K1295" s="911"/>
      <c r="L1295" s="911"/>
      <c r="M1295" s="911"/>
      <c r="N1295" s="185" t="str">
        <f t="shared" si="95"/>
        <v/>
      </c>
      <c r="O1295" s="159" t="str">
        <f t="shared" si="96"/>
        <v/>
      </c>
    </row>
    <row r="1296" spans="1:15">
      <c r="A1296" s="898" t="str">
        <f>Clothing!A717</f>
        <v>Clothing drying CHPTD</v>
      </c>
      <c r="B1296" s="898" t="str">
        <f>Clothing!B717</f>
        <v>Wastewater (micro)</v>
      </c>
      <c r="C1296" s="898" t="str">
        <f>Clothing!C717</f>
        <v>any</v>
      </c>
      <c r="D1296" s="898" t="str">
        <f>Clothing!D717</f>
        <v>any</v>
      </c>
      <c r="E1296" s="898">
        <f>Clothing!E717</f>
        <v>0.5</v>
      </c>
      <c r="F1296" s="898">
        <f>Clothing!F717</f>
        <v>2</v>
      </c>
      <c r="G1296" s="898" t="str">
        <f>Clothing!G717</f>
        <v xml:space="preserve">Assumption Kawecki et al. 2019 (SI Table 17) </v>
      </c>
      <c r="H1296" s="911">
        <f>Clothing!H717</f>
        <v>3</v>
      </c>
      <c r="I1296" s="911">
        <f>Clothing!I717</f>
        <v>3</v>
      </c>
      <c r="J1296" s="911">
        <f>Clothing!J717</f>
        <v>3</v>
      </c>
      <c r="K1296" s="911">
        <f>Clothing!K717</f>
        <v>3</v>
      </c>
      <c r="L1296" s="911">
        <f>Clothing!L717</f>
        <v>3</v>
      </c>
      <c r="M1296" s="911">
        <f>Clothing!M717</f>
        <v>3</v>
      </c>
      <c r="N1296" s="185">
        <f t="shared" si="95"/>
        <v>1.2132328390150593</v>
      </c>
      <c r="O1296" s="159">
        <f t="shared" si="96"/>
        <v>1.2132328390150593</v>
      </c>
    </row>
    <row r="1297" spans="1:868">
      <c r="A1297" s="898" t="str">
        <f>Clothing!A718</f>
        <v>Clothing drying CHPTD</v>
      </c>
      <c r="B1297" s="898" t="str">
        <f>Clothing!B718</f>
        <v>Lint filter (CHPTD)</v>
      </c>
      <c r="C1297" s="898" t="str">
        <f>Clothing!C718</f>
        <v>any</v>
      </c>
      <c r="D1297" s="898" t="str">
        <f>Clothing!D718</f>
        <v>any</v>
      </c>
      <c r="E1297" s="898" t="str">
        <f>Clothing!E718</f>
        <v>rest</v>
      </c>
      <c r="F1297" s="898">
        <f>Clothing!F718</f>
        <v>1</v>
      </c>
      <c r="G1297" s="898" t="str">
        <f>Clothing!G718</f>
        <v xml:space="preserve">Assumption Kawecki et al. 2019 (SI Table 17) </v>
      </c>
      <c r="H1297" s="911"/>
      <c r="I1297" s="911"/>
      <c r="J1297" s="911"/>
      <c r="K1297" s="911"/>
      <c r="L1297" s="911"/>
      <c r="M1297" s="911"/>
      <c r="N1297" s="185" t="str">
        <f t="shared" si="95"/>
        <v/>
      </c>
      <c r="O1297" s="159" t="str">
        <f t="shared" si="96"/>
        <v/>
      </c>
    </row>
    <row r="1298" spans="1:868">
      <c r="A1298" s="898" t="str">
        <f>Clothing!A719</f>
        <v>Clothing drying CHETD</v>
      </c>
      <c r="B1298" s="898" t="str">
        <f>Clothing!B719</f>
        <v>Wastewater (micro)</v>
      </c>
      <c r="C1298" s="898" t="str">
        <f>Clothing!C719</f>
        <v>any</v>
      </c>
      <c r="D1298" s="898" t="str">
        <f>Clothing!D719</f>
        <v>any</v>
      </c>
      <c r="E1298" s="898">
        <f>Clothing!E719</f>
        <v>0.5</v>
      </c>
      <c r="F1298" s="898">
        <f>Clothing!F719</f>
        <v>2</v>
      </c>
      <c r="G1298" s="898" t="str">
        <f>Clothing!G719</f>
        <v xml:space="preserve">Assumption Kawecki et al. 2019 (SI Table 17) </v>
      </c>
      <c r="H1298" s="911">
        <f>Clothing!H719</f>
        <v>3</v>
      </c>
      <c r="I1298" s="911">
        <f>Clothing!I719</f>
        <v>3</v>
      </c>
      <c r="J1298" s="911">
        <f>Clothing!J719</f>
        <v>3</v>
      </c>
      <c r="K1298" s="911">
        <f>Clothing!K719</f>
        <v>3</v>
      </c>
      <c r="L1298" s="911">
        <f>Clothing!L719</f>
        <v>3</v>
      </c>
      <c r="M1298" s="911">
        <f>Clothing!M719</f>
        <v>3</v>
      </c>
      <c r="N1298" s="185">
        <f t="shared" si="95"/>
        <v>1.2132328390150593</v>
      </c>
      <c r="O1298" s="159">
        <f t="shared" si="96"/>
        <v>1.2132328390150593</v>
      </c>
    </row>
    <row r="1299" spans="1:868">
      <c r="A1299" s="898" t="str">
        <f>Clothing!A720</f>
        <v>Clothing drying CHETD</v>
      </c>
      <c r="B1299" s="898" t="str">
        <f>Clothing!B720</f>
        <v>Lint filter (CHETD)</v>
      </c>
      <c r="C1299" s="898" t="str">
        <f>Clothing!C720</f>
        <v>any</v>
      </c>
      <c r="D1299" s="898" t="str">
        <f>Clothing!D720</f>
        <v>any</v>
      </c>
      <c r="E1299" s="898" t="str">
        <f>Clothing!E720</f>
        <v>rest</v>
      </c>
      <c r="F1299" s="898">
        <f>Clothing!F720</f>
        <v>1</v>
      </c>
      <c r="G1299" s="898" t="str">
        <f>Clothing!G720</f>
        <v xml:space="preserve">Assumption Kawecki et al. 2019 (SI Table 17) </v>
      </c>
      <c r="H1299" s="911"/>
      <c r="I1299" s="911"/>
      <c r="J1299" s="911"/>
      <c r="K1299" s="911"/>
      <c r="L1299" s="911"/>
      <c r="M1299" s="911"/>
      <c r="N1299" s="185" t="str">
        <f t="shared" si="95"/>
        <v/>
      </c>
      <c r="O1299" s="159" t="str">
        <f t="shared" si="96"/>
        <v/>
      </c>
    </row>
    <row r="1300" spans="1:868">
      <c r="A1300" s="898" t="str">
        <f>Clothing!A721</f>
        <v>Clothing washer-dryer combo</v>
      </c>
      <c r="B1300" s="898" t="str">
        <f>Clothing!B721</f>
        <v>Wastewater (micro)</v>
      </c>
      <c r="C1300" s="898" t="str">
        <f>Clothing!C721</f>
        <v>any</v>
      </c>
      <c r="D1300" s="898" t="str">
        <f>Clothing!D721</f>
        <v>any</v>
      </c>
      <c r="E1300" s="898">
        <f>Clothing!E721</f>
        <v>1</v>
      </c>
      <c r="F1300" s="898">
        <f>Clothing!F721</f>
        <v>1</v>
      </c>
      <c r="G1300" s="898"/>
      <c r="H1300" s="911"/>
      <c r="I1300" s="911"/>
      <c r="J1300" s="911"/>
      <c r="K1300" s="911"/>
      <c r="L1300" s="911"/>
      <c r="M1300" s="911"/>
      <c r="N1300" s="185" t="str">
        <f t="shared" si="95"/>
        <v/>
      </c>
      <c r="O1300" s="159" t="str">
        <f t="shared" si="96"/>
        <v/>
      </c>
    </row>
    <row r="1301" spans="1:868">
      <c r="A1301" s="898" t="str">
        <f>Clothing!A722</f>
        <v>Lint filter (VTD)</v>
      </c>
      <c r="B1301" s="898" t="str">
        <f>Clothing!B722</f>
        <v>Clean lint filter by hand</v>
      </c>
      <c r="C1301" s="898" t="str">
        <f>Clothing!C722</f>
        <v>any</v>
      </c>
      <c r="D1301" s="898" t="str">
        <f>Clothing!D722</f>
        <v>any</v>
      </c>
      <c r="E1301" s="898">
        <f>Clothing!E722</f>
        <v>0.625</v>
      </c>
      <c r="F1301" s="898">
        <f>Clothing!F722</f>
        <v>2</v>
      </c>
      <c r="G1301" s="898" t="str">
        <f>Clothing!G722</f>
        <v>Based on data from Cummins et al. (2023)</v>
      </c>
      <c r="H1301" s="911">
        <f>Clothing!H722</f>
        <v>2</v>
      </c>
      <c r="I1301" s="911">
        <f>Clothing!I722</f>
        <v>2</v>
      </c>
      <c r="J1301" s="911">
        <f>Clothing!J722</f>
        <v>1</v>
      </c>
      <c r="K1301" s="911">
        <f>Clothing!K722</f>
        <v>1</v>
      </c>
      <c r="L1301" s="911">
        <f>Clothing!L722</f>
        <v>1</v>
      </c>
      <c r="M1301" s="911">
        <f>Clothing!M722</f>
        <v>1</v>
      </c>
      <c r="N1301" s="185">
        <f t="shared" si="95"/>
        <v>0.16933510251023262</v>
      </c>
      <c r="O1301" s="159">
        <f t="shared" si="96"/>
        <v>0.16933510251023262</v>
      </c>
    </row>
    <row r="1302" spans="1:868">
      <c r="A1302" s="898" t="str">
        <f>Clothing!A723</f>
        <v>Lint filter (VTD)</v>
      </c>
      <c r="B1302" s="898" t="str">
        <f>Clothing!B723</f>
        <v>Clean lint filter under running water</v>
      </c>
      <c r="C1302" s="898" t="str">
        <f>Clothing!C723</f>
        <v>any</v>
      </c>
      <c r="D1302" s="898" t="str">
        <f>Clothing!D723</f>
        <v>any</v>
      </c>
      <c r="E1302" s="898" t="str">
        <f>Clothing!E723</f>
        <v>rest</v>
      </c>
      <c r="F1302" s="898">
        <f>Clothing!F723</f>
        <v>1</v>
      </c>
      <c r="G1302" s="898"/>
      <c r="H1302" s="911"/>
      <c r="I1302" s="911"/>
      <c r="J1302" s="911"/>
      <c r="K1302" s="911"/>
      <c r="L1302" s="911"/>
      <c r="M1302" s="911"/>
      <c r="N1302" s="185" t="str">
        <f t="shared" si="95"/>
        <v/>
      </c>
      <c r="O1302" s="159" t="str">
        <f t="shared" si="96"/>
        <v/>
      </c>
    </row>
    <row r="1303" spans="1:868">
      <c r="A1303" s="898" t="str">
        <f>Clothing!A724</f>
        <v>Lint filter (CHPTD)</v>
      </c>
      <c r="B1303" s="898" t="str">
        <f>Clothing!B724</f>
        <v>Clean lint filter by hand</v>
      </c>
      <c r="C1303" s="898" t="str">
        <f>Clothing!C724</f>
        <v>any</v>
      </c>
      <c r="D1303" s="898" t="str">
        <f>Clothing!D724</f>
        <v>any</v>
      </c>
      <c r="E1303" s="898">
        <f>Clothing!E724</f>
        <v>0.83</v>
      </c>
      <c r="F1303" s="898">
        <f>Clothing!F724</f>
        <v>2</v>
      </c>
      <c r="G1303" s="898" t="str">
        <f>Clothing!G724</f>
        <v>Based on data from Cummins et al. (2023)</v>
      </c>
      <c r="H1303" s="911">
        <f>Clothing!H724</f>
        <v>2</v>
      </c>
      <c r="I1303" s="911">
        <f>Clothing!I724</f>
        <v>2</v>
      </c>
      <c r="J1303" s="911">
        <f>Clothing!J724</f>
        <v>1</v>
      </c>
      <c r="K1303" s="911">
        <f>Clothing!K724</f>
        <v>1</v>
      </c>
      <c r="L1303" s="911">
        <f>Clothing!L724</f>
        <v>1</v>
      </c>
      <c r="M1303" s="911">
        <f>Clothing!M724</f>
        <v>1</v>
      </c>
      <c r="N1303" s="185">
        <f t="shared" si="95"/>
        <v>0.16933510251023262</v>
      </c>
      <c r="O1303" s="159">
        <f t="shared" si="96"/>
        <v>0.16933510251023262</v>
      </c>
    </row>
    <row r="1304" spans="1:868">
      <c r="A1304" s="898" t="str">
        <f>Clothing!A725</f>
        <v>Lint filter (CHPTD)</v>
      </c>
      <c r="B1304" s="898" t="str">
        <f>Clothing!B725</f>
        <v>Clean lint filter under running water</v>
      </c>
      <c r="C1304" s="898" t="str">
        <f>Clothing!C725</f>
        <v>any</v>
      </c>
      <c r="D1304" s="898" t="str">
        <f>Clothing!D725</f>
        <v>any</v>
      </c>
      <c r="E1304" s="898" t="str">
        <f>Clothing!E725</f>
        <v>rest</v>
      </c>
      <c r="F1304" s="898">
        <f>Clothing!F725</f>
        <v>1</v>
      </c>
      <c r="G1304" s="898"/>
      <c r="H1304" s="911"/>
      <c r="I1304" s="911"/>
      <c r="J1304" s="911"/>
      <c r="K1304" s="911"/>
      <c r="L1304" s="911"/>
      <c r="M1304" s="911"/>
      <c r="N1304" s="185" t="str">
        <f t="shared" si="95"/>
        <v/>
      </c>
      <c r="O1304" s="159" t="str">
        <f t="shared" si="96"/>
        <v/>
      </c>
    </row>
    <row r="1305" spans="1:868">
      <c r="A1305" s="898" t="str">
        <f>Clothing!A726</f>
        <v>Lint filter (CHETD)</v>
      </c>
      <c r="B1305" s="898" t="str">
        <f>Clothing!B726</f>
        <v>Clean lint filter by hand</v>
      </c>
      <c r="C1305" s="898" t="str">
        <f>Clothing!C726</f>
        <v>any</v>
      </c>
      <c r="D1305" s="898" t="str">
        <f>Clothing!D726</f>
        <v>any</v>
      </c>
      <c r="E1305" s="898">
        <f>Clothing!E726</f>
        <v>0.67</v>
      </c>
      <c r="F1305" s="898">
        <f>Clothing!F726</f>
        <v>2</v>
      </c>
      <c r="G1305" s="898" t="str">
        <f>Clothing!G726</f>
        <v>Based on data from Cummins et al. (2023)</v>
      </c>
      <c r="H1305" s="911">
        <f>Clothing!H726</f>
        <v>2</v>
      </c>
      <c r="I1305" s="911">
        <f>Clothing!I726</f>
        <v>2</v>
      </c>
      <c r="J1305" s="911">
        <f>Clothing!J726</f>
        <v>1</v>
      </c>
      <c r="K1305" s="911">
        <f>Clothing!K726</f>
        <v>1</v>
      </c>
      <c r="L1305" s="911">
        <f>Clothing!L726</f>
        <v>1</v>
      </c>
      <c r="M1305" s="911">
        <f>Clothing!M726</f>
        <v>1</v>
      </c>
      <c r="N1305" s="185">
        <f t="shared" si="95"/>
        <v>0.16933510251023262</v>
      </c>
      <c r="O1305" s="159">
        <f t="shared" si="96"/>
        <v>0.16933510251023262</v>
      </c>
    </row>
    <row r="1306" spans="1:868">
      <c r="A1306" s="898" t="str">
        <f>Clothing!A727</f>
        <v>Lint filter (CHETD)</v>
      </c>
      <c r="B1306" s="898" t="str">
        <f>Clothing!B727</f>
        <v>Clean lint filter under running water</v>
      </c>
      <c r="C1306" s="898" t="str">
        <f>Clothing!C727</f>
        <v>any</v>
      </c>
      <c r="D1306" s="898" t="str">
        <f>Clothing!D727</f>
        <v>any</v>
      </c>
      <c r="E1306" s="898" t="str">
        <f>Clothing!E727</f>
        <v>rest</v>
      </c>
      <c r="F1306" s="898">
        <f>Clothing!F727</f>
        <v>1</v>
      </c>
      <c r="G1306" s="898"/>
      <c r="H1306" s="911"/>
      <c r="I1306" s="911"/>
      <c r="J1306" s="911"/>
      <c r="K1306" s="911"/>
      <c r="L1306" s="911"/>
      <c r="M1306" s="911"/>
      <c r="N1306" s="185" t="str">
        <f t="shared" si="95"/>
        <v/>
      </c>
      <c r="O1306" s="159" t="str">
        <f t="shared" si="96"/>
        <v/>
      </c>
    </row>
    <row r="1307" spans="1:868">
      <c r="A1307" s="898" t="str">
        <f>Clothing!A728</f>
        <v>Clean lint filter by hand</v>
      </c>
      <c r="B1307" s="898" t="str">
        <f>Clothing!B728</f>
        <v>Indoor air (micro)</v>
      </c>
      <c r="C1307" s="898" t="str">
        <f>Clothing!C728</f>
        <v>any</v>
      </c>
      <c r="D1307" s="898" t="str">
        <f>Clothing!D728</f>
        <v>any</v>
      </c>
      <c r="E1307" s="898">
        <f>Clothing!E728</f>
        <v>0.01</v>
      </c>
      <c r="F1307" s="898">
        <f>Clothing!F728</f>
        <v>2</v>
      </c>
      <c r="G1307" s="898" t="str">
        <f>Clothing!G728</f>
        <v>Kawecki &amp; Nowack (2019)</v>
      </c>
      <c r="H1307" s="911">
        <f>Clothing!H728</f>
        <v>3</v>
      </c>
      <c r="I1307" s="911">
        <f>Clothing!I728</f>
        <v>3</v>
      </c>
      <c r="J1307" s="911">
        <f>Clothing!J728</f>
        <v>3</v>
      </c>
      <c r="K1307" s="911">
        <f>Clothing!K728</f>
        <v>3</v>
      </c>
      <c r="L1307" s="911">
        <f>Clothing!L728</f>
        <v>3</v>
      </c>
      <c r="M1307" s="911">
        <f>Clothing!M728</f>
        <v>3</v>
      </c>
      <c r="N1307" s="185">
        <f t="shared" si="95"/>
        <v>1.2132328390150593</v>
      </c>
      <c r="O1307" s="159">
        <f t="shared" si="96"/>
        <v>1.2132328390150593</v>
      </c>
    </row>
    <row r="1308" spans="1:868">
      <c r="A1308" s="898" t="str">
        <f>Clothing!A729</f>
        <v>Clean lint filter by hand</v>
      </c>
      <c r="B1308" s="898" t="str">
        <f>Clothing!B729</f>
        <v>Mixed waste collection</v>
      </c>
      <c r="C1308" s="898" t="str">
        <f>Clothing!C729</f>
        <v>any</v>
      </c>
      <c r="D1308" s="898" t="str">
        <f>Clothing!D729</f>
        <v>any</v>
      </c>
      <c r="E1308" s="898" t="str">
        <f>Clothing!E729</f>
        <v>rest</v>
      </c>
      <c r="F1308" s="898">
        <f>Clothing!F729</f>
        <v>1</v>
      </c>
      <c r="G1308" s="898"/>
      <c r="H1308" s="911"/>
      <c r="I1308" s="911"/>
      <c r="J1308" s="911"/>
      <c r="K1308" s="911"/>
      <c r="L1308" s="911"/>
      <c r="M1308" s="911"/>
      <c r="N1308" s="185" t="str">
        <f t="shared" si="95"/>
        <v/>
      </c>
      <c r="O1308" s="159" t="str">
        <f t="shared" si="96"/>
        <v/>
      </c>
    </row>
    <row r="1309" spans="1:868">
      <c r="A1309" s="898" t="str">
        <f>Clothing!A730</f>
        <v>Clean lint filter under running water</v>
      </c>
      <c r="B1309" s="898" t="str">
        <f>Clothing!B730</f>
        <v>Indoor air (micro)</v>
      </c>
      <c r="C1309" s="898" t="str">
        <f>Clothing!C730</f>
        <v>any</v>
      </c>
      <c r="D1309" s="898" t="str">
        <f>Clothing!D730</f>
        <v>any</v>
      </c>
      <c r="E1309" s="898">
        <f>Clothing!E730</f>
        <v>0.01</v>
      </c>
      <c r="F1309" s="898">
        <f>Clothing!F730</f>
        <v>2</v>
      </c>
      <c r="G1309" s="898" t="str">
        <f>Clothing!G730</f>
        <v>Kawecki &amp; Nowack (2019)</v>
      </c>
      <c r="H1309" s="911">
        <f>Clothing!H730</f>
        <v>3</v>
      </c>
      <c r="I1309" s="911">
        <f>Clothing!I730</f>
        <v>3</v>
      </c>
      <c r="J1309" s="911">
        <f>Clothing!J730</f>
        <v>3</v>
      </c>
      <c r="K1309" s="911">
        <f>Clothing!K730</f>
        <v>3</v>
      </c>
      <c r="L1309" s="911">
        <f>Clothing!L730</f>
        <v>3</v>
      </c>
      <c r="M1309" s="911">
        <f>Clothing!M730</f>
        <v>3</v>
      </c>
      <c r="N1309" s="185">
        <f t="shared" si="95"/>
        <v>1.2132328390150593</v>
      </c>
      <c r="O1309" s="159">
        <f t="shared" si="96"/>
        <v>1.2132328390150593</v>
      </c>
    </row>
    <row r="1310" spans="1:868" s="210" customFormat="1" ht="15.75" thickBot="1">
      <c r="A1310" s="913" t="str">
        <f>Clothing!A731</f>
        <v>Clean lint filter under running water</v>
      </c>
      <c r="B1310" s="913" t="str">
        <f>Clothing!B731</f>
        <v>Wastewater (micro)</v>
      </c>
      <c r="C1310" s="913" t="str">
        <f>Clothing!C731</f>
        <v>any</v>
      </c>
      <c r="D1310" s="913" t="str">
        <f>Clothing!D731</f>
        <v>any</v>
      </c>
      <c r="E1310" s="913" t="str">
        <f>Clothing!E731</f>
        <v>rest</v>
      </c>
      <c r="F1310" s="913">
        <f>Clothing!F731</f>
        <v>1</v>
      </c>
      <c r="G1310" s="913"/>
      <c r="H1310" s="954"/>
      <c r="I1310" s="954"/>
      <c r="J1310" s="954"/>
      <c r="K1310" s="954"/>
      <c r="L1310" s="954"/>
      <c r="M1310" s="954"/>
      <c r="N1310" s="185" t="str">
        <f t="shared" ref="N1310:N1329" si="97">IF( OR( ISBLANK(H1310),ISBLANK(J1310), ISBLANK(K1310), ISBLANK(L1310), ISBLANK(M1310) ), "", 1.5*SQRT(   EXP(2.21*(H1310-1)) + EXP(2.21*(J1310-1)) + EXP(2.21*(K1310-1)) + EXP(2.21*(L1310-1)) + EXP(2.21*M1310)   )/100*2.45 )</f>
        <v/>
      </c>
      <c r="O1310" s="159" t="str">
        <f t="shared" ref="O1310:O1329" si="98">IF( OR( ISBLANK(I1310),ISBLANK(J1310), ISBLANK(K1310), ISBLANK(L1310), ISBLANK(M1310) ), "", 1.5*SQRT( EXP(2.21*(I1310-1)) + EXP(2.21*(J1310-1)) + EXP(2.21*(K1310-1)) + EXP(2.21*(L1310-1)) + EXP(2.21*M1310)   )/100*2.45 )</f>
        <v/>
      </c>
      <c r="P1310" s="955"/>
      <c r="Q1310" s="956"/>
      <c r="R1310" s="956"/>
      <c r="S1310" s="956"/>
      <c r="T1310" s="956"/>
      <c r="U1310" s="956"/>
      <c r="V1310" s="956"/>
      <c r="W1310" s="956"/>
      <c r="X1310" s="956"/>
      <c r="Y1310" s="956"/>
      <c r="Z1310" s="956"/>
      <c r="AA1310" s="956"/>
      <c r="AB1310" s="956"/>
      <c r="AC1310" s="956"/>
      <c r="AD1310" s="956"/>
      <c r="AE1310" s="956"/>
      <c r="AF1310" s="956"/>
      <c r="AG1310" s="956"/>
      <c r="AH1310" s="956"/>
      <c r="AI1310" s="956"/>
      <c r="AJ1310" s="956"/>
      <c r="AK1310" s="956"/>
      <c r="AL1310" s="956"/>
      <c r="AM1310" s="956"/>
      <c r="AN1310" s="956"/>
      <c r="AO1310" s="956"/>
      <c r="AP1310" s="956"/>
      <c r="AQ1310" s="956"/>
      <c r="AR1310" s="956"/>
      <c r="AS1310" s="956"/>
      <c r="AT1310" s="956"/>
      <c r="AU1310" s="956"/>
      <c r="AV1310" s="956"/>
      <c r="AW1310" s="956"/>
      <c r="AX1310" s="956"/>
      <c r="AY1310" s="956"/>
      <c r="AZ1310" s="956"/>
      <c r="BA1310" s="956"/>
      <c r="BB1310" s="956"/>
      <c r="BC1310" s="956"/>
      <c r="BD1310" s="956"/>
      <c r="BE1310" s="956"/>
      <c r="BF1310" s="956"/>
      <c r="BG1310" s="956"/>
      <c r="BH1310" s="956"/>
      <c r="BI1310" s="956"/>
      <c r="BJ1310" s="956"/>
      <c r="BK1310" s="956"/>
      <c r="BL1310" s="956"/>
      <c r="BM1310" s="956"/>
      <c r="BN1310" s="956"/>
      <c r="BO1310" s="956"/>
      <c r="BP1310" s="956"/>
      <c r="BQ1310" s="956"/>
      <c r="BR1310" s="956"/>
      <c r="BS1310" s="956"/>
      <c r="BT1310" s="956"/>
      <c r="BU1310" s="956"/>
      <c r="BV1310" s="956"/>
      <c r="BW1310" s="956"/>
      <c r="BX1310" s="956"/>
      <c r="BY1310" s="956"/>
      <c r="BZ1310" s="956"/>
      <c r="CA1310" s="956"/>
      <c r="CB1310" s="956"/>
      <c r="CC1310" s="956"/>
      <c r="CD1310" s="956"/>
      <c r="CE1310" s="956"/>
      <c r="CF1310" s="956"/>
      <c r="CG1310" s="956"/>
      <c r="CH1310" s="956"/>
      <c r="CI1310" s="956"/>
      <c r="CJ1310" s="956"/>
      <c r="CK1310" s="956"/>
      <c r="CL1310" s="956"/>
      <c r="CM1310" s="956"/>
      <c r="CN1310" s="956"/>
      <c r="CO1310" s="956"/>
      <c r="CP1310" s="956"/>
      <c r="CQ1310" s="956"/>
      <c r="CR1310" s="956"/>
      <c r="CS1310" s="956"/>
      <c r="CT1310" s="956"/>
      <c r="CU1310" s="956"/>
      <c r="CV1310" s="956"/>
      <c r="CW1310" s="956"/>
      <c r="CX1310" s="956"/>
      <c r="CY1310" s="956"/>
      <c r="CZ1310" s="956"/>
      <c r="DA1310" s="956"/>
      <c r="DB1310" s="956"/>
      <c r="DC1310" s="956"/>
      <c r="DD1310" s="956"/>
      <c r="DE1310" s="956"/>
      <c r="DF1310" s="956"/>
      <c r="DG1310" s="956"/>
      <c r="DH1310" s="956"/>
      <c r="DI1310" s="956"/>
      <c r="DJ1310" s="956"/>
      <c r="DK1310" s="956"/>
      <c r="DL1310" s="956"/>
      <c r="DM1310" s="956"/>
      <c r="DN1310" s="956"/>
      <c r="DO1310" s="956"/>
      <c r="DP1310" s="956"/>
      <c r="DQ1310" s="956"/>
      <c r="DR1310" s="956"/>
      <c r="DS1310" s="956"/>
      <c r="DT1310" s="956"/>
      <c r="DU1310" s="956"/>
      <c r="DV1310" s="956"/>
      <c r="DW1310" s="956"/>
      <c r="DX1310" s="956"/>
      <c r="DY1310" s="956"/>
      <c r="DZ1310" s="956"/>
      <c r="EA1310" s="956"/>
      <c r="EB1310" s="956"/>
      <c r="EC1310" s="956"/>
      <c r="ED1310" s="956"/>
      <c r="EE1310" s="956"/>
      <c r="EF1310" s="956"/>
      <c r="EG1310" s="956"/>
      <c r="EH1310" s="956"/>
      <c r="EI1310" s="956"/>
      <c r="EJ1310" s="956"/>
      <c r="EK1310" s="956"/>
      <c r="EL1310" s="956"/>
      <c r="EM1310" s="956"/>
      <c r="EN1310" s="956"/>
      <c r="EO1310" s="956"/>
      <c r="EP1310" s="956"/>
      <c r="EQ1310" s="956"/>
      <c r="ER1310" s="956"/>
      <c r="ES1310" s="956"/>
      <c r="ET1310" s="956"/>
      <c r="EU1310" s="956"/>
      <c r="EV1310" s="956"/>
      <c r="EW1310" s="956"/>
      <c r="EX1310" s="956"/>
      <c r="EY1310" s="956"/>
      <c r="EZ1310" s="956"/>
      <c r="FA1310" s="956"/>
      <c r="FB1310" s="956"/>
      <c r="FC1310" s="956"/>
      <c r="FD1310" s="956"/>
      <c r="FE1310" s="956"/>
      <c r="FF1310" s="956"/>
      <c r="FG1310" s="956"/>
      <c r="FH1310" s="956"/>
      <c r="FI1310" s="956"/>
      <c r="FJ1310" s="956"/>
      <c r="FK1310" s="956"/>
      <c r="FL1310" s="956"/>
      <c r="FM1310" s="956"/>
      <c r="FN1310" s="956"/>
      <c r="FO1310" s="956"/>
      <c r="FP1310" s="956"/>
      <c r="FQ1310" s="956"/>
      <c r="FR1310" s="956"/>
      <c r="FS1310" s="956"/>
      <c r="FT1310" s="956"/>
      <c r="FU1310" s="956"/>
      <c r="FV1310" s="956"/>
      <c r="FW1310" s="956"/>
      <c r="FX1310" s="956"/>
      <c r="FY1310" s="956"/>
      <c r="FZ1310" s="956"/>
      <c r="GA1310" s="956"/>
      <c r="GB1310" s="956"/>
      <c r="GC1310" s="956"/>
      <c r="GD1310" s="956"/>
      <c r="GE1310" s="956"/>
      <c r="GF1310" s="956"/>
      <c r="GG1310" s="956"/>
      <c r="GH1310" s="956"/>
      <c r="GI1310" s="956"/>
      <c r="GJ1310" s="956"/>
      <c r="GK1310" s="956"/>
      <c r="GL1310" s="956"/>
      <c r="GM1310" s="956"/>
      <c r="GN1310" s="956"/>
      <c r="GO1310" s="956"/>
      <c r="GP1310" s="956"/>
      <c r="GQ1310" s="956"/>
      <c r="GR1310" s="956"/>
      <c r="GS1310" s="956"/>
      <c r="GT1310" s="956"/>
      <c r="GU1310" s="956"/>
      <c r="GV1310" s="956"/>
      <c r="GW1310" s="956"/>
      <c r="GX1310" s="956"/>
      <c r="GY1310" s="956"/>
      <c r="GZ1310" s="956"/>
      <c r="HA1310" s="956"/>
      <c r="HB1310" s="956"/>
      <c r="HC1310" s="956"/>
      <c r="HD1310" s="956"/>
      <c r="HE1310" s="956"/>
      <c r="HF1310" s="956"/>
      <c r="HG1310" s="956"/>
      <c r="HH1310" s="956"/>
      <c r="HI1310" s="956"/>
      <c r="HJ1310" s="956"/>
      <c r="HK1310" s="956"/>
      <c r="HL1310" s="956"/>
      <c r="HM1310" s="956"/>
      <c r="HN1310" s="956"/>
      <c r="HO1310" s="956"/>
      <c r="HP1310" s="956"/>
      <c r="HQ1310" s="956"/>
      <c r="HR1310" s="956"/>
      <c r="HS1310" s="956"/>
      <c r="HT1310" s="956"/>
      <c r="HU1310" s="956"/>
      <c r="HV1310" s="956"/>
      <c r="HW1310" s="956"/>
      <c r="HX1310" s="956"/>
      <c r="HY1310" s="956"/>
      <c r="HZ1310" s="956"/>
      <c r="IA1310" s="956"/>
      <c r="IB1310" s="956"/>
      <c r="IC1310" s="956"/>
      <c r="ID1310" s="956"/>
      <c r="IE1310" s="956"/>
      <c r="IF1310" s="956"/>
      <c r="IG1310" s="956"/>
      <c r="IH1310" s="956"/>
      <c r="II1310" s="956"/>
      <c r="IJ1310" s="956"/>
      <c r="IK1310" s="956"/>
      <c r="IL1310" s="956"/>
      <c r="IM1310" s="956"/>
      <c r="IN1310" s="956"/>
      <c r="IO1310" s="956"/>
      <c r="IP1310" s="956"/>
      <c r="IQ1310" s="956"/>
      <c r="IR1310" s="956"/>
      <c r="IS1310" s="956"/>
      <c r="IT1310" s="956"/>
      <c r="IU1310" s="956"/>
      <c r="IV1310" s="956"/>
      <c r="IW1310" s="956"/>
      <c r="IX1310" s="956"/>
      <c r="IY1310" s="956"/>
      <c r="IZ1310" s="956"/>
      <c r="JA1310" s="956"/>
      <c r="JB1310" s="956"/>
      <c r="JC1310" s="956"/>
      <c r="JD1310" s="956"/>
      <c r="JE1310" s="956"/>
      <c r="JF1310" s="956"/>
      <c r="JG1310" s="956"/>
      <c r="JH1310" s="956"/>
      <c r="JI1310" s="956"/>
      <c r="JJ1310" s="956"/>
      <c r="JK1310" s="956"/>
      <c r="JL1310" s="956"/>
      <c r="JM1310" s="956"/>
      <c r="JN1310" s="956"/>
      <c r="JO1310" s="956"/>
      <c r="JP1310" s="956"/>
      <c r="JQ1310" s="956"/>
      <c r="JR1310" s="956"/>
      <c r="JS1310" s="956"/>
      <c r="JT1310" s="956"/>
      <c r="JU1310" s="956"/>
      <c r="JV1310" s="956"/>
      <c r="JW1310" s="956"/>
      <c r="JX1310" s="956"/>
      <c r="JY1310" s="956"/>
      <c r="JZ1310" s="956"/>
      <c r="KA1310" s="956"/>
      <c r="KB1310" s="956"/>
      <c r="KC1310" s="956"/>
      <c r="KD1310" s="956"/>
      <c r="KE1310" s="956"/>
      <c r="KF1310" s="956"/>
      <c r="KG1310" s="956"/>
      <c r="KH1310" s="956"/>
      <c r="KI1310" s="956"/>
      <c r="KJ1310" s="956"/>
      <c r="KK1310" s="956"/>
      <c r="KL1310" s="956"/>
      <c r="KM1310" s="956"/>
      <c r="KN1310" s="956"/>
      <c r="KO1310" s="956"/>
      <c r="KP1310" s="956"/>
      <c r="KQ1310" s="956"/>
      <c r="KR1310" s="956"/>
      <c r="KS1310" s="956"/>
      <c r="KT1310" s="956"/>
      <c r="KU1310" s="956"/>
      <c r="KV1310" s="956"/>
      <c r="KW1310" s="956"/>
      <c r="KX1310" s="956"/>
      <c r="KY1310" s="956"/>
      <c r="KZ1310" s="956"/>
      <c r="LA1310" s="956"/>
      <c r="LB1310" s="956"/>
      <c r="LC1310" s="956"/>
      <c r="LD1310" s="956"/>
      <c r="LE1310" s="956"/>
      <c r="LF1310" s="956"/>
      <c r="LG1310" s="956"/>
      <c r="LH1310" s="956"/>
      <c r="LI1310" s="956"/>
      <c r="LJ1310" s="956"/>
      <c r="LK1310" s="956"/>
      <c r="LL1310" s="956"/>
      <c r="LM1310" s="956"/>
      <c r="LN1310" s="956"/>
      <c r="LO1310" s="956"/>
      <c r="LP1310" s="956"/>
      <c r="LQ1310" s="956"/>
      <c r="LR1310" s="956"/>
      <c r="LS1310" s="956"/>
      <c r="LT1310" s="956"/>
      <c r="LU1310" s="956"/>
      <c r="LV1310" s="956"/>
      <c r="LW1310" s="956"/>
      <c r="LX1310" s="956"/>
      <c r="LY1310" s="956"/>
      <c r="LZ1310" s="956"/>
      <c r="MA1310" s="956"/>
      <c r="MB1310" s="956"/>
      <c r="MC1310" s="956"/>
      <c r="MD1310" s="956"/>
      <c r="ME1310" s="956"/>
      <c r="MF1310" s="956"/>
      <c r="MG1310" s="956"/>
      <c r="MH1310" s="956"/>
      <c r="MI1310" s="956"/>
      <c r="MJ1310" s="956"/>
      <c r="MK1310" s="956"/>
      <c r="ML1310" s="956"/>
      <c r="MM1310" s="956"/>
      <c r="MN1310" s="956"/>
      <c r="MO1310" s="956"/>
      <c r="MP1310" s="956"/>
      <c r="MQ1310" s="956"/>
      <c r="MR1310" s="956"/>
      <c r="MS1310" s="956"/>
      <c r="MT1310" s="956"/>
      <c r="MU1310" s="956"/>
      <c r="MV1310" s="956"/>
      <c r="MW1310" s="956"/>
      <c r="MX1310" s="956"/>
      <c r="MY1310" s="956"/>
      <c r="MZ1310" s="956"/>
      <c r="NA1310" s="956"/>
      <c r="NB1310" s="956"/>
      <c r="NC1310" s="956"/>
      <c r="ND1310" s="956"/>
      <c r="NE1310" s="956"/>
      <c r="NF1310" s="956"/>
      <c r="NG1310" s="956"/>
      <c r="NH1310" s="956"/>
      <c r="NI1310" s="956"/>
      <c r="NJ1310" s="956"/>
      <c r="NK1310" s="956"/>
      <c r="NL1310" s="956"/>
      <c r="NM1310" s="956"/>
      <c r="NN1310" s="956"/>
      <c r="NO1310" s="956"/>
      <c r="NP1310" s="956"/>
      <c r="NQ1310" s="956"/>
      <c r="NR1310" s="956"/>
      <c r="NS1310" s="956"/>
      <c r="NT1310" s="956"/>
      <c r="NU1310" s="956"/>
      <c r="NV1310" s="956"/>
      <c r="NW1310" s="956"/>
      <c r="NX1310" s="956"/>
      <c r="NY1310" s="956"/>
      <c r="NZ1310" s="956"/>
      <c r="OA1310" s="956"/>
      <c r="OB1310" s="956"/>
      <c r="OC1310" s="956"/>
      <c r="OD1310" s="956"/>
      <c r="OE1310" s="956"/>
      <c r="OF1310" s="956"/>
      <c r="OG1310" s="956"/>
      <c r="OH1310" s="956"/>
      <c r="OI1310" s="956"/>
      <c r="OJ1310" s="956"/>
      <c r="OK1310" s="956"/>
      <c r="OL1310" s="956"/>
      <c r="OM1310" s="956"/>
      <c r="ON1310" s="956"/>
      <c r="OO1310" s="956"/>
      <c r="OP1310" s="956"/>
      <c r="OQ1310" s="956"/>
      <c r="OR1310" s="956"/>
      <c r="OS1310" s="956"/>
      <c r="OT1310" s="956"/>
      <c r="OU1310" s="956"/>
      <c r="OV1310" s="956"/>
      <c r="OW1310" s="956"/>
      <c r="OX1310" s="956"/>
      <c r="OY1310" s="956"/>
      <c r="OZ1310" s="956"/>
      <c r="PA1310" s="956"/>
      <c r="PB1310" s="956"/>
      <c r="PC1310" s="956"/>
      <c r="PD1310" s="956"/>
      <c r="PE1310" s="956"/>
      <c r="PF1310" s="956"/>
      <c r="PG1310" s="956"/>
      <c r="PH1310" s="956"/>
      <c r="PI1310" s="956"/>
      <c r="PJ1310" s="956"/>
      <c r="PK1310" s="956"/>
      <c r="PL1310" s="956"/>
      <c r="PM1310" s="956"/>
      <c r="PN1310" s="956"/>
      <c r="PO1310" s="956"/>
      <c r="PP1310" s="956"/>
      <c r="PQ1310" s="956"/>
      <c r="PR1310" s="956"/>
      <c r="PS1310" s="956"/>
      <c r="PT1310" s="956"/>
      <c r="PU1310" s="956"/>
      <c r="PV1310" s="956"/>
      <c r="PW1310" s="956"/>
      <c r="PX1310" s="956"/>
      <c r="PY1310" s="956"/>
      <c r="PZ1310" s="956"/>
      <c r="QA1310" s="956"/>
      <c r="QB1310" s="956"/>
      <c r="QC1310" s="956"/>
      <c r="QD1310" s="956"/>
      <c r="QE1310" s="956"/>
      <c r="QF1310" s="956"/>
      <c r="QG1310" s="956"/>
      <c r="QH1310" s="956"/>
      <c r="QI1310" s="956"/>
      <c r="QJ1310" s="956"/>
      <c r="QK1310" s="956"/>
      <c r="QL1310" s="956"/>
      <c r="QM1310" s="956"/>
      <c r="QN1310" s="956"/>
      <c r="QO1310" s="956"/>
      <c r="QP1310" s="956"/>
      <c r="QQ1310" s="956"/>
      <c r="QR1310" s="956"/>
      <c r="QS1310" s="956"/>
      <c r="QT1310" s="956"/>
      <c r="QU1310" s="956"/>
      <c r="QV1310" s="956"/>
      <c r="QW1310" s="956"/>
      <c r="QX1310" s="956"/>
      <c r="QY1310" s="956"/>
      <c r="QZ1310" s="956"/>
      <c r="RA1310" s="956"/>
      <c r="RB1310" s="956"/>
      <c r="RC1310" s="956"/>
      <c r="RD1310" s="956"/>
      <c r="RE1310" s="956"/>
      <c r="RF1310" s="956"/>
      <c r="RG1310" s="956"/>
      <c r="RH1310" s="956"/>
      <c r="RI1310" s="956"/>
      <c r="RJ1310" s="956"/>
      <c r="RK1310" s="956"/>
      <c r="RL1310" s="956"/>
      <c r="RM1310" s="956"/>
      <c r="RN1310" s="956"/>
      <c r="RO1310" s="956"/>
      <c r="RP1310" s="956"/>
      <c r="RQ1310" s="956"/>
      <c r="RR1310" s="956"/>
      <c r="RS1310" s="956"/>
      <c r="RT1310" s="956"/>
      <c r="RU1310" s="956"/>
      <c r="RV1310" s="956"/>
      <c r="RW1310" s="956"/>
      <c r="RX1310" s="956"/>
      <c r="RY1310" s="956"/>
      <c r="RZ1310" s="956"/>
      <c r="SA1310" s="956"/>
      <c r="SB1310" s="956"/>
      <c r="SC1310" s="956"/>
      <c r="SD1310" s="956"/>
      <c r="SE1310" s="956"/>
      <c r="SF1310" s="956"/>
      <c r="SG1310" s="956"/>
      <c r="SH1310" s="956"/>
      <c r="SI1310" s="956"/>
      <c r="SJ1310" s="956"/>
      <c r="SK1310" s="956"/>
      <c r="SL1310" s="956"/>
      <c r="SM1310" s="956"/>
      <c r="SN1310" s="956"/>
      <c r="SO1310" s="956"/>
      <c r="SP1310" s="956"/>
      <c r="SQ1310" s="956"/>
      <c r="SR1310" s="956"/>
      <c r="SS1310" s="956"/>
      <c r="ST1310" s="956"/>
      <c r="SU1310" s="956"/>
      <c r="SV1310" s="956"/>
      <c r="SW1310" s="956"/>
      <c r="SX1310" s="956"/>
      <c r="SY1310" s="956"/>
      <c r="SZ1310" s="956"/>
      <c r="TA1310" s="956"/>
      <c r="TB1310" s="956"/>
      <c r="TC1310" s="956"/>
      <c r="TD1310" s="956"/>
      <c r="TE1310" s="956"/>
      <c r="TF1310" s="956"/>
      <c r="TG1310" s="956"/>
      <c r="TH1310" s="956"/>
      <c r="TI1310" s="956"/>
      <c r="TJ1310" s="956"/>
      <c r="TK1310" s="956"/>
      <c r="TL1310" s="956"/>
      <c r="TM1310" s="956"/>
      <c r="TN1310" s="956"/>
      <c r="TO1310" s="956"/>
      <c r="TP1310" s="956"/>
      <c r="TQ1310" s="956"/>
      <c r="TR1310" s="956"/>
      <c r="TS1310" s="956"/>
      <c r="TT1310" s="956"/>
      <c r="TU1310" s="956"/>
      <c r="TV1310" s="956"/>
      <c r="TW1310" s="956"/>
      <c r="TX1310" s="956"/>
      <c r="TY1310" s="956"/>
      <c r="TZ1310" s="956"/>
      <c r="UA1310" s="956"/>
      <c r="UB1310" s="956"/>
      <c r="UC1310" s="956"/>
      <c r="UD1310" s="956"/>
      <c r="UE1310" s="956"/>
      <c r="UF1310" s="956"/>
      <c r="UG1310" s="956"/>
      <c r="UH1310" s="956"/>
      <c r="UI1310" s="956"/>
      <c r="UJ1310" s="956"/>
      <c r="UK1310" s="956"/>
      <c r="UL1310" s="956"/>
      <c r="UM1310" s="956"/>
      <c r="UN1310" s="956"/>
      <c r="UO1310" s="956"/>
      <c r="UP1310" s="956"/>
      <c r="UQ1310" s="956"/>
      <c r="UR1310" s="956"/>
      <c r="US1310" s="956"/>
      <c r="UT1310" s="956"/>
      <c r="UU1310" s="956"/>
      <c r="UV1310" s="956"/>
      <c r="UW1310" s="956"/>
      <c r="UX1310" s="956"/>
      <c r="UY1310" s="956"/>
      <c r="UZ1310" s="956"/>
      <c r="VA1310" s="956"/>
      <c r="VB1310" s="956"/>
      <c r="VC1310" s="956"/>
      <c r="VD1310" s="956"/>
      <c r="VE1310" s="956"/>
      <c r="VF1310" s="956"/>
      <c r="VG1310" s="956"/>
      <c r="VH1310" s="956"/>
      <c r="VI1310" s="956"/>
      <c r="VJ1310" s="956"/>
      <c r="VK1310" s="956"/>
      <c r="VL1310" s="956"/>
      <c r="VM1310" s="956"/>
      <c r="VN1310" s="956"/>
      <c r="VO1310" s="956"/>
      <c r="VP1310" s="956"/>
      <c r="VQ1310" s="956"/>
      <c r="VR1310" s="956"/>
      <c r="VS1310" s="956"/>
      <c r="VT1310" s="956"/>
      <c r="VU1310" s="956"/>
      <c r="VV1310" s="956"/>
      <c r="VW1310" s="956"/>
      <c r="VX1310" s="956"/>
      <c r="VY1310" s="956"/>
      <c r="VZ1310" s="956"/>
      <c r="WA1310" s="956"/>
      <c r="WB1310" s="956"/>
      <c r="WC1310" s="956"/>
      <c r="WD1310" s="956"/>
      <c r="WE1310" s="956"/>
      <c r="WF1310" s="956"/>
      <c r="WG1310" s="956"/>
      <c r="WH1310" s="956"/>
      <c r="WI1310" s="956"/>
      <c r="WJ1310" s="956"/>
      <c r="WK1310" s="956"/>
      <c r="WL1310" s="956"/>
      <c r="WM1310" s="956"/>
      <c r="WN1310" s="956"/>
      <c r="WO1310" s="956"/>
      <c r="WP1310" s="956"/>
      <c r="WQ1310" s="956"/>
      <c r="WR1310" s="956"/>
      <c r="WS1310" s="956"/>
      <c r="WT1310" s="956"/>
      <c r="WU1310" s="956"/>
      <c r="WV1310" s="956"/>
      <c r="WW1310" s="956"/>
      <c r="WX1310" s="956"/>
      <c r="WY1310" s="956"/>
      <c r="WZ1310" s="956"/>
      <c r="XA1310" s="956"/>
      <c r="XB1310" s="956"/>
      <c r="XC1310" s="956"/>
      <c r="XD1310" s="956"/>
      <c r="XE1310" s="956"/>
      <c r="XF1310" s="956"/>
      <c r="XG1310" s="956"/>
      <c r="XH1310" s="956"/>
      <c r="XI1310" s="956"/>
      <c r="XJ1310" s="956"/>
      <c r="XK1310" s="956"/>
      <c r="XL1310" s="956"/>
      <c r="XM1310" s="956"/>
      <c r="XN1310" s="956"/>
      <c r="XO1310" s="956"/>
      <c r="XP1310" s="956"/>
      <c r="XQ1310" s="956"/>
      <c r="XR1310" s="956"/>
      <c r="XS1310" s="956"/>
      <c r="XT1310" s="956"/>
      <c r="XU1310" s="956"/>
      <c r="XV1310" s="956"/>
      <c r="XW1310" s="956"/>
      <c r="XX1310" s="956"/>
      <c r="XY1310" s="956"/>
      <c r="XZ1310" s="956"/>
      <c r="YA1310" s="956"/>
      <c r="YB1310" s="956"/>
      <c r="YC1310" s="956"/>
      <c r="YD1310" s="956"/>
      <c r="YE1310" s="956"/>
      <c r="YF1310" s="956"/>
      <c r="YG1310" s="956"/>
      <c r="YH1310" s="956"/>
      <c r="YI1310" s="956"/>
      <c r="YJ1310" s="956"/>
      <c r="YK1310" s="956"/>
      <c r="YL1310" s="956"/>
      <c r="YM1310" s="956"/>
      <c r="YN1310" s="956"/>
      <c r="YO1310" s="956"/>
      <c r="YP1310" s="956"/>
      <c r="YQ1310" s="956"/>
      <c r="YR1310" s="956"/>
      <c r="YS1310" s="956"/>
      <c r="YT1310" s="956"/>
      <c r="YU1310" s="956"/>
      <c r="YV1310" s="956"/>
      <c r="YW1310" s="956"/>
      <c r="YX1310" s="956"/>
      <c r="YY1310" s="956"/>
      <c r="YZ1310" s="956"/>
      <c r="ZA1310" s="956"/>
      <c r="ZB1310" s="956"/>
      <c r="ZC1310" s="956"/>
      <c r="ZD1310" s="956"/>
      <c r="ZE1310" s="956"/>
      <c r="ZF1310" s="956"/>
      <c r="ZG1310" s="956"/>
      <c r="ZH1310" s="956"/>
      <c r="ZI1310" s="956"/>
      <c r="ZJ1310" s="956"/>
      <c r="ZK1310" s="956"/>
      <c r="ZL1310" s="956"/>
      <c r="ZM1310" s="956"/>
      <c r="ZN1310" s="956"/>
      <c r="ZO1310" s="956"/>
      <c r="ZP1310" s="956"/>
      <c r="ZQ1310" s="956"/>
      <c r="ZR1310" s="956"/>
      <c r="ZS1310" s="956"/>
      <c r="ZT1310" s="956"/>
      <c r="ZU1310" s="956"/>
      <c r="ZV1310" s="956"/>
      <c r="ZW1310" s="956"/>
      <c r="ZX1310" s="956"/>
      <c r="ZY1310" s="956"/>
      <c r="ZZ1310" s="956"/>
      <c r="AAA1310" s="956"/>
      <c r="AAB1310" s="956"/>
      <c r="AAC1310" s="956"/>
      <c r="AAD1310" s="956"/>
      <c r="AAE1310" s="956"/>
      <c r="AAF1310" s="956"/>
      <c r="AAG1310" s="956"/>
      <c r="AAH1310" s="956"/>
      <c r="AAI1310" s="956"/>
      <c r="AAJ1310" s="956"/>
      <c r="AAK1310" s="956"/>
      <c r="AAL1310" s="956"/>
      <c r="AAM1310" s="956"/>
      <c r="AAN1310" s="956"/>
      <c r="AAO1310" s="956"/>
      <c r="AAP1310" s="956"/>
      <c r="AAQ1310" s="956"/>
      <c r="AAR1310" s="956"/>
      <c r="AAS1310" s="956"/>
      <c r="AAT1310" s="956"/>
      <c r="AAU1310" s="956"/>
      <c r="AAV1310" s="956"/>
      <c r="AAW1310" s="956"/>
      <c r="AAX1310" s="956"/>
      <c r="AAY1310" s="956"/>
      <c r="AAZ1310" s="956"/>
      <c r="ABA1310" s="956"/>
      <c r="ABB1310" s="956"/>
      <c r="ABC1310" s="956"/>
      <c r="ABD1310" s="956"/>
      <c r="ABE1310" s="956"/>
      <c r="ABF1310" s="956"/>
      <c r="ABG1310" s="956"/>
      <c r="ABH1310" s="956"/>
      <c r="ABI1310" s="956"/>
      <c r="ABJ1310" s="956"/>
      <c r="ABK1310" s="956"/>
      <c r="ABL1310" s="956"/>
      <c r="ABM1310" s="956"/>
      <c r="ABN1310" s="956"/>
      <c r="ABO1310" s="956"/>
      <c r="ABP1310" s="956"/>
      <c r="ABQ1310" s="956"/>
      <c r="ABR1310" s="956"/>
      <c r="ABS1310" s="956"/>
      <c r="ABT1310" s="956"/>
      <c r="ABU1310" s="956"/>
      <c r="ABV1310" s="956"/>
      <c r="ABW1310" s="956"/>
      <c r="ABX1310" s="956"/>
      <c r="ABY1310" s="956"/>
      <c r="ABZ1310" s="956"/>
      <c r="ACA1310" s="956"/>
      <c r="ACB1310" s="956"/>
      <c r="ACC1310" s="956"/>
      <c r="ACD1310" s="956"/>
      <c r="ACE1310" s="956"/>
      <c r="ACF1310" s="956"/>
      <c r="ACG1310" s="956"/>
      <c r="ACH1310" s="956"/>
      <c r="ACI1310" s="956"/>
      <c r="ACJ1310" s="956"/>
      <c r="ACK1310" s="956"/>
      <c r="ACL1310" s="956"/>
      <c r="ACM1310" s="956"/>
      <c r="ACN1310" s="956"/>
      <c r="ACO1310" s="956"/>
      <c r="ACP1310" s="956"/>
      <c r="ACQ1310" s="956"/>
      <c r="ACR1310" s="956"/>
      <c r="ACS1310" s="956"/>
      <c r="ACT1310" s="956"/>
      <c r="ACU1310" s="956"/>
      <c r="ACV1310" s="956"/>
      <c r="ACW1310" s="956"/>
      <c r="ACX1310" s="956"/>
      <c r="ACY1310" s="956"/>
      <c r="ACZ1310" s="956"/>
      <c r="ADA1310" s="956"/>
      <c r="ADB1310" s="956"/>
      <c r="ADC1310" s="956"/>
      <c r="ADD1310" s="956"/>
      <c r="ADE1310" s="956"/>
      <c r="ADF1310" s="956"/>
      <c r="ADG1310" s="956"/>
      <c r="ADH1310" s="956"/>
      <c r="ADI1310" s="956"/>
      <c r="ADJ1310" s="956"/>
      <c r="ADK1310" s="956"/>
      <c r="ADL1310" s="956"/>
      <c r="ADM1310" s="956"/>
      <c r="ADN1310" s="956"/>
      <c r="ADO1310" s="956"/>
      <c r="ADP1310" s="956"/>
      <c r="ADQ1310" s="956"/>
      <c r="ADR1310" s="956"/>
      <c r="ADS1310" s="956"/>
      <c r="ADT1310" s="956"/>
      <c r="ADU1310" s="956"/>
      <c r="ADV1310" s="956"/>
      <c r="ADW1310" s="956"/>
      <c r="ADX1310" s="956"/>
      <c r="ADY1310" s="956"/>
      <c r="ADZ1310" s="956"/>
      <c r="AEA1310" s="956"/>
      <c r="AEB1310" s="956"/>
      <c r="AEC1310" s="956"/>
      <c r="AED1310" s="956"/>
      <c r="AEE1310" s="956"/>
      <c r="AEF1310" s="956"/>
      <c r="AEG1310" s="956"/>
      <c r="AEH1310" s="956"/>
      <c r="AEI1310" s="956"/>
      <c r="AEJ1310" s="956"/>
      <c r="AEK1310" s="956"/>
      <c r="AEL1310" s="956"/>
      <c r="AEM1310" s="956"/>
      <c r="AEN1310" s="956"/>
      <c r="AEO1310" s="956"/>
      <c r="AEP1310" s="956"/>
      <c r="AEQ1310" s="956"/>
      <c r="AER1310" s="956"/>
      <c r="AES1310" s="956"/>
      <c r="AET1310" s="956"/>
      <c r="AEU1310" s="956"/>
      <c r="AEV1310" s="956"/>
      <c r="AEW1310" s="956"/>
      <c r="AEX1310" s="956"/>
      <c r="AEY1310" s="956"/>
      <c r="AEZ1310" s="956"/>
      <c r="AFA1310" s="956"/>
      <c r="AFB1310" s="956"/>
      <c r="AFC1310" s="956"/>
      <c r="AFD1310" s="956"/>
      <c r="AFE1310" s="956"/>
      <c r="AFF1310" s="956"/>
      <c r="AFG1310" s="956"/>
      <c r="AFH1310" s="956"/>
      <c r="AFI1310" s="956"/>
      <c r="AFJ1310" s="956"/>
      <c r="AFK1310" s="956"/>
      <c r="AFL1310" s="956"/>
      <c r="AFM1310" s="956"/>
      <c r="AFN1310" s="956"/>
      <c r="AFO1310" s="956"/>
      <c r="AFP1310" s="956"/>
      <c r="AFQ1310" s="956"/>
      <c r="AFR1310" s="956"/>
      <c r="AFS1310" s="956"/>
      <c r="AFT1310" s="956"/>
      <c r="AFU1310" s="956"/>
      <c r="AFV1310" s="956"/>
      <c r="AFW1310" s="956"/>
      <c r="AFX1310" s="956"/>
      <c r="AFY1310" s="956"/>
      <c r="AFZ1310" s="956"/>
      <c r="AGA1310" s="956"/>
      <c r="AGB1310" s="956"/>
      <c r="AGC1310" s="956"/>
      <c r="AGD1310" s="956"/>
      <c r="AGE1310" s="956"/>
      <c r="AGF1310" s="956"/>
      <c r="AGG1310" s="956"/>
      <c r="AGH1310" s="956"/>
      <c r="AGI1310" s="956"/>
      <c r="AGJ1310" s="956"/>
    </row>
    <row r="1311" spans="1:868">
      <c r="A1311" s="920" t="str">
        <f>Clothing!A734</f>
        <v>Footwear wearing (soles)</v>
      </c>
      <c r="B1311" s="920" t="str">
        <f>Clothing!B734</f>
        <v>Indoor floors (micro)</v>
      </c>
      <c r="C1311" s="920" t="str">
        <f>Clothing!C734</f>
        <v>any</v>
      </c>
      <c r="D1311" s="920" t="str">
        <f>Clothing!D734</f>
        <v>any</v>
      </c>
      <c r="E1311" s="920" t="str">
        <f>Clothing!E734</f>
        <v>rest</v>
      </c>
      <c r="F1311" s="920">
        <f>Clothing!F734</f>
        <v>1</v>
      </c>
      <c r="G1311" s="920" t="str">
        <f>Clothing!G734</f>
        <v>Assumption: 30% of the wearing of shoes happens inside, rest outside</v>
      </c>
      <c r="H1311" s="911"/>
      <c r="I1311" s="911"/>
      <c r="J1311" s="911"/>
      <c r="K1311" s="911"/>
      <c r="L1311" s="911"/>
      <c r="M1311" s="911"/>
      <c r="N1311" s="185" t="str">
        <f t="shared" si="97"/>
        <v/>
      </c>
      <c r="O1311" s="159" t="str">
        <f t="shared" si="98"/>
        <v/>
      </c>
    </row>
    <row r="1312" spans="1:868">
      <c r="A1312" s="919" t="str">
        <f>Clothing!A735</f>
        <v>Footwear wearing (soles)</v>
      </c>
      <c r="B1312" s="919" t="str">
        <f>Clothing!B735</f>
        <v>Natural soil (micro)</v>
      </c>
      <c r="C1312" s="919" t="str">
        <f>Clothing!C735</f>
        <v>any</v>
      </c>
      <c r="D1312" s="919" t="str">
        <f>Clothing!D735</f>
        <v>any</v>
      </c>
      <c r="E1312" s="919">
        <f>Clothing!E735</f>
        <v>0.1</v>
      </c>
      <c r="F1312" s="919">
        <f>Clothing!F735</f>
        <v>2</v>
      </c>
      <c r="G1312" s="919" t="str">
        <f>Clothing!G735</f>
        <v>Assumption: 10% of the wearing of shoes happens in nature</v>
      </c>
      <c r="H1312" s="911">
        <f>Clothing!H735</f>
        <v>3</v>
      </c>
      <c r="I1312" s="911">
        <f>Clothing!I735</f>
        <v>3</v>
      </c>
      <c r="J1312" s="911">
        <f>Clothing!J735</f>
        <v>3</v>
      </c>
      <c r="K1312" s="911">
        <f>Clothing!K735</f>
        <v>3</v>
      </c>
      <c r="L1312" s="911">
        <f>Clothing!L735</f>
        <v>3</v>
      </c>
      <c r="M1312" s="911">
        <f>Clothing!M735</f>
        <v>3</v>
      </c>
      <c r="N1312" s="185">
        <f t="shared" si="97"/>
        <v>1.2132328390150593</v>
      </c>
      <c r="O1312" s="159">
        <f t="shared" si="98"/>
        <v>1.2132328390150593</v>
      </c>
    </row>
    <row r="1313" spans="1:868" ht="15.75" thickBot="1">
      <c r="A1313" s="913" t="str">
        <f>Clothing!A736</f>
        <v>Footwear wearing (soles)</v>
      </c>
      <c r="B1313" s="913" t="str">
        <f>Clothing!B736</f>
        <v>Urban roads</v>
      </c>
      <c r="C1313" s="913" t="str">
        <f>Clothing!C736</f>
        <v>any</v>
      </c>
      <c r="D1313" s="913" t="str">
        <f>Clothing!D736</f>
        <v>any</v>
      </c>
      <c r="E1313" s="913">
        <f>Clothing!E736</f>
        <v>0.6</v>
      </c>
      <c r="F1313" s="913">
        <f>Clothing!F736</f>
        <v>2</v>
      </c>
      <c r="G1313" s="913" t="str">
        <f>Clothing!G736</f>
        <v>Assumption: 30% of the wearing of shoes happens inside, rest outside</v>
      </c>
      <c r="H1313" s="911">
        <f>Clothing!H736</f>
        <v>3</v>
      </c>
      <c r="I1313" s="911">
        <f>Clothing!I736</f>
        <v>3</v>
      </c>
      <c r="J1313" s="911">
        <f>Clothing!J736</f>
        <v>3</v>
      </c>
      <c r="K1313" s="911">
        <f>Clothing!K736</f>
        <v>3</v>
      </c>
      <c r="L1313" s="911">
        <f>Clothing!L736</f>
        <v>3</v>
      </c>
      <c r="M1313" s="911">
        <f>Clothing!M736</f>
        <v>3</v>
      </c>
      <c r="N1313" s="185">
        <f t="shared" si="97"/>
        <v>1.2132328390150593</v>
      </c>
      <c r="O1313" s="159">
        <f t="shared" si="98"/>
        <v>1.2132328390150593</v>
      </c>
    </row>
    <row r="1314" spans="1:868" ht="15.75" thickBot="1">
      <c r="A1314" s="920" t="str">
        <f>Clothing!A738</f>
        <v>Footwear wearing (uppers)</v>
      </c>
      <c r="B1314" s="920" t="str">
        <f>Clothing!B738</f>
        <v>Indoor air (micro)</v>
      </c>
      <c r="C1314" s="920" t="str">
        <f>Clothing!C738</f>
        <v>any</v>
      </c>
      <c r="D1314" s="920" t="str">
        <f>Clothing!D738</f>
        <v>any</v>
      </c>
      <c r="E1314" s="920">
        <f>Clothing!E738</f>
        <v>0.30000000000000004</v>
      </c>
      <c r="F1314" s="920">
        <f>Clothing!F738</f>
        <v>2</v>
      </c>
      <c r="G1314" s="920" t="str">
        <f>Clothing!G738</f>
        <v>Assumption: 30% of the wearing of shoes happens inside, rest outside</v>
      </c>
      <c r="H1314" s="954">
        <f>Clothing!H738</f>
        <v>3</v>
      </c>
      <c r="I1314" s="954">
        <f>Clothing!I738</f>
        <v>3</v>
      </c>
      <c r="J1314" s="954">
        <f>Clothing!J738</f>
        <v>3</v>
      </c>
      <c r="K1314" s="954">
        <f>Clothing!K738</f>
        <v>3</v>
      </c>
      <c r="L1314" s="954">
        <f>Clothing!L738</f>
        <v>3</v>
      </c>
      <c r="M1314" s="954">
        <f>Clothing!M738</f>
        <v>3</v>
      </c>
      <c r="N1314" s="185">
        <f t="shared" si="97"/>
        <v>1.2132328390150593</v>
      </c>
      <c r="O1314" s="159">
        <f t="shared" si="98"/>
        <v>1.2132328390150593</v>
      </c>
    </row>
    <row r="1315" spans="1:868" ht="15.75" thickBot="1">
      <c r="A1315" s="913" t="str">
        <f>Clothing!A739</f>
        <v>Footwear wearing (uppers)</v>
      </c>
      <c r="B1315" s="913" t="str">
        <f>Clothing!B739</f>
        <v>Outdoor air (micro)</v>
      </c>
      <c r="C1315" s="913" t="str">
        <f>Clothing!C739</f>
        <v>any</v>
      </c>
      <c r="D1315" s="913" t="str">
        <f>Clothing!D739</f>
        <v>any</v>
      </c>
      <c r="E1315" s="913" t="str">
        <f>Clothing!E739</f>
        <v>rest</v>
      </c>
      <c r="F1315" s="913">
        <f>Clothing!F739</f>
        <v>1</v>
      </c>
      <c r="G1315" s="913" t="str">
        <f>Clothing!G739</f>
        <v>Assumption: 30% of the wearing of shoes happens inside, rest outside</v>
      </c>
      <c r="H1315" s="911"/>
      <c r="I1315" s="911"/>
      <c r="J1315" s="911"/>
      <c r="K1315" s="911"/>
      <c r="L1315" s="911"/>
      <c r="M1315" s="911"/>
      <c r="N1315" s="185" t="str">
        <f t="shared" si="97"/>
        <v/>
      </c>
      <c r="O1315" s="159" t="str">
        <f t="shared" si="98"/>
        <v/>
      </c>
    </row>
    <row r="1316" spans="1:868">
      <c r="A1316" s="898" t="str">
        <f>Clothing!A337</f>
        <v>Transport of primary plastics</v>
      </c>
      <c r="B1316" s="898" t="str">
        <f>Clothing!B337</f>
        <v>Manufacturing of clothing</v>
      </c>
      <c r="C1316" s="898" t="str">
        <f>Clothing!C337</f>
        <v>EU</v>
      </c>
      <c r="D1316" s="898" t="str">
        <f>Clothing!D337</f>
        <v>OTHER</v>
      </c>
      <c r="E1316" s="898">
        <f>Clothing!E337</f>
        <v>3.389864231937407E-3</v>
      </c>
      <c r="F1316" s="898">
        <f>Clothing!F337</f>
        <v>2</v>
      </c>
      <c r="G1316" s="898" t="str">
        <f>Clothing!G337</f>
        <v>https://ec.europa.eu/eurostat/databrowser/view/DS-056120__custom_15192557/default/table?lang=en - Low estimate</v>
      </c>
      <c r="H1316" s="911"/>
      <c r="I1316" s="911">
        <f>Clothing!I337</f>
        <v>1</v>
      </c>
      <c r="J1316" s="911">
        <f>Clothing!J337</f>
        <v>1</v>
      </c>
      <c r="K1316" s="911">
        <f>Clothing!K337</f>
        <v>2</v>
      </c>
      <c r="L1316" s="911">
        <f>Clothing!L337</f>
        <v>2</v>
      </c>
      <c r="M1316" s="911">
        <f>Clothing!M337</f>
        <v>2</v>
      </c>
      <c r="N1316" s="185" t="str">
        <f t="shared" si="97"/>
        <v/>
      </c>
      <c r="O1316" s="159">
        <f t="shared" si="98"/>
        <v>0.37356464144298934</v>
      </c>
    </row>
    <row r="1317" spans="1:868">
      <c r="A1317" s="898" t="str">
        <f>Clothing!A338</f>
        <v>Transport of primary plastics</v>
      </c>
      <c r="B1317" s="898" t="str">
        <f>Clothing!B338</f>
        <v>Manufacturing of clothing</v>
      </c>
      <c r="C1317" s="898" t="str">
        <f>Clothing!C338</f>
        <v>EU</v>
      </c>
      <c r="D1317" s="898" t="str">
        <f>Clothing!D338</f>
        <v>PA</v>
      </c>
      <c r="E1317" s="898">
        <f>Clothing!E338</f>
        <v>3.3558127324363765E-2</v>
      </c>
      <c r="F1317" s="898">
        <f>Clothing!F338</f>
        <v>2</v>
      </c>
      <c r="G1317" s="898" t="str">
        <f>Clothing!G338</f>
        <v>https://ec.europa.eu/eurostat/databrowser/view/DS-056120__custom_15192557/default/table?lang=en - Low estimate</v>
      </c>
      <c r="H1317" s="911"/>
      <c r="I1317" s="911">
        <f>Clothing!I338</f>
        <v>1</v>
      </c>
      <c r="J1317" s="911">
        <f>Clothing!J338</f>
        <v>1</v>
      </c>
      <c r="K1317" s="911">
        <f>Clothing!K338</f>
        <v>2</v>
      </c>
      <c r="L1317" s="911">
        <f>Clothing!L338</f>
        <v>2</v>
      </c>
      <c r="M1317" s="911">
        <f>Clothing!M338</f>
        <v>2</v>
      </c>
      <c r="N1317" s="185" t="str">
        <f t="shared" si="97"/>
        <v/>
      </c>
      <c r="O1317" s="159">
        <f t="shared" si="98"/>
        <v>0.37356464144298934</v>
      </c>
    </row>
    <row r="1318" spans="1:868">
      <c r="A1318" s="898" t="str">
        <f>Clothing!A339</f>
        <v>Transport of primary plastics</v>
      </c>
      <c r="B1318" s="898" t="str">
        <f>Clothing!B339</f>
        <v>Manufacturing of clothing</v>
      </c>
      <c r="C1318" s="898" t="str">
        <f>Clothing!C339</f>
        <v>EU</v>
      </c>
      <c r="D1318" s="898" t="str">
        <f>Clothing!D339</f>
        <v>PET</v>
      </c>
      <c r="E1318" s="898">
        <f>Clothing!E339</f>
        <v>6.5245676197436375E-2</v>
      </c>
      <c r="F1318" s="898">
        <f>Clothing!F339</f>
        <v>2</v>
      </c>
      <c r="G1318" s="898" t="str">
        <f>Clothing!G339</f>
        <v>https://ec.europa.eu/eurostat/databrowser/view/DS-056120__custom_15192557/default/table?lang=en - Low estimate</v>
      </c>
      <c r="H1318" s="911"/>
      <c r="I1318" s="911">
        <f>Clothing!I339</f>
        <v>1</v>
      </c>
      <c r="J1318" s="911">
        <f>Clothing!J339</f>
        <v>1</v>
      </c>
      <c r="K1318" s="911">
        <f>Clothing!K339</f>
        <v>2</v>
      </c>
      <c r="L1318" s="911">
        <f>Clothing!L339</f>
        <v>2</v>
      </c>
      <c r="M1318" s="911">
        <f>Clothing!M339</f>
        <v>2</v>
      </c>
      <c r="N1318" s="185" t="str">
        <f t="shared" si="97"/>
        <v/>
      </c>
      <c r="O1318" s="159">
        <f t="shared" si="98"/>
        <v>0.37356464144298934</v>
      </c>
    </row>
    <row r="1319" spans="1:868">
      <c r="A1319" s="898" t="str">
        <f>Clothing!A340</f>
        <v>Transport of primary plastics</v>
      </c>
      <c r="B1319" s="898" t="str">
        <f>Clothing!B340</f>
        <v>Manufacturing of clothing</v>
      </c>
      <c r="C1319" s="898" t="str">
        <f>Clothing!C340</f>
        <v>EU</v>
      </c>
      <c r="D1319" s="898" t="str">
        <f>Clothing!D340</f>
        <v>PUR</v>
      </c>
      <c r="E1319" s="898">
        <f>Clothing!E340</f>
        <v>2.2222566857701978E-2</v>
      </c>
      <c r="F1319" s="898">
        <f>Clothing!F340</f>
        <v>2</v>
      </c>
      <c r="G1319" s="898" t="str">
        <f>Clothing!G340</f>
        <v>https://ec.europa.eu/eurostat/databrowser/view/DS-056120__custom_15192557/default/table?lang=en - Low estimate</v>
      </c>
      <c r="H1319" s="911"/>
      <c r="I1319" s="911">
        <f>Clothing!I340</f>
        <v>1</v>
      </c>
      <c r="J1319" s="911">
        <f>Clothing!J340</f>
        <v>1</v>
      </c>
      <c r="K1319" s="911">
        <f>Clothing!K340</f>
        <v>2</v>
      </c>
      <c r="L1319" s="911">
        <f>Clothing!L340</f>
        <v>2</v>
      </c>
      <c r="M1319" s="911">
        <f>Clothing!M340</f>
        <v>2</v>
      </c>
      <c r="N1319" s="185" t="str">
        <f t="shared" si="97"/>
        <v/>
      </c>
      <c r="O1319" s="159">
        <f t="shared" si="98"/>
        <v>0.37356464144298934</v>
      </c>
    </row>
    <row r="1320" spans="1:868">
      <c r="A1320" s="898" t="str">
        <f>Clothing!A341</f>
        <v>Transport of primary plastics</v>
      </c>
      <c r="B1320" s="898" t="str">
        <f>Clothing!B341</f>
        <v>Manufacturing of clothing</v>
      </c>
      <c r="C1320" s="898" t="str">
        <f>Clothing!C341</f>
        <v>EU</v>
      </c>
      <c r="D1320" s="898" t="str">
        <f>Clothing!D341</f>
        <v>PVC</v>
      </c>
      <c r="E1320" s="898">
        <f>Clothing!E341</f>
        <v>6.0053267147578086E-3</v>
      </c>
      <c r="F1320" s="898">
        <f>Clothing!F341</f>
        <v>2</v>
      </c>
      <c r="G1320" s="898" t="str">
        <f>Clothing!G341</f>
        <v>https://ec.europa.eu/eurostat/databrowser/view/DS-056120__custom_15192557/default/table?lang=en - Low estimate</v>
      </c>
      <c r="H1320" s="911"/>
      <c r="I1320" s="911">
        <f>Clothing!I341</f>
        <v>1</v>
      </c>
      <c r="J1320" s="911">
        <f>Clothing!J341</f>
        <v>1</v>
      </c>
      <c r="K1320" s="911">
        <f>Clothing!K341</f>
        <v>2</v>
      </c>
      <c r="L1320" s="911">
        <f>Clothing!L341</f>
        <v>2</v>
      </c>
      <c r="M1320" s="911">
        <f>Clothing!M341</f>
        <v>2</v>
      </c>
      <c r="N1320" s="185" t="str">
        <f t="shared" si="97"/>
        <v/>
      </c>
      <c r="O1320" s="159">
        <f t="shared" si="98"/>
        <v>0.37356464144298934</v>
      </c>
    </row>
    <row r="1321" spans="1:868">
      <c r="A1321" s="898" t="str">
        <f>Clothing!A342</f>
        <v>Transport of primary plastics</v>
      </c>
      <c r="B1321" s="898" t="str">
        <f>Clothing!B342</f>
        <v>Manufacturing of clothing</v>
      </c>
      <c r="C1321" s="898" t="str">
        <f>Clothing!C342</f>
        <v>EU</v>
      </c>
      <c r="D1321" s="898" t="str">
        <f>Clothing!D342</f>
        <v>OTHER</v>
      </c>
      <c r="E1321" s="898">
        <f>Clothing!E342</f>
        <v>4.0038574593119361E-3</v>
      </c>
      <c r="F1321" s="898">
        <f>Clothing!F342</f>
        <v>2</v>
      </c>
      <c r="G1321" s="898" t="str">
        <f>Clothing!G342</f>
        <v>https://ec.europa.eu/eurostat/databrowser/view/DS-056120__custom_15192557/default/table?lang=en - High estimate</v>
      </c>
      <c r="H1321" s="911"/>
      <c r="I1321" s="911">
        <f>Clothing!I342</f>
        <v>1</v>
      </c>
      <c r="J1321" s="911">
        <f>Clothing!J342</f>
        <v>1</v>
      </c>
      <c r="K1321" s="911">
        <f>Clothing!K342</f>
        <v>2</v>
      </c>
      <c r="L1321" s="911">
        <f>Clothing!L342</f>
        <v>2</v>
      </c>
      <c r="M1321" s="911">
        <f>Clothing!M342</f>
        <v>2</v>
      </c>
      <c r="N1321" s="185" t="str">
        <f t="shared" si="97"/>
        <v/>
      </c>
      <c r="O1321" s="159">
        <f t="shared" si="98"/>
        <v>0.37356464144298934</v>
      </c>
    </row>
    <row r="1322" spans="1:868">
      <c r="A1322" s="898" t="str">
        <f>Clothing!A343</f>
        <v>Transport of primary plastics</v>
      </c>
      <c r="B1322" s="898" t="str">
        <f>Clothing!B343</f>
        <v>Manufacturing of clothing</v>
      </c>
      <c r="C1322" s="898" t="str">
        <f>Clothing!C343</f>
        <v>EU</v>
      </c>
      <c r="D1322" s="898" t="str">
        <f>Clothing!D343</f>
        <v>PA</v>
      </c>
      <c r="E1322" s="898">
        <f>Clothing!E343</f>
        <v>3.96363834109668E-2</v>
      </c>
      <c r="F1322" s="898">
        <f>Clothing!F343</f>
        <v>2</v>
      </c>
      <c r="G1322" s="898" t="str">
        <f>Clothing!G343</f>
        <v>https://ec.europa.eu/eurostat/databrowser/view/DS-056120__custom_15192557/default/table?lang=en - High estimate</v>
      </c>
      <c r="H1322" s="911"/>
      <c r="I1322" s="911">
        <f>Clothing!I343</f>
        <v>1</v>
      </c>
      <c r="J1322" s="911">
        <f>Clothing!J343</f>
        <v>1</v>
      </c>
      <c r="K1322" s="911">
        <f>Clothing!K343</f>
        <v>2</v>
      </c>
      <c r="L1322" s="911">
        <f>Clothing!L343</f>
        <v>2</v>
      </c>
      <c r="M1322" s="911">
        <f>Clothing!M343</f>
        <v>2</v>
      </c>
      <c r="N1322" s="185" t="str">
        <f t="shared" si="97"/>
        <v/>
      </c>
      <c r="O1322" s="159">
        <f t="shared" si="98"/>
        <v>0.37356464144298934</v>
      </c>
    </row>
    <row r="1323" spans="1:868">
      <c r="A1323" s="898" t="str">
        <f>Clothing!A344</f>
        <v>Transport of primary plastics</v>
      </c>
      <c r="B1323" s="898" t="str">
        <f>Clothing!B344</f>
        <v>Manufacturing of clothing</v>
      </c>
      <c r="C1323" s="898" t="str">
        <f>Clothing!C344</f>
        <v>EU</v>
      </c>
      <c r="D1323" s="898" t="str">
        <f>Clothing!D344</f>
        <v>PET</v>
      </c>
      <c r="E1323" s="898">
        <f>Clothing!E344</f>
        <v>7.7063377603666952E-2</v>
      </c>
      <c r="F1323" s="898">
        <f>Clothing!F344</f>
        <v>2</v>
      </c>
      <c r="G1323" s="898" t="str">
        <f>Clothing!G344</f>
        <v>https://ec.europa.eu/eurostat/databrowser/view/DS-056120__custom_15192557/default/table?lang=en - High estimate</v>
      </c>
      <c r="H1323" s="911"/>
      <c r="I1323" s="911">
        <f>Clothing!I344</f>
        <v>1</v>
      </c>
      <c r="J1323" s="911">
        <f>Clothing!J344</f>
        <v>1</v>
      </c>
      <c r="K1323" s="911">
        <f>Clothing!K344</f>
        <v>2</v>
      </c>
      <c r="L1323" s="911">
        <f>Clothing!L344</f>
        <v>2</v>
      </c>
      <c r="M1323" s="911">
        <f>Clothing!M344</f>
        <v>2</v>
      </c>
      <c r="N1323" s="185" t="str">
        <f t="shared" si="97"/>
        <v/>
      </c>
      <c r="O1323" s="159">
        <f t="shared" si="98"/>
        <v>0.37356464144298934</v>
      </c>
    </row>
    <row r="1324" spans="1:868">
      <c r="A1324" s="898" t="str">
        <f>Clothing!A345</f>
        <v>Transport of primary plastics</v>
      </c>
      <c r="B1324" s="898" t="str">
        <f>Clothing!B345</f>
        <v>Manufacturing of clothing</v>
      </c>
      <c r="C1324" s="898" t="str">
        <f>Clothing!C345</f>
        <v>EU</v>
      </c>
      <c r="D1324" s="898" t="str">
        <f>Clothing!D345</f>
        <v>PUR</v>
      </c>
      <c r="E1324" s="898">
        <f>Clothing!E345</f>
        <v>2.6247655950343441E-2</v>
      </c>
      <c r="F1324" s="898">
        <f>Clothing!F345</f>
        <v>2</v>
      </c>
      <c r="G1324" s="898" t="str">
        <f>Clothing!G345</f>
        <v>https://ec.europa.eu/eurostat/databrowser/view/DS-056120__custom_15192557/default/table?lang=en - High estimate</v>
      </c>
      <c r="H1324" s="911"/>
      <c r="I1324" s="911">
        <f>Clothing!I345</f>
        <v>1</v>
      </c>
      <c r="J1324" s="911">
        <f>Clothing!J345</f>
        <v>1</v>
      </c>
      <c r="K1324" s="911">
        <f>Clothing!K345</f>
        <v>2</v>
      </c>
      <c r="L1324" s="911">
        <f>Clothing!L345</f>
        <v>2</v>
      </c>
      <c r="M1324" s="911">
        <f>Clothing!M345</f>
        <v>2</v>
      </c>
      <c r="N1324" s="185" t="str">
        <f t="shared" si="97"/>
        <v/>
      </c>
      <c r="O1324" s="159">
        <f t="shared" si="98"/>
        <v>0.37356464144298934</v>
      </c>
    </row>
    <row r="1325" spans="1:868" s="210" customFormat="1" ht="15.75" thickBot="1">
      <c r="A1325" s="913" t="str">
        <f>Clothing!A346</f>
        <v>Transport of primary plastics</v>
      </c>
      <c r="B1325" s="913" t="str">
        <f>Clothing!B346</f>
        <v>Manufacturing of clothing</v>
      </c>
      <c r="C1325" s="913" t="str">
        <f>Clothing!C346</f>
        <v>EU</v>
      </c>
      <c r="D1325" s="913" t="str">
        <f>Clothing!D346</f>
        <v>PVC</v>
      </c>
      <c r="E1325" s="913">
        <f>Clothing!E346</f>
        <v>7.0930487232953796E-3</v>
      </c>
      <c r="F1325" s="913">
        <f>Clothing!F346</f>
        <v>2</v>
      </c>
      <c r="G1325" s="913" t="str">
        <f>Clothing!G346</f>
        <v>https://ec.europa.eu/eurostat/databrowser/view/DS-056120__custom_15192557/default/table?lang=en - High estimate</v>
      </c>
      <c r="H1325" s="911"/>
      <c r="I1325" s="911">
        <f>Clothing!I346</f>
        <v>1</v>
      </c>
      <c r="J1325" s="911">
        <f>Clothing!J346</f>
        <v>1</v>
      </c>
      <c r="K1325" s="911">
        <f>Clothing!K346</f>
        <v>2</v>
      </c>
      <c r="L1325" s="911">
        <f>Clothing!L346</f>
        <v>2</v>
      </c>
      <c r="M1325" s="911">
        <f>Clothing!M346</f>
        <v>2</v>
      </c>
      <c r="N1325" s="185" t="str">
        <f t="shared" si="97"/>
        <v/>
      </c>
      <c r="O1325" s="159">
        <f t="shared" si="98"/>
        <v>0.37356464144298934</v>
      </c>
      <c r="P1325" s="955"/>
      <c r="Q1325" s="956"/>
      <c r="R1325" s="956"/>
      <c r="S1325" s="956"/>
      <c r="T1325" s="956"/>
      <c r="U1325" s="956"/>
      <c r="V1325" s="956"/>
      <c r="W1325" s="956"/>
      <c r="X1325" s="956"/>
      <c r="Y1325" s="956"/>
      <c r="Z1325" s="956"/>
      <c r="AA1325" s="956"/>
      <c r="AB1325" s="956"/>
      <c r="AC1325" s="956"/>
      <c r="AD1325" s="956"/>
      <c r="AE1325" s="956"/>
      <c r="AF1325" s="956"/>
      <c r="AG1325" s="956"/>
      <c r="AH1325" s="956"/>
      <c r="AI1325" s="956"/>
      <c r="AJ1325" s="956"/>
      <c r="AK1325" s="956"/>
      <c r="AL1325" s="956"/>
      <c r="AM1325" s="956"/>
      <c r="AN1325" s="956"/>
      <c r="AO1325" s="956"/>
      <c r="AP1325" s="956"/>
      <c r="AQ1325" s="956"/>
      <c r="AR1325" s="956"/>
      <c r="AS1325" s="956"/>
      <c r="AT1325" s="956"/>
      <c r="AU1325" s="956"/>
      <c r="AV1325" s="956"/>
      <c r="AW1325" s="956"/>
      <c r="AX1325" s="956"/>
      <c r="AY1325" s="956"/>
      <c r="AZ1325" s="956"/>
      <c r="BA1325" s="956"/>
      <c r="BB1325" s="956"/>
      <c r="BC1325" s="956"/>
      <c r="BD1325" s="956"/>
      <c r="BE1325" s="956"/>
      <c r="BF1325" s="956"/>
      <c r="BG1325" s="956"/>
      <c r="BH1325" s="956"/>
      <c r="BI1325" s="956"/>
      <c r="BJ1325" s="956"/>
      <c r="BK1325" s="956"/>
      <c r="BL1325" s="956"/>
      <c r="BM1325" s="956"/>
      <c r="BN1325" s="956"/>
      <c r="BO1325" s="956"/>
      <c r="BP1325" s="956"/>
      <c r="BQ1325" s="956"/>
      <c r="BR1325" s="956"/>
      <c r="BS1325" s="956"/>
      <c r="BT1325" s="956"/>
      <c r="BU1325" s="956"/>
      <c r="BV1325" s="956"/>
      <c r="BW1325" s="956"/>
      <c r="BX1325" s="956"/>
      <c r="BY1325" s="956"/>
      <c r="BZ1325" s="956"/>
      <c r="CA1325" s="956"/>
      <c r="CB1325" s="956"/>
      <c r="CC1325" s="956"/>
      <c r="CD1325" s="956"/>
      <c r="CE1325" s="956"/>
      <c r="CF1325" s="956"/>
      <c r="CG1325" s="956"/>
      <c r="CH1325" s="956"/>
      <c r="CI1325" s="956"/>
      <c r="CJ1325" s="956"/>
      <c r="CK1325" s="956"/>
      <c r="CL1325" s="956"/>
      <c r="CM1325" s="956"/>
      <c r="CN1325" s="956"/>
      <c r="CO1325" s="956"/>
      <c r="CP1325" s="956"/>
      <c r="CQ1325" s="956"/>
      <c r="CR1325" s="956"/>
      <c r="CS1325" s="956"/>
      <c r="CT1325" s="956"/>
      <c r="CU1325" s="956"/>
      <c r="CV1325" s="956"/>
      <c r="CW1325" s="956"/>
      <c r="CX1325" s="956"/>
      <c r="CY1325" s="956"/>
      <c r="CZ1325" s="956"/>
      <c r="DA1325" s="956"/>
      <c r="DB1325" s="956"/>
      <c r="DC1325" s="956"/>
      <c r="DD1325" s="956"/>
      <c r="DE1325" s="956"/>
      <c r="DF1325" s="956"/>
      <c r="DG1325" s="956"/>
      <c r="DH1325" s="956"/>
      <c r="DI1325" s="956"/>
      <c r="DJ1325" s="956"/>
      <c r="DK1325" s="956"/>
      <c r="DL1325" s="956"/>
      <c r="DM1325" s="956"/>
      <c r="DN1325" s="956"/>
      <c r="DO1325" s="956"/>
      <c r="DP1325" s="956"/>
      <c r="DQ1325" s="956"/>
      <c r="DR1325" s="956"/>
      <c r="DS1325" s="956"/>
      <c r="DT1325" s="956"/>
      <c r="DU1325" s="956"/>
      <c r="DV1325" s="956"/>
      <c r="DW1325" s="956"/>
      <c r="DX1325" s="956"/>
      <c r="DY1325" s="956"/>
      <c r="DZ1325" s="956"/>
      <c r="EA1325" s="956"/>
      <c r="EB1325" s="956"/>
      <c r="EC1325" s="956"/>
      <c r="ED1325" s="956"/>
      <c r="EE1325" s="956"/>
      <c r="EF1325" s="956"/>
      <c r="EG1325" s="956"/>
      <c r="EH1325" s="956"/>
      <c r="EI1325" s="956"/>
      <c r="EJ1325" s="956"/>
      <c r="EK1325" s="956"/>
      <c r="EL1325" s="956"/>
      <c r="EM1325" s="956"/>
      <c r="EN1325" s="956"/>
      <c r="EO1325" s="956"/>
      <c r="EP1325" s="956"/>
      <c r="EQ1325" s="956"/>
      <c r="ER1325" s="956"/>
      <c r="ES1325" s="956"/>
      <c r="ET1325" s="956"/>
      <c r="EU1325" s="956"/>
      <c r="EV1325" s="956"/>
      <c r="EW1325" s="956"/>
      <c r="EX1325" s="956"/>
      <c r="EY1325" s="956"/>
      <c r="EZ1325" s="956"/>
      <c r="FA1325" s="956"/>
      <c r="FB1325" s="956"/>
      <c r="FC1325" s="956"/>
      <c r="FD1325" s="956"/>
      <c r="FE1325" s="956"/>
      <c r="FF1325" s="956"/>
      <c r="FG1325" s="956"/>
      <c r="FH1325" s="956"/>
      <c r="FI1325" s="956"/>
      <c r="FJ1325" s="956"/>
      <c r="FK1325" s="956"/>
      <c r="FL1325" s="956"/>
      <c r="FM1325" s="956"/>
      <c r="FN1325" s="956"/>
      <c r="FO1325" s="956"/>
      <c r="FP1325" s="956"/>
      <c r="FQ1325" s="956"/>
      <c r="FR1325" s="956"/>
      <c r="FS1325" s="956"/>
      <c r="FT1325" s="956"/>
      <c r="FU1325" s="956"/>
      <c r="FV1325" s="956"/>
      <c r="FW1325" s="956"/>
      <c r="FX1325" s="956"/>
      <c r="FY1325" s="956"/>
      <c r="FZ1325" s="956"/>
      <c r="GA1325" s="956"/>
      <c r="GB1325" s="956"/>
      <c r="GC1325" s="956"/>
      <c r="GD1325" s="956"/>
      <c r="GE1325" s="956"/>
      <c r="GF1325" s="956"/>
      <c r="GG1325" s="956"/>
      <c r="GH1325" s="956"/>
      <c r="GI1325" s="956"/>
      <c r="GJ1325" s="956"/>
      <c r="GK1325" s="956"/>
      <c r="GL1325" s="956"/>
      <c r="GM1325" s="956"/>
      <c r="GN1325" s="956"/>
      <c r="GO1325" s="956"/>
      <c r="GP1325" s="956"/>
      <c r="GQ1325" s="956"/>
      <c r="GR1325" s="956"/>
      <c r="GS1325" s="956"/>
      <c r="GT1325" s="956"/>
      <c r="GU1325" s="956"/>
      <c r="GV1325" s="956"/>
      <c r="GW1325" s="956"/>
      <c r="GX1325" s="956"/>
      <c r="GY1325" s="956"/>
      <c r="GZ1325" s="956"/>
      <c r="HA1325" s="956"/>
      <c r="HB1325" s="956"/>
      <c r="HC1325" s="956"/>
      <c r="HD1325" s="956"/>
      <c r="HE1325" s="956"/>
      <c r="HF1325" s="956"/>
      <c r="HG1325" s="956"/>
      <c r="HH1325" s="956"/>
      <c r="HI1325" s="956"/>
      <c r="HJ1325" s="956"/>
      <c r="HK1325" s="956"/>
      <c r="HL1325" s="956"/>
      <c r="HM1325" s="956"/>
      <c r="HN1325" s="956"/>
      <c r="HO1325" s="956"/>
      <c r="HP1325" s="956"/>
      <c r="HQ1325" s="956"/>
      <c r="HR1325" s="956"/>
      <c r="HS1325" s="956"/>
      <c r="HT1325" s="956"/>
      <c r="HU1325" s="956"/>
      <c r="HV1325" s="956"/>
      <c r="HW1325" s="956"/>
      <c r="HX1325" s="956"/>
      <c r="HY1325" s="956"/>
      <c r="HZ1325" s="956"/>
      <c r="IA1325" s="956"/>
      <c r="IB1325" s="956"/>
      <c r="IC1325" s="956"/>
      <c r="ID1325" s="956"/>
      <c r="IE1325" s="956"/>
      <c r="IF1325" s="956"/>
      <c r="IG1325" s="956"/>
      <c r="IH1325" s="956"/>
      <c r="II1325" s="956"/>
      <c r="IJ1325" s="956"/>
      <c r="IK1325" s="956"/>
      <c r="IL1325" s="956"/>
      <c r="IM1325" s="956"/>
      <c r="IN1325" s="956"/>
      <c r="IO1325" s="956"/>
      <c r="IP1325" s="956"/>
      <c r="IQ1325" s="956"/>
      <c r="IR1325" s="956"/>
      <c r="IS1325" s="956"/>
      <c r="IT1325" s="956"/>
      <c r="IU1325" s="956"/>
      <c r="IV1325" s="956"/>
      <c r="IW1325" s="956"/>
      <c r="IX1325" s="956"/>
      <c r="IY1325" s="956"/>
      <c r="IZ1325" s="956"/>
      <c r="JA1325" s="956"/>
      <c r="JB1325" s="956"/>
      <c r="JC1325" s="956"/>
      <c r="JD1325" s="956"/>
      <c r="JE1325" s="956"/>
      <c r="JF1325" s="956"/>
      <c r="JG1325" s="956"/>
      <c r="JH1325" s="956"/>
      <c r="JI1325" s="956"/>
      <c r="JJ1325" s="956"/>
      <c r="JK1325" s="956"/>
      <c r="JL1325" s="956"/>
      <c r="JM1325" s="956"/>
      <c r="JN1325" s="956"/>
      <c r="JO1325" s="956"/>
      <c r="JP1325" s="956"/>
      <c r="JQ1325" s="956"/>
      <c r="JR1325" s="956"/>
      <c r="JS1325" s="956"/>
      <c r="JT1325" s="956"/>
      <c r="JU1325" s="956"/>
      <c r="JV1325" s="956"/>
      <c r="JW1325" s="956"/>
      <c r="JX1325" s="956"/>
      <c r="JY1325" s="956"/>
      <c r="JZ1325" s="956"/>
      <c r="KA1325" s="956"/>
      <c r="KB1325" s="956"/>
      <c r="KC1325" s="956"/>
      <c r="KD1325" s="956"/>
      <c r="KE1325" s="956"/>
      <c r="KF1325" s="956"/>
      <c r="KG1325" s="956"/>
      <c r="KH1325" s="956"/>
      <c r="KI1325" s="956"/>
      <c r="KJ1325" s="956"/>
      <c r="KK1325" s="956"/>
      <c r="KL1325" s="956"/>
      <c r="KM1325" s="956"/>
      <c r="KN1325" s="956"/>
      <c r="KO1325" s="956"/>
      <c r="KP1325" s="956"/>
      <c r="KQ1325" s="956"/>
      <c r="KR1325" s="956"/>
      <c r="KS1325" s="956"/>
      <c r="KT1325" s="956"/>
      <c r="KU1325" s="956"/>
      <c r="KV1325" s="956"/>
      <c r="KW1325" s="956"/>
      <c r="KX1325" s="956"/>
      <c r="KY1325" s="956"/>
      <c r="KZ1325" s="956"/>
      <c r="LA1325" s="956"/>
      <c r="LB1325" s="956"/>
      <c r="LC1325" s="956"/>
      <c r="LD1325" s="956"/>
      <c r="LE1325" s="956"/>
      <c r="LF1325" s="956"/>
      <c r="LG1325" s="956"/>
      <c r="LH1325" s="956"/>
      <c r="LI1325" s="956"/>
      <c r="LJ1325" s="956"/>
      <c r="LK1325" s="956"/>
      <c r="LL1325" s="956"/>
      <c r="LM1325" s="956"/>
      <c r="LN1325" s="956"/>
      <c r="LO1325" s="956"/>
      <c r="LP1325" s="956"/>
      <c r="LQ1325" s="956"/>
      <c r="LR1325" s="956"/>
      <c r="LS1325" s="956"/>
      <c r="LT1325" s="956"/>
      <c r="LU1325" s="956"/>
      <c r="LV1325" s="956"/>
      <c r="LW1325" s="956"/>
      <c r="LX1325" s="956"/>
      <c r="LY1325" s="956"/>
      <c r="LZ1325" s="956"/>
      <c r="MA1325" s="956"/>
      <c r="MB1325" s="956"/>
      <c r="MC1325" s="956"/>
      <c r="MD1325" s="956"/>
      <c r="ME1325" s="956"/>
      <c r="MF1325" s="956"/>
      <c r="MG1325" s="956"/>
      <c r="MH1325" s="956"/>
      <c r="MI1325" s="956"/>
      <c r="MJ1325" s="956"/>
      <c r="MK1325" s="956"/>
      <c r="ML1325" s="956"/>
      <c r="MM1325" s="956"/>
      <c r="MN1325" s="956"/>
      <c r="MO1325" s="956"/>
      <c r="MP1325" s="956"/>
      <c r="MQ1325" s="956"/>
      <c r="MR1325" s="956"/>
      <c r="MS1325" s="956"/>
      <c r="MT1325" s="956"/>
      <c r="MU1325" s="956"/>
      <c r="MV1325" s="956"/>
      <c r="MW1325" s="956"/>
      <c r="MX1325" s="956"/>
      <c r="MY1325" s="956"/>
      <c r="MZ1325" s="956"/>
      <c r="NA1325" s="956"/>
      <c r="NB1325" s="956"/>
      <c r="NC1325" s="956"/>
      <c r="ND1325" s="956"/>
      <c r="NE1325" s="956"/>
      <c r="NF1325" s="956"/>
      <c r="NG1325" s="956"/>
      <c r="NH1325" s="956"/>
      <c r="NI1325" s="956"/>
      <c r="NJ1325" s="956"/>
      <c r="NK1325" s="956"/>
      <c r="NL1325" s="956"/>
      <c r="NM1325" s="956"/>
      <c r="NN1325" s="956"/>
      <c r="NO1325" s="956"/>
      <c r="NP1325" s="956"/>
      <c r="NQ1325" s="956"/>
      <c r="NR1325" s="956"/>
      <c r="NS1325" s="956"/>
      <c r="NT1325" s="956"/>
      <c r="NU1325" s="956"/>
      <c r="NV1325" s="956"/>
      <c r="NW1325" s="956"/>
      <c r="NX1325" s="956"/>
      <c r="NY1325" s="956"/>
      <c r="NZ1325" s="956"/>
      <c r="OA1325" s="956"/>
      <c r="OB1325" s="956"/>
      <c r="OC1325" s="956"/>
      <c r="OD1325" s="956"/>
      <c r="OE1325" s="956"/>
      <c r="OF1325" s="956"/>
      <c r="OG1325" s="956"/>
      <c r="OH1325" s="956"/>
      <c r="OI1325" s="956"/>
      <c r="OJ1325" s="956"/>
      <c r="OK1325" s="956"/>
      <c r="OL1325" s="956"/>
      <c r="OM1325" s="956"/>
      <c r="ON1325" s="956"/>
      <c r="OO1325" s="956"/>
      <c r="OP1325" s="956"/>
      <c r="OQ1325" s="956"/>
      <c r="OR1325" s="956"/>
      <c r="OS1325" s="956"/>
      <c r="OT1325" s="956"/>
      <c r="OU1325" s="956"/>
      <c r="OV1325" s="956"/>
      <c r="OW1325" s="956"/>
      <c r="OX1325" s="956"/>
      <c r="OY1325" s="956"/>
      <c r="OZ1325" s="956"/>
      <c r="PA1325" s="956"/>
      <c r="PB1325" s="956"/>
      <c r="PC1325" s="956"/>
      <c r="PD1325" s="956"/>
      <c r="PE1325" s="956"/>
      <c r="PF1325" s="956"/>
      <c r="PG1325" s="956"/>
      <c r="PH1325" s="956"/>
      <c r="PI1325" s="956"/>
      <c r="PJ1325" s="956"/>
      <c r="PK1325" s="956"/>
      <c r="PL1325" s="956"/>
      <c r="PM1325" s="956"/>
      <c r="PN1325" s="956"/>
      <c r="PO1325" s="956"/>
      <c r="PP1325" s="956"/>
      <c r="PQ1325" s="956"/>
      <c r="PR1325" s="956"/>
      <c r="PS1325" s="956"/>
      <c r="PT1325" s="956"/>
      <c r="PU1325" s="956"/>
      <c r="PV1325" s="956"/>
      <c r="PW1325" s="956"/>
      <c r="PX1325" s="956"/>
      <c r="PY1325" s="956"/>
      <c r="PZ1325" s="956"/>
      <c r="QA1325" s="956"/>
      <c r="QB1325" s="956"/>
      <c r="QC1325" s="956"/>
      <c r="QD1325" s="956"/>
      <c r="QE1325" s="956"/>
      <c r="QF1325" s="956"/>
      <c r="QG1325" s="956"/>
      <c r="QH1325" s="956"/>
      <c r="QI1325" s="956"/>
      <c r="QJ1325" s="956"/>
      <c r="QK1325" s="956"/>
      <c r="QL1325" s="956"/>
      <c r="QM1325" s="956"/>
      <c r="QN1325" s="956"/>
      <c r="QO1325" s="956"/>
      <c r="QP1325" s="956"/>
      <c r="QQ1325" s="956"/>
      <c r="QR1325" s="956"/>
      <c r="QS1325" s="956"/>
      <c r="QT1325" s="956"/>
      <c r="QU1325" s="956"/>
      <c r="QV1325" s="956"/>
      <c r="QW1325" s="956"/>
      <c r="QX1325" s="956"/>
      <c r="QY1325" s="956"/>
      <c r="QZ1325" s="956"/>
      <c r="RA1325" s="956"/>
      <c r="RB1325" s="956"/>
      <c r="RC1325" s="956"/>
      <c r="RD1325" s="956"/>
      <c r="RE1325" s="956"/>
      <c r="RF1325" s="956"/>
      <c r="RG1325" s="956"/>
      <c r="RH1325" s="956"/>
      <c r="RI1325" s="956"/>
      <c r="RJ1325" s="956"/>
      <c r="RK1325" s="956"/>
      <c r="RL1325" s="956"/>
      <c r="RM1325" s="956"/>
      <c r="RN1325" s="956"/>
      <c r="RO1325" s="956"/>
      <c r="RP1325" s="956"/>
      <c r="RQ1325" s="956"/>
      <c r="RR1325" s="956"/>
      <c r="RS1325" s="956"/>
      <c r="RT1325" s="956"/>
      <c r="RU1325" s="956"/>
      <c r="RV1325" s="956"/>
      <c r="RW1325" s="956"/>
      <c r="RX1325" s="956"/>
      <c r="RY1325" s="956"/>
      <c r="RZ1325" s="956"/>
      <c r="SA1325" s="956"/>
      <c r="SB1325" s="956"/>
      <c r="SC1325" s="956"/>
      <c r="SD1325" s="956"/>
      <c r="SE1325" s="956"/>
      <c r="SF1325" s="956"/>
      <c r="SG1325" s="956"/>
      <c r="SH1325" s="956"/>
      <c r="SI1325" s="956"/>
      <c r="SJ1325" s="956"/>
      <c r="SK1325" s="956"/>
      <c r="SL1325" s="956"/>
      <c r="SM1325" s="956"/>
      <c r="SN1325" s="956"/>
      <c r="SO1325" s="956"/>
      <c r="SP1325" s="956"/>
      <c r="SQ1325" s="956"/>
      <c r="SR1325" s="956"/>
      <c r="SS1325" s="956"/>
      <c r="ST1325" s="956"/>
      <c r="SU1325" s="956"/>
      <c r="SV1325" s="956"/>
      <c r="SW1325" s="956"/>
      <c r="SX1325" s="956"/>
      <c r="SY1325" s="956"/>
      <c r="SZ1325" s="956"/>
      <c r="TA1325" s="956"/>
      <c r="TB1325" s="956"/>
      <c r="TC1325" s="956"/>
      <c r="TD1325" s="956"/>
      <c r="TE1325" s="956"/>
      <c r="TF1325" s="956"/>
      <c r="TG1325" s="956"/>
      <c r="TH1325" s="956"/>
      <c r="TI1325" s="956"/>
      <c r="TJ1325" s="956"/>
      <c r="TK1325" s="956"/>
      <c r="TL1325" s="956"/>
      <c r="TM1325" s="956"/>
      <c r="TN1325" s="956"/>
      <c r="TO1325" s="956"/>
      <c r="TP1325" s="956"/>
      <c r="TQ1325" s="956"/>
      <c r="TR1325" s="956"/>
      <c r="TS1325" s="956"/>
      <c r="TT1325" s="956"/>
      <c r="TU1325" s="956"/>
      <c r="TV1325" s="956"/>
      <c r="TW1325" s="956"/>
      <c r="TX1325" s="956"/>
      <c r="TY1325" s="956"/>
      <c r="TZ1325" s="956"/>
      <c r="UA1325" s="956"/>
      <c r="UB1325" s="956"/>
      <c r="UC1325" s="956"/>
      <c r="UD1325" s="956"/>
      <c r="UE1325" s="956"/>
      <c r="UF1325" s="956"/>
      <c r="UG1325" s="956"/>
      <c r="UH1325" s="956"/>
      <c r="UI1325" s="956"/>
      <c r="UJ1325" s="956"/>
      <c r="UK1325" s="956"/>
      <c r="UL1325" s="956"/>
      <c r="UM1325" s="956"/>
      <c r="UN1325" s="956"/>
      <c r="UO1325" s="956"/>
      <c r="UP1325" s="956"/>
      <c r="UQ1325" s="956"/>
      <c r="UR1325" s="956"/>
      <c r="US1325" s="956"/>
      <c r="UT1325" s="956"/>
      <c r="UU1325" s="956"/>
      <c r="UV1325" s="956"/>
      <c r="UW1325" s="956"/>
      <c r="UX1325" s="956"/>
      <c r="UY1325" s="956"/>
      <c r="UZ1325" s="956"/>
      <c r="VA1325" s="956"/>
      <c r="VB1325" s="956"/>
      <c r="VC1325" s="956"/>
      <c r="VD1325" s="956"/>
      <c r="VE1325" s="956"/>
      <c r="VF1325" s="956"/>
      <c r="VG1325" s="956"/>
      <c r="VH1325" s="956"/>
      <c r="VI1325" s="956"/>
      <c r="VJ1325" s="956"/>
      <c r="VK1325" s="956"/>
      <c r="VL1325" s="956"/>
      <c r="VM1325" s="956"/>
      <c r="VN1325" s="956"/>
      <c r="VO1325" s="956"/>
      <c r="VP1325" s="956"/>
      <c r="VQ1325" s="956"/>
      <c r="VR1325" s="956"/>
      <c r="VS1325" s="956"/>
      <c r="VT1325" s="956"/>
      <c r="VU1325" s="956"/>
      <c r="VV1325" s="956"/>
      <c r="VW1325" s="956"/>
      <c r="VX1325" s="956"/>
      <c r="VY1325" s="956"/>
      <c r="VZ1325" s="956"/>
      <c r="WA1325" s="956"/>
      <c r="WB1325" s="956"/>
      <c r="WC1325" s="956"/>
      <c r="WD1325" s="956"/>
      <c r="WE1325" s="956"/>
      <c r="WF1325" s="956"/>
      <c r="WG1325" s="956"/>
      <c r="WH1325" s="956"/>
      <c r="WI1325" s="956"/>
      <c r="WJ1325" s="956"/>
      <c r="WK1325" s="956"/>
      <c r="WL1325" s="956"/>
      <c r="WM1325" s="956"/>
      <c r="WN1325" s="956"/>
      <c r="WO1325" s="956"/>
      <c r="WP1325" s="956"/>
      <c r="WQ1325" s="956"/>
      <c r="WR1325" s="956"/>
      <c r="WS1325" s="956"/>
      <c r="WT1325" s="956"/>
      <c r="WU1325" s="956"/>
      <c r="WV1325" s="956"/>
      <c r="WW1325" s="956"/>
      <c r="WX1325" s="956"/>
      <c r="WY1325" s="956"/>
      <c r="WZ1325" s="956"/>
      <c r="XA1325" s="956"/>
      <c r="XB1325" s="956"/>
      <c r="XC1325" s="956"/>
      <c r="XD1325" s="956"/>
      <c r="XE1325" s="956"/>
      <c r="XF1325" s="956"/>
      <c r="XG1325" s="956"/>
      <c r="XH1325" s="956"/>
      <c r="XI1325" s="956"/>
      <c r="XJ1325" s="956"/>
      <c r="XK1325" s="956"/>
      <c r="XL1325" s="956"/>
      <c r="XM1325" s="956"/>
      <c r="XN1325" s="956"/>
      <c r="XO1325" s="956"/>
      <c r="XP1325" s="956"/>
      <c r="XQ1325" s="956"/>
      <c r="XR1325" s="956"/>
      <c r="XS1325" s="956"/>
      <c r="XT1325" s="956"/>
      <c r="XU1325" s="956"/>
      <c r="XV1325" s="956"/>
      <c r="XW1325" s="956"/>
      <c r="XX1325" s="956"/>
      <c r="XY1325" s="956"/>
      <c r="XZ1325" s="956"/>
      <c r="YA1325" s="956"/>
      <c r="YB1325" s="956"/>
      <c r="YC1325" s="956"/>
      <c r="YD1325" s="956"/>
      <c r="YE1325" s="956"/>
      <c r="YF1325" s="956"/>
      <c r="YG1325" s="956"/>
      <c r="YH1325" s="956"/>
      <c r="YI1325" s="956"/>
      <c r="YJ1325" s="956"/>
      <c r="YK1325" s="956"/>
      <c r="YL1325" s="956"/>
      <c r="YM1325" s="956"/>
      <c r="YN1325" s="956"/>
      <c r="YO1325" s="956"/>
      <c r="YP1325" s="956"/>
      <c r="YQ1325" s="956"/>
      <c r="YR1325" s="956"/>
      <c r="YS1325" s="956"/>
      <c r="YT1325" s="956"/>
      <c r="YU1325" s="956"/>
      <c r="YV1325" s="956"/>
      <c r="YW1325" s="956"/>
      <c r="YX1325" s="956"/>
      <c r="YY1325" s="956"/>
      <c r="YZ1325" s="956"/>
      <c r="ZA1325" s="956"/>
      <c r="ZB1325" s="956"/>
      <c r="ZC1325" s="956"/>
      <c r="ZD1325" s="956"/>
      <c r="ZE1325" s="956"/>
      <c r="ZF1325" s="956"/>
      <c r="ZG1325" s="956"/>
      <c r="ZH1325" s="956"/>
      <c r="ZI1325" s="956"/>
      <c r="ZJ1325" s="956"/>
      <c r="ZK1325" s="956"/>
      <c r="ZL1325" s="956"/>
      <c r="ZM1325" s="956"/>
      <c r="ZN1325" s="956"/>
      <c r="ZO1325" s="956"/>
      <c r="ZP1325" s="956"/>
      <c r="ZQ1325" s="956"/>
      <c r="ZR1325" s="956"/>
      <c r="ZS1325" s="956"/>
      <c r="ZT1325" s="956"/>
      <c r="ZU1325" s="956"/>
      <c r="ZV1325" s="956"/>
      <c r="ZW1325" s="956"/>
      <c r="ZX1325" s="956"/>
      <c r="ZY1325" s="956"/>
      <c r="ZZ1325" s="956"/>
      <c r="AAA1325" s="956"/>
      <c r="AAB1325" s="956"/>
      <c r="AAC1325" s="956"/>
      <c r="AAD1325" s="956"/>
      <c r="AAE1325" s="956"/>
      <c r="AAF1325" s="956"/>
      <c r="AAG1325" s="956"/>
      <c r="AAH1325" s="956"/>
      <c r="AAI1325" s="956"/>
      <c r="AAJ1325" s="956"/>
      <c r="AAK1325" s="956"/>
      <c r="AAL1325" s="956"/>
      <c r="AAM1325" s="956"/>
      <c r="AAN1325" s="956"/>
      <c r="AAO1325" s="956"/>
      <c r="AAP1325" s="956"/>
      <c r="AAQ1325" s="956"/>
      <c r="AAR1325" s="956"/>
      <c r="AAS1325" s="956"/>
      <c r="AAT1325" s="956"/>
      <c r="AAU1325" s="956"/>
      <c r="AAV1325" s="956"/>
      <c r="AAW1325" s="956"/>
      <c r="AAX1325" s="956"/>
      <c r="AAY1325" s="956"/>
      <c r="AAZ1325" s="956"/>
      <c r="ABA1325" s="956"/>
      <c r="ABB1325" s="956"/>
      <c r="ABC1325" s="956"/>
      <c r="ABD1325" s="956"/>
      <c r="ABE1325" s="956"/>
      <c r="ABF1325" s="956"/>
      <c r="ABG1325" s="956"/>
      <c r="ABH1325" s="956"/>
      <c r="ABI1325" s="956"/>
      <c r="ABJ1325" s="956"/>
      <c r="ABK1325" s="956"/>
      <c r="ABL1325" s="956"/>
      <c r="ABM1325" s="956"/>
      <c r="ABN1325" s="956"/>
      <c r="ABO1325" s="956"/>
      <c r="ABP1325" s="956"/>
      <c r="ABQ1325" s="956"/>
      <c r="ABR1325" s="956"/>
      <c r="ABS1325" s="956"/>
      <c r="ABT1325" s="956"/>
      <c r="ABU1325" s="956"/>
      <c r="ABV1325" s="956"/>
      <c r="ABW1325" s="956"/>
      <c r="ABX1325" s="956"/>
      <c r="ABY1325" s="956"/>
      <c r="ABZ1325" s="956"/>
      <c r="ACA1325" s="956"/>
      <c r="ACB1325" s="956"/>
      <c r="ACC1325" s="956"/>
      <c r="ACD1325" s="956"/>
      <c r="ACE1325" s="956"/>
      <c r="ACF1325" s="956"/>
      <c r="ACG1325" s="956"/>
      <c r="ACH1325" s="956"/>
      <c r="ACI1325" s="956"/>
      <c r="ACJ1325" s="956"/>
      <c r="ACK1325" s="956"/>
      <c r="ACL1325" s="956"/>
      <c r="ACM1325" s="956"/>
      <c r="ACN1325" s="956"/>
      <c r="ACO1325" s="956"/>
      <c r="ACP1325" s="956"/>
      <c r="ACQ1325" s="956"/>
      <c r="ACR1325" s="956"/>
      <c r="ACS1325" s="956"/>
      <c r="ACT1325" s="956"/>
      <c r="ACU1325" s="956"/>
      <c r="ACV1325" s="956"/>
      <c r="ACW1325" s="956"/>
      <c r="ACX1325" s="956"/>
      <c r="ACY1325" s="956"/>
      <c r="ACZ1325" s="956"/>
      <c r="ADA1325" s="956"/>
      <c r="ADB1325" s="956"/>
      <c r="ADC1325" s="956"/>
      <c r="ADD1325" s="956"/>
      <c r="ADE1325" s="956"/>
      <c r="ADF1325" s="956"/>
      <c r="ADG1325" s="956"/>
      <c r="ADH1325" s="956"/>
      <c r="ADI1325" s="956"/>
      <c r="ADJ1325" s="956"/>
      <c r="ADK1325" s="956"/>
      <c r="ADL1325" s="956"/>
      <c r="ADM1325" s="956"/>
      <c r="ADN1325" s="956"/>
      <c r="ADO1325" s="956"/>
      <c r="ADP1325" s="956"/>
      <c r="ADQ1325" s="956"/>
      <c r="ADR1325" s="956"/>
      <c r="ADS1325" s="956"/>
      <c r="ADT1325" s="956"/>
      <c r="ADU1325" s="956"/>
      <c r="ADV1325" s="956"/>
      <c r="ADW1325" s="956"/>
      <c r="ADX1325" s="956"/>
      <c r="ADY1325" s="956"/>
      <c r="ADZ1325" s="956"/>
      <c r="AEA1325" s="956"/>
      <c r="AEB1325" s="956"/>
      <c r="AEC1325" s="956"/>
      <c r="AED1325" s="956"/>
      <c r="AEE1325" s="956"/>
      <c r="AEF1325" s="956"/>
      <c r="AEG1325" s="956"/>
      <c r="AEH1325" s="956"/>
      <c r="AEI1325" s="956"/>
      <c r="AEJ1325" s="956"/>
      <c r="AEK1325" s="956"/>
      <c r="AEL1325" s="956"/>
      <c r="AEM1325" s="956"/>
      <c r="AEN1325" s="956"/>
      <c r="AEO1325" s="956"/>
      <c r="AEP1325" s="956"/>
      <c r="AEQ1325" s="956"/>
      <c r="AER1325" s="956"/>
      <c r="AES1325" s="956"/>
      <c r="AET1325" s="956"/>
      <c r="AEU1325" s="956"/>
      <c r="AEV1325" s="956"/>
      <c r="AEW1325" s="956"/>
      <c r="AEX1325" s="956"/>
      <c r="AEY1325" s="956"/>
      <c r="AEZ1325" s="956"/>
      <c r="AFA1325" s="956"/>
      <c r="AFB1325" s="956"/>
      <c r="AFC1325" s="956"/>
      <c r="AFD1325" s="956"/>
      <c r="AFE1325" s="956"/>
      <c r="AFF1325" s="956"/>
      <c r="AFG1325" s="956"/>
      <c r="AFH1325" s="956"/>
      <c r="AFI1325" s="956"/>
      <c r="AFJ1325" s="956"/>
      <c r="AFK1325" s="956"/>
      <c r="AFL1325" s="956"/>
      <c r="AFM1325" s="956"/>
      <c r="AFN1325" s="956"/>
      <c r="AFO1325" s="956"/>
      <c r="AFP1325" s="956"/>
      <c r="AFQ1325" s="956"/>
      <c r="AFR1325" s="956"/>
      <c r="AFS1325" s="956"/>
      <c r="AFT1325" s="956"/>
      <c r="AFU1325" s="956"/>
      <c r="AFV1325" s="956"/>
      <c r="AFW1325" s="956"/>
      <c r="AFX1325" s="956"/>
      <c r="AFY1325" s="956"/>
      <c r="AFZ1325" s="956"/>
      <c r="AGA1325" s="956"/>
      <c r="AGB1325" s="956"/>
      <c r="AGC1325" s="956"/>
      <c r="AGD1325" s="956"/>
      <c r="AGE1325" s="956"/>
      <c r="AGF1325" s="956"/>
      <c r="AGG1325" s="956"/>
      <c r="AGH1325" s="956"/>
      <c r="AGI1325" s="956"/>
      <c r="AGJ1325" s="956"/>
    </row>
    <row r="1326" spans="1:868" ht="15.75" thickBot="1">
      <c r="A1326" s="898" t="str">
        <f>Clothing!A476</f>
        <v>Import of clothing (Global)</v>
      </c>
      <c r="B1326" s="898" t="str">
        <f>Clothing!B476</f>
        <v>Clothing (product sector)</v>
      </c>
      <c r="C1326" s="898" t="str">
        <f>Clothing!C476</f>
        <v>any</v>
      </c>
      <c r="D1326" s="898" t="str">
        <f>Clothing!D476</f>
        <v>any</v>
      </c>
      <c r="E1326" s="898">
        <f>Clothing!E476</f>
        <v>1</v>
      </c>
      <c r="F1326" s="898">
        <f>Clothing!F476</f>
        <v>1</v>
      </c>
      <c r="G1326" s="898" t="str">
        <f>Clothing!G476</f>
        <v>Assumption</v>
      </c>
      <c r="H1326" s="954"/>
      <c r="I1326" s="954"/>
      <c r="J1326" s="954"/>
      <c r="K1326" s="954"/>
      <c r="L1326" s="954"/>
      <c r="M1326" s="954"/>
      <c r="N1326" s="185" t="str">
        <f t="shared" si="97"/>
        <v/>
      </c>
      <c r="O1326" s="159" t="str">
        <f t="shared" si="98"/>
        <v/>
      </c>
    </row>
    <row r="1327" spans="1:868">
      <c r="A1327" s="919" t="str">
        <f>Clothing!A477</f>
        <v>Manufacturing of clothing</v>
      </c>
      <c r="B1327" s="919" t="str">
        <f>Clothing!B477</f>
        <v>Clothing (product sector)</v>
      </c>
      <c r="C1327" s="919" t="str">
        <f>Clothing!C477</f>
        <v>any</v>
      </c>
      <c r="D1327" s="919" t="str">
        <f>Clothing!D477</f>
        <v>any</v>
      </c>
      <c r="E1327" s="919" t="str">
        <f>Clothing!E477</f>
        <v>rest</v>
      </c>
      <c r="F1327" s="919">
        <f>Clothing!F477</f>
        <v>1</v>
      </c>
      <c r="G1327" s="966"/>
      <c r="H1327" s="1032"/>
      <c r="I1327" s="911"/>
      <c r="J1327" s="911"/>
      <c r="K1327" s="911"/>
      <c r="L1327" s="911"/>
      <c r="M1327" s="911"/>
      <c r="N1327" s="185"/>
      <c r="O1327" s="159"/>
    </row>
    <row r="1328" spans="1:868">
      <c r="A1328" s="919" t="str">
        <f>Clothing!A478</f>
        <v>Manufacturing of clothing</v>
      </c>
      <c r="B1328" s="919" t="str">
        <f>Clothing!B478</f>
        <v>Textile recycling</v>
      </c>
      <c r="C1328" s="919" t="str">
        <f>Clothing!C478</f>
        <v>any</v>
      </c>
      <c r="D1328" s="919" t="str">
        <f>Clothing!D478</f>
        <v>any</v>
      </c>
      <c r="E1328" s="919">
        <f>Clothing!E478</f>
        <v>0.21550000000000002</v>
      </c>
      <c r="F1328" s="919">
        <f>Clothing!F478</f>
        <v>2</v>
      </c>
      <c r="G1328" s="966" t="str">
        <f>Clothing!G478</f>
        <v>PEFCR (2021), Table 28 - woven clothing</v>
      </c>
      <c r="H1328" s="1032">
        <f>Clothing!H478</f>
        <v>2</v>
      </c>
      <c r="I1328" s="911">
        <f>Clothing!I478</f>
        <v>2</v>
      </c>
      <c r="J1328" s="911">
        <f>Clothing!J478</f>
        <v>2</v>
      </c>
      <c r="K1328" s="911">
        <f>Clothing!K478</f>
        <v>3</v>
      </c>
      <c r="L1328" s="911">
        <f>Clothing!L478</f>
        <v>2</v>
      </c>
      <c r="M1328" s="911">
        <f>Clothing!M478</f>
        <v>1</v>
      </c>
      <c r="N1328" s="185">
        <f t="shared" si="97"/>
        <v>0.40183591897512122</v>
      </c>
      <c r="O1328" s="159">
        <f t="shared" si="98"/>
        <v>0.40183591897512122</v>
      </c>
    </row>
    <row r="1329" spans="1:868">
      <c r="A1329" s="919" t="str">
        <f>Clothing!A479</f>
        <v>Manufacturing of clothing</v>
      </c>
      <c r="B1329" s="919" t="str">
        <f>Clothing!B479</f>
        <v>Textile recycling</v>
      </c>
      <c r="C1329" s="919" t="str">
        <f>Clothing!C479</f>
        <v>any</v>
      </c>
      <c r="D1329" s="919" t="str">
        <f>Clothing!D479</f>
        <v>any</v>
      </c>
      <c r="E1329" s="919">
        <f>Clothing!E479</f>
        <v>0.20610000000000001</v>
      </c>
      <c r="F1329" s="919">
        <f>Clothing!F479</f>
        <v>2</v>
      </c>
      <c r="G1329" s="966" t="str">
        <f>Clothing!G479</f>
        <v>PEFCR (2021), Table 28 - knit clothing</v>
      </c>
      <c r="H1329" s="1032">
        <f>Clothing!H479</f>
        <v>2</v>
      </c>
      <c r="I1329" s="911">
        <f>Clothing!I479</f>
        <v>2</v>
      </c>
      <c r="J1329" s="911">
        <f>Clothing!J479</f>
        <v>2</v>
      </c>
      <c r="K1329" s="911">
        <f>Clothing!K479</f>
        <v>3</v>
      </c>
      <c r="L1329" s="911">
        <f>Clothing!L479</f>
        <v>2</v>
      </c>
      <c r="M1329" s="911">
        <f>Clothing!M479</f>
        <v>1</v>
      </c>
      <c r="N1329" s="185">
        <f t="shared" si="97"/>
        <v>0.40183591897512122</v>
      </c>
      <c r="O1329" s="159">
        <f t="shared" si="98"/>
        <v>0.40183591897512122</v>
      </c>
    </row>
    <row r="1330" spans="1:868">
      <c r="A1330" s="919" t="str">
        <f>Clothing!A480</f>
        <v>Import of plastic sheets</v>
      </c>
      <c r="B1330" s="919" t="str">
        <f>Clothing!B480</f>
        <v>Manufacturing of clothing</v>
      </c>
      <c r="C1330" s="919" t="str">
        <f>Clothing!C480</f>
        <v>any</v>
      </c>
      <c r="D1330" s="919" t="str">
        <f>Clothing!D480</f>
        <v>any</v>
      </c>
      <c r="E1330" s="919">
        <f>Clothing!E480</f>
        <v>1</v>
      </c>
      <c r="F1330" s="919">
        <f>Clothing!F480</f>
        <v>1</v>
      </c>
      <c r="G1330" s="966" t="str">
        <f>Clothing!G480</f>
        <v>Assumption</v>
      </c>
      <c r="H1330" s="1032"/>
      <c r="I1330" s="911"/>
      <c r="J1330" s="911"/>
      <c r="K1330" s="911"/>
      <c r="L1330" s="911"/>
      <c r="M1330" s="911"/>
      <c r="N1330" s="185" t="str">
        <f t="shared" ref="N1330" si="99">IF( OR( ISBLANK(H1330),ISBLANK(J1330), ISBLANK(K1330), ISBLANK(L1330), ISBLANK(M1330) ), "", 1.5*SQRT(   EXP(2.21*(H1330-1)) + EXP(2.21*(J1330-1)) + EXP(2.21*(K1330-1)) + EXP(2.21*(L1330-1)) + EXP(2.21*M1330)   )/100*2.45 )</f>
        <v/>
      </c>
      <c r="O1330" s="159" t="str">
        <f t="shared" ref="O1330" si="100">IF( OR( ISBLANK(I1330),ISBLANK(J1330), ISBLANK(K1330), ISBLANK(L1330), ISBLANK(M1330) ), "", 1.5*SQRT( EXP(2.21*(I1330-1)) + EXP(2.21*(J1330-1)) + EXP(2.21*(K1330-1)) + EXP(2.21*(L1330-1)) + EXP(2.21*M1330)   )/100*2.45 )</f>
        <v/>
      </c>
    </row>
    <row r="1331" spans="1:868" s="516" customFormat="1" ht="15.75" thickBot="1">
      <c r="A1331" s="919" t="str">
        <f>Clothing!A481</f>
        <v>Import of yarn</v>
      </c>
      <c r="B1331" s="919" t="str">
        <f>Clothing!B481</f>
        <v>Manufacturing of clothing</v>
      </c>
      <c r="C1331" s="919" t="str">
        <f>Clothing!C481</f>
        <v>any</v>
      </c>
      <c r="D1331" s="919" t="str">
        <f>Clothing!D481</f>
        <v>any</v>
      </c>
      <c r="E1331" s="919">
        <f>Clothing!E481</f>
        <v>1</v>
      </c>
      <c r="F1331" s="919">
        <f>Clothing!F481</f>
        <v>1</v>
      </c>
      <c r="G1331" s="966" t="str">
        <f>Clothing!G481</f>
        <v>Assumption</v>
      </c>
      <c r="H1331" s="1032"/>
      <c r="I1331" s="911"/>
      <c r="J1331" s="911"/>
      <c r="K1331" s="911"/>
      <c r="L1331" s="911"/>
      <c r="M1331" s="911"/>
      <c r="N1331" s="185"/>
      <c r="O1331" s="159"/>
      <c r="P1331" s="1023"/>
      <c r="Q1331" s="1024"/>
      <c r="R1331" s="1024"/>
      <c r="S1331" s="1024"/>
      <c r="T1331" s="1024"/>
      <c r="U1331" s="1024"/>
      <c r="V1331" s="1024"/>
      <c r="W1331" s="1024"/>
      <c r="X1331" s="1024"/>
      <c r="Y1331" s="1024"/>
      <c r="Z1331" s="1024"/>
      <c r="AA1331" s="1024"/>
      <c r="AB1331" s="1024"/>
      <c r="AC1331" s="1024"/>
      <c r="AD1331" s="1024"/>
      <c r="AE1331" s="1024"/>
      <c r="AF1331" s="1024"/>
      <c r="AG1331" s="1024"/>
      <c r="AH1331" s="1024"/>
      <c r="AI1331" s="1024"/>
      <c r="AJ1331" s="1024"/>
      <c r="AK1331" s="1024"/>
      <c r="AL1331" s="1024"/>
      <c r="AM1331" s="1024"/>
      <c r="AN1331" s="1024"/>
      <c r="AO1331" s="1024"/>
      <c r="AP1331" s="1024"/>
      <c r="AQ1331" s="1024"/>
      <c r="AR1331" s="1024"/>
      <c r="AS1331" s="1024"/>
      <c r="AT1331" s="1024"/>
      <c r="AU1331" s="1024"/>
      <c r="AV1331" s="1024"/>
      <c r="AW1331" s="1024"/>
      <c r="AX1331" s="1024"/>
      <c r="AY1331" s="1024"/>
      <c r="AZ1331" s="1024"/>
      <c r="BA1331" s="1024"/>
      <c r="BB1331" s="1024"/>
      <c r="BC1331" s="1024"/>
      <c r="BD1331" s="1024"/>
      <c r="BE1331" s="1024"/>
      <c r="BF1331" s="1024"/>
      <c r="BG1331" s="1024"/>
      <c r="BH1331" s="1024"/>
      <c r="BI1331" s="1024"/>
      <c r="BJ1331" s="1024"/>
      <c r="BK1331" s="1024"/>
      <c r="BL1331" s="1024"/>
      <c r="BM1331" s="1024"/>
      <c r="BN1331" s="1024"/>
      <c r="BO1331" s="1024"/>
      <c r="BP1331" s="1024"/>
      <c r="BQ1331" s="1024"/>
      <c r="BR1331" s="1024"/>
      <c r="BS1331" s="1024"/>
      <c r="BT1331" s="1024"/>
      <c r="BU1331" s="1024"/>
      <c r="BV1331" s="1024"/>
      <c r="BW1331" s="1024"/>
      <c r="BX1331" s="1024"/>
      <c r="BY1331" s="1024"/>
      <c r="BZ1331" s="1024"/>
      <c r="CA1331" s="1024"/>
      <c r="CB1331" s="1024"/>
      <c r="CC1331" s="1024"/>
      <c r="CD1331" s="1024"/>
      <c r="CE1331" s="1024"/>
      <c r="CF1331" s="1024"/>
      <c r="CG1331" s="1024"/>
      <c r="CH1331" s="1024"/>
      <c r="CI1331" s="1024"/>
      <c r="CJ1331" s="1024"/>
      <c r="CK1331" s="1024"/>
      <c r="CL1331" s="1024"/>
      <c r="CM1331" s="1024"/>
      <c r="CN1331" s="1024"/>
      <c r="CO1331" s="1024"/>
      <c r="CP1331" s="1024"/>
      <c r="CQ1331" s="1024"/>
      <c r="CR1331" s="1024"/>
      <c r="CS1331" s="1024"/>
      <c r="CT1331" s="1024"/>
      <c r="CU1331" s="1024"/>
      <c r="CV1331" s="1024"/>
      <c r="CW1331" s="1024"/>
      <c r="CX1331" s="1024"/>
      <c r="CY1331" s="1024"/>
      <c r="CZ1331" s="1024"/>
      <c r="DA1331" s="1024"/>
      <c r="DB1331" s="1024"/>
      <c r="DC1331" s="1024"/>
      <c r="DD1331" s="1024"/>
      <c r="DE1331" s="1024"/>
      <c r="DF1331" s="1024"/>
      <c r="DG1331" s="1024"/>
      <c r="DH1331" s="1024"/>
      <c r="DI1331" s="1024"/>
      <c r="DJ1331" s="1024"/>
      <c r="DK1331" s="1024"/>
      <c r="DL1331" s="1024"/>
      <c r="DM1331" s="1024"/>
      <c r="DN1331" s="1024"/>
      <c r="DO1331" s="1024"/>
      <c r="DP1331" s="1024"/>
      <c r="DQ1331" s="1024"/>
      <c r="DR1331" s="1024"/>
      <c r="DS1331" s="1024"/>
      <c r="DT1331" s="1024"/>
      <c r="DU1331" s="1024"/>
      <c r="DV1331" s="1024"/>
      <c r="DW1331" s="1024"/>
      <c r="DX1331" s="1024"/>
      <c r="DY1331" s="1024"/>
      <c r="DZ1331" s="1024"/>
      <c r="EA1331" s="1024"/>
      <c r="EB1331" s="1024"/>
      <c r="EC1331" s="1024"/>
      <c r="ED1331" s="1024"/>
      <c r="EE1331" s="1024"/>
      <c r="EF1331" s="1024"/>
      <c r="EG1331" s="1024"/>
      <c r="EH1331" s="1024"/>
      <c r="EI1331" s="1024"/>
      <c r="EJ1331" s="1024"/>
      <c r="EK1331" s="1024"/>
      <c r="EL1331" s="1024"/>
      <c r="EM1331" s="1024"/>
      <c r="EN1331" s="1024"/>
      <c r="EO1331" s="1024"/>
      <c r="EP1331" s="1024"/>
      <c r="EQ1331" s="1024"/>
      <c r="ER1331" s="1024"/>
      <c r="ES1331" s="1024"/>
      <c r="ET1331" s="1024"/>
      <c r="EU1331" s="1024"/>
      <c r="EV1331" s="1024"/>
      <c r="EW1331" s="1024"/>
      <c r="EX1331" s="1024"/>
      <c r="EY1331" s="1024"/>
      <c r="EZ1331" s="1024"/>
      <c r="FA1331" s="1024"/>
      <c r="FB1331" s="1024"/>
      <c r="FC1331" s="1024"/>
      <c r="FD1331" s="1024"/>
      <c r="FE1331" s="1024"/>
      <c r="FF1331" s="1024"/>
      <c r="FG1331" s="1024"/>
      <c r="FH1331" s="1024"/>
      <c r="FI1331" s="1024"/>
      <c r="FJ1331" s="1024"/>
      <c r="FK1331" s="1024"/>
      <c r="FL1331" s="1024"/>
      <c r="FM1331" s="1024"/>
      <c r="FN1331" s="1024"/>
      <c r="FO1331" s="1024"/>
      <c r="FP1331" s="1024"/>
      <c r="FQ1331" s="1024"/>
      <c r="FR1331" s="1024"/>
      <c r="FS1331" s="1024"/>
      <c r="FT1331" s="1024"/>
      <c r="FU1331" s="1024"/>
      <c r="FV1331" s="1024"/>
      <c r="FW1331" s="1024"/>
      <c r="FX1331" s="1024"/>
      <c r="FY1331" s="1024"/>
      <c r="FZ1331" s="1024"/>
      <c r="GA1331" s="1024"/>
      <c r="GB1331" s="1024"/>
      <c r="GC1331" s="1024"/>
      <c r="GD1331" s="1024"/>
      <c r="GE1331" s="1024"/>
      <c r="GF1331" s="1024"/>
      <c r="GG1331" s="1024"/>
      <c r="GH1331" s="1024"/>
      <c r="GI1331" s="1024"/>
      <c r="GJ1331" s="1024"/>
      <c r="GK1331" s="1024"/>
      <c r="GL1331" s="1024"/>
      <c r="GM1331" s="1024"/>
      <c r="GN1331" s="1024"/>
      <c r="GO1331" s="1024"/>
      <c r="GP1331" s="1024"/>
      <c r="GQ1331" s="1024"/>
      <c r="GR1331" s="1024"/>
      <c r="GS1331" s="1024"/>
      <c r="GT1331" s="1024"/>
      <c r="GU1331" s="1024"/>
      <c r="GV1331" s="1024"/>
      <c r="GW1331" s="1024"/>
      <c r="GX1331" s="1024"/>
      <c r="GY1331" s="1024"/>
      <c r="GZ1331" s="1024"/>
      <c r="HA1331" s="1024"/>
      <c r="HB1331" s="1024"/>
      <c r="HC1331" s="1024"/>
      <c r="HD1331" s="1024"/>
      <c r="HE1331" s="1024"/>
      <c r="HF1331" s="1024"/>
      <c r="HG1331" s="1024"/>
      <c r="HH1331" s="1024"/>
      <c r="HI1331" s="1024"/>
      <c r="HJ1331" s="1024"/>
      <c r="HK1331" s="1024"/>
      <c r="HL1331" s="1024"/>
      <c r="HM1331" s="1024"/>
      <c r="HN1331" s="1024"/>
      <c r="HO1331" s="1024"/>
      <c r="HP1331" s="1024"/>
      <c r="HQ1331" s="1024"/>
      <c r="HR1331" s="1024"/>
      <c r="HS1331" s="1024"/>
      <c r="HT1331" s="1024"/>
      <c r="HU1331" s="1024"/>
      <c r="HV1331" s="1024"/>
      <c r="HW1331" s="1024"/>
      <c r="HX1331" s="1024"/>
      <c r="HY1331" s="1024"/>
      <c r="HZ1331" s="1024"/>
      <c r="IA1331" s="1024"/>
      <c r="IB1331" s="1024"/>
      <c r="IC1331" s="1024"/>
      <c r="ID1331" s="1024"/>
      <c r="IE1331" s="1024"/>
      <c r="IF1331" s="1024"/>
      <c r="IG1331" s="1024"/>
      <c r="IH1331" s="1024"/>
      <c r="II1331" s="1024"/>
      <c r="IJ1331" s="1024"/>
      <c r="IK1331" s="1024"/>
      <c r="IL1331" s="1024"/>
      <c r="IM1331" s="1024"/>
      <c r="IN1331" s="1024"/>
      <c r="IO1331" s="1024"/>
      <c r="IP1331" s="1024"/>
      <c r="IQ1331" s="1024"/>
      <c r="IR1331" s="1024"/>
      <c r="IS1331" s="1024"/>
      <c r="IT1331" s="1024"/>
      <c r="IU1331" s="1024"/>
      <c r="IV1331" s="1024"/>
      <c r="IW1331" s="1024"/>
      <c r="IX1331" s="1024"/>
      <c r="IY1331" s="1024"/>
      <c r="IZ1331" s="1024"/>
      <c r="JA1331" s="1024"/>
      <c r="JB1331" s="1024"/>
      <c r="JC1331" s="1024"/>
      <c r="JD1331" s="1024"/>
      <c r="JE1331" s="1024"/>
      <c r="JF1331" s="1024"/>
      <c r="JG1331" s="1024"/>
      <c r="JH1331" s="1024"/>
      <c r="JI1331" s="1024"/>
      <c r="JJ1331" s="1024"/>
      <c r="JK1331" s="1024"/>
      <c r="JL1331" s="1024"/>
      <c r="JM1331" s="1024"/>
      <c r="JN1331" s="1024"/>
      <c r="JO1331" s="1024"/>
      <c r="JP1331" s="1024"/>
      <c r="JQ1331" s="1024"/>
      <c r="JR1331" s="1024"/>
      <c r="JS1331" s="1024"/>
      <c r="JT1331" s="1024"/>
      <c r="JU1331" s="1024"/>
      <c r="JV1331" s="1024"/>
      <c r="JW1331" s="1024"/>
      <c r="JX1331" s="1024"/>
      <c r="JY1331" s="1024"/>
      <c r="JZ1331" s="1024"/>
      <c r="KA1331" s="1024"/>
      <c r="KB1331" s="1024"/>
      <c r="KC1331" s="1024"/>
      <c r="KD1331" s="1024"/>
      <c r="KE1331" s="1024"/>
      <c r="KF1331" s="1024"/>
      <c r="KG1331" s="1024"/>
      <c r="KH1331" s="1024"/>
      <c r="KI1331" s="1024"/>
      <c r="KJ1331" s="1024"/>
      <c r="KK1331" s="1024"/>
      <c r="KL1331" s="1024"/>
      <c r="KM1331" s="1024"/>
      <c r="KN1331" s="1024"/>
      <c r="KO1331" s="1024"/>
      <c r="KP1331" s="1024"/>
      <c r="KQ1331" s="1024"/>
      <c r="KR1331" s="1024"/>
      <c r="KS1331" s="1024"/>
      <c r="KT1331" s="1024"/>
      <c r="KU1331" s="1024"/>
      <c r="KV1331" s="1024"/>
      <c r="KW1331" s="1024"/>
      <c r="KX1331" s="1024"/>
      <c r="KY1331" s="1024"/>
      <c r="KZ1331" s="1024"/>
      <c r="LA1331" s="1024"/>
      <c r="LB1331" s="1024"/>
      <c r="LC1331" s="1024"/>
      <c r="LD1331" s="1024"/>
      <c r="LE1331" s="1024"/>
      <c r="LF1331" s="1024"/>
      <c r="LG1331" s="1024"/>
      <c r="LH1331" s="1024"/>
      <c r="LI1331" s="1024"/>
      <c r="LJ1331" s="1024"/>
      <c r="LK1331" s="1024"/>
      <c r="LL1331" s="1024"/>
      <c r="LM1331" s="1024"/>
      <c r="LN1331" s="1024"/>
      <c r="LO1331" s="1024"/>
      <c r="LP1331" s="1024"/>
      <c r="LQ1331" s="1024"/>
      <c r="LR1331" s="1024"/>
      <c r="LS1331" s="1024"/>
      <c r="LT1331" s="1024"/>
      <c r="LU1331" s="1024"/>
      <c r="LV1331" s="1024"/>
      <c r="LW1331" s="1024"/>
      <c r="LX1331" s="1024"/>
      <c r="LY1331" s="1024"/>
      <c r="LZ1331" s="1024"/>
      <c r="MA1331" s="1024"/>
      <c r="MB1331" s="1024"/>
      <c r="MC1331" s="1024"/>
      <c r="MD1331" s="1024"/>
      <c r="ME1331" s="1024"/>
      <c r="MF1331" s="1024"/>
      <c r="MG1331" s="1024"/>
      <c r="MH1331" s="1024"/>
      <c r="MI1331" s="1024"/>
      <c r="MJ1331" s="1024"/>
      <c r="MK1331" s="1024"/>
      <c r="ML1331" s="1024"/>
      <c r="MM1331" s="1024"/>
      <c r="MN1331" s="1024"/>
      <c r="MO1331" s="1024"/>
      <c r="MP1331" s="1024"/>
      <c r="MQ1331" s="1024"/>
      <c r="MR1331" s="1024"/>
      <c r="MS1331" s="1024"/>
      <c r="MT1331" s="1024"/>
      <c r="MU1331" s="1024"/>
      <c r="MV1331" s="1024"/>
      <c r="MW1331" s="1024"/>
      <c r="MX1331" s="1024"/>
      <c r="MY1331" s="1024"/>
      <c r="MZ1331" s="1024"/>
      <c r="NA1331" s="1024"/>
      <c r="NB1331" s="1024"/>
      <c r="NC1331" s="1024"/>
      <c r="ND1331" s="1024"/>
      <c r="NE1331" s="1024"/>
      <c r="NF1331" s="1024"/>
      <c r="NG1331" s="1024"/>
      <c r="NH1331" s="1024"/>
      <c r="NI1331" s="1024"/>
      <c r="NJ1331" s="1024"/>
      <c r="NK1331" s="1024"/>
      <c r="NL1331" s="1024"/>
      <c r="NM1331" s="1024"/>
      <c r="NN1331" s="1024"/>
      <c r="NO1331" s="1024"/>
      <c r="NP1331" s="1024"/>
      <c r="NQ1331" s="1024"/>
      <c r="NR1331" s="1024"/>
      <c r="NS1331" s="1024"/>
      <c r="NT1331" s="1024"/>
      <c r="NU1331" s="1024"/>
      <c r="NV1331" s="1024"/>
      <c r="NW1331" s="1024"/>
      <c r="NX1331" s="1024"/>
      <c r="NY1331" s="1024"/>
      <c r="NZ1331" s="1024"/>
      <c r="OA1331" s="1024"/>
      <c r="OB1331" s="1024"/>
      <c r="OC1331" s="1024"/>
      <c r="OD1331" s="1024"/>
      <c r="OE1331" s="1024"/>
      <c r="OF1331" s="1024"/>
      <c r="OG1331" s="1024"/>
      <c r="OH1331" s="1024"/>
      <c r="OI1331" s="1024"/>
      <c r="OJ1331" s="1024"/>
      <c r="OK1331" s="1024"/>
      <c r="OL1331" s="1024"/>
      <c r="OM1331" s="1024"/>
      <c r="ON1331" s="1024"/>
      <c r="OO1331" s="1024"/>
      <c r="OP1331" s="1024"/>
      <c r="OQ1331" s="1024"/>
      <c r="OR1331" s="1024"/>
      <c r="OS1331" s="1024"/>
      <c r="OT1331" s="1024"/>
      <c r="OU1331" s="1024"/>
      <c r="OV1331" s="1024"/>
      <c r="OW1331" s="1024"/>
      <c r="OX1331" s="1024"/>
      <c r="OY1331" s="1024"/>
      <c r="OZ1331" s="1024"/>
      <c r="PA1331" s="1024"/>
      <c r="PB1331" s="1024"/>
      <c r="PC1331" s="1024"/>
      <c r="PD1331" s="1024"/>
      <c r="PE1331" s="1024"/>
      <c r="PF1331" s="1024"/>
      <c r="PG1331" s="1024"/>
      <c r="PH1331" s="1024"/>
      <c r="PI1331" s="1024"/>
      <c r="PJ1331" s="1024"/>
      <c r="PK1331" s="1024"/>
      <c r="PL1331" s="1024"/>
      <c r="PM1331" s="1024"/>
      <c r="PN1331" s="1024"/>
      <c r="PO1331" s="1024"/>
      <c r="PP1331" s="1024"/>
      <c r="PQ1331" s="1024"/>
      <c r="PR1331" s="1024"/>
      <c r="PS1331" s="1024"/>
      <c r="PT1331" s="1024"/>
      <c r="PU1331" s="1024"/>
      <c r="PV1331" s="1024"/>
      <c r="PW1331" s="1024"/>
      <c r="PX1331" s="1024"/>
      <c r="PY1331" s="1024"/>
      <c r="PZ1331" s="1024"/>
      <c r="QA1331" s="1024"/>
      <c r="QB1331" s="1024"/>
      <c r="QC1331" s="1024"/>
      <c r="QD1331" s="1024"/>
      <c r="QE1331" s="1024"/>
      <c r="QF1331" s="1024"/>
      <c r="QG1331" s="1024"/>
      <c r="QH1331" s="1024"/>
      <c r="QI1331" s="1024"/>
      <c r="QJ1331" s="1024"/>
      <c r="QK1331" s="1024"/>
      <c r="QL1331" s="1024"/>
      <c r="QM1331" s="1024"/>
      <c r="QN1331" s="1024"/>
      <c r="QO1331" s="1024"/>
      <c r="QP1331" s="1024"/>
      <c r="QQ1331" s="1024"/>
      <c r="QR1331" s="1024"/>
      <c r="QS1331" s="1024"/>
      <c r="QT1331" s="1024"/>
      <c r="QU1331" s="1024"/>
      <c r="QV1331" s="1024"/>
      <c r="QW1331" s="1024"/>
      <c r="QX1331" s="1024"/>
      <c r="QY1331" s="1024"/>
      <c r="QZ1331" s="1024"/>
      <c r="RA1331" s="1024"/>
      <c r="RB1331" s="1024"/>
      <c r="RC1331" s="1024"/>
      <c r="RD1331" s="1024"/>
      <c r="RE1331" s="1024"/>
      <c r="RF1331" s="1024"/>
      <c r="RG1331" s="1024"/>
      <c r="RH1331" s="1024"/>
      <c r="RI1331" s="1024"/>
      <c r="RJ1331" s="1024"/>
      <c r="RK1331" s="1024"/>
      <c r="RL1331" s="1024"/>
      <c r="RM1331" s="1024"/>
      <c r="RN1331" s="1024"/>
      <c r="RO1331" s="1024"/>
      <c r="RP1331" s="1024"/>
      <c r="RQ1331" s="1024"/>
      <c r="RR1331" s="1024"/>
      <c r="RS1331" s="1024"/>
      <c r="RT1331" s="1024"/>
      <c r="RU1331" s="1024"/>
      <c r="RV1331" s="1024"/>
      <c r="RW1331" s="1024"/>
      <c r="RX1331" s="1024"/>
      <c r="RY1331" s="1024"/>
      <c r="RZ1331" s="1024"/>
      <c r="SA1331" s="1024"/>
      <c r="SB1331" s="1024"/>
      <c r="SC1331" s="1024"/>
      <c r="SD1331" s="1024"/>
      <c r="SE1331" s="1024"/>
      <c r="SF1331" s="1024"/>
      <c r="SG1331" s="1024"/>
      <c r="SH1331" s="1024"/>
      <c r="SI1331" s="1024"/>
      <c r="SJ1331" s="1024"/>
      <c r="SK1331" s="1024"/>
      <c r="SL1331" s="1024"/>
      <c r="SM1331" s="1024"/>
      <c r="SN1331" s="1024"/>
      <c r="SO1331" s="1024"/>
      <c r="SP1331" s="1024"/>
      <c r="SQ1331" s="1024"/>
      <c r="SR1331" s="1024"/>
      <c r="SS1331" s="1024"/>
      <c r="ST1331" s="1024"/>
      <c r="SU1331" s="1024"/>
      <c r="SV1331" s="1024"/>
      <c r="SW1331" s="1024"/>
      <c r="SX1331" s="1024"/>
      <c r="SY1331" s="1024"/>
      <c r="SZ1331" s="1024"/>
      <c r="TA1331" s="1024"/>
      <c r="TB1331" s="1024"/>
      <c r="TC1331" s="1024"/>
      <c r="TD1331" s="1024"/>
      <c r="TE1331" s="1024"/>
      <c r="TF1331" s="1024"/>
      <c r="TG1331" s="1024"/>
      <c r="TH1331" s="1024"/>
      <c r="TI1331" s="1024"/>
      <c r="TJ1331" s="1024"/>
      <c r="TK1331" s="1024"/>
      <c r="TL1331" s="1024"/>
      <c r="TM1331" s="1024"/>
      <c r="TN1331" s="1024"/>
      <c r="TO1331" s="1024"/>
      <c r="TP1331" s="1024"/>
      <c r="TQ1331" s="1024"/>
      <c r="TR1331" s="1024"/>
      <c r="TS1331" s="1024"/>
      <c r="TT1331" s="1024"/>
      <c r="TU1331" s="1024"/>
      <c r="TV1331" s="1024"/>
      <c r="TW1331" s="1024"/>
      <c r="TX1331" s="1024"/>
      <c r="TY1331" s="1024"/>
      <c r="TZ1331" s="1024"/>
      <c r="UA1331" s="1024"/>
      <c r="UB1331" s="1024"/>
      <c r="UC1331" s="1024"/>
      <c r="UD1331" s="1024"/>
      <c r="UE1331" s="1024"/>
      <c r="UF1331" s="1024"/>
      <c r="UG1331" s="1024"/>
      <c r="UH1331" s="1024"/>
      <c r="UI1331" s="1024"/>
      <c r="UJ1331" s="1024"/>
      <c r="UK1331" s="1024"/>
      <c r="UL1331" s="1024"/>
      <c r="UM1331" s="1024"/>
      <c r="UN1331" s="1024"/>
      <c r="UO1331" s="1024"/>
      <c r="UP1331" s="1024"/>
      <c r="UQ1331" s="1024"/>
      <c r="UR1331" s="1024"/>
      <c r="US1331" s="1024"/>
      <c r="UT1331" s="1024"/>
      <c r="UU1331" s="1024"/>
      <c r="UV1331" s="1024"/>
      <c r="UW1331" s="1024"/>
      <c r="UX1331" s="1024"/>
      <c r="UY1331" s="1024"/>
      <c r="UZ1331" s="1024"/>
      <c r="VA1331" s="1024"/>
      <c r="VB1331" s="1024"/>
      <c r="VC1331" s="1024"/>
      <c r="VD1331" s="1024"/>
      <c r="VE1331" s="1024"/>
      <c r="VF1331" s="1024"/>
      <c r="VG1331" s="1024"/>
      <c r="VH1331" s="1024"/>
      <c r="VI1331" s="1024"/>
      <c r="VJ1331" s="1024"/>
      <c r="VK1331" s="1024"/>
      <c r="VL1331" s="1024"/>
      <c r="VM1331" s="1024"/>
      <c r="VN1331" s="1024"/>
      <c r="VO1331" s="1024"/>
      <c r="VP1331" s="1024"/>
      <c r="VQ1331" s="1024"/>
      <c r="VR1331" s="1024"/>
      <c r="VS1331" s="1024"/>
      <c r="VT1331" s="1024"/>
      <c r="VU1331" s="1024"/>
      <c r="VV1331" s="1024"/>
      <c r="VW1331" s="1024"/>
      <c r="VX1331" s="1024"/>
      <c r="VY1331" s="1024"/>
      <c r="VZ1331" s="1024"/>
      <c r="WA1331" s="1024"/>
      <c r="WB1331" s="1024"/>
      <c r="WC1331" s="1024"/>
      <c r="WD1331" s="1024"/>
      <c r="WE1331" s="1024"/>
      <c r="WF1331" s="1024"/>
      <c r="WG1331" s="1024"/>
      <c r="WH1331" s="1024"/>
      <c r="WI1331" s="1024"/>
      <c r="WJ1331" s="1024"/>
      <c r="WK1331" s="1024"/>
      <c r="WL1331" s="1024"/>
      <c r="WM1331" s="1024"/>
      <c r="WN1331" s="1024"/>
      <c r="WO1331" s="1024"/>
      <c r="WP1331" s="1024"/>
      <c r="WQ1331" s="1024"/>
      <c r="WR1331" s="1024"/>
      <c r="WS1331" s="1024"/>
      <c r="WT1331" s="1024"/>
      <c r="WU1331" s="1024"/>
      <c r="WV1331" s="1024"/>
      <c r="WW1331" s="1024"/>
      <c r="WX1331" s="1024"/>
      <c r="WY1331" s="1024"/>
      <c r="WZ1331" s="1024"/>
      <c r="XA1331" s="1024"/>
      <c r="XB1331" s="1024"/>
      <c r="XC1331" s="1024"/>
      <c r="XD1331" s="1024"/>
      <c r="XE1331" s="1024"/>
      <c r="XF1331" s="1024"/>
      <c r="XG1331" s="1024"/>
      <c r="XH1331" s="1024"/>
      <c r="XI1331" s="1024"/>
      <c r="XJ1331" s="1024"/>
      <c r="XK1331" s="1024"/>
      <c r="XL1331" s="1024"/>
      <c r="XM1331" s="1024"/>
      <c r="XN1331" s="1024"/>
      <c r="XO1331" s="1024"/>
      <c r="XP1331" s="1024"/>
      <c r="XQ1331" s="1024"/>
      <c r="XR1331" s="1024"/>
      <c r="XS1331" s="1024"/>
      <c r="XT1331" s="1024"/>
      <c r="XU1331" s="1024"/>
      <c r="XV1331" s="1024"/>
      <c r="XW1331" s="1024"/>
      <c r="XX1331" s="1024"/>
      <c r="XY1331" s="1024"/>
      <c r="XZ1331" s="1024"/>
      <c r="YA1331" s="1024"/>
      <c r="YB1331" s="1024"/>
      <c r="YC1331" s="1024"/>
      <c r="YD1331" s="1024"/>
      <c r="YE1331" s="1024"/>
      <c r="YF1331" s="1024"/>
      <c r="YG1331" s="1024"/>
      <c r="YH1331" s="1024"/>
      <c r="YI1331" s="1024"/>
      <c r="YJ1331" s="1024"/>
      <c r="YK1331" s="1024"/>
      <c r="YL1331" s="1024"/>
      <c r="YM1331" s="1024"/>
      <c r="YN1331" s="1024"/>
      <c r="YO1331" s="1024"/>
      <c r="YP1331" s="1024"/>
      <c r="YQ1331" s="1024"/>
      <c r="YR1331" s="1024"/>
      <c r="YS1331" s="1024"/>
      <c r="YT1331" s="1024"/>
      <c r="YU1331" s="1024"/>
      <c r="YV1331" s="1024"/>
      <c r="YW1331" s="1024"/>
      <c r="YX1331" s="1024"/>
      <c r="YY1331" s="1024"/>
      <c r="YZ1331" s="1024"/>
      <c r="ZA1331" s="1024"/>
      <c r="ZB1331" s="1024"/>
      <c r="ZC1331" s="1024"/>
      <c r="ZD1331" s="1024"/>
      <c r="ZE1331" s="1024"/>
      <c r="ZF1331" s="1024"/>
      <c r="ZG1331" s="1024"/>
      <c r="ZH1331" s="1024"/>
      <c r="ZI1331" s="1024"/>
      <c r="ZJ1331" s="1024"/>
      <c r="ZK1331" s="1024"/>
      <c r="ZL1331" s="1024"/>
      <c r="ZM1331" s="1024"/>
      <c r="ZN1331" s="1024"/>
      <c r="ZO1331" s="1024"/>
      <c r="ZP1331" s="1024"/>
      <c r="ZQ1331" s="1024"/>
      <c r="ZR1331" s="1024"/>
      <c r="ZS1331" s="1024"/>
      <c r="ZT1331" s="1024"/>
      <c r="ZU1331" s="1024"/>
      <c r="ZV1331" s="1024"/>
      <c r="ZW1331" s="1024"/>
      <c r="ZX1331" s="1024"/>
      <c r="ZY1331" s="1024"/>
      <c r="ZZ1331" s="1024"/>
      <c r="AAA1331" s="1024"/>
      <c r="AAB1331" s="1024"/>
      <c r="AAC1331" s="1024"/>
      <c r="AAD1331" s="1024"/>
      <c r="AAE1331" s="1024"/>
      <c r="AAF1331" s="1024"/>
      <c r="AAG1331" s="1024"/>
      <c r="AAH1331" s="1024"/>
      <c r="AAI1331" s="1024"/>
      <c r="AAJ1331" s="1024"/>
      <c r="AAK1331" s="1024"/>
      <c r="AAL1331" s="1024"/>
      <c r="AAM1331" s="1024"/>
      <c r="AAN1331" s="1024"/>
      <c r="AAO1331" s="1024"/>
      <c r="AAP1331" s="1024"/>
      <c r="AAQ1331" s="1024"/>
      <c r="AAR1331" s="1024"/>
      <c r="AAS1331" s="1024"/>
      <c r="AAT1331" s="1024"/>
      <c r="AAU1331" s="1024"/>
      <c r="AAV1331" s="1024"/>
      <c r="AAW1331" s="1024"/>
      <c r="AAX1331" s="1024"/>
      <c r="AAY1331" s="1024"/>
      <c r="AAZ1331" s="1024"/>
      <c r="ABA1331" s="1024"/>
      <c r="ABB1331" s="1024"/>
      <c r="ABC1331" s="1024"/>
      <c r="ABD1331" s="1024"/>
      <c r="ABE1331" s="1024"/>
      <c r="ABF1331" s="1024"/>
      <c r="ABG1331" s="1024"/>
      <c r="ABH1331" s="1024"/>
      <c r="ABI1331" s="1024"/>
      <c r="ABJ1331" s="1024"/>
      <c r="ABK1331" s="1024"/>
      <c r="ABL1331" s="1024"/>
      <c r="ABM1331" s="1024"/>
      <c r="ABN1331" s="1024"/>
      <c r="ABO1331" s="1024"/>
      <c r="ABP1331" s="1024"/>
      <c r="ABQ1331" s="1024"/>
      <c r="ABR1331" s="1024"/>
      <c r="ABS1331" s="1024"/>
      <c r="ABT1331" s="1024"/>
      <c r="ABU1331" s="1024"/>
      <c r="ABV1331" s="1024"/>
      <c r="ABW1331" s="1024"/>
      <c r="ABX1331" s="1024"/>
      <c r="ABY1331" s="1024"/>
      <c r="ABZ1331" s="1024"/>
      <c r="ACA1331" s="1024"/>
      <c r="ACB1331" s="1024"/>
      <c r="ACC1331" s="1024"/>
      <c r="ACD1331" s="1024"/>
      <c r="ACE1331" s="1024"/>
      <c r="ACF1331" s="1024"/>
      <c r="ACG1331" s="1024"/>
      <c r="ACH1331" s="1024"/>
      <c r="ACI1331" s="1024"/>
      <c r="ACJ1331" s="1024"/>
      <c r="ACK1331" s="1024"/>
      <c r="ACL1331" s="1024"/>
      <c r="ACM1331" s="1024"/>
      <c r="ACN1331" s="1024"/>
      <c r="ACO1331" s="1024"/>
      <c r="ACP1331" s="1024"/>
      <c r="ACQ1331" s="1024"/>
      <c r="ACR1331" s="1024"/>
      <c r="ACS1331" s="1024"/>
      <c r="ACT1331" s="1024"/>
      <c r="ACU1331" s="1024"/>
      <c r="ACV1331" s="1024"/>
      <c r="ACW1331" s="1024"/>
      <c r="ACX1331" s="1024"/>
      <c r="ACY1331" s="1024"/>
      <c r="ACZ1331" s="1024"/>
      <c r="ADA1331" s="1024"/>
      <c r="ADB1331" s="1024"/>
      <c r="ADC1331" s="1024"/>
      <c r="ADD1331" s="1024"/>
      <c r="ADE1331" s="1024"/>
      <c r="ADF1331" s="1024"/>
      <c r="ADG1331" s="1024"/>
      <c r="ADH1331" s="1024"/>
      <c r="ADI1331" s="1024"/>
      <c r="ADJ1331" s="1024"/>
      <c r="ADK1331" s="1024"/>
      <c r="ADL1331" s="1024"/>
      <c r="ADM1331" s="1024"/>
      <c r="ADN1331" s="1024"/>
      <c r="ADO1331" s="1024"/>
      <c r="ADP1331" s="1024"/>
      <c r="ADQ1331" s="1024"/>
      <c r="ADR1331" s="1024"/>
      <c r="ADS1331" s="1024"/>
      <c r="ADT1331" s="1024"/>
      <c r="ADU1331" s="1024"/>
      <c r="ADV1331" s="1024"/>
      <c r="ADW1331" s="1024"/>
      <c r="ADX1331" s="1024"/>
      <c r="ADY1331" s="1024"/>
      <c r="ADZ1331" s="1024"/>
      <c r="AEA1331" s="1024"/>
      <c r="AEB1331" s="1024"/>
      <c r="AEC1331" s="1024"/>
      <c r="AED1331" s="1024"/>
      <c r="AEE1331" s="1024"/>
      <c r="AEF1331" s="1024"/>
      <c r="AEG1331" s="1024"/>
      <c r="AEH1331" s="1024"/>
      <c r="AEI1331" s="1024"/>
      <c r="AEJ1331" s="1024"/>
      <c r="AEK1331" s="1024"/>
      <c r="AEL1331" s="1024"/>
      <c r="AEM1331" s="1024"/>
      <c r="AEN1331" s="1024"/>
      <c r="AEO1331" s="1024"/>
      <c r="AEP1331" s="1024"/>
      <c r="AEQ1331" s="1024"/>
      <c r="AER1331" s="1024"/>
      <c r="AES1331" s="1024"/>
      <c r="AET1331" s="1024"/>
      <c r="AEU1331" s="1024"/>
      <c r="AEV1331" s="1024"/>
      <c r="AEW1331" s="1024"/>
      <c r="AEX1331" s="1024"/>
      <c r="AEY1331" s="1024"/>
      <c r="AEZ1331" s="1024"/>
      <c r="AFA1331" s="1024"/>
      <c r="AFB1331" s="1024"/>
      <c r="AFC1331" s="1024"/>
      <c r="AFD1331" s="1024"/>
      <c r="AFE1331" s="1024"/>
      <c r="AFF1331" s="1024"/>
      <c r="AFG1331" s="1024"/>
      <c r="AFH1331" s="1024"/>
      <c r="AFI1331" s="1024"/>
      <c r="AFJ1331" s="1024"/>
      <c r="AFK1331" s="1024"/>
      <c r="AFL1331" s="1024"/>
      <c r="AFM1331" s="1024"/>
      <c r="AFN1331" s="1024"/>
      <c r="AFO1331" s="1024"/>
      <c r="AFP1331" s="1024"/>
      <c r="AFQ1331" s="1024"/>
      <c r="AFR1331" s="1024"/>
      <c r="AFS1331" s="1024"/>
      <c r="AFT1331" s="1024"/>
      <c r="AFU1331" s="1024"/>
      <c r="AFV1331" s="1024"/>
      <c r="AFW1331" s="1024"/>
      <c r="AFX1331" s="1024"/>
      <c r="AFY1331" s="1024"/>
      <c r="AFZ1331" s="1024"/>
      <c r="AGA1331" s="1024"/>
      <c r="AGB1331" s="1024"/>
      <c r="AGC1331" s="1024"/>
      <c r="AGD1331" s="1024"/>
      <c r="AGE1331" s="1024"/>
      <c r="AGF1331" s="1024"/>
      <c r="AGG1331" s="1024"/>
      <c r="AGH1331" s="1024"/>
      <c r="AGI1331" s="1024"/>
      <c r="AGJ1331" s="1024"/>
    </row>
    <row r="1332" spans="1:868">
      <c r="A1332" s="1030" t="str">
        <f>'Textile waste collection'!A16</f>
        <v>Home textiles (discarded)</v>
      </c>
      <c r="B1332" s="1030" t="str">
        <f>'Textile waste collection'!B16</f>
        <v>Home textile waste collection</v>
      </c>
      <c r="C1332" s="1030" t="str">
        <f>'Textile waste collection'!C16</f>
        <v>any</v>
      </c>
      <c r="D1332" s="1030" t="str">
        <f>'Textile waste collection'!D16</f>
        <v>any</v>
      </c>
      <c r="E1332" s="1030">
        <f>'Textile waste collection'!E16</f>
        <v>0.50465116279069766</v>
      </c>
      <c r="F1332" s="1031">
        <f>'Textile waste collection'!F16</f>
        <v>2</v>
      </c>
      <c r="G1332" s="1033" t="str">
        <f>'Textile waste collection'!G16</f>
        <v>Massabalans textiel, 2022</v>
      </c>
      <c r="H1332" s="1032">
        <f>'Textile waste collection'!H16</f>
        <v>1</v>
      </c>
      <c r="I1332" s="911">
        <f>'Textile waste collection'!I16</f>
        <v>2</v>
      </c>
      <c r="J1332" s="911">
        <f>'Textile waste collection'!J16</f>
        <v>2</v>
      </c>
      <c r="K1332" s="911">
        <f>'Textile waste collection'!K16</f>
        <v>1</v>
      </c>
      <c r="L1332" s="911">
        <f>'Textile waste collection'!L16</f>
        <v>2</v>
      </c>
      <c r="M1332" s="911">
        <f>'Textile waste collection'!M16</f>
        <v>2</v>
      </c>
      <c r="N1332" s="185">
        <f t="shared" ref="N1332:N1334" si="101">IF( OR( ISBLANK(H1332),ISBLANK(J1332), ISBLANK(K1332), ISBLANK(L1332), ISBLANK(M1332) ), "", 1.5*SQRT(   EXP(2.21*(H1332-1)) + EXP(2.21*(J1332-1)) + EXP(2.21*(K1332-1)) + EXP(2.21*(L1332-1)) + EXP(2.21*M1332)   )/100*2.45 )</f>
        <v>0.37356464144298934</v>
      </c>
      <c r="O1332" s="159">
        <f t="shared" ref="O1332:O1334" si="102">IF( OR( ISBLANK(I1332),ISBLANK(J1332), ISBLANK(K1332), ISBLANK(L1332), ISBLANK(M1332) ), "", 1.5*SQRT( EXP(2.21*(I1332-1)) + EXP(2.21*(J1332-1)) + EXP(2.21*(K1332-1)) + EXP(2.21*(L1332-1)) + EXP(2.21*M1332)   )/100*2.45 )</f>
        <v>0.38795788889711302</v>
      </c>
    </row>
    <row r="1333" spans="1:868">
      <c r="A1333" s="1030" t="str">
        <f>'Textile waste collection'!A17</f>
        <v>Technical home textiles (discarded)</v>
      </c>
      <c r="B1333" s="1030" t="str">
        <f>'Textile waste collection'!B17</f>
        <v>Technical textile waste collection</v>
      </c>
      <c r="C1333" s="1030" t="str">
        <f>'Textile waste collection'!C17</f>
        <v>any</v>
      </c>
      <c r="D1333" s="1030" t="str">
        <f>'Textile waste collection'!D17</f>
        <v>any</v>
      </c>
      <c r="E1333" s="1030">
        <f>'Textile waste collection'!E17</f>
        <v>0.50465116279069766</v>
      </c>
      <c r="F1333" s="1031">
        <f>'Textile waste collection'!F17</f>
        <v>2</v>
      </c>
      <c r="G1333" s="1033" t="str">
        <f>'Textile waste collection'!G17</f>
        <v>Massabalans textiel, 2022</v>
      </c>
      <c r="H1333" s="1032">
        <f>'Textile waste collection'!H17</f>
        <v>1</v>
      </c>
      <c r="I1333" s="911">
        <f>'Textile waste collection'!I17</f>
        <v>2</v>
      </c>
      <c r="J1333" s="911">
        <f>'Textile waste collection'!J17</f>
        <v>2</v>
      </c>
      <c r="K1333" s="911">
        <f>'Textile waste collection'!K17</f>
        <v>1</v>
      </c>
      <c r="L1333" s="911">
        <f>'Textile waste collection'!L17</f>
        <v>2</v>
      </c>
      <c r="M1333" s="911">
        <f>'Textile waste collection'!M17</f>
        <v>2</v>
      </c>
      <c r="N1333" s="185">
        <f t="shared" si="101"/>
        <v>0.37356464144298934</v>
      </c>
      <c r="O1333" s="159">
        <f t="shared" si="102"/>
        <v>0.38795788889711302</v>
      </c>
    </row>
    <row r="1334" spans="1:868" s="516" customFormat="1" ht="15.75" thickBot="1">
      <c r="A1334" s="1027" t="str">
        <f>'Textile waste collection'!A18</f>
        <v>Textile coating (discarded)</v>
      </c>
      <c r="B1334" s="1027" t="str">
        <f>'Textile waste collection'!B18</f>
        <v>Technical textile waste collection</v>
      </c>
      <c r="C1334" s="1027" t="str">
        <f>'Textile waste collection'!C18</f>
        <v>any</v>
      </c>
      <c r="D1334" s="1027" t="str">
        <f>'Textile waste collection'!D18</f>
        <v>any</v>
      </c>
      <c r="E1334" s="1027">
        <f>'Textile waste collection'!E18</f>
        <v>0.33810000000000001</v>
      </c>
      <c r="F1334" s="1028">
        <f>'Textile waste collection'!F18</f>
        <v>2</v>
      </c>
      <c r="G1334" s="1027" t="str">
        <f>'Textile waste collection'!G18</f>
        <v>Kawecki and Nowack (2019)</v>
      </c>
      <c r="H1334" s="911">
        <f>'Textile waste collection'!H18</f>
        <v>2</v>
      </c>
      <c r="I1334" s="911">
        <f>'Textile waste collection'!I18</f>
        <v>2</v>
      </c>
      <c r="J1334" s="911">
        <f>'Textile waste collection'!J18</f>
        <v>2</v>
      </c>
      <c r="K1334" s="911">
        <f>'Textile waste collection'!K18</f>
        <v>3</v>
      </c>
      <c r="L1334" s="911">
        <f>'Textile waste collection'!L18</f>
        <v>1</v>
      </c>
      <c r="M1334" s="911">
        <f>'Textile waste collection'!M18</f>
        <v>2</v>
      </c>
      <c r="N1334" s="185">
        <f t="shared" si="101"/>
        <v>0.50042652380814845</v>
      </c>
      <c r="O1334" s="159">
        <f t="shared" si="102"/>
        <v>0.50042652380814845</v>
      </c>
      <c r="P1334" s="1023"/>
      <c r="Q1334" s="1024"/>
      <c r="R1334" s="1024"/>
      <c r="S1334" s="1024"/>
      <c r="T1334" s="1024"/>
      <c r="U1334" s="1024"/>
      <c r="V1334" s="1024"/>
      <c r="W1334" s="1024"/>
      <c r="X1334" s="1024"/>
      <c r="Y1334" s="1024"/>
      <c r="Z1334" s="1024"/>
      <c r="AA1334" s="1024"/>
      <c r="AB1334" s="1024"/>
      <c r="AC1334" s="1024"/>
      <c r="AD1334" s="1024"/>
      <c r="AE1334" s="1024"/>
      <c r="AF1334" s="1024"/>
      <c r="AG1334" s="1024"/>
      <c r="AH1334" s="1024"/>
      <c r="AI1334" s="1024"/>
      <c r="AJ1334" s="1024"/>
      <c r="AK1334" s="1024"/>
      <c r="AL1334" s="1024"/>
      <c r="AM1334" s="1024"/>
      <c r="AN1334" s="1024"/>
      <c r="AO1334" s="1024"/>
      <c r="AP1334" s="1024"/>
      <c r="AQ1334" s="1024"/>
      <c r="AR1334" s="1024"/>
      <c r="AS1334" s="1024"/>
      <c r="AT1334" s="1024"/>
      <c r="AU1334" s="1024"/>
      <c r="AV1334" s="1024"/>
      <c r="AW1334" s="1024"/>
      <c r="AX1334" s="1024"/>
      <c r="AY1334" s="1024"/>
      <c r="AZ1334" s="1024"/>
      <c r="BA1334" s="1024"/>
      <c r="BB1334" s="1024"/>
      <c r="BC1334" s="1024"/>
      <c r="BD1334" s="1024"/>
      <c r="BE1334" s="1024"/>
      <c r="BF1334" s="1024"/>
      <c r="BG1334" s="1024"/>
      <c r="BH1334" s="1024"/>
      <c r="BI1334" s="1024"/>
      <c r="BJ1334" s="1024"/>
      <c r="BK1334" s="1024"/>
      <c r="BL1334" s="1024"/>
      <c r="BM1334" s="1024"/>
      <c r="BN1334" s="1024"/>
      <c r="BO1334" s="1024"/>
      <c r="BP1334" s="1024"/>
      <c r="BQ1334" s="1024"/>
      <c r="BR1334" s="1024"/>
      <c r="BS1334" s="1024"/>
      <c r="BT1334" s="1024"/>
      <c r="BU1334" s="1024"/>
      <c r="BV1334" s="1024"/>
      <c r="BW1334" s="1024"/>
      <c r="BX1334" s="1024"/>
      <c r="BY1334" s="1024"/>
      <c r="BZ1334" s="1024"/>
      <c r="CA1334" s="1024"/>
      <c r="CB1334" s="1024"/>
      <c r="CC1334" s="1024"/>
      <c r="CD1334" s="1024"/>
      <c r="CE1334" s="1024"/>
      <c r="CF1334" s="1024"/>
      <c r="CG1334" s="1024"/>
      <c r="CH1334" s="1024"/>
      <c r="CI1334" s="1024"/>
      <c r="CJ1334" s="1024"/>
      <c r="CK1334" s="1024"/>
      <c r="CL1334" s="1024"/>
      <c r="CM1334" s="1024"/>
      <c r="CN1334" s="1024"/>
      <c r="CO1334" s="1024"/>
      <c r="CP1334" s="1024"/>
      <c r="CQ1334" s="1024"/>
      <c r="CR1334" s="1024"/>
      <c r="CS1334" s="1024"/>
      <c r="CT1334" s="1024"/>
      <c r="CU1334" s="1024"/>
      <c r="CV1334" s="1024"/>
      <c r="CW1334" s="1024"/>
      <c r="CX1334" s="1024"/>
      <c r="CY1334" s="1024"/>
      <c r="CZ1334" s="1024"/>
      <c r="DA1334" s="1024"/>
      <c r="DB1334" s="1024"/>
      <c r="DC1334" s="1024"/>
      <c r="DD1334" s="1024"/>
      <c r="DE1334" s="1024"/>
      <c r="DF1334" s="1024"/>
      <c r="DG1334" s="1024"/>
      <c r="DH1334" s="1024"/>
      <c r="DI1334" s="1024"/>
      <c r="DJ1334" s="1024"/>
      <c r="DK1334" s="1024"/>
      <c r="DL1334" s="1024"/>
      <c r="DM1334" s="1024"/>
      <c r="DN1334" s="1024"/>
      <c r="DO1334" s="1024"/>
      <c r="DP1334" s="1024"/>
      <c r="DQ1334" s="1024"/>
      <c r="DR1334" s="1024"/>
      <c r="DS1334" s="1024"/>
      <c r="DT1334" s="1024"/>
      <c r="DU1334" s="1024"/>
      <c r="DV1334" s="1024"/>
      <c r="DW1334" s="1024"/>
      <c r="DX1334" s="1024"/>
      <c r="DY1334" s="1024"/>
      <c r="DZ1334" s="1024"/>
      <c r="EA1334" s="1024"/>
      <c r="EB1334" s="1024"/>
      <c r="EC1334" s="1024"/>
      <c r="ED1334" s="1024"/>
      <c r="EE1334" s="1024"/>
      <c r="EF1334" s="1024"/>
      <c r="EG1334" s="1024"/>
      <c r="EH1334" s="1024"/>
      <c r="EI1334" s="1024"/>
      <c r="EJ1334" s="1024"/>
      <c r="EK1334" s="1024"/>
      <c r="EL1334" s="1024"/>
      <c r="EM1334" s="1024"/>
      <c r="EN1334" s="1024"/>
      <c r="EO1334" s="1024"/>
      <c r="EP1334" s="1024"/>
      <c r="EQ1334" s="1024"/>
      <c r="ER1334" s="1024"/>
      <c r="ES1334" s="1024"/>
      <c r="ET1334" s="1024"/>
      <c r="EU1334" s="1024"/>
      <c r="EV1334" s="1024"/>
      <c r="EW1334" s="1024"/>
      <c r="EX1334" s="1024"/>
      <c r="EY1334" s="1024"/>
      <c r="EZ1334" s="1024"/>
      <c r="FA1334" s="1024"/>
      <c r="FB1334" s="1024"/>
      <c r="FC1334" s="1024"/>
      <c r="FD1334" s="1024"/>
      <c r="FE1334" s="1024"/>
      <c r="FF1334" s="1024"/>
      <c r="FG1334" s="1024"/>
      <c r="FH1334" s="1024"/>
      <c r="FI1334" s="1024"/>
      <c r="FJ1334" s="1024"/>
      <c r="FK1334" s="1024"/>
      <c r="FL1334" s="1024"/>
      <c r="FM1334" s="1024"/>
      <c r="FN1334" s="1024"/>
      <c r="FO1334" s="1024"/>
      <c r="FP1334" s="1024"/>
      <c r="FQ1334" s="1024"/>
      <c r="FR1334" s="1024"/>
      <c r="FS1334" s="1024"/>
      <c r="FT1334" s="1024"/>
      <c r="FU1334" s="1024"/>
      <c r="FV1334" s="1024"/>
      <c r="FW1334" s="1024"/>
      <c r="FX1334" s="1024"/>
      <c r="FY1334" s="1024"/>
      <c r="FZ1334" s="1024"/>
      <c r="GA1334" s="1024"/>
      <c r="GB1334" s="1024"/>
      <c r="GC1334" s="1024"/>
      <c r="GD1334" s="1024"/>
      <c r="GE1334" s="1024"/>
      <c r="GF1334" s="1024"/>
      <c r="GG1334" s="1024"/>
      <c r="GH1334" s="1024"/>
      <c r="GI1334" s="1024"/>
      <c r="GJ1334" s="1024"/>
      <c r="GK1334" s="1024"/>
      <c r="GL1334" s="1024"/>
      <c r="GM1334" s="1024"/>
      <c r="GN1334" s="1024"/>
      <c r="GO1334" s="1024"/>
      <c r="GP1334" s="1024"/>
      <c r="GQ1334" s="1024"/>
      <c r="GR1334" s="1024"/>
      <c r="GS1334" s="1024"/>
      <c r="GT1334" s="1024"/>
      <c r="GU1334" s="1024"/>
      <c r="GV1334" s="1024"/>
      <c r="GW1334" s="1024"/>
      <c r="GX1334" s="1024"/>
      <c r="GY1334" s="1024"/>
      <c r="GZ1334" s="1024"/>
      <c r="HA1334" s="1024"/>
      <c r="HB1334" s="1024"/>
      <c r="HC1334" s="1024"/>
      <c r="HD1334" s="1024"/>
      <c r="HE1334" s="1024"/>
      <c r="HF1334" s="1024"/>
      <c r="HG1334" s="1024"/>
      <c r="HH1334" s="1024"/>
      <c r="HI1334" s="1024"/>
      <c r="HJ1334" s="1024"/>
      <c r="HK1334" s="1024"/>
      <c r="HL1334" s="1024"/>
      <c r="HM1334" s="1024"/>
      <c r="HN1334" s="1024"/>
      <c r="HO1334" s="1024"/>
      <c r="HP1334" s="1024"/>
      <c r="HQ1334" s="1024"/>
      <c r="HR1334" s="1024"/>
      <c r="HS1334" s="1024"/>
      <c r="HT1334" s="1024"/>
      <c r="HU1334" s="1024"/>
      <c r="HV1334" s="1024"/>
      <c r="HW1334" s="1024"/>
      <c r="HX1334" s="1024"/>
      <c r="HY1334" s="1024"/>
      <c r="HZ1334" s="1024"/>
      <c r="IA1334" s="1024"/>
      <c r="IB1334" s="1024"/>
      <c r="IC1334" s="1024"/>
      <c r="ID1334" s="1024"/>
      <c r="IE1334" s="1024"/>
      <c r="IF1334" s="1024"/>
      <c r="IG1334" s="1024"/>
      <c r="IH1334" s="1024"/>
      <c r="II1334" s="1024"/>
      <c r="IJ1334" s="1024"/>
      <c r="IK1334" s="1024"/>
      <c r="IL1334" s="1024"/>
      <c r="IM1334" s="1024"/>
      <c r="IN1334" s="1024"/>
      <c r="IO1334" s="1024"/>
      <c r="IP1334" s="1024"/>
      <c r="IQ1334" s="1024"/>
      <c r="IR1334" s="1024"/>
      <c r="IS1334" s="1024"/>
      <c r="IT1334" s="1024"/>
      <c r="IU1334" s="1024"/>
      <c r="IV1334" s="1024"/>
      <c r="IW1334" s="1024"/>
      <c r="IX1334" s="1024"/>
      <c r="IY1334" s="1024"/>
      <c r="IZ1334" s="1024"/>
      <c r="JA1334" s="1024"/>
      <c r="JB1334" s="1024"/>
      <c r="JC1334" s="1024"/>
      <c r="JD1334" s="1024"/>
      <c r="JE1334" s="1024"/>
      <c r="JF1334" s="1024"/>
      <c r="JG1334" s="1024"/>
      <c r="JH1334" s="1024"/>
      <c r="JI1334" s="1024"/>
      <c r="JJ1334" s="1024"/>
      <c r="JK1334" s="1024"/>
      <c r="JL1334" s="1024"/>
      <c r="JM1334" s="1024"/>
      <c r="JN1334" s="1024"/>
      <c r="JO1334" s="1024"/>
      <c r="JP1334" s="1024"/>
      <c r="JQ1334" s="1024"/>
      <c r="JR1334" s="1024"/>
      <c r="JS1334" s="1024"/>
      <c r="JT1334" s="1024"/>
      <c r="JU1334" s="1024"/>
      <c r="JV1334" s="1024"/>
      <c r="JW1334" s="1024"/>
      <c r="JX1334" s="1024"/>
      <c r="JY1334" s="1024"/>
      <c r="JZ1334" s="1024"/>
      <c r="KA1334" s="1024"/>
      <c r="KB1334" s="1024"/>
      <c r="KC1334" s="1024"/>
      <c r="KD1334" s="1024"/>
      <c r="KE1334" s="1024"/>
      <c r="KF1334" s="1024"/>
      <c r="KG1334" s="1024"/>
      <c r="KH1334" s="1024"/>
      <c r="KI1334" s="1024"/>
      <c r="KJ1334" s="1024"/>
      <c r="KK1334" s="1024"/>
      <c r="KL1334" s="1024"/>
      <c r="KM1334" s="1024"/>
      <c r="KN1334" s="1024"/>
      <c r="KO1334" s="1024"/>
      <c r="KP1334" s="1024"/>
      <c r="KQ1334" s="1024"/>
      <c r="KR1334" s="1024"/>
      <c r="KS1334" s="1024"/>
      <c r="KT1334" s="1024"/>
      <c r="KU1334" s="1024"/>
      <c r="KV1334" s="1024"/>
      <c r="KW1334" s="1024"/>
      <c r="KX1334" s="1024"/>
      <c r="KY1334" s="1024"/>
      <c r="KZ1334" s="1024"/>
      <c r="LA1334" s="1024"/>
      <c r="LB1334" s="1024"/>
      <c r="LC1334" s="1024"/>
      <c r="LD1334" s="1024"/>
      <c r="LE1334" s="1024"/>
      <c r="LF1334" s="1024"/>
      <c r="LG1334" s="1024"/>
      <c r="LH1334" s="1024"/>
      <c r="LI1334" s="1024"/>
      <c r="LJ1334" s="1024"/>
      <c r="LK1334" s="1024"/>
      <c r="LL1334" s="1024"/>
      <c r="LM1334" s="1024"/>
      <c r="LN1334" s="1024"/>
      <c r="LO1334" s="1024"/>
      <c r="LP1334" s="1024"/>
      <c r="LQ1334" s="1024"/>
      <c r="LR1334" s="1024"/>
      <c r="LS1334" s="1024"/>
      <c r="LT1334" s="1024"/>
      <c r="LU1334" s="1024"/>
      <c r="LV1334" s="1024"/>
      <c r="LW1334" s="1024"/>
      <c r="LX1334" s="1024"/>
      <c r="LY1334" s="1024"/>
      <c r="LZ1334" s="1024"/>
      <c r="MA1334" s="1024"/>
      <c r="MB1334" s="1024"/>
      <c r="MC1334" s="1024"/>
      <c r="MD1334" s="1024"/>
      <c r="ME1334" s="1024"/>
      <c r="MF1334" s="1024"/>
      <c r="MG1334" s="1024"/>
      <c r="MH1334" s="1024"/>
      <c r="MI1334" s="1024"/>
      <c r="MJ1334" s="1024"/>
      <c r="MK1334" s="1024"/>
      <c r="ML1334" s="1024"/>
      <c r="MM1334" s="1024"/>
      <c r="MN1334" s="1024"/>
      <c r="MO1334" s="1024"/>
      <c r="MP1334" s="1024"/>
      <c r="MQ1334" s="1024"/>
      <c r="MR1334" s="1024"/>
      <c r="MS1334" s="1024"/>
      <c r="MT1334" s="1024"/>
      <c r="MU1334" s="1024"/>
      <c r="MV1334" s="1024"/>
      <c r="MW1334" s="1024"/>
      <c r="MX1334" s="1024"/>
      <c r="MY1334" s="1024"/>
      <c r="MZ1334" s="1024"/>
      <c r="NA1334" s="1024"/>
      <c r="NB1334" s="1024"/>
      <c r="NC1334" s="1024"/>
      <c r="ND1334" s="1024"/>
      <c r="NE1334" s="1024"/>
      <c r="NF1334" s="1024"/>
      <c r="NG1334" s="1024"/>
      <c r="NH1334" s="1024"/>
      <c r="NI1334" s="1024"/>
      <c r="NJ1334" s="1024"/>
      <c r="NK1334" s="1024"/>
      <c r="NL1334" s="1024"/>
      <c r="NM1334" s="1024"/>
      <c r="NN1334" s="1024"/>
      <c r="NO1334" s="1024"/>
      <c r="NP1334" s="1024"/>
      <c r="NQ1334" s="1024"/>
      <c r="NR1334" s="1024"/>
      <c r="NS1334" s="1024"/>
      <c r="NT1334" s="1024"/>
      <c r="NU1334" s="1024"/>
      <c r="NV1334" s="1024"/>
      <c r="NW1334" s="1024"/>
      <c r="NX1334" s="1024"/>
      <c r="NY1334" s="1024"/>
      <c r="NZ1334" s="1024"/>
      <c r="OA1334" s="1024"/>
      <c r="OB1334" s="1024"/>
      <c r="OC1334" s="1024"/>
      <c r="OD1334" s="1024"/>
      <c r="OE1334" s="1024"/>
      <c r="OF1334" s="1024"/>
      <c r="OG1334" s="1024"/>
      <c r="OH1334" s="1024"/>
      <c r="OI1334" s="1024"/>
      <c r="OJ1334" s="1024"/>
      <c r="OK1334" s="1024"/>
      <c r="OL1334" s="1024"/>
      <c r="OM1334" s="1024"/>
      <c r="ON1334" s="1024"/>
      <c r="OO1334" s="1024"/>
      <c r="OP1334" s="1024"/>
      <c r="OQ1334" s="1024"/>
      <c r="OR1334" s="1024"/>
      <c r="OS1334" s="1024"/>
      <c r="OT1334" s="1024"/>
      <c r="OU1334" s="1024"/>
      <c r="OV1334" s="1024"/>
      <c r="OW1334" s="1024"/>
      <c r="OX1334" s="1024"/>
      <c r="OY1334" s="1024"/>
      <c r="OZ1334" s="1024"/>
      <c r="PA1334" s="1024"/>
      <c r="PB1334" s="1024"/>
      <c r="PC1334" s="1024"/>
      <c r="PD1334" s="1024"/>
      <c r="PE1334" s="1024"/>
      <c r="PF1334" s="1024"/>
      <c r="PG1334" s="1024"/>
      <c r="PH1334" s="1024"/>
      <c r="PI1334" s="1024"/>
      <c r="PJ1334" s="1024"/>
      <c r="PK1334" s="1024"/>
      <c r="PL1334" s="1024"/>
      <c r="PM1334" s="1024"/>
      <c r="PN1334" s="1024"/>
      <c r="PO1334" s="1024"/>
      <c r="PP1334" s="1024"/>
      <c r="PQ1334" s="1024"/>
      <c r="PR1334" s="1024"/>
      <c r="PS1334" s="1024"/>
      <c r="PT1334" s="1024"/>
      <c r="PU1334" s="1024"/>
      <c r="PV1334" s="1024"/>
      <c r="PW1334" s="1024"/>
      <c r="PX1334" s="1024"/>
      <c r="PY1334" s="1024"/>
      <c r="PZ1334" s="1024"/>
      <c r="QA1334" s="1024"/>
      <c r="QB1334" s="1024"/>
      <c r="QC1334" s="1024"/>
      <c r="QD1334" s="1024"/>
      <c r="QE1334" s="1024"/>
      <c r="QF1334" s="1024"/>
      <c r="QG1334" s="1024"/>
      <c r="QH1334" s="1024"/>
      <c r="QI1334" s="1024"/>
      <c r="QJ1334" s="1024"/>
      <c r="QK1334" s="1024"/>
      <c r="QL1334" s="1024"/>
      <c r="QM1334" s="1024"/>
      <c r="QN1334" s="1024"/>
      <c r="QO1334" s="1024"/>
      <c r="QP1334" s="1024"/>
      <c r="QQ1334" s="1024"/>
      <c r="QR1334" s="1024"/>
      <c r="QS1334" s="1024"/>
      <c r="QT1334" s="1024"/>
      <c r="QU1334" s="1024"/>
      <c r="QV1334" s="1024"/>
      <c r="QW1334" s="1024"/>
      <c r="QX1334" s="1024"/>
      <c r="QY1334" s="1024"/>
      <c r="QZ1334" s="1024"/>
      <c r="RA1334" s="1024"/>
      <c r="RB1334" s="1024"/>
      <c r="RC1334" s="1024"/>
      <c r="RD1334" s="1024"/>
      <c r="RE1334" s="1024"/>
      <c r="RF1334" s="1024"/>
      <c r="RG1334" s="1024"/>
      <c r="RH1334" s="1024"/>
      <c r="RI1334" s="1024"/>
      <c r="RJ1334" s="1024"/>
      <c r="RK1334" s="1024"/>
      <c r="RL1334" s="1024"/>
      <c r="RM1334" s="1024"/>
      <c r="RN1334" s="1024"/>
      <c r="RO1334" s="1024"/>
      <c r="RP1334" s="1024"/>
      <c r="RQ1334" s="1024"/>
      <c r="RR1334" s="1024"/>
      <c r="RS1334" s="1024"/>
      <c r="RT1334" s="1024"/>
      <c r="RU1334" s="1024"/>
      <c r="RV1334" s="1024"/>
      <c r="RW1334" s="1024"/>
      <c r="RX1334" s="1024"/>
      <c r="RY1334" s="1024"/>
      <c r="RZ1334" s="1024"/>
      <c r="SA1334" s="1024"/>
      <c r="SB1334" s="1024"/>
      <c r="SC1334" s="1024"/>
      <c r="SD1334" s="1024"/>
      <c r="SE1334" s="1024"/>
      <c r="SF1334" s="1024"/>
      <c r="SG1334" s="1024"/>
      <c r="SH1334" s="1024"/>
      <c r="SI1334" s="1024"/>
      <c r="SJ1334" s="1024"/>
      <c r="SK1334" s="1024"/>
      <c r="SL1334" s="1024"/>
      <c r="SM1334" s="1024"/>
      <c r="SN1334" s="1024"/>
      <c r="SO1334" s="1024"/>
      <c r="SP1334" s="1024"/>
      <c r="SQ1334" s="1024"/>
      <c r="SR1334" s="1024"/>
      <c r="SS1334" s="1024"/>
      <c r="ST1334" s="1024"/>
      <c r="SU1334" s="1024"/>
      <c r="SV1334" s="1024"/>
      <c r="SW1334" s="1024"/>
      <c r="SX1334" s="1024"/>
      <c r="SY1334" s="1024"/>
      <c r="SZ1334" s="1024"/>
      <c r="TA1334" s="1024"/>
      <c r="TB1334" s="1024"/>
      <c r="TC1334" s="1024"/>
      <c r="TD1334" s="1024"/>
      <c r="TE1334" s="1024"/>
      <c r="TF1334" s="1024"/>
      <c r="TG1334" s="1024"/>
      <c r="TH1334" s="1024"/>
      <c r="TI1334" s="1024"/>
      <c r="TJ1334" s="1024"/>
      <c r="TK1334" s="1024"/>
      <c r="TL1334" s="1024"/>
      <c r="TM1334" s="1024"/>
      <c r="TN1334" s="1024"/>
      <c r="TO1334" s="1024"/>
      <c r="TP1334" s="1024"/>
      <c r="TQ1334" s="1024"/>
      <c r="TR1334" s="1024"/>
      <c r="TS1334" s="1024"/>
      <c r="TT1334" s="1024"/>
      <c r="TU1334" s="1024"/>
      <c r="TV1334" s="1024"/>
      <c r="TW1334" s="1024"/>
      <c r="TX1334" s="1024"/>
      <c r="TY1334" s="1024"/>
      <c r="TZ1334" s="1024"/>
      <c r="UA1334" s="1024"/>
      <c r="UB1334" s="1024"/>
      <c r="UC1334" s="1024"/>
      <c r="UD1334" s="1024"/>
      <c r="UE1334" s="1024"/>
      <c r="UF1334" s="1024"/>
      <c r="UG1334" s="1024"/>
      <c r="UH1334" s="1024"/>
      <c r="UI1334" s="1024"/>
      <c r="UJ1334" s="1024"/>
      <c r="UK1334" s="1024"/>
      <c r="UL1334" s="1024"/>
      <c r="UM1334" s="1024"/>
      <c r="UN1334" s="1024"/>
      <c r="UO1334" s="1024"/>
      <c r="UP1334" s="1024"/>
      <c r="UQ1334" s="1024"/>
      <c r="UR1334" s="1024"/>
      <c r="US1334" s="1024"/>
      <c r="UT1334" s="1024"/>
      <c r="UU1334" s="1024"/>
      <c r="UV1334" s="1024"/>
      <c r="UW1334" s="1024"/>
      <c r="UX1334" s="1024"/>
      <c r="UY1334" s="1024"/>
      <c r="UZ1334" s="1024"/>
      <c r="VA1334" s="1024"/>
      <c r="VB1334" s="1024"/>
      <c r="VC1334" s="1024"/>
      <c r="VD1334" s="1024"/>
      <c r="VE1334" s="1024"/>
      <c r="VF1334" s="1024"/>
      <c r="VG1334" s="1024"/>
      <c r="VH1334" s="1024"/>
      <c r="VI1334" s="1024"/>
      <c r="VJ1334" s="1024"/>
      <c r="VK1334" s="1024"/>
      <c r="VL1334" s="1024"/>
      <c r="VM1334" s="1024"/>
      <c r="VN1334" s="1024"/>
      <c r="VO1334" s="1024"/>
      <c r="VP1334" s="1024"/>
      <c r="VQ1334" s="1024"/>
      <c r="VR1334" s="1024"/>
      <c r="VS1334" s="1024"/>
      <c r="VT1334" s="1024"/>
      <c r="VU1334" s="1024"/>
      <c r="VV1334" s="1024"/>
      <c r="VW1334" s="1024"/>
      <c r="VX1334" s="1024"/>
      <c r="VY1334" s="1024"/>
      <c r="VZ1334" s="1024"/>
      <c r="WA1334" s="1024"/>
      <c r="WB1334" s="1024"/>
      <c r="WC1334" s="1024"/>
      <c r="WD1334" s="1024"/>
      <c r="WE1334" s="1024"/>
      <c r="WF1334" s="1024"/>
      <c r="WG1334" s="1024"/>
      <c r="WH1334" s="1024"/>
      <c r="WI1334" s="1024"/>
      <c r="WJ1334" s="1024"/>
      <c r="WK1334" s="1024"/>
      <c r="WL1334" s="1024"/>
      <c r="WM1334" s="1024"/>
      <c r="WN1334" s="1024"/>
      <c r="WO1334" s="1024"/>
      <c r="WP1334" s="1024"/>
      <c r="WQ1334" s="1024"/>
      <c r="WR1334" s="1024"/>
      <c r="WS1334" s="1024"/>
      <c r="WT1334" s="1024"/>
      <c r="WU1334" s="1024"/>
      <c r="WV1334" s="1024"/>
      <c r="WW1334" s="1024"/>
      <c r="WX1334" s="1024"/>
      <c r="WY1334" s="1024"/>
      <c r="WZ1334" s="1024"/>
      <c r="XA1334" s="1024"/>
      <c r="XB1334" s="1024"/>
      <c r="XC1334" s="1024"/>
      <c r="XD1334" s="1024"/>
      <c r="XE1334" s="1024"/>
      <c r="XF1334" s="1024"/>
      <c r="XG1334" s="1024"/>
      <c r="XH1334" s="1024"/>
      <c r="XI1334" s="1024"/>
      <c r="XJ1334" s="1024"/>
      <c r="XK1334" s="1024"/>
      <c r="XL1334" s="1024"/>
      <c r="XM1334" s="1024"/>
      <c r="XN1334" s="1024"/>
      <c r="XO1334" s="1024"/>
      <c r="XP1334" s="1024"/>
      <c r="XQ1334" s="1024"/>
      <c r="XR1334" s="1024"/>
      <c r="XS1334" s="1024"/>
      <c r="XT1334" s="1024"/>
      <c r="XU1334" s="1024"/>
      <c r="XV1334" s="1024"/>
      <c r="XW1334" s="1024"/>
      <c r="XX1334" s="1024"/>
      <c r="XY1334" s="1024"/>
      <c r="XZ1334" s="1024"/>
      <c r="YA1334" s="1024"/>
      <c r="YB1334" s="1024"/>
      <c r="YC1334" s="1024"/>
      <c r="YD1334" s="1024"/>
      <c r="YE1334" s="1024"/>
      <c r="YF1334" s="1024"/>
      <c r="YG1334" s="1024"/>
      <c r="YH1334" s="1024"/>
      <c r="YI1334" s="1024"/>
      <c r="YJ1334" s="1024"/>
      <c r="YK1334" s="1024"/>
      <c r="YL1334" s="1024"/>
      <c r="YM1334" s="1024"/>
      <c r="YN1334" s="1024"/>
      <c r="YO1334" s="1024"/>
      <c r="YP1334" s="1024"/>
      <c r="YQ1334" s="1024"/>
      <c r="YR1334" s="1024"/>
      <c r="YS1334" s="1024"/>
      <c r="YT1334" s="1024"/>
      <c r="YU1334" s="1024"/>
      <c r="YV1334" s="1024"/>
      <c r="YW1334" s="1024"/>
      <c r="YX1334" s="1024"/>
      <c r="YY1334" s="1024"/>
      <c r="YZ1334" s="1024"/>
      <c r="ZA1334" s="1024"/>
      <c r="ZB1334" s="1024"/>
      <c r="ZC1334" s="1024"/>
      <c r="ZD1334" s="1024"/>
      <c r="ZE1334" s="1024"/>
      <c r="ZF1334" s="1024"/>
      <c r="ZG1334" s="1024"/>
      <c r="ZH1334" s="1024"/>
      <c r="ZI1334" s="1024"/>
      <c r="ZJ1334" s="1024"/>
      <c r="ZK1334" s="1024"/>
      <c r="ZL1334" s="1024"/>
      <c r="ZM1334" s="1024"/>
      <c r="ZN1334" s="1024"/>
      <c r="ZO1334" s="1024"/>
      <c r="ZP1334" s="1024"/>
      <c r="ZQ1334" s="1024"/>
      <c r="ZR1334" s="1024"/>
      <c r="ZS1334" s="1024"/>
      <c r="ZT1334" s="1024"/>
      <c r="ZU1334" s="1024"/>
      <c r="ZV1334" s="1024"/>
      <c r="ZW1334" s="1024"/>
      <c r="ZX1334" s="1024"/>
      <c r="ZY1334" s="1024"/>
      <c r="ZZ1334" s="1024"/>
      <c r="AAA1334" s="1024"/>
      <c r="AAB1334" s="1024"/>
      <c r="AAC1334" s="1024"/>
      <c r="AAD1334" s="1024"/>
      <c r="AAE1334" s="1024"/>
      <c r="AAF1334" s="1024"/>
      <c r="AAG1334" s="1024"/>
      <c r="AAH1334" s="1024"/>
      <c r="AAI1334" s="1024"/>
      <c r="AAJ1334" s="1024"/>
      <c r="AAK1334" s="1024"/>
      <c r="AAL1334" s="1024"/>
      <c r="AAM1334" s="1024"/>
      <c r="AAN1334" s="1024"/>
      <c r="AAO1334" s="1024"/>
      <c r="AAP1334" s="1024"/>
      <c r="AAQ1334" s="1024"/>
      <c r="AAR1334" s="1024"/>
      <c r="AAS1334" s="1024"/>
      <c r="AAT1334" s="1024"/>
      <c r="AAU1334" s="1024"/>
      <c r="AAV1334" s="1024"/>
      <c r="AAW1334" s="1024"/>
      <c r="AAX1334" s="1024"/>
      <c r="AAY1334" s="1024"/>
      <c r="AAZ1334" s="1024"/>
      <c r="ABA1334" s="1024"/>
      <c r="ABB1334" s="1024"/>
      <c r="ABC1334" s="1024"/>
      <c r="ABD1334" s="1024"/>
      <c r="ABE1334" s="1024"/>
      <c r="ABF1334" s="1024"/>
      <c r="ABG1334" s="1024"/>
      <c r="ABH1334" s="1024"/>
      <c r="ABI1334" s="1024"/>
      <c r="ABJ1334" s="1024"/>
      <c r="ABK1334" s="1024"/>
      <c r="ABL1334" s="1024"/>
      <c r="ABM1334" s="1024"/>
      <c r="ABN1334" s="1024"/>
      <c r="ABO1334" s="1024"/>
      <c r="ABP1334" s="1024"/>
      <c r="ABQ1334" s="1024"/>
      <c r="ABR1334" s="1024"/>
      <c r="ABS1334" s="1024"/>
      <c r="ABT1334" s="1024"/>
      <c r="ABU1334" s="1024"/>
      <c r="ABV1334" s="1024"/>
      <c r="ABW1334" s="1024"/>
      <c r="ABX1334" s="1024"/>
      <c r="ABY1334" s="1024"/>
      <c r="ABZ1334" s="1024"/>
      <c r="ACA1334" s="1024"/>
      <c r="ACB1334" s="1024"/>
      <c r="ACC1334" s="1024"/>
      <c r="ACD1334" s="1024"/>
      <c r="ACE1334" s="1024"/>
      <c r="ACF1334" s="1024"/>
      <c r="ACG1334" s="1024"/>
      <c r="ACH1334" s="1024"/>
      <c r="ACI1334" s="1024"/>
      <c r="ACJ1334" s="1024"/>
      <c r="ACK1334" s="1024"/>
      <c r="ACL1334" s="1024"/>
      <c r="ACM1334" s="1024"/>
      <c r="ACN1334" s="1024"/>
      <c r="ACO1334" s="1024"/>
      <c r="ACP1334" s="1024"/>
      <c r="ACQ1334" s="1024"/>
      <c r="ACR1334" s="1024"/>
      <c r="ACS1334" s="1024"/>
      <c r="ACT1334" s="1024"/>
      <c r="ACU1334" s="1024"/>
      <c r="ACV1334" s="1024"/>
      <c r="ACW1334" s="1024"/>
      <c r="ACX1334" s="1024"/>
      <c r="ACY1334" s="1024"/>
      <c r="ACZ1334" s="1024"/>
      <c r="ADA1334" s="1024"/>
      <c r="ADB1334" s="1024"/>
      <c r="ADC1334" s="1024"/>
      <c r="ADD1334" s="1024"/>
      <c r="ADE1334" s="1024"/>
      <c r="ADF1334" s="1024"/>
      <c r="ADG1334" s="1024"/>
      <c r="ADH1334" s="1024"/>
      <c r="ADI1334" s="1024"/>
      <c r="ADJ1334" s="1024"/>
      <c r="ADK1334" s="1024"/>
      <c r="ADL1334" s="1024"/>
      <c r="ADM1334" s="1024"/>
      <c r="ADN1334" s="1024"/>
      <c r="ADO1334" s="1024"/>
      <c r="ADP1334" s="1024"/>
      <c r="ADQ1334" s="1024"/>
      <c r="ADR1334" s="1024"/>
      <c r="ADS1334" s="1024"/>
      <c r="ADT1334" s="1024"/>
      <c r="ADU1334" s="1024"/>
      <c r="ADV1334" s="1024"/>
      <c r="ADW1334" s="1024"/>
      <c r="ADX1334" s="1024"/>
      <c r="ADY1334" s="1024"/>
      <c r="ADZ1334" s="1024"/>
      <c r="AEA1334" s="1024"/>
      <c r="AEB1334" s="1024"/>
      <c r="AEC1334" s="1024"/>
      <c r="AED1334" s="1024"/>
      <c r="AEE1334" s="1024"/>
      <c r="AEF1334" s="1024"/>
      <c r="AEG1334" s="1024"/>
      <c r="AEH1334" s="1024"/>
      <c r="AEI1334" s="1024"/>
      <c r="AEJ1334" s="1024"/>
      <c r="AEK1334" s="1024"/>
      <c r="AEL1334" s="1024"/>
      <c r="AEM1334" s="1024"/>
      <c r="AEN1334" s="1024"/>
      <c r="AEO1334" s="1024"/>
      <c r="AEP1334" s="1024"/>
      <c r="AEQ1334" s="1024"/>
      <c r="AER1334" s="1024"/>
      <c r="AES1334" s="1024"/>
      <c r="AET1334" s="1024"/>
      <c r="AEU1334" s="1024"/>
      <c r="AEV1334" s="1024"/>
      <c r="AEW1334" s="1024"/>
      <c r="AEX1334" s="1024"/>
      <c r="AEY1334" s="1024"/>
      <c r="AEZ1334" s="1024"/>
      <c r="AFA1334" s="1024"/>
      <c r="AFB1334" s="1024"/>
      <c r="AFC1334" s="1024"/>
      <c r="AFD1334" s="1024"/>
      <c r="AFE1334" s="1024"/>
      <c r="AFF1334" s="1024"/>
      <c r="AFG1334" s="1024"/>
      <c r="AFH1334" s="1024"/>
      <c r="AFI1334" s="1024"/>
      <c r="AFJ1334" s="1024"/>
      <c r="AFK1334" s="1024"/>
      <c r="AFL1334" s="1024"/>
      <c r="AFM1334" s="1024"/>
      <c r="AFN1334" s="1024"/>
      <c r="AFO1334" s="1024"/>
      <c r="AFP1334" s="1024"/>
      <c r="AFQ1334" s="1024"/>
      <c r="AFR1334" s="1024"/>
      <c r="AFS1334" s="1024"/>
      <c r="AFT1334" s="1024"/>
      <c r="AFU1334" s="1024"/>
      <c r="AFV1334" s="1024"/>
      <c r="AFW1334" s="1024"/>
      <c r="AFX1334" s="1024"/>
      <c r="AFY1334" s="1024"/>
      <c r="AFZ1334" s="1024"/>
      <c r="AGA1334" s="1024"/>
      <c r="AGB1334" s="1024"/>
      <c r="AGC1334" s="1024"/>
      <c r="AGD1334" s="1024"/>
      <c r="AGE1334" s="1024"/>
      <c r="AGF1334" s="1024"/>
      <c r="AGG1334" s="1024"/>
      <c r="AGH1334" s="1024"/>
      <c r="AGI1334" s="1024"/>
      <c r="AGJ1334" s="1024"/>
    </row>
    <row r="1335" spans="1:868">
      <c r="A1335" s="899" t="str">
        <f>'Textile waste collection'!A29</f>
        <v>Clothing waste collection</v>
      </c>
      <c r="B1335" s="899" t="str">
        <f>'Textile waste collection'!B29</f>
        <v>Textile reuse</v>
      </c>
      <c r="C1335" s="899" t="str">
        <f>'Textile waste collection'!C29</f>
        <v>any</v>
      </c>
      <c r="D1335" s="899" t="str">
        <f>'Textile waste collection'!D29</f>
        <v>any</v>
      </c>
      <c r="E1335" s="1025">
        <f>'Textile waste collection'!E29</f>
        <v>6.7281105990783407E-2</v>
      </c>
      <c r="F1335" s="1026">
        <f>'Textile waste collection'!F29</f>
        <v>2</v>
      </c>
      <c r="G1335" s="899" t="str">
        <f>'Textile waste collection'!G29</f>
        <v>Massabalans textiel, 2022</v>
      </c>
      <c r="H1335" s="911">
        <f>'Textile waste collection'!H29</f>
        <v>1</v>
      </c>
      <c r="I1335" s="911">
        <f>'Textile waste collection'!I29</f>
        <v>2</v>
      </c>
      <c r="J1335" s="911">
        <f>'Textile waste collection'!J29</f>
        <v>2</v>
      </c>
      <c r="K1335" s="911">
        <f>'Textile waste collection'!K29</f>
        <v>1</v>
      </c>
      <c r="L1335" s="911">
        <f>'Textile waste collection'!L29</f>
        <v>2</v>
      </c>
      <c r="M1335" s="911">
        <f>'Textile waste collection'!M29</f>
        <v>2</v>
      </c>
      <c r="N1335" s="185"/>
      <c r="O1335" s="159"/>
    </row>
    <row r="1336" spans="1:868">
      <c r="A1336" s="899" t="str">
        <f>'Textile waste collection'!A30</f>
        <v>Clothing waste collection</v>
      </c>
      <c r="B1336" s="899" t="str">
        <f>'Textile waste collection'!B30</f>
        <v>Textile recycling</v>
      </c>
      <c r="C1336" s="899" t="str">
        <f>'Textile waste collection'!C30</f>
        <v>any</v>
      </c>
      <c r="D1336" s="899" t="str">
        <f>'Textile waste collection'!D30</f>
        <v>any</v>
      </c>
      <c r="E1336" s="1025">
        <f>'Textile waste collection'!E30</f>
        <v>5.7142857142857141E-2</v>
      </c>
      <c r="F1336" s="1026">
        <f>'Textile waste collection'!F30</f>
        <v>3</v>
      </c>
      <c r="G1336" s="899" t="str">
        <f>'Textile waste collection'!G30</f>
        <v>Massabalans textiel, 2022</v>
      </c>
      <c r="H1336" s="911">
        <f>'Textile waste collection'!H30</f>
        <v>1</v>
      </c>
      <c r="I1336" s="911">
        <f>'Textile waste collection'!I30</f>
        <v>2</v>
      </c>
      <c r="J1336" s="911">
        <f>'Textile waste collection'!J30</f>
        <v>2</v>
      </c>
      <c r="K1336" s="911">
        <f>'Textile waste collection'!K30</f>
        <v>1</v>
      </c>
      <c r="L1336" s="911">
        <f>'Textile waste collection'!L30</f>
        <v>2</v>
      </c>
      <c r="M1336" s="911">
        <f>'Textile waste collection'!M30</f>
        <v>2</v>
      </c>
      <c r="N1336" s="185">
        <f t="shared" ref="N1336:N1338" si="103">IF( OR( ISBLANK(H1336),ISBLANK(J1336), ISBLANK(K1336), ISBLANK(L1336), ISBLANK(M1336) ), "", 1.5*SQRT(   EXP(2.21*(H1336-1)) + EXP(2.21*(J1336-1)) + EXP(2.21*(K1336-1)) + EXP(2.21*(L1336-1)) + EXP(2.21*M1336)   )/100*2.45 )</f>
        <v>0.37356464144298934</v>
      </c>
      <c r="O1336" s="159">
        <f t="shared" ref="O1336:O1338" si="104">IF( OR( ISBLANK(I1336),ISBLANK(J1336), ISBLANK(K1336), ISBLANK(L1336), ISBLANK(M1336) ), "", 1.5*SQRT( EXP(2.21*(I1336-1)) + EXP(2.21*(J1336-1)) + EXP(2.21*(K1336-1)) + EXP(2.21*(L1336-1)) + EXP(2.21*M1336)   )/100*2.45 )</f>
        <v>0.38795788889711302</v>
      </c>
    </row>
    <row r="1337" spans="1:868" ht="15.75" thickBot="1">
      <c r="A1337" s="899" t="str">
        <f>'Textile waste collection'!A31</f>
        <v>Clothing waste collection</v>
      </c>
      <c r="B1337" s="899" t="str">
        <f>'Textile waste collection'!B31</f>
        <v>Residential soil (macro)</v>
      </c>
      <c r="C1337" s="899" t="str">
        <f>'Textile waste collection'!C31</f>
        <v>any</v>
      </c>
      <c r="D1337" s="899" t="str">
        <f>'Textile waste collection'!D31</f>
        <v>any</v>
      </c>
      <c r="E1337" s="1025">
        <f>'Textile waste collection'!E31</f>
        <v>1E-4</v>
      </c>
      <c r="F1337" s="1026">
        <f>'Textile waste collection'!F31</f>
        <v>3</v>
      </c>
      <c r="G1337" s="899" t="str">
        <f>'Textile waste collection'!G31</f>
        <v>assumption based on similar losses estimated for other waste collection systems</v>
      </c>
      <c r="H1337" s="954"/>
      <c r="I1337" s="954"/>
      <c r="J1337" s="954"/>
      <c r="K1337" s="954"/>
      <c r="L1337" s="954"/>
      <c r="M1337" s="954"/>
      <c r="N1337" s="185" t="str">
        <f t="shared" si="103"/>
        <v/>
      </c>
      <c r="O1337" s="159" t="str">
        <f t="shared" si="104"/>
        <v/>
      </c>
    </row>
    <row r="1338" spans="1:868">
      <c r="A1338" s="899" t="str">
        <f>'Textile waste collection'!A32</f>
        <v>Clothing waste collection</v>
      </c>
      <c r="B1338" s="899" t="str">
        <f>'Textile waste collection'!B32</f>
        <v>Landfill</v>
      </c>
      <c r="C1338" s="899" t="str">
        <f>'Textile waste collection'!C32</f>
        <v>any</v>
      </c>
      <c r="D1338" s="899" t="str">
        <f>'Textile waste collection'!D32</f>
        <v>any</v>
      </c>
      <c r="E1338" s="1025">
        <f>'Textile waste collection'!E32</f>
        <v>3.0000000000000001E-3</v>
      </c>
      <c r="F1338" s="1026">
        <f>'Textile waste collection'!F32</f>
        <v>2</v>
      </c>
      <c r="G1338" s="899" t="str">
        <f>'Textile waste collection'!G32</f>
        <v>Massabalans textiel, 2018</v>
      </c>
      <c r="H1338" s="911">
        <f>'Textile waste collection'!H32</f>
        <v>1</v>
      </c>
      <c r="I1338" s="911">
        <f>'Textile waste collection'!I32</f>
        <v>2</v>
      </c>
      <c r="J1338" s="911">
        <f>'Textile waste collection'!J32</f>
        <v>2</v>
      </c>
      <c r="K1338" s="911">
        <f>'Textile waste collection'!K32</f>
        <v>1</v>
      </c>
      <c r="L1338" s="911">
        <f>'Textile waste collection'!L32</f>
        <v>2</v>
      </c>
      <c r="M1338" s="911">
        <f>'Textile waste collection'!M32</f>
        <v>2</v>
      </c>
      <c r="N1338" s="185">
        <f t="shared" si="103"/>
        <v>0.37356464144298934</v>
      </c>
      <c r="O1338" s="159">
        <f t="shared" si="104"/>
        <v>0.38795788889711302</v>
      </c>
    </row>
    <row r="1339" spans="1:868">
      <c r="A1339" s="899" t="str">
        <f>'Textile waste collection'!A33</f>
        <v>Clothing waste collection</v>
      </c>
      <c r="B1339" s="899" t="str">
        <f>'Textile waste collection'!B33</f>
        <v>Incineration</v>
      </c>
      <c r="C1339" s="899" t="str">
        <f>'Textile waste collection'!C33</f>
        <v>any</v>
      </c>
      <c r="D1339" s="899" t="str">
        <f>'Textile waste collection'!D33</f>
        <v>any</v>
      </c>
      <c r="E1339" s="1025">
        <f>'Textile waste collection'!E33</f>
        <v>6.5437788018433182E-2</v>
      </c>
      <c r="F1339" s="1026">
        <f>'Textile waste collection'!F33</f>
        <v>2</v>
      </c>
      <c r="G1339" s="899" t="str">
        <f>'Textile waste collection'!G33</f>
        <v>Massabalans textiel, 2022</v>
      </c>
      <c r="H1339" s="911">
        <f>'Textile waste collection'!H33</f>
        <v>1</v>
      </c>
      <c r="I1339" s="911">
        <f>'Textile waste collection'!I33</f>
        <v>2</v>
      </c>
      <c r="J1339" s="911">
        <f>'Textile waste collection'!J33</f>
        <v>2</v>
      </c>
      <c r="K1339" s="911">
        <f>'Textile waste collection'!K33</f>
        <v>1</v>
      </c>
      <c r="L1339" s="911">
        <f>'Textile waste collection'!L33</f>
        <v>2</v>
      </c>
      <c r="M1339" s="911">
        <f>'Textile waste collection'!M33</f>
        <v>2</v>
      </c>
      <c r="N1339" s="185"/>
      <c r="O1339" s="159"/>
    </row>
    <row r="1340" spans="1:868">
      <c r="A1340" s="899" t="str">
        <f>'Textile waste collection'!A34</f>
        <v>Clothing waste collection</v>
      </c>
      <c r="B1340" s="899" t="str">
        <f>'Textile waste collection'!B34</f>
        <v>Export</v>
      </c>
      <c r="C1340" s="899" t="str">
        <f>'Textile waste collection'!C34</f>
        <v>any</v>
      </c>
      <c r="D1340" s="899" t="str">
        <f>'Textile waste collection'!D34</f>
        <v>any</v>
      </c>
      <c r="E1340" s="1025" t="str">
        <f>'Textile waste collection'!E34</f>
        <v>rest</v>
      </c>
      <c r="F1340" s="1026">
        <f>'Textile waste collection'!F34</f>
        <v>1</v>
      </c>
      <c r="G1340" s="899" t="str">
        <f>'Textile waste collection'!G34</f>
        <v>Massabalans textiel, 2022</v>
      </c>
      <c r="H1340" s="911">
        <f>'Textile waste collection'!H34</f>
        <v>1</v>
      </c>
      <c r="I1340" s="911">
        <f>'Textile waste collection'!I34</f>
        <v>2</v>
      </c>
      <c r="J1340" s="911">
        <f>'Textile waste collection'!J34</f>
        <v>2</v>
      </c>
      <c r="K1340" s="911">
        <f>'Textile waste collection'!K34</f>
        <v>1</v>
      </c>
      <c r="L1340" s="911">
        <f>'Textile waste collection'!L34</f>
        <v>2</v>
      </c>
      <c r="M1340" s="911">
        <f>'Textile waste collection'!M34</f>
        <v>2</v>
      </c>
      <c r="N1340" s="185">
        <f t="shared" ref="N1340:N1342" si="105">IF( OR( ISBLANK(H1340),ISBLANK(J1340), ISBLANK(K1340), ISBLANK(L1340), ISBLANK(M1340) ), "", 1.5*SQRT(   EXP(2.21*(H1340-1)) + EXP(2.21*(J1340-1)) + EXP(2.21*(K1340-1)) + EXP(2.21*(L1340-1)) + EXP(2.21*M1340)   )/100*2.45 )</f>
        <v>0.37356464144298934</v>
      </c>
      <c r="O1340" s="159">
        <f t="shared" ref="O1340:O1342" si="106">IF( OR( ISBLANK(I1340),ISBLANK(J1340), ISBLANK(K1340), ISBLANK(L1340), ISBLANK(M1340) ), "", 1.5*SQRT( EXP(2.21*(I1340-1)) + EXP(2.21*(J1340-1)) + EXP(2.21*(K1340-1)) + EXP(2.21*(L1340-1)) + EXP(2.21*M1340)   )/100*2.45 )</f>
        <v>0.38795788889711302</v>
      </c>
    </row>
    <row r="1341" spans="1:868" ht="15.75" thickBot="1">
      <c r="A1341" s="899" t="str">
        <f>'Textile waste collection'!A35</f>
        <v>Home textile waste collection</v>
      </c>
      <c r="B1341" s="899" t="str">
        <f>'Textile waste collection'!B35</f>
        <v>Textile reuse</v>
      </c>
      <c r="C1341" s="899" t="str">
        <f>'Textile waste collection'!C35</f>
        <v>any</v>
      </c>
      <c r="D1341" s="899" t="str">
        <f>'Textile waste collection'!D35</f>
        <v>any</v>
      </c>
      <c r="E1341" s="1025">
        <f>'Textile waste collection'!E35</f>
        <v>6.7281105990783407E-2</v>
      </c>
      <c r="F1341" s="1026">
        <f>'Textile waste collection'!F35</f>
        <v>2</v>
      </c>
      <c r="G1341" s="899" t="str">
        <f>'Textile waste collection'!G35</f>
        <v>Massabalans textiel, 2022</v>
      </c>
      <c r="H1341" s="954">
        <f>'Textile waste collection'!H35</f>
        <v>1</v>
      </c>
      <c r="I1341" s="954">
        <f>'Textile waste collection'!I35</f>
        <v>2</v>
      </c>
      <c r="J1341" s="954">
        <f>'Textile waste collection'!J35</f>
        <v>2</v>
      </c>
      <c r="K1341" s="954">
        <f>'Textile waste collection'!K35</f>
        <v>1</v>
      </c>
      <c r="L1341" s="954">
        <f>'Textile waste collection'!L35</f>
        <v>2</v>
      </c>
      <c r="M1341" s="954">
        <f>'Textile waste collection'!M35</f>
        <v>2</v>
      </c>
      <c r="N1341" s="185">
        <f t="shared" si="105"/>
        <v>0.37356464144298934</v>
      </c>
      <c r="O1341" s="159">
        <f t="shared" si="106"/>
        <v>0.38795788889711302</v>
      </c>
    </row>
    <row r="1342" spans="1:868">
      <c r="A1342" s="899" t="str">
        <f>'Textile waste collection'!A36</f>
        <v>Home textile waste collection</v>
      </c>
      <c r="B1342" s="899" t="str">
        <f>'Textile waste collection'!B36</f>
        <v>Textile recycling</v>
      </c>
      <c r="C1342" s="899" t="str">
        <f>'Textile waste collection'!C36</f>
        <v>any</v>
      </c>
      <c r="D1342" s="899" t="str">
        <f>'Textile waste collection'!D36</f>
        <v>any</v>
      </c>
      <c r="E1342" s="1025">
        <f>'Textile waste collection'!E36</f>
        <v>5.7142857142857141E-2</v>
      </c>
      <c r="F1342" s="1026">
        <f>'Textile waste collection'!F36</f>
        <v>3</v>
      </c>
      <c r="G1342" s="899" t="str">
        <f>'Textile waste collection'!G36</f>
        <v>Massabalans textiel, 2022</v>
      </c>
      <c r="H1342" s="911">
        <f>'Textile waste collection'!H36</f>
        <v>1</v>
      </c>
      <c r="I1342" s="911">
        <f>'Textile waste collection'!I36</f>
        <v>2</v>
      </c>
      <c r="J1342" s="911">
        <f>'Textile waste collection'!J36</f>
        <v>2</v>
      </c>
      <c r="K1342" s="911">
        <f>'Textile waste collection'!K36</f>
        <v>1</v>
      </c>
      <c r="L1342" s="911">
        <f>'Textile waste collection'!L36</f>
        <v>2</v>
      </c>
      <c r="M1342" s="911">
        <f>'Textile waste collection'!M36</f>
        <v>2</v>
      </c>
      <c r="N1342" s="185">
        <f t="shared" si="105"/>
        <v>0.37356464144298934</v>
      </c>
      <c r="O1342" s="159">
        <f t="shared" si="106"/>
        <v>0.38795788889711302</v>
      </c>
    </row>
    <row r="1343" spans="1:868">
      <c r="A1343" s="899" t="str">
        <f>'Textile waste collection'!A37</f>
        <v>Home textile waste collection</v>
      </c>
      <c r="B1343" s="899" t="str">
        <f>'Textile waste collection'!B37</f>
        <v>Residential soil (macro)</v>
      </c>
      <c r="C1343" s="899" t="str">
        <f>'Textile waste collection'!C37</f>
        <v>any</v>
      </c>
      <c r="D1343" s="899" t="str">
        <f>'Textile waste collection'!D37</f>
        <v>any</v>
      </c>
      <c r="E1343" s="1025">
        <f>'Textile waste collection'!E37</f>
        <v>1E-4</v>
      </c>
      <c r="F1343" s="1026">
        <f>'Textile waste collection'!F37</f>
        <v>3</v>
      </c>
      <c r="G1343" s="899" t="str">
        <f>'Textile waste collection'!G37</f>
        <v>assumption based on similar losses estimated for other waste collection systems</v>
      </c>
      <c r="H1343" s="911"/>
      <c r="I1343" s="911"/>
      <c r="J1343" s="911"/>
      <c r="K1343" s="911"/>
      <c r="L1343" s="911"/>
      <c r="M1343" s="911"/>
      <c r="N1343" s="185"/>
      <c r="O1343" s="159"/>
    </row>
    <row r="1344" spans="1:868">
      <c r="A1344" s="899" t="str">
        <f>'Textile waste collection'!A38</f>
        <v>Home textile waste collection</v>
      </c>
      <c r="B1344" s="899" t="str">
        <f>'Textile waste collection'!B38</f>
        <v>Landfill</v>
      </c>
      <c r="C1344" s="899" t="str">
        <f>'Textile waste collection'!C38</f>
        <v>any</v>
      </c>
      <c r="D1344" s="899" t="str">
        <f>'Textile waste collection'!D38</f>
        <v>any</v>
      </c>
      <c r="E1344" s="1025">
        <f>'Textile waste collection'!E38</f>
        <v>3.0000000000000001E-3</v>
      </c>
      <c r="F1344" s="1026">
        <f>'Textile waste collection'!F38</f>
        <v>2</v>
      </c>
      <c r="G1344" s="899" t="str">
        <f>'Textile waste collection'!G38</f>
        <v>Massabalans textiel, 2018</v>
      </c>
      <c r="H1344" s="911">
        <f>'Textile waste collection'!H38</f>
        <v>1</v>
      </c>
      <c r="I1344" s="911">
        <f>'Textile waste collection'!I38</f>
        <v>2</v>
      </c>
      <c r="J1344" s="911">
        <f>'Textile waste collection'!J38</f>
        <v>2</v>
      </c>
      <c r="K1344" s="911">
        <f>'Textile waste collection'!K38</f>
        <v>1</v>
      </c>
      <c r="L1344" s="911">
        <f>'Textile waste collection'!L38</f>
        <v>2</v>
      </c>
      <c r="M1344" s="911">
        <f>'Textile waste collection'!M38</f>
        <v>2</v>
      </c>
      <c r="N1344" s="185">
        <f t="shared" ref="N1344:N1346" si="107">IF( OR( ISBLANK(H1344),ISBLANK(J1344), ISBLANK(K1344), ISBLANK(L1344), ISBLANK(M1344) ), "", 1.5*SQRT(   EXP(2.21*(H1344-1)) + EXP(2.21*(J1344-1)) + EXP(2.21*(K1344-1)) + EXP(2.21*(L1344-1)) + EXP(2.21*M1344)   )/100*2.45 )</f>
        <v>0.37356464144298934</v>
      </c>
      <c r="O1344" s="159">
        <f t="shared" ref="O1344:O1346" si="108">IF( OR( ISBLANK(I1344),ISBLANK(J1344), ISBLANK(K1344), ISBLANK(L1344), ISBLANK(M1344) ), "", 1.5*SQRT( EXP(2.21*(I1344-1)) + EXP(2.21*(J1344-1)) + EXP(2.21*(K1344-1)) + EXP(2.21*(L1344-1)) + EXP(2.21*M1344)   )/100*2.45 )</f>
        <v>0.38795788889711302</v>
      </c>
    </row>
    <row r="1345" spans="1:868">
      <c r="A1345" s="899" t="str">
        <f>'Textile waste collection'!A39</f>
        <v>Home textile waste collection</v>
      </c>
      <c r="B1345" s="899" t="str">
        <f>'Textile waste collection'!B39</f>
        <v>Incineration</v>
      </c>
      <c r="C1345" s="899" t="str">
        <f>'Textile waste collection'!C39</f>
        <v>any</v>
      </c>
      <c r="D1345" s="899" t="str">
        <f>'Textile waste collection'!D39</f>
        <v>any</v>
      </c>
      <c r="E1345" s="1025">
        <f>'Textile waste collection'!E39</f>
        <v>6.5437788018433182E-2</v>
      </c>
      <c r="F1345" s="1026">
        <f>'Textile waste collection'!F39</f>
        <v>2</v>
      </c>
      <c r="G1345" s="899" t="str">
        <f>'Textile waste collection'!G39</f>
        <v>Massabalans textiel, 2022</v>
      </c>
      <c r="H1345" s="911">
        <f>'Textile waste collection'!H39</f>
        <v>1</v>
      </c>
      <c r="I1345" s="911">
        <f>'Textile waste collection'!I39</f>
        <v>2</v>
      </c>
      <c r="J1345" s="911">
        <f>'Textile waste collection'!J39</f>
        <v>2</v>
      </c>
      <c r="K1345" s="911">
        <f>'Textile waste collection'!K39</f>
        <v>1</v>
      </c>
      <c r="L1345" s="911">
        <f>'Textile waste collection'!L39</f>
        <v>2</v>
      </c>
      <c r="M1345" s="911">
        <f>'Textile waste collection'!M39</f>
        <v>2</v>
      </c>
      <c r="N1345" s="185">
        <f t="shared" si="107"/>
        <v>0.37356464144298934</v>
      </c>
      <c r="O1345" s="159">
        <f t="shared" si="108"/>
        <v>0.38795788889711302</v>
      </c>
    </row>
    <row r="1346" spans="1:868">
      <c r="A1346" s="899" t="str">
        <f>'Textile waste collection'!A40</f>
        <v>Home textile waste collection</v>
      </c>
      <c r="B1346" s="899" t="str">
        <f>'Textile waste collection'!B40</f>
        <v>Export</v>
      </c>
      <c r="C1346" s="899" t="str">
        <f>'Textile waste collection'!C40</f>
        <v>any</v>
      </c>
      <c r="D1346" s="899" t="str">
        <f>'Textile waste collection'!D40</f>
        <v>any</v>
      </c>
      <c r="E1346" s="1025" t="str">
        <f>'Textile waste collection'!E40</f>
        <v>rest</v>
      </c>
      <c r="F1346" s="1026">
        <f>'Textile waste collection'!F40</f>
        <v>1</v>
      </c>
      <c r="G1346" s="899" t="str">
        <f>'Textile waste collection'!G40</f>
        <v>Massabalans textiel, 2022</v>
      </c>
      <c r="H1346" s="911">
        <f>'Textile waste collection'!H40</f>
        <v>1</v>
      </c>
      <c r="I1346" s="911">
        <f>'Textile waste collection'!I40</f>
        <v>2</v>
      </c>
      <c r="J1346" s="911">
        <f>'Textile waste collection'!J40</f>
        <v>2</v>
      </c>
      <c r="K1346" s="911">
        <f>'Textile waste collection'!K40</f>
        <v>1</v>
      </c>
      <c r="L1346" s="911">
        <f>'Textile waste collection'!L40</f>
        <v>2</v>
      </c>
      <c r="M1346" s="911">
        <f>'Textile waste collection'!M40</f>
        <v>2</v>
      </c>
      <c r="N1346" s="185">
        <f t="shared" si="107"/>
        <v>0.37356464144298934</v>
      </c>
      <c r="O1346" s="159">
        <f t="shared" si="108"/>
        <v>0.38795788889711302</v>
      </c>
    </row>
    <row r="1347" spans="1:868">
      <c r="A1347" s="899" t="str">
        <f>'Textile waste collection'!A41</f>
        <v>Technical textile waste collection</v>
      </c>
      <c r="B1347" s="899" t="str">
        <f>'Textile waste collection'!B41</f>
        <v>Textile reuse</v>
      </c>
      <c r="C1347" s="899" t="str">
        <f>'Textile waste collection'!C41</f>
        <v>any</v>
      </c>
      <c r="D1347" s="899" t="str">
        <f>'Textile waste collection'!D41</f>
        <v>any</v>
      </c>
      <c r="E1347" s="1025">
        <f>'Textile waste collection'!E41</f>
        <v>6.7281105990783407E-2</v>
      </c>
      <c r="F1347" s="1026">
        <f>'Textile waste collection'!F41</f>
        <v>2</v>
      </c>
      <c r="G1347" s="899" t="str">
        <f>'Textile waste collection'!G41</f>
        <v>Massabalans textiel, 2022</v>
      </c>
      <c r="H1347" s="911">
        <f>'Textile waste collection'!H41</f>
        <v>1</v>
      </c>
      <c r="I1347" s="911">
        <f>'Textile waste collection'!I41</f>
        <v>2</v>
      </c>
      <c r="J1347" s="911">
        <f>'Textile waste collection'!J41</f>
        <v>2</v>
      </c>
      <c r="K1347" s="911">
        <f>'Textile waste collection'!K41</f>
        <v>1</v>
      </c>
      <c r="L1347" s="911">
        <f>'Textile waste collection'!L41</f>
        <v>2</v>
      </c>
      <c r="M1347" s="911">
        <f>'Textile waste collection'!M41</f>
        <v>2</v>
      </c>
      <c r="N1347" s="185"/>
      <c r="O1347" s="159"/>
    </row>
    <row r="1348" spans="1:868">
      <c r="A1348" s="899" t="str">
        <f>'Textile waste collection'!A42</f>
        <v>Technical textile waste collection</v>
      </c>
      <c r="B1348" s="899" t="str">
        <f>'Textile waste collection'!B42</f>
        <v>Textile recycling</v>
      </c>
      <c r="C1348" s="899" t="str">
        <f>'Textile waste collection'!C42</f>
        <v>any</v>
      </c>
      <c r="D1348" s="899" t="str">
        <f>'Textile waste collection'!D42</f>
        <v>any</v>
      </c>
      <c r="E1348" s="1025">
        <f>'Textile waste collection'!E42</f>
        <v>5.7142857142857141E-2</v>
      </c>
      <c r="F1348" s="1026">
        <f>'Textile waste collection'!F42</f>
        <v>3</v>
      </c>
      <c r="G1348" s="899" t="str">
        <f>'Textile waste collection'!G42</f>
        <v>Massabalans textiel, 2022</v>
      </c>
      <c r="H1348" s="911">
        <f>'Textile waste collection'!H42</f>
        <v>1</v>
      </c>
      <c r="I1348" s="911">
        <f>'Textile waste collection'!I42</f>
        <v>2</v>
      </c>
      <c r="J1348" s="911">
        <f>'Textile waste collection'!J42</f>
        <v>2</v>
      </c>
      <c r="K1348" s="911">
        <f>'Textile waste collection'!K42</f>
        <v>1</v>
      </c>
      <c r="L1348" s="911">
        <f>'Textile waste collection'!L42</f>
        <v>2</v>
      </c>
      <c r="M1348" s="911">
        <f>'Textile waste collection'!M42</f>
        <v>2</v>
      </c>
      <c r="N1348" s="185">
        <f t="shared" ref="N1348:N1350" si="109">IF( OR( ISBLANK(H1348),ISBLANK(J1348), ISBLANK(K1348), ISBLANK(L1348), ISBLANK(M1348) ), "", 1.5*SQRT(   EXP(2.21*(H1348-1)) + EXP(2.21*(J1348-1)) + EXP(2.21*(K1348-1)) + EXP(2.21*(L1348-1)) + EXP(2.21*M1348)   )/100*2.45 )</f>
        <v>0.37356464144298934</v>
      </c>
      <c r="O1348" s="159">
        <f t="shared" ref="O1348:O1350" si="110">IF( OR( ISBLANK(I1348),ISBLANK(J1348), ISBLANK(K1348), ISBLANK(L1348), ISBLANK(M1348) ), "", 1.5*SQRT( EXP(2.21*(I1348-1)) + EXP(2.21*(J1348-1)) + EXP(2.21*(K1348-1)) + EXP(2.21*(L1348-1)) + EXP(2.21*M1348)   )/100*2.45 )</f>
        <v>0.38795788889711302</v>
      </c>
    </row>
    <row r="1349" spans="1:868">
      <c r="A1349" s="899" t="str">
        <f>'Textile waste collection'!A43</f>
        <v>Technical textile waste collection</v>
      </c>
      <c r="B1349" s="899" t="str">
        <f>'Textile waste collection'!B43</f>
        <v>Residential soil (macro)</v>
      </c>
      <c r="C1349" s="899" t="str">
        <f>'Textile waste collection'!C43</f>
        <v>any</v>
      </c>
      <c r="D1349" s="899" t="str">
        <f>'Textile waste collection'!D43</f>
        <v>any</v>
      </c>
      <c r="E1349" s="1025">
        <f>'Textile waste collection'!E43</f>
        <v>1E-4</v>
      </c>
      <c r="F1349" s="1026">
        <f>'Textile waste collection'!F43</f>
        <v>3</v>
      </c>
      <c r="G1349" s="899" t="str">
        <f>'Textile waste collection'!G43</f>
        <v>assumption based on similar losses estimated for other waste collection systems</v>
      </c>
      <c r="H1349" s="911"/>
      <c r="I1349" s="911"/>
      <c r="J1349" s="911"/>
      <c r="K1349" s="911"/>
      <c r="L1349" s="911"/>
      <c r="M1349" s="911"/>
      <c r="N1349" s="185" t="str">
        <f t="shared" si="109"/>
        <v/>
      </c>
      <c r="O1349" s="159" t="str">
        <f t="shared" si="110"/>
        <v/>
      </c>
    </row>
    <row r="1350" spans="1:868">
      <c r="A1350" s="899" t="str">
        <f>'Textile waste collection'!A44</f>
        <v>Technical textile waste collection</v>
      </c>
      <c r="B1350" s="899" t="str">
        <f>'Textile waste collection'!B44</f>
        <v>Landfill</v>
      </c>
      <c r="C1350" s="899" t="str">
        <f>'Textile waste collection'!C44</f>
        <v>any</v>
      </c>
      <c r="D1350" s="899" t="str">
        <f>'Textile waste collection'!D44</f>
        <v>any</v>
      </c>
      <c r="E1350" s="1025">
        <f>'Textile waste collection'!E44</f>
        <v>3.0000000000000001E-3</v>
      </c>
      <c r="F1350" s="1026">
        <f>'Textile waste collection'!F44</f>
        <v>2</v>
      </c>
      <c r="G1350" s="899" t="str">
        <f>'Textile waste collection'!G44</f>
        <v>Massabalans textiel, 2018</v>
      </c>
      <c r="H1350" s="911">
        <f>'Textile waste collection'!H44</f>
        <v>1</v>
      </c>
      <c r="I1350" s="911">
        <f>'Textile waste collection'!I44</f>
        <v>2</v>
      </c>
      <c r="J1350" s="911">
        <f>'Textile waste collection'!J44</f>
        <v>2</v>
      </c>
      <c r="K1350" s="911">
        <f>'Textile waste collection'!K44</f>
        <v>1</v>
      </c>
      <c r="L1350" s="911">
        <f>'Textile waste collection'!L44</f>
        <v>2</v>
      </c>
      <c r="M1350" s="911">
        <f>'Textile waste collection'!M44</f>
        <v>2</v>
      </c>
      <c r="N1350" s="185">
        <f t="shared" si="109"/>
        <v>0.37356464144298934</v>
      </c>
      <c r="O1350" s="159">
        <f t="shared" si="110"/>
        <v>0.38795788889711302</v>
      </c>
    </row>
    <row r="1351" spans="1:868">
      <c r="A1351" s="899" t="str">
        <f>'Textile waste collection'!A45</f>
        <v>Technical textile waste collection</v>
      </c>
      <c r="B1351" s="899" t="str">
        <f>'Textile waste collection'!B45</f>
        <v>Incineration</v>
      </c>
      <c r="C1351" s="899" t="str">
        <f>'Textile waste collection'!C45</f>
        <v>any</v>
      </c>
      <c r="D1351" s="899" t="str">
        <f>'Textile waste collection'!D45</f>
        <v>any</v>
      </c>
      <c r="E1351" s="1025">
        <f>'Textile waste collection'!E45</f>
        <v>6.5437788018433182E-2</v>
      </c>
      <c r="F1351" s="1026">
        <f>'Textile waste collection'!F45</f>
        <v>2</v>
      </c>
      <c r="G1351" s="899" t="str">
        <f>'Textile waste collection'!G45</f>
        <v>Massabalans textiel, 2022</v>
      </c>
      <c r="H1351" s="911">
        <f>'Textile waste collection'!H45</f>
        <v>1</v>
      </c>
      <c r="I1351" s="911">
        <f>'Textile waste collection'!I45</f>
        <v>2</v>
      </c>
      <c r="J1351" s="911">
        <f>'Textile waste collection'!J45</f>
        <v>2</v>
      </c>
      <c r="K1351" s="911">
        <f>'Textile waste collection'!K45</f>
        <v>1</v>
      </c>
      <c r="L1351" s="911">
        <f>'Textile waste collection'!L45</f>
        <v>2</v>
      </c>
      <c r="M1351" s="911">
        <f>'Textile waste collection'!M45</f>
        <v>2</v>
      </c>
      <c r="N1351" s="185"/>
      <c r="O1351" s="159"/>
    </row>
    <row r="1352" spans="1:868">
      <c r="A1352" s="899" t="str">
        <f>'Textile waste collection'!A46</f>
        <v>Technical textile waste collection</v>
      </c>
      <c r="B1352" s="899" t="str">
        <f>'Textile waste collection'!B46</f>
        <v>Export</v>
      </c>
      <c r="C1352" s="899" t="str">
        <f>'Textile waste collection'!C46</f>
        <v>any</v>
      </c>
      <c r="D1352" s="899" t="str">
        <f>'Textile waste collection'!D46</f>
        <v>any</v>
      </c>
      <c r="E1352" s="1025" t="str">
        <f>'Textile waste collection'!E46</f>
        <v>rest</v>
      </c>
      <c r="F1352" s="1026">
        <f>'Textile waste collection'!F46</f>
        <v>1</v>
      </c>
      <c r="G1352" s="899" t="str">
        <f>'Textile waste collection'!G46</f>
        <v>Massabalans textiel, 2022</v>
      </c>
      <c r="H1352" s="911">
        <f>'Textile waste collection'!H46</f>
        <v>1</v>
      </c>
      <c r="I1352" s="911">
        <f>'Textile waste collection'!I46</f>
        <v>2</v>
      </c>
      <c r="J1352" s="911">
        <f>'Textile waste collection'!J46</f>
        <v>2</v>
      </c>
      <c r="K1352" s="911">
        <f>'Textile waste collection'!K46</f>
        <v>1</v>
      </c>
      <c r="L1352" s="911">
        <f>'Textile waste collection'!L46</f>
        <v>2</v>
      </c>
      <c r="M1352" s="911">
        <f>'Textile waste collection'!M46</f>
        <v>2</v>
      </c>
      <c r="N1352" s="185">
        <f t="shared" ref="N1352:N1354" si="111">IF( OR( ISBLANK(H1352),ISBLANK(J1352), ISBLANK(K1352), ISBLANK(L1352), ISBLANK(M1352) ), "", 1.5*SQRT(   EXP(2.21*(H1352-1)) + EXP(2.21*(J1352-1)) + EXP(2.21*(K1352-1)) + EXP(2.21*(L1352-1)) + EXP(2.21*M1352)   )/100*2.45 )</f>
        <v>0.37356464144298934</v>
      </c>
      <c r="O1352" s="159">
        <f t="shared" ref="O1352:O1354" si="112">IF( OR( ISBLANK(I1352),ISBLANK(J1352), ISBLANK(K1352), ISBLANK(L1352), ISBLANK(M1352) ), "", 1.5*SQRT( EXP(2.21*(I1352-1)) + EXP(2.21*(J1352-1)) + EXP(2.21*(K1352-1)) + EXP(2.21*(L1352-1)) + EXP(2.21*M1352)   )/100*2.45 )</f>
        <v>0.38795788889711302</v>
      </c>
    </row>
    <row r="1353" spans="1:868">
      <c r="A1353" s="899" t="str">
        <f>'Textile waste collection'!A47</f>
        <v>Footwear waste collection</v>
      </c>
      <c r="B1353" s="899" t="str">
        <f>'Textile waste collection'!B47</f>
        <v>Footwear reuse</v>
      </c>
      <c r="C1353" s="899" t="str">
        <f>'Textile waste collection'!C47</f>
        <v>any</v>
      </c>
      <c r="D1353" s="899" t="str">
        <f>'Textile waste collection'!D47</f>
        <v>any</v>
      </c>
      <c r="E1353" s="1025">
        <f>'Textile waste collection'!E47</f>
        <v>0.1</v>
      </c>
      <c r="F1353" s="1026">
        <f>'Textile waste collection'!F47</f>
        <v>2</v>
      </c>
      <c r="G1353" s="899" t="str">
        <f>'Textile waste collection'!G47</f>
        <v>(de Waart et al., 2023)</v>
      </c>
      <c r="H1353" s="911">
        <f>'Textile waste collection'!H47</f>
        <v>2</v>
      </c>
      <c r="I1353" s="911">
        <f>'Textile waste collection'!I47</f>
        <v>2</v>
      </c>
      <c r="J1353" s="911">
        <f>'Textile waste collection'!J47</f>
        <v>2</v>
      </c>
      <c r="K1353" s="911">
        <f>'Textile waste collection'!K47</f>
        <v>3</v>
      </c>
      <c r="L1353" s="911">
        <f>'Textile waste collection'!L47</f>
        <v>2</v>
      </c>
      <c r="M1353" s="911">
        <f>'Textile waste collection'!M47</f>
        <v>2</v>
      </c>
      <c r="N1353" s="185">
        <f t="shared" si="111"/>
        <v>0.51126068492676302</v>
      </c>
      <c r="O1353" s="159">
        <f t="shared" si="112"/>
        <v>0.51126068492676302</v>
      </c>
    </row>
    <row r="1354" spans="1:868">
      <c r="A1354" s="899" t="str">
        <f>'Textile waste collection'!A48</f>
        <v>Footwear waste collection</v>
      </c>
      <c r="B1354" s="899" t="str">
        <f>'Textile waste collection'!B48</f>
        <v>Incineration</v>
      </c>
      <c r="C1354" s="899" t="str">
        <f>'Textile waste collection'!C48</f>
        <v>any</v>
      </c>
      <c r="D1354" s="899" t="str">
        <f>'Textile waste collection'!D48</f>
        <v>any</v>
      </c>
      <c r="E1354" s="1025" t="str">
        <f>'Textile waste collection'!E48</f>
        <v>rest</v>
      </c>
      <c r="F1354" s="1026">
        <f>'Textile waste collection'!F48</f>
        <v>1</v>
      </c>
      <c r="G1354" s="899"/>
      <c r="H1354" s="903"/>
      <c r="I1354" s="903"/>
      <c r="J1354" s="903"/>
      <c r="K1354" s="903"/>
      <c r="L1354" s="903"/>
      <c r="M1354" s="903"/>
      <c r="N1354" s="959" t="str">
        <f t="shared" si="111"/>
        <v/>
      </c>
      <c r="O1354" s="159" t="str">
        <f t="shared" si="112"/>
        <v/>
      </c>
    </row>
    <row r="1355" spans="1:868">
      <c r="A1355" s="899" t="str">
        <f>'Textile waste collection'!A49</f>
        <v>Footwear waste collection</v>
      </c>
      <c r="B1355" s="899" t="str">
        <f>'Textile waste collection'!B49</f>
        <v>Landfill</v>
      </c>
      <c r="C1355" s="899" t="str">
        <f>'Textile waste collection'!C49</f>
        <v>any</v>
      </c>
      <c r="D1355" s="899" t="str">
        <f>'Textile waste collection'!D49</f>
        <v>any</v>
      </c>
      <c r="E1355" s="1025">
        <f>'Textile waste collection'!E49</f>
        <v>3.0000000000000001E-3</v>
      </c>
      <c r="F1355" s="1026">
        <f>'Textile waste collection'!F49</f>
        <v>2</v>
      </c>
      <c r="G1355" s="899" t="str">
        <f>'Textile waste collection'!G49</f>
        <v>Massabalans textiel, 2018</v>
      </c>
      <c r="H1355" s="903">
        <f>'Textile waste collection'!H49</f>
        <v>1</v>
      </c>
      <c r="I1355" s="903">
        <f>'Textile waste collection'!I49</f>
        <v>2</v>
      </c>
      <c r="J1355" s="903">
        <f>'Textile waste collection'!J49</f>
        <v>2</v>
      </c>
      <c r="K1355" s="903">
        <f>'Textile waste collection'!K49</f>
        <v>1</v>
      </c>
      <c r="L1355" s="903">
        <f>'Textile waste collection'!L49</f>
        <v>2</v>
      </c>
      <c r="M1355" s="903">
        <f>'Textile waste collection'!M49</f>
        <v>2</v>
      </c>
      <c r="N1355" s="1034"/>
      <c r="O1355" s="813"/>
    </row>
    <row r="1356" spans="1:868">
      <c r="A1356" s="1030" t="str">
        <f>'Textile waste collection'!A50</f>
        <v>Footwear waste collection</v>
      </c>
      <c r="B1356" s="1030" t="str">
        <f>'Textile waste collection'!B50</f>
        <v>Residential soil (macro)</v>
      </c>
      <c r="C1356" s="1030" t="str">
        <f>'Textile waste collection'!C50</f>
        <v>any</v>
      </c>
      <c r="D1356" s="1030" t="str">
        <f>'Textile waste collection'!D50</f>
        <v>any</v>
      </c>
      <c r="E1356" s="1038">
        <f>'Textile waste collection'!E50</f>
        <v>1E-4</v>
      </c>
      <c r="F1356" s="1031">
        <f>'Textile waste collection'!F50</f>
        <v>3</v>
      </c>
      <c r="G1356" s="1030" t="str">
        <f>'Textile waste collection'!G50</f>
        <v>assumption based on similar losses estimated for other waste collection systems</v>
      </c>
      <c r="H1356" s="903">
        <f>'Textile waste collection'!H50</f>
        <v>1</v>
      </c>
      <c r="I1356" s="903">
        <f>'Textile waste collection'!I50</f>
        <v>2</v>
      </c>
      <c r="J1356" s="903">
        <f>'Textile waste collection'!J50</f>
        <v>2</v>
      </c>
      <c r="K1356" s="903">
        <f>'Textile waste collection'!K50</f>
        <v>1</v>
      </c>
      <c r="L1356" s="903">
        <f>'Textile waste collection'!L50</f>
        <v>2</v>
      </c>
      <c r="M1356" s="903">
        <f>'Textile waste collection'!M50</f>
        <v>2</v>
      </c>
      <c r="N1356" s="64">
        <f t="shared" ref="N1356:N1360" si="113">IF( OR( ISBLANK(H1356),ISBLANK(J1356), ISBLANK(K1356), ISBLANK(L1356), ISBLANK(M1356) ), "", 1.5*SQRT(   EXP(2.21*(H1356-1)) + EXP(2.21*(J1356-1)) + EXP(2.21*(K1356-1)) + EXP(2.21*(L1356-1)) + EXP(2.21*M1356)   )/100*2.45 )</f>
        <v>0.37356464144298934</v>
      </c>
      <c r="O1356" s="64">
        <f t="shared" ref="O1356:O1360" si="114">IF( OR( ISBLANK(I1356),ISBLANK(J1356), ISBLANK(K1356), ISBLANK(L1356), ISBLANK(M1356) ), "", 1.5*SQRT( EXP(2.21*(I1356-1)) + EXP(2.21*(J1356-1)) + EXP(2.21*(K1356-1)) + EXP(2.21*(L1356-1)) + EXP(2.21*M1356)   )/100*2.45 )</f>
        <v>0.38795788889711302</v>
      </c>
    </row>
    <row r="1357" spans="1:868" s="210" customFormat="1" ht="15.75" thickBot="1">
      <c r="A1357" s="1027" t="str">
        <f>'Textile waste collection'!A51</f>
        <v>Footwear waste collection</v>
      </c>
      <c r="B1357" s="1027" t="str">
        <f>'Textile waste collection'!B51</f>
        <v>Textile recycling</v>
      </c>
      <c r="C1357" s="1027" t="str">
        <f>'Textile waste collection'!C51</f>
        <v>any</v>
      </c>
      <c r="D1357" s="1027" t="str">
        <f>'Textile waste collection'!D51</f>
        <v>any</v>
      </c>
      <c r="E1357" s="1039">
        <f>'Textile waste collection'!E51</f>
        <v>1E-3</v>
      </c>
      <c r="F1357" s="1028">
        <f>'Textile waste collection'!F51</f>
        <v>3</v>
      </c>
      <c r="G1357" s="1027" t="str">
        <f>'Textile waste collection'!G51</f>
        <v>Assume 0.01% recycling based on barely any collected footwear is recycled (de Waart et al., 2023)</v>
      </c>
      <c r="H1357" s="903">
        <f>'Textile waste collection'!H51</f>
        <v>2</v>
      </c>
      <c r="I1357" s="903">
        <f>'Textile waste collection'!I51</f>
        <v>2</v>
      </c>
      <c r="J1357" s="903">
        <f>'Textile waste collection'!J51</f>
        <v>2</v>
      </c>
      <c r="K1357" s="903">
        <f>'Textile waste collection'!K51</f>
        <v>3</v>
      </c>
      <c r="L1357" s="903">
        <f>'Textile waste collection'!L51</f>
        <v>2</v>
      </c>
      <c r="M1357" s="903">
        <f>'Textile waste collection'!M51</f>
        <v>2</v>
      </c>
      <c r="N1357" s="1035">
        <f t="shared" si="113"/>
        <v>0.51126068492676302</v>
      </c>
      <c r="O1357" s="1029">
        <f t="shared" si="114"/>
        <v>0.51126068492676302</v>
      </c>
      <c r="P1357" s="955"/>
      <c r="Q1357" s="956"/>
      <c r="R1357" s="956"/>
      <c r="S1357" s="956"/>
      <c r="T1357" s="956"/>
      <c r="U1357" s="956"/>
      <c r="V1357" s="956"/>
      <c r="W1357" s="956"/>
      <c r="X1357" s="956"/>
      <c r="Y1357" s="956"/>
      <c r="Z1357" s="956"/>
      <c r="AA1357" s="956"/>
      <c r="AB1357" s="956"/>
      <c r="AC1357" s="956"/>
      <c r="AD1357" s="956"/>
      <c r="AE1357" s="956"/>
      <c r="AF1357" s="956"/>
      <c r="AG1357" s="956"/>
      <c r="AH1357" s="956"/>
      <c r="AI1357" s="956"/>
      <c r="AJ1357" s="956"/>
      <c r="AK1357" s="956"/>
      <c r="AL1357" s="956"/>
      <c r="AM1357" s="956"/>
      <c r="AN1357" s="956"/>
      <c r="AO1357" s="956"/>
      <c r="AP1357" s="956"/>
      <c r="AQ1357" s="956"/>
      <c r="AR1357" s="956"/>
      <c r="AS1357" s="956"/>
      <c r="AT1357" s="956"/>
      <c r="AU1357" s="956"/>
      <c r="AV1357" s="956"/>
      <c r="AW1357" s="956"/>
      <c r="AX1357" s="956"/>
      <c r="AY1357" s="956"/>
      <c r="AZ1357" s="956"/>
      <c r="BA1357" s="956"/>
      <c r="BB1357" s="956"/>
      <c r="BC1357" s="956"/>
      <c r="BD1357" s="956"/>
      <c r="BE1357" s="956"/>
      <c r="BF1357" s="956"/>
      <c r="BG1357" s="956"/>
      <c r="BH1357" s="956"/>
      <c r="BI1357" s="956"/>
      <c r="BJ1357" s="956"/>
      <c r="BK1357" s="956"/>
      <c r="BL1357" s="956"/>
      <c r="BM1357" s="956"/>
      <c r="BN1357" s="956"/>
      <c r="BO1357" s="956"/>
      <c r="BP1357" s="956"/>
      <c r="BQ1357" s="956"/>
      <c r="BR1357" s="956"/>
      <c r="BS1357" s="956"/>
      <c r="BT1357" s="956"/>
      <c r="BU1357" s="956"/>
      <c r="BV1357" s="956"/>
      <c r="BW1357" s="956"/>
      <c r="BX1357" s="956"/>
      <c r="BY1357" s="956"/>
      <c r="BZ1357" s="956"/>
      <c r="CA1357" s="956"/>
      <c r="CB1357" s="956"/>
      <c r="CC1357" s="956"/>
      <c r="CD1357" s="956"/>
      <c r="CE1357" s="956"/>
      <c r="CF1357" s="956"/>
      <c r="CG1357" s="956"/>
      <c r="CH1357" s="956"/>
      <c r="CI1357" s="956"/>
      <c r="CJ1357" s="956"/>
      <c r="CK1357" s="956"/>
      <c r="CL1357" s="956"/>
      <c r="CM1357" s="956"/>
      <c r="CN1357" s="956"/>
      <c r="CO1357" s="956"/>
      <c r="CP1357" s="956"/>
      <c r="CQ1357" s="956"/>
      <c r="CR1357" s="956"/>
      <c r="CS1357" s="956"/>
      <c r="CT1357" s="956"/>
      <c r="CU1357" s="956"/>
      <c r="CV1357" s="956"/>
      <c r="CW1357" s="956"/>
      <c r="CX1357" s="956"/>
      <c r="CY1357" s="956"/>
      <c r="CZ1357" s="956"/>
      <c r="DA1357" s="956"/>
      <c r="DB1357" s="956"/>
      <c r="DC1357" s="956"/>
      <c r="DD1357" s="956"/>
      <c r="DE1357" s="956"/>
      <c r="DF1357" s="956"/>
      <c r="DG1357" s="956"/>
      <c r="DH1357" s="956"/>
      <c r="DI1357" s="956"/>
      <c r="DJ1357" s="956"/>
      <c r="DK1357" s="956"/>
      <c r="DL1357" s="956"/>
      <c r="DM1357" s="956"/>
      <c r="DN1357" s="956"/>
      <c r="DO1357" s="956"/>
      <c r="DP1357" s="956"/>
      <c r="DQ1357" s="956"/>
      <c r="DR1357" s="956"/>
      <c r="DS1357" s="956"/>
      <c r="DT1357" s="956"/>
      <c r="DU1357" s="956"/>
      <c r="DV1357" s="956"/>
      <c r="DW1357" s="956"/>
      <c r="DX1357" s="956"/>
      <c r="DY1357" s="956"/>
      <c r="DZ1357" s="956"/>
      <c r="EA1357" s="956"/>
      <c r="EB1357" s="956"/>
      <c r="EC1357" s="956"/>
      <c r="ED1357" s="956"/>
      <c r="EE1357" s="956"/>
      <c r="EF1357" s="956"/>
      <c r="EG1357" s="956"/>
      <c r="EH1357" s="956"/>
      <c r="EI1357" s="956"/>
      <c r="EJ1357" s="956"/>
      <c r="EK1357" s="956"/>
      <c r="EL1357" s="956"/>
      <c r="EM1357" s="956"/>
      <c r="EN1357" s="956"/>
      <c r="EO1357" s="956"/>
      <c r="EP1357" s="956"/>
      <c r="EQ1357" s="956"/>
      <c r="ER1357" s="956"/>
      <c r="ES1357" s="956"/>
      <c r="ET1357" s="956"/>
      <c r="EU1357" s="956"/>
      <c r="EV1357" s="956"/>
      <c r="EW1357" s="956"/>
      <c r="EX1357" s="956"/>
      <c r="EY1357" s="956"/>
      <c r="EZ1357" s="956"/>
      <c r="FA1357" s="956"/>
      <c r="FB1357" s="956"/>
      <c r="FC1357" s="956"/>
      <c r="FD1357" s="956"/>
      <c r="FE1357" s="956"/>
      <c r="FF1357" s="956"/>
      <c r="FG1357" s="956"/>
      <c r="FH1357" s="956"/>
      <c r="FI1357" s="956"/>
      <c r="FJ1357" s="956"/>
      <c r="FK1357" s="956"/>
      <c r="FL1357" s="956"/>
      <c r="FM1357" s="956"/>
      <c r="FN1357" s="956"/>
      <c r="FO1357" s="956"/>
      <c r="FP1357" s="956"/>
      <c r="FQ1357" s="956"/>
      <c r="FR1357" s="956"/>
      <c r="FS1357" s="956"/>
      <c r="FT1357" s="956"/>
      <c r="FU1357" s="956"/>
      <c r="FV1357" s="956"/>
      <c r="FW1357" s="956"/>
      <c r="FX1357" s="956"/>
      <c r="FY1357" s="956"/>
      <c r="FZ1357" s="956"/>
      <c r="GA1357" s="956"/>
      <c r="GB1357" s="956"/>
      <c r="GC1357" s="956"/>
      <c r="GD1357" s="956"/>
      <c r="GE1357" s="956"/>
      <c r="GF1357" s="956"/>
      <c r="GG1357" s="956"/>
      <c r="GH1357" s="956"/>
      <c r="GI1357" s="956"/>
      <c r="GJ1357" s="956"/>
      <c r="GK1357" s="956"/>
      <c r="GL1357" s="956"/>
      <c r="GM1357" s="956"/>
      <c r="GN1357" s="956"/>
      <c r="GO1357" s="956"/>
      <c r="GP1357" s="956"/>
      <c r="GQ1357" s="956"/>
      <c r="GR1357" s="956"/>
      <c r="GS1357" s="956"/>
      <c r="GT1357" s="956"/>
      <c r="GU1357" s="956"/>
      <c r="GV1357" s="956"/>
      <c r="GW1357" s="956"/>
      <c r="GX1357" s="956"/>
      <c r="GY1357" s="956"/>
      <c r="GZ1357" s="956"/>
      <c r="HA1357" s="956"/>
      <c r="HB1357" s="956"/>
      <c r="HC1357" s="956"/>
      <c r="HD1357" s="956"/>
      <c r="HE1357" s="956"/>
      <c r="HF1357" s="956"/>
      <c r="HG1357" s="956"/>
      <c r="HH1357" s="956"/>
      <c r="HI1357" s="956"/>
      <c r="HJ1357" s="956"/>
      <c r="HK1357" s="956"/>
      <c r="HL1357" s="956"/>
      <c r="HM1357" s="956"/>
      <c r="HN1357" s="956"/>
      <c r="HO1357" s="956"/>
      <c r="HP1357" s="956"/>
      <c r="HQ1357" s="956"/>
      <c r="HR1357" s="956"/>
      <c r="HS1357" s="956"/>
      <c r="HT1357" s="956"/>
      <c r="HU1357" s="956"/>
      <c r="HV1357" s="956"/>
      <c r="HW1357" s="956"/>
      <c r="HX1357" s="956"/>
      <c r="HY1357" s="956"/>
      <c r="HZ1357" s="956"/>
      <c r="IA1357" s="956"/>
      <c r="IB1357" s="956"/>
      <c r="IC1357" s="956"/>
      <c r="ID1357" s="956"/>
      <c r="IE1357" s="956"/>
      <c r="IF1357" s="956"/>
      <c r="IG1357" s="956"/>
      <c r="IH1357" s="956"/>
      <c r="II1357" s="956"/>
      <c r="IJ1357" s="956"/>
      <c r="IK1357" s="956"/>
      <c r="IL1357" s="956"/>
      <c r="IM1357" s="956"/>
      <c r="IN1357" s="956"/>
      <c r="IO1357" s="956"/>
      <c r="IP1357" s="956"/>
      <c r="IQ1357" s="956"/>
      <c r="IR1357" s="956"/>
      <c r="IS1357" s="956"/>
      <c r="IT1357" s="956"/>
      <c r="IU1357" s="956"/>
      <c r="IV1357" s="956"/>
      <c r="IW1357" s="956"/>
      <c r="IX1357" s="956"/>
      <c r="IY1357" s="956"/>
      <c r="IZ1357" s="956"/>
      <c r="JA1357" s="956"/>
      <c r="JB1357" s="956"/>
      <c r="JC1357" s="956"/>
      <c r="JD1357" s="956"/>
      <c r="JE1357" s="956"/>
      <c r="JF1357" s="956"/>
      <c r="JG1357" s="956"/>
      <c r="JH1357" s="956"/>
      <c r="JI1357" s="956"/>
      <c r="JJ1357" s="956"/>
      <c r="JK1357" s="956"/>
      <c r="JL1357" s="956"/>
      <c r="JM1357" s="956"/>
      <c r="JN1357" s="956"/>
      <c r="JO1357" s="956"/>
      <c r="JP1357" s="956"/>
      <c r="JQ1357" s="956"/>
      <c r="JR1357" s="956"/>
      <c r="JS1357" s="956"/>
      <c r="JT1357" s="956"/>
      <c r="JU1357" s="956"/>
      <c r="JV1357" s="956"/>
      <c r="JW1357" s="956"/>
      <c r="JX1357" s="956"/>
      <c r="JY1357" s="956"/>
      <c r="JZ1357" s="956"/>
      <c r="KA1357" s="956"/>
      <c r="KB1357" s="956"/>
      <c r="KC1357" s="956"/>
      <c r="KD1357" s="956"/>
      <c r="KE1357" s="956"/>
      <c r="KF1357" s="956"/>
      <c r="KG1357" s="956"/>
      <c r="KH1357" s="956"/>
      <c r="KI1357" s="956"/>
      <c r="KJ1357" s="956"/>
      <c r="KK1357" s="956"/>
      <c r="KL1357" s="956"/>
      <c r="KM1357" s="956"/>
      <c r="KN1357" s="956"/>
      <c r="KO1357" s="956"/>
      <c r="KP1357" s="956"/>
      <c r="KQ1357" s="956"/>
      <c r="KR1357" s="956"/>
      <c r="KS1357" s="956"/>
      <c r="KT1357" s="956"/>
      <c r="KU1357" s="956"/>
      <c r="KV1357" s="956"/>
      <c r="KW1357" s="956"/>
      <c r="KX1357" s="956"/>
      <c r="KY1357" s="956"/>
      <c r="KZ1357" s="956"/>
      <c r="LA1357" s="956"/>
      <c r="LB1357" s="956"/>
      <c r="LC1357" s="956"/>
      <c r="LD1357" s="956"/>
      <c r="LE1357" s="956"/>
      <c r="LF1357" s="956"/>
      <c r="LG1357" s="956"/>
      <c r="LH1357" s="956"/>
      <c r="LI1357" s="956"/>
      <c r="LJ1357" s="956"/>
      <c r="LK1357" s="956"/>
      <c r="LL1357" s="956"/>
      <c r="LM1357" s="956"/>
      <c r="LN1357" s="956"/>
      <c r="LO1357" s="956"/>
      <c r="LP1357" s="956"/>
      <c r="LQ1357" s="956"/>
      <c r="LR1357" s="956"/>
      <c r="LS1357" s="956"/>
      <c r="LT1357" s="956"/>
      <c r="LU1357" s="956"/>
      <c r="LV1357" s="956"/>
      <c r="LW1357" s="956"/>
      <c r="LX1357" s="956"/>
      <c r="LY1357" s="956"/>
      <c r="LZ1357" s="956"/>
      <c r="MA1357" s="956"/>
      <c r="MB1357" s="956"/>
      <c r="MC1357" s="956"/>
      <c r="MD1357" s="956"/>
      <c r="ME1357" s="956"/>
      <c r="MF1357" s="956"/>
      <c r="MG1357" s="956"/>
      <c r="MH1357" s="956"/>
      <c r="MI1357" s="956"/>
      <c r="MJ1357" s="956"/>
      <c r="MK1357" s="956"/>
      <c r="ML1357" s="956"/>
      <c r="MM1357" s="956"/>
      <c r="MN1357" s="956"/>
      <c r="MO1357" s="956"/>
      <c r="MP1357" s="956"/>
      <c r="MQ1357" s="956"/>
      <c r="MR1357" s="956"/>
      <c r="MS1357" s="956"/>
      <c r="MT1357" s="956"/>
      <c r="MU1357" s="956"/>
      <c r="MV1357" s="956"/>
      <c r="MW1357" s="956"/>
      <c r="MX1357" s="956"/>
      <c r="MY1357" s="956"/>
      <c r="MZ1357" s="956"/>
      <c r="NA1357" s="956"/>
      <c r="NB1357" s="956"/>
      <c r="NC1357" s="956"/>
      <c r="ND1357" s="956"/>
      <c r="NE1357" s="956"/>
      <c r="NF1357" s="956"/>
      <c r="NG1357" s="956"/>
      <c r="NH1357" s="956"/>
      <c r="NI1357" s="956"/>
      <c r="NJ1357" s="956"/>
      <c r="NK1357" s="956"/>
      <c r="NL1357" s="956"/>
      <c r="NM1357" s="956"/>
      <c r="NN1357" s="956"/>
      <c r="NO1357" s="956"/>
      <c r="NP1357" s="956"/>
      <c r="NQ1357" s="956"/>
      <c r="NR1357" s="956"/>
      <c r="NS1357" s="956"/>
      <c r="NT1357" s="956"/>
      <c r="NU1357" s="956"/>
      <c r="NV1357" s="956"/>
      <c r="NW1357" s="956"/>
      <c r="NX1357" s="956"/>
      <c r="NY1357" s="956"/>
      <c r="NZ1357" s="956"/>
      <c r="OA1357" s="956"/>
      <c r="OB1357" s="956"/>
      <c r="OC1357" s="956"/>
      <c r="OD1357" s="956"/>
      <c r="OE1357" s="956"/>
      <c r="OF1357" s="956"/>
      <c r="OG1357" s="956"/>
      <c r="OH1357" s="956"/>
      <c r="OI1357" s="956"/>
      <c r="OJ1357" s="956"/>
      <c r="OK1357" s="956"/>
      <c r="OL1357" s="956"/>
      <c r="OM1357" s="956"/>
      <c r="ON1357" s="956"/>
      <c r="OO1357" s="956"/>
      <c r="OP1357" s="956"/>
      <c r="OQ1357" s="956"/>
      <c r="OR1357" s="956"/>
      <c r="OS1357" s="956"/>
      <c r="OT1357" s="956"/>
      <c r="OU1357" s="956"/>
      <c r="OV1357" s="956"/>
      <c r="OW1357" s="956"/>
      <c r="OX1357" s="956"/>
      <c r="OY1357" s="956"/>
      <c r="OZ1357" s="956"/>
      <c r="PA1357" s="956"/>
      <c r="PB1357" s="956"/>
      <c r="PC1357" s="956"/>
      <c r="PD1357" s="956"/>
      <c r="PE1357" s="956"/>
      <c r="PF1357" s="956"/>
      <c r="PG1357" s="956"/>
      <c r="PH1357" s="956"/>
      <c r="PI1357" s="956"/>
      <c r="PJ1357" s="956"/>
      <c r="PK1357" s="956"/>
      <c r="PL1357" s="956"/>
      <c r="PM1357" s="956"/>
      <c r="PN1357" s="956"/>
      <c r="PO1357" s="956"/>
      <c r="PP1357" s="956"/>
      <c r="PQ1357" s="956"/>
      <c r="PR1357" s="956"/>
      <c r="PS1357" s="956"/>
      <c r="PT1357" s="956"/>
      <c r="PU1357" s="956"/>
      <c r="PV1357" s="956"/>
      <c r="PW1357" s="956"/>
      <c r="PX1357" s="956"/>
      <c r="PY1357" s="956"/>
      <c r="PZ1357" s="956"/>
      <c r="QA1357" s="956"/>
      <c r="QB1357" s="956"/>
      <c r="QC1357" s="956"/>
      <c r="QD1357" s="956"/>
      <c r="QE1357" s="956"/>
      <c r="QF1357" s="956"/>
      <c r="QG1357" s="956"/>
      <c r="QH1357" s="956"/>
      <c r="QI1357" s="956"/>
      <c r="QJ1357" s="956"/>
      <c r="QK1357" s="956"/>
      <c r="QL1357" s="956"/>
      <c r="QM1357" s="956"/>
      <c r="QN1357" s="956"/>
      <c r="QO1357" s="956"/>
      <c r="QP1357" s="956"/>
      <c r="QQ1357" s="956"/>
      <c r="QR1357" s="956"/>
      <c r="QS1357" s="956"/>
      <c r="QT1357" s="956"/>
      <c r="QU1357" s="956"/>
      <c r="QV1357" s="956"/>
      <c r="QW1357" s="956"/>
      <c r="QX1357" s="956"/>
      <c r="QY1357" s="956"/>
      <c r="QZ1357" s="956"/>
      <c r="RA1357" s="956"/>
      <c r="RB1357" s="956"/>
      <c r="RC1357" s="956"/>
      <c r="RD1357" s="956"/>
      <c r="RE1357" s="956"/>
      <c r="RF1357" s="956"/>
      <c r="RG1357" s="956"/>
      <c r="RH1357" s="956"/>
      <c r="RI1357" s="956"/>
      <c r="RJ1357" s="956"/>
      <c r="RK1357" s="956"/>
      <c r="RL1357" s="956"/>
      <c r="RM1357" s="956"/>
      <c r="RN1357" s="956"/>
      <c r="RO1357" s="956"/>
      <c r="RP1357" s="956"/>
      <c r="RQ1357" s="956"/>
      <c r="RR1357" s="956"/>
      <c r="RS1357" s="956"/>
      <c r="RT1357" s="956"/>
      <c r="RU1357" s="956"/>
      <c r="RV1357" s="956"/>
      <c r="RW1357" s="956"/>
      <c r="RX1357" s="956"/>
      <c r="RY1357" s="956"/>
      <c r="RZ1357" s="956"/>
      <c r="SA1357" s="956"/>
      <c r="SB1357" s="956"/>
      <c r="SC1357" s="956"/>
      <c r="SD1357" s="956"/>
      <c r="SE1357" s="956"/>
      <c r="SF1357" s="956"/>
      <c r="SG1357" s="956"/>
      <c r="SH1357" s="956"/>
      <c r="SI1357" s="956"/>
      <c r="SJ1357" s="956"/>
      <c r="SK1357" s="956"/>
      <c r="SL1357" s="956"/>
      <c r="SM1357" s="956"/>
      <c r="SN1357" s="956"/>
      <c r="SO1357" s="956"/>
      <c r="SP1357" s="956"/>
      <c r="SQ1357" s="956"/>
      <c r="SR1357" s="956"/>
      <c r="SS1357" s="956"/>
      <c r="ST1357" s="956"/>
      <c r="SU1357" s="956"/>
      <c r="SV1357" s="956"/>
      <c r="SW1357" s="956"/>
      <c r="SX1357" s="956"/>
      <c r="SY1357" s="956"/>
      <c r="SZ1357" s="956"/>
      <c r="TA1357" s="956"/>
      <c r="TB1357" s="956"/>
      <c r="TC1357" s="956"/>
      <c r="TD1357" s="956"/>
      <c r="TE1357" s="956"/>
      <c r="TF1357" s="956"/>
      <c r="TG1357" s="956"/>
      <c r="TH1357" s="956"/>
      <c r="TI1357" s="956"/>
      <c r="TJ1357" s="956"/>
      <c r="TK1357" s="956"/>
      <c r="TL1357" s="956"/>
      <c r="TM1357" s="956"/>
      <c r="TN1357" s="956"/>
      <c r="TO1357" s="956"/>
      <c r="TP1357" s="956"/>
      <c r="TQ1357" s="956"/>
      <c r="TR1357" s="956"/>
      <c r="TS1357" s="956"/>
      <c r="TT1357" s="956"/>
      <c r="TU1357" s="956"/>
      <c r="TV1357" s="956"/>
      <c r="TW1357" s="956"/>
      <c r="TX1357" s="956"/>
      <c r="TY1357" s="956"/>
      <c r="TZ1357" s="956"/>
      <c r="UA1357" s="956"/>
      <c r="UB1357" s="956"/>
      <c r="UC1357" s="956"/>
      <c r="UD1357" s="956"/>
      <c r="UE1357" s="956"/>
      <c r="UF1357" s="956"/>
      <c r="UG1357" s="956"/>
      <c r="UH1357" s="956"/>
      <c r="UI1357" s="956"/>
      <c r="UJ1357" s="956"/>
      <c r="UK1357" s="956"/>
      <c r="UL1357" s="956"/>
      <c r="UM1357" s="956"/>
      <c r="UN1357" s="956"/>
      <c r="UO1357" s="956"/>
      <c r="UP1357" s="956"/>
      <c r="UQ1357" s="956"/>
      <c r="UR1357" s="956"/>
      <c r="US1357" s="956"/>
      <c r="UT1357" s="956"/>
      <c r="UU1357" s="956"/>
      <c r="UV1357" s="956"/>
      <c r="UW1357" s="956"/>
      <c r="UX1357" s="956"/>
      <c r="UY1357" s="956"/>
      <c r="UZ1357" s="956"/>
      <c r="VA1357" s="956"/>
      <c r="VB1357" s="956"/>
      <c r="VC1357" s="956"/>
      <c r="VD1357" s="956"/>
      <c r="VE1357" s="956"/>
      <c r="VF1357" s="956"/>
      <c r="VG1357" s="956"/>
      <c r="VH1357" s="956"/>
      <c r="VI1357" s="956"/>
      <c r="VJ1357" s="956"/>
      <c r="VK1357" s="956"/>
      <c r="VL1357" s="956"/>
      <c r="VM1357" s="956"/>
      <c r="VN1357" s="956"/>
      <c r="VO1357" s="956"/>
      <c r="VP1357" s="956"/>
      <c r="VQ1357" s="956"/>
      <c r="VR1357" s="956"/>
      <c r="VS1357" s="956"/>
      <c r="VT1357" s="956"/>
      <c r="VU1357" s="956"/>
      <c r="VV1357" s="956"/>
      <c r="VW1357" s="956"/>
      <c r="VX1357" s="956"/>
      <c r="VY1357" s="956"/>
      <c r="VZ1357" s="956"/>
      <c r="WA1357" s="956"/>
      <c r="WB1357" s="956"/>
      <c r="WC1357" s="956"/>
      <c r="WD1357" s="956"/>
      <c r="WE1357" s="956"/>
      <c r="WF1357" s="956"/>
      <c r="WG1357" s="956"/>
      <c r="WH1357" s="956"/>
      <c r="WI1357" s="956"/>
      <c r="WJ1357" s="956"/>
      <c r="WK1357" s="956"/>
      <c r="WL1357" s="956"/>
      <c r="WM1357" s="956"/>
      <c r="WN1357" s="956"/>
      <c r="WO1357" s="956"/>
      <c r="WP1357" s="956"/>
      <c r="WQ1357" s="956"/>
      <c r="WR1357" s="956"/>
      <c r="WS1357" s="956"/>
      <c r="WT1357" s="956"/>
      <c r="WU1357" s="956"/>
      <c r="WV1357" s="956"/>
      <c r="WW1357" s="956"/>
      <c r="WX1357" s="956"/>
      <c r="WY1357" s="956"/>
      <c r="WZ1357" s="956"/>
      <c r="XA1357" s="956"/>
      <c r="XB1357" s="956"/>
      <c r="XC1357" s="956"/>
      <c r="XD1357" s="956"/>
      <c r="XE1357" s="956"/>
      <c r="XF1357" s="956"/>
      <c r="XG1357" s="956"/>
      <c r="XH1357" s="956"/>
      <c r="XI1357" s="956"/>
      <c r="XJ1357" s="956"/>
      <c r="XK1357" s="956"/>
      <c r="XL1357" s="956"/>
      <c r="XM1357" s="956"/>
      <c r="XN1357" s="956"/>
      <c r="XO1357" s="956"/>
      <c r="XP1357" s="956"/>
      <c r="XQ1357" s="956"/>
      <c r="XR1357" s="956"/>
      <c r="XS1357" s="956"/>
      <c r="XT1357" s="956"/>
      <c r="XU1357" s="956"/>
      <c r="XV1357" s="956"/>
      <c r="XW1357" s="956"/>
      <c r="XX1357" s="956"/>
      <c r="XY1357" s="956"/>
      <c r="XZ1357" s="956"/>
      <c r="YA1357" s="956"/>
      <c r="YB1357" s="956"/>
      <c r="YC1357" s="956"/>
      <c r="YD1357" s="956"/>
      <c r="YE1357" s="956"/>
      <c r="YF1357" s="956"/>
      <c r="YG1357" s="956"/>
      <c r="YH1357" s="956"/>
      <c r="YI1357" s="956"/>
      <c r="YJ1357" s="956"/>
      <c r="YK1357" s="956"/>
      <c r="YL1357" s="956"/>
      <c r="YM1357" s="956"/>
      <c r="YN1357" s="956"/>
      <c r="YO1357" s="956"/>
      <c r="YP1357" s="956"/>
      <c r="YQ1357" s="956"/>
      <c r="YR1357" s="956"/>
      <c r="YS1357" s="956"/>
      <c r="YT1357" s="956"/>
      <c r="YU1357" s="956"/>
      <c r="YV1357" s="956"/>
      <c r="YW1357" s="956"/>
      <c r="YX1357" s="956"/>
      <c r="YY1357" s="956"/>
      <c r="YZ1357" s="956"/>
      <c r="ZA1357" s="956"/>
      <c r="ZB1357" s="956"/>
      <c r="ZC1357" s="956"/>
      <c r="ZD1357" s="956"/>
      <c r="ZE1357" s="956"/>
      <c r="ZF1357" s="956"/>
      <c r="ZG1357" s="956"/>
      <c r="ZH1357" s="956"/>
      <c r="ZI1357" s="956"/>
      <c r="ZJ1357" s="956"/>
      <c r="ZK1357" s="956"/>
      <c r="ZL1357" s="956"/>
      <c r="ZM1357" s="956"/>
      <c r="ZN1357" s="956"/>
      <c r="ZO1357" s="956"/>
      <c r="ZP1357" s="956"/>
      <c r="ZQ1357" s="956"/>
      <c r="ZR1357" s="956"/>
      <c r="ZS1357" s="956"/>
      <c r="ZT1357" s="956"/>
      <c r="ZU1357" s="956"/>
      <c r="ZV1357" s="956"/>
      <c r="ZW1357" s="956"/>
      <c r="ZX1357" s="956"/>
      <c r="ZY1357" s="956"/>
      <c r="ZZ1357" s="956"/>
      <c r="AAA1357" s="956"/>
      <c r="AAB1357" s="956"/>
      <c r="AAC1357" s="956"/>
      <c r="AAD1357" s="956"/>
      <c r="AAE1357" s="956"/>
      <c r="AAF1357" s="956"/>
      <c r="AAG1357" s="956"/>
      <c r="AAH1357" s="956"/>
      <c r="AAI1357" s="956"/>
      <c r="AAJ1357" s="956"/>
      <c r="AAK1357" s="956"/>
      <c r="AAL1357" s="956"/>
      <c r="AAM1357" s="956"/>
      <c r="AAN1357" s="956"/>
      <c r="AAO1357" s="956"/>
      <c r="AAP1357" s="956"/>
      <c r="AAQ1357" s="956"/>
      <c r="AAR1357" s="956"/>
      <c r="AAS1357" s="956"/>
      <c r="AAT1357" s="956"/>
      <c r="AAU1357" s="956"/>
      <c r="AAV1357" s="956"/>
      <c r="AAW1357" s="956"/>
      <c r="AAX1357" s="956"/>
      <c r="AAY1357" s="956"/>
      <c r="AAZ1357" s="956"/>
      <c r="ABA1357" s="956"/>
      <c r="ABB1357" s="956"/>
      <c r="ABC1357" s="956"/>
      <c r="ABD1357" s="956"/>
      <c r="ABE1357" s="956"/>
      <c r="ABF1357" s="956"/>
      <c r="ABG1357" s="956"/>
      <c r="ABH1357" s="956"/>
      <c r="ABI1357" s="956"/>
      <c r="ABJ1357" s="956"/>
      <c r="ABK1357" s="956"/>
      <c r="ABL1357" s="956"/>
      <c r="ABM1357" s="956"/>
      <c r="ABN1357" s="956"/>
      <c r="ABO1357" s="956"/>
      <c r="ABP1357" s="956"/>
      <c r="ABQ1357" s="956"/>
      <c r="ABR1357" s="956"/>
      <c r="ABS1357" s="956"/>
      <c r="ABT1357" s="956"/>
      <c r="ABU1357" s="956"/>
      <c r="ABV1357" s="956"/>
      <c r="ABW1357" s="956"/>
      <c r="ABX1357" s="956"/>
      <c r="ABY1357" s="956"/>
      <c r="ABZ1357" s="956"/>
      <c r="ACA1357" s="956"/>
      <c r="ACB1357" s="956"/>
      <c r="ACC1357" s="956"/>
      <c r="ACD1357" s="956"/>
      <c r="ACE1357" s="956"/>
      <c r="ACF1357" s="956"/>
      <c r="ACG1357" s="956"/>
      <c r="ACH1357" s="956"/>
      <c r="ACI1357" s="956"/>
      <c r="ACJ1357" s="956"/>
      <c r="ACK1357" s="956"/>
      <c r="ACL1357" s="956"/>
      <c r="ACM1357" s="956"/>
      <c r="ACN1357" s="956"/>
      <c r="ACO1357" s="956"/>
      <c r="ACP1357" s="956"/>
      <c r="ACQ1357" s="956"/>
      <c r="ACR1357" s="956"/>
      <c r="ACS1357" s="956"/>
      <c r="ACT1357" s="956"/>
      <c r="ACU1357" s="956"/>
      <c r="ACV1357" s="956"/>
      <c r="ACW1357" s="956"/>
      <c r="ACX1357" s="956"/>
      <c r="ACY1357" s="956"/>
      <c r="ACZ1357" s="956"/>
      <c r="ADA1357" s="956"/>
      <c r="ADB1357" s="956"/>
      <c r="ADC1357" s="956"/>
      <c r="ADD1357" s="956"/>
      <c r="ADE1357" s="956"/>
      <c r="ADF1357" s="956"/>
      <c r="ADG1357" s="956"/>
      <c r="ADH1357" s="956"/>
      <c r="ADI1357" s="956"/>
      <c r="ADJ1357" s="956"/>
      <c r="ADK1357" s="956"/>
      <c r="ADL1357" s="956"/>
      <c r="ADM1357" s="956"/>
      <c r="ADN1357" s="956"/>
      <c r="ADO1357" s="956"/>
      <c r="ADP1357" s="956"/>
      <c r="ADQ1357" s="956"/>
      <c r="ADR1357" s="956"/>
      <c r="ADS1357" s="956"/>
      <c r="ADT1357" s="956"/>
      <c r="ADU1357" s="956"/>
      <c r="ADV1357" s="956"/>
      <c r="ADW1357" s="956"/>
      <c r="ADX1357" s="956"/>
      <c r="ADY1357" s="956"/>
      <c r="ADZ1357" s="956"/>
      <c r="AEA1357" s="956"/>
      <c r="AEB1357" s="956"/>
      <c r="AEC1357" s="956"/>
      <c r="AED1357" s="956"/>
      <c r="AEE1357" s="956"/>
      <c r="AEF1357" s="956"/>
      <c r="AEG1357" s="956"/>
      <c r="AEH1357" s="956"/>
      <c r="AEI1357" s="956"/>
      <c r="AEJ1357" s="956"/>
      <c r="AEK1357" s="956"/>
      <c r="AEL1357" s="956"/>
      <c r="AEM1357" s="956"/>
      <c r="AEN1357" s="956"/>
      <c r="AEO1357" s="956"/>
      <c r="AEP1357" s="956"/>
      <c r="AEQ1357" s="956"/>
      <c r="AER1357" s="956"/>
      <c r="AES1357" s="956"/>
      <c r="AET1357" s="956"/>
      <c r="AEU1357" s="956"/>
      <c r="AEV1357" s="956"/>
      <c r="AEW1357" s="956"/>
      <c r="AEX1357" s="956"/>
      <c r="AEY1357" s="956"/>
      <c r="AEZ1357" s="956"/>
      <c r="AFA1357" s="956"/>
      <c r="AFB1357" s="956"/>
      <c r="AFC1357" s="956"/>
      <c r="AFD1357" s="956"/>
      <c r="AFE1357" s="956"/>
      <c r="AFF1357" s="956"/>
      <c r="AFG1357" s="956"/>
      <c r="AFH1357" s="956"/>
      <c r="AFI1357" s="956"/>
      <c r="AFJ1357" s="956"/>
      <c r="AFK1357" s="956"/>
      <c r="AFL1357" s="956"/>
      <c r="AFM1357" s="956"/>
      <c r="AFN1357" s="956"/>
      <c r="AFO1357" s="956"/>
      <c r="AFP1357" s="956"/>
      <c r="AFQ1357" s="956"/>
      <c r="AFR1357" s="956"/>
      <c r="AFS1357" s="956"/>
      <c r="AFT1357" s="956"/>
      <c r="AFU1357" s="956"/>
      <c r="AFV1357" s="956"/>
      <c r="AFW1357" s="956"/>
      <c r="AFX1357" s="956"/>
      <c r="AFY1357" s="956"/>
      <c r="AFZ1357" s="956"/>
      <c r="AGA1357" s="956"/>
      <c r="AGB1357" s="956"/>
      <c r="AGC1357" s="956"/>
      <c r="AGD1357" s="956"/>
      <c r="AGE1357" s="956"/>
      <c r="AGF1357" s="956"/>
      <c r="AGG1357" s="956"/>
      <c r="AGH1357" s="956"/>
      <c r="AGI1357" s="956"/>
      <c r="AGJ1357" s="956"/>
    </row>
    <row r="1358" spans="1:868">
      <c r="A1358" s="7" t="str">
        <f>Clothing!A610</f>
        <v>Apparel accessories</v>
      </c>
      <c r="B1358" s="7" t="str">
        <f>Clothing!B610</f>
        <v>Clothing not washed (in use)</v>
      </c>
      <c r="C1358" s="7" t="str">
        <f>Clothing!C610</f>
        <v>any</v>
      </c>
      <c r="D1358" s="7" t="str">
        <f>Clothing!D610</f>
        <v>any</v>
      </c>
      <c r="E1358" s="7">
        <f>Clothing!E610</f>
        <v>3.0249999999999999E-3</v>
      </c>
      <c r="F1358" s="7">
        <f>Clothing!F610</f>
        <v>2</v>
      </c>
      <c r="G1358" s="7" t="str">
        <f>Clothing!G610</f>
        <v>Average loss during wear, Kawecki et al. 2019, SI table 17</v>
      </c>
      <c r="H1358" s="7">
        <f>Clothing!H610</f>
        <v>2</v>
      </c>
      <c r="I1358" s="7">
        <f>Clothing!I610</f>
        <v>2</v>
      </c>
      <c r="J1358" s="7">
        <f>Clothing!J610</f>
        <v>2</v>
      </c>
      <c r="K1358" s="7">
        <f>Clothing!K610</f>
        <v>2</v>
      </c>
      <c r="L1358" s="7">
        <f>Clothing!L610</f>
        <v>2</v>
      </c>
      <c r="M1358" s="7">
        <f>Clothing!M610</f>
        <v>2</v>
      </c>
      <c r="N1358" s="185">
        <f t="shared" si="113"/>
        <v>0.40183591897512122</v>
      </c>
      <c r="O1358" s="159">
        <f t="shared" si="114"/>
        <v>0.40183591897512122</v>
      </c>
    </row>
    <row r="1359" spans="1:868">
      <c r="A1359" s="7" t="str">
        <f>Clothing!A611</f>
        <v>Apparel accessories</v>
      </c>
      <c r="B1359" s="7" t="str">
        <f>Clothing!B611</f>
        <v>Clothing not washed (discarded)</v>
      </c>
      <c r="C1359" s="7" t="str">
        <f>Clothing!C611</f>
        <v>any</v>
      </c>
      <c r="D1359" s="7" t="str">
        <f>Clothing!D611</f>
        <v>any</v>
      </c>
      <c r="E1359" s="7" t="str">
        <f>Clothing!E611</f>
        <v>rest</v>
      </c>
      <c r="F1359" s="7">
        <f>Clothing!F611</f>
        <v>1</v>
      </c>
      <c r="N1359" s="185" t="str">
        <f t="shared" si="113"/>
        <v/>
      </c>
      <c r="O1359" s="159" t="str">
        <f t="shared" si="114"/>
        <v/>
      </c>
    </row>
    <row r="1360" spans="1:868">
      <c r="A1360" s="7" t="str">
        <f>Clothing!A612</f>
        <v>Jackets and coats</v>
      </c>
      <c r="B1360" s="7" t="str">
        <f>Clothing!B612</f>
        <v>Clothing rarely washed (in use)</v>
      </c>
      <c r="C1360" s="7" t="str">
        <f>Clothing!C612</f>
        <v>any</v>
      </c>
      <c r="D1360" s="7" t="str">
        <f>Clothing!D612</f>
        <v>any</v>
      </c>
      <c r="E1360" s="7">
        <f>Clothing!E612</f>
        <v>3.3880970499999999E-3</v>
      </c>
      <c r="F1360" s="7">
        <f>Clothing!F612</f>
        <v>2</v>
      </c>
      <c r="G1360" s="7" t="str">
        <f>Clothing!G612</f>
        <v>Computed from wearing, washing, drying TCs</v>
      </c>
      <c r="H1360" s="7">
        <f>Clothing!H612</f>
        <v>2</v>
      </c>
      <c r="I1360" s="7">
        <f>Clothing!I612</f>
        <v>2</v>
      </c>
      <c r="J1360" s="7">
        <f>Clothing!J612</f>
        <v>2</v>
      </c>
      <c r="K1360" s="7">
        <f>Clothing!K612</f>
        <v>2</v>
      </c>
      <c r="L1360" s="7">
        <f>Clothing!L612</f>
        <v>2</v>
      </c>
      <c r="M1360" s="7">
        <f>Clothing!M612</f>
        <v>2</v>
      </c>
      <c r="N1360" s="185">
        <f t="shared" si="113"/>
        <v>0.40183591897512122</v>
      </c>
      <c r="O1360" s="159">
        <f t="shared" si="114"/>
        <v>0.40183591897512122</v>
      </c>
    </row>
    <row r="1361" spans="1:15">
      <c r="A1361" s="7" t="str">
        <f>Clothing!A613</f>
        <v>Jackets and coats</v>
      </c>
      <c r="B1361" s="7" t="str">
        <f>Clothing!B613</f>
        <v>Clothing rarely washed (discarded)</v>
      </c>
      <c r="C1361" s="7" t="str">
        <f>Clothing!C613</f>
        <v>any</v>
      </c>
      <c r="D1361" s="7" t="str">
        <f>Clothing!D613</f>
        <v>any</v>
      </c>
      <c r="E1361" s="7" t="str">
        <f>Clothing!E613</f>
        <v>rest</v>
      </c>
      <c r="F1361" s="7">
        <f>Clothing!F613</f>
        <v>1</v>
      </c>
      <c r="N1361" s="185"/>
      <c r="O1361" s="159"/>
    </row>
    <row r="1362" spans="1:15">
      <c r="A1362" s="7" t="str">
        <f>Clothing!A614</f>
        <v>Dresses skirts and jumpsuits</v>
      </c>
      <c r="B1362" s="7" t="str">
        <f>Clothing!B614</f>
        <v>Clothing washed (in use)</v>
      </c>
      <c r="C1362" s="7" t="str">
        <f>Clothing!C614</f>
        <v>any</v>
      </c>
      <c r="D1362" s="7" t="str">
        <f>Clothing!D614</f>
        <v>any</v>
      </c>
      <c r="E1362" s="7">
        <f>Clothing!E614</f>
        <v>1.3554814450000001E-2</v>
      </c>
      <c r="F1362" s="7">
        <f>Clothing!F614</f>
        <v>2</v>
      </c>
      <c r="G1362" s="7" t="str">
        <f>Clothing!G614</f>
        <v>Computed from wearing, washing, drying TCs</v>
      </c>
      <c r="H1362" s="7">
        <f>Clothing!H614</f>
        <v>2</v>
      </c>
      <c r="I1362" s="7">
        <f>Clothing!I614</f>
        <v>2</v>
      </c>
      <c r="J1362" s="7">
        <f>Clothing!J614</f>
        <v>2</v>
      </c>
      <c r="K1362" s="7">
        <f>Clothing!K614</f>
        <v>2</v>
      </c>
      <c r="L1362" s="7">
        <f>Clothing!L614</f>
        <v>2</v>
      </c>
      <c r="M1362" s="7">
        <f>Clothing!M614</f>
        <v>2</v>
      </c>
      <c r="N1362" s="185">
        <f t="shared" ref="N1362:N1364" si="115">IF( OR( ISBLANK(H1362),ISBLANK(J1362), ISBLANK(K1362), ISBLANK(L1362), ISBLANK(M1362) ), "", 1.5*SQRT(   EXP(2.21*(H1362-1)) + EXP(2.21*(J1362-1)) + EXP(2.21*(K1362-1)) + EXP(2.21*(L1362-1)) + EXP(2.21*M1362)   )/100*2.45 )</f>
        <v>0.40183591897512122</v>
      </c>
      <c r="O1362" s="159">
        <f t="shared" ref="O1362:O1364" si="116">IF( OR( ISBLANK(I1362),ISBLANK(J1362), ISBLANK(K1362), ISBLANK(L1362), ISBLANK(M1362) ), "", 1.5*SQRT( EXP(2.21*(I1362-1)) + EXP(2.21*(J1362-1)) + EXP(2.21*(K1362-1)) + EXP(2.21*(L1362-1)) + EXP(2.21*M1362)   )/100*2.45 )</f>
        <v>0.40183591897512122</v>
      </c>
    </row>
    <row r="1363" spans="1:15">
      <c r="A1363" s="7" t="str">
        <f>Clothing!A615</f>
        <v>Dresses skirts and jumpsuits</v>
      </c>
      <c r="B1363" s="7" t="str">
        <f>Clothing!B615</f>
        <v>Clothing washed (discarded)</v>
      </c>
      <c r="C1363" s="7" t="str">
        <f>Clothing!C615</f>
        <v>any</v>
      </c>
      <c r="D1363" s="7" t="str">
        <f>Clothing!D615</f>
        <v>any</v>
      </c>
      <c r="E1363" s="7" t="str">
        <f>Clothing!E615</f>
        <v>rest</v>
      </c>
      <c r="F1363" s="7">
        <f>Clothing!F615</f>
        <v>1</v>
      </c>
      <c r="N1363" s="185" t="str">
        <f t="shared" si="115"/>
        <v/>
      </c>
      <c r="O1363" s="159" t="str">
        <f t="shared" si="116"/>
        <v/>
      </c>
    </row>
    <row r="1364" spans="1:15">
      <c r="A1364" s="7" t="str">
        <f>Clothing!A616</f>
        <v>Leggings stockings tights and socks</v>
      </c>
      <c r="B1364" s="7" t="str">
        <f>Clothing!B616</f>
        <v>Clothing washed (in use)</v>
      </c>
      <c r="C1364" s="7" t="str">
        <f>Clothing!C616</f>
        <v>any</v>
      </c>
      <c r="D1364" s="7" t="str">
        <f>Clothing!D616</f>
        <v>any</v>
      </c>
      <c r="E1364" s="7">
        <f>Clothing!E616</f>
        <v>1.3554814450000001E-2</v>
      </c>
      <c r="F1364" s="7">
        <f>Clothing!F616</f>
        <v>2</v>
      </c>
      <c r="G1364" s="7" t="str">
        <f>Clothing!G616</f>
        <v>Computed from wearing, washing, drying TCs</v>
      </c>
      <c r="H1364" s="7">
        <f>Clothing!H616</f>
        <v>2</v>
      </c>
      <c r="I1364" s="7">
        <f>Clothing!I616</f>
        <v>2</v>
      </c>
      <c r="J1364" s="7">
        <f>Clothing!J616</f>
        <v>2</v>
      </c>
      <c r="K1364" s="7">
        <f>Clothing!K616</f>
        <v>2</v>
      </c>
      <c r="L1364" s="7">
        <f>Clothing!L616</f>
        <v>2</v>
      </c>
      <c r="M1364" s="7">
        <f>Clothing!M616</f>
        <v>2</v>
      </c>
      <c r="N1364" s="959">
        <f t="shared" si="115"/>
        <v>0.40183591897512122</v>
      </c>
      <c r="O1364" s="159">
        <f t="shared" si="116"/>
        <v>0.40183591897512122</v>
      </c>
    </row>
    <row r="1365" spans="1:15">
      <c r="A1365" s="7" t="str">
        <f>Clothing!A617</f>
        <v>Leggings stockings tights and socks</v>
      </c>
      <c r="B1365" s="7" t="str">
        <f>Clothing!B617</f>
        <v>Clothing washed (discarded)</v>
      </c>
      <c r="C1365" s="7" t="str">
        <f>Clothing!C617</f>
        <v>any</v>
      </c>
      <c r="D1365" s="7" t="str">
        <f>Clothing!D617</f>
        <v>any</v>
      </c>
      <c r="E1365" s="7" t="str">
        <f>Clothing!E617</f>
        <v>rest</v>
      </c>
      <c r="F1365" s="7">
        <f>Clothing!F617</f>
        <v>1</v>
      </c>
      <c r="N1365" s="1034"/>
      <c r="O1365" s="813"/>
    </row>
    <row r="1366" spans="1:15">
      <c r="A1366" s="7" t="str">
        <f>Clothing!A618</f>
        <v>Pants and shorts</v>
      </c>
      <c r="B1366" s="7" t="str">
        <f>Clothing!B618</f>
        <v>Clothing washed (in use)</v>
      </c>
      <c r="C1366" s="7" t="str">
        <f>Clothing!C618</f>
        <v>any</v>
      </c>
      <c r="D1366" s="7" t="str">
        <f>Clothing!D618</f>
        <v>any</v>
      </c>
      <c r="E1366" s="7">
        <f>Clothing!E618</f>
        <v>1.3554814450000001E-2</v>
      </c>
      <c r="F1366" s="7">
        <f>Clothing!F618</f>
        <v>2</v>
      </c>
      <c r="G1366" s="7" t="str">
        <f>Clothing!G618</f>
        <v>Computed from wearing, washing, drying TCs</v>
      </c>
      <c r="H1366" s="7">
        <f>Clothing!H618</f>
        <v>2</v>
      </c>
      <c r="I1366" s="7">
        <f>Clothing!I618</f>
        <v>2</v>
      </c>
      <c r="J1366" s="7">
        <f>Clothing!J618</f>
        <v>2</v>
      </c>
      <c r="K1366" s="7">
        <f>Clothing!K618</f>
        <v>2</v>
      </c>
      <c r="L1366" s="7">
        <f>Clothing!L618</f>
        <v>2</v>
      </c>
      <c r="M1366" s="7">
        <f>Clothing!M618</f>
        <v>2</v>
      </c>
      <c r="N1366" s="64">
        <f t="shared" ref="N1366:N1370" si="117">IF( OR( ISBLANK(H1366),ISBLANK(J1366), ISBLANK(K1366), ISBLANK(L1366), ISBLANK(M1366) ), "", 1.5*SQRT(   EXP(2.21*(H1366-1)) + EXP(2.21*(J1366-1)) + EXP(2.21*(K1366-1)) + EXP(2.21*(L1366-1)) + EXP(2.21*M1366)   )/100*2.45 )</f>
        <v>0.40183591897512122</v>
      </c>
      <c r="O1366" s="64">
        <f t="shared" ref="O1366:O1370" si="118">IF( OR( ISBLANK(I1366),ISBLANK(J1366), ISBLANK(K1366), ISBLANK(L1366), ISBLANK(M1366) ), "", 1.5*SQRT( EXP(2.21*(I1366-1)) + EXP(2.21*(J1366-1)) + EXP(2.21*(K1366-1)) + EXP(2.21*(L1366-1)) + EXP(2.21*M1366)   )/100*2.45 )</f>
        <v>0.40183591897512122</v>
      </c>
    </row>
    <row r="1367" spans="1:15" ht="15.75" thickBot="1">
      <c r="A1367" s="7" t="str">
        <f>Clothing!A619</f>
        <v>Pants and shorts</v>
      </c>
      <c r="B1367" s="7" t="str">
        <f>Clothing!B619</f>
        <v>Clothing washed (discarded)</v>
      </c>
      <c r="C1367" s="7" t="str">
        <f>Clothing!C619</f>
        <v>any</v>
      </c>
      <c r="D1367" s="7" t="str">
        <f>Clothing!D619</f>
        <v>any</v>
      </c>
      <c r="E1367" s="7" t="str">
        <f>Clothing!E619</f>
        <v>rest</v>
      </c>
      <c r="F1367" s="7">
        <f>Clothing!F619</f>
        <v>1</v>
      </c>
      <c r="N1367" s="1035" t="str">
        <f t="shared" si="117"/>
        <v/>
      </c>
      <c r="O1367" s="1029" t="str">
        <f t="shared" si="118"/>
        <v/>
      </c>
    </row>
    <row r="1368" spans="1:15">
      <c r="A1368" s="7" t="str">
        <f>Clothing!A620</f>
        <v>Shirts and blouses</v>
      </c>
      <c r="B1368" s="7" t="str">
        <f>Clothing!B620</f>
        <v>Clothing washed (in use)</v>
      </c>
      <c r="C1368" s="7" t="str">
        <f>Clothing!C620</f>
        <v>any</v>
      </c>
      <c r="D1368" s="7" t="str">
        <f>Clothing!D620</f>
        <v>any</v>
      </c>
      <c r="E1368" s="7">
        <f>Clothing!E620</f>
        <v>1.3554814450000001E-2</v>
      </c>
      <c r="F1368" s="7">
        <f>Clothing!F620</f>
        <v>2</v>
      </c>
      <c r="G1368" s="7" t="str">
        <f>Clothing!G620</f>
        <v>Computed from wearing, washing, drying TCs</v>
      </c>
      <c r="H1368" s="7">
        <f>Clothing!H620</f>
        <v>2</v>
      </c>
      <c r="I1368" s="7">
        <f>Clothing!I620</f>
        <v>2</v>
      </c>
      <c r="J1368" s="7">
        <f>Clothing!J620</f>
        <v>2</v>
      </c>
      <c r="K1368" s="7">
        <f>Clothing!K620</f>
        <v>2</v>
      </c>
      <c r="L1368" s="7">
        <f>Clothing!L620</f>
        <v>2</v>
      </c>
      <c r="M1368" s="7">
        <f>Clothing!M620</f>
        <v>2</v>
      </c>
      <c r="N1368" s="185">
        <f t="shared" si="117"/>
        <v>0.40183591897512122</v>
      </c>
      <c r="O1368" s="159">
        <f t="shared" si="118"/>
        <v>0.40183591897512122</v>
      </c>
    </row>
    <row r="1369" spans="1:15">
      <c r="A1369" s="7" t="str">
        <f>Clothing!A621</f>
        <v>Shirts and blouses</v>
      </c>
      <c r="B1369" s="7" t="str">
        <f>Clothing!B621</f>
        <v>Clothing washed (discarded)</v>
      </c>
      <c r="C1369" s="7" t="str">
        <f>Clothing!C621</f>
        <v>any</v>
      </c>
      <c r="D1369" s="7" t="str">
        <f>Clothing!D621</f>
        <v>any</v>
      </c>
      <c r="E1369" s="7" t="str">
        <f>Clothing!E621</f>
        <v>rest</v>
      </c>
      <c r="F1369" s="7">
        <f>Clothing!F621</f>
        <v>1</v>
      </c>
      <c r="N1369" s="185" t="str">
        <f t="shared" si="117"/>
        <v/>
      </c>
      <c r="O1369" s="159" t="str">
        <f t="shared" si="118"/>
        <v/>
      </c>
    </row>
    <row r="1370" spans="1:15">
      <c r="A1370" s="7" t="str">
        <f>Clothing!A622</f>
        <v>Sweaters and midlayers</v>
      </c>
      <c r="B1370" s="7" t="str">
        <f>Clothing!B622</f>
        <v>Clothing washed (in use)</v>
      </c>
      <c r="C1370" s="7" t="str">
        <f>Clothing!C622</f>
        <v>any</v>
      </c>
      <c r="D1370" s="7" t="str">
        <f>Clothing!D622</f>
        <v>any</v>
      </c>
      <c r="E1370" s="7">
        <f>Clothing!E622</f>
        <v>1.3554814450000001E-2</v>
      </c>
      <c r="F1370" s="7">
        <f>Clothing!F622</f>
        <v>2</v>
      </c>
      <c r="G1370" s="7" t="str">
        <f>Clothing!G622</f>
        <v>Computed from wearing, washing, drying TCs</v>
      </c>
      <c r="H1370" s="7">
        <f>Clothing!H622</f>
        <v>2</v>
      </c>
      <c r="I1370" s="7">
        <f>Clothing!I622</f>
        <v>2</v>
      </c>
      <c r="J1370" s="7">
        <f>Clothing!J622</f>
        <v>2</v>
      </c>
      <c r="K1370" s="7">
        <f>Clothing!K622</f>
        <v>2</v>
      </c>
      <c r="L1370" s="7">
        <f>Clothing!L622</f>
        <v>2</v>
      </c>
      <c r="M1370" s="7">
        <f>Clothing!M622</f>
        <v>2</v>
      </c>
      <c r="N1370" s="185">
        <f t="shared" si="117"/>
        <v>0.40183591897512122</v>
      </c>
      <c r="O1370" s="159">
        <f t="shared" si="118"/>
        <v>0.40183591897512122</v>
      </c>
    </row>
    <row r="1371" spans="1:15">
      <c r="A1371" s="7" t="str">
        <f>Clothing!A623</f>
        <v>Sweaters and midlayers</v>
      </c>
      <c r="B1371" s="7" t="str">
        <f>Clothing!B623</f>
        <v>Clothing washed (discarded)</v>
      </c>
      <c r="C1371" s="7" t="str">
        <f>Clothing!C623</f>
        <v>any</v>
      </c>
      <c r="D1371" s="7" t="str">
        <f>Clothing!D623</f>
        <v>any</v>
      </c>
      <c r="E1371" s="7" t="str">
        <f>Clothing!E623</f>
        <v>rest</v>
      </c>
      <c r="F1371" s="7">
        <f>Clothing!F623</f>
        <v>1</v>
      </c>
      <c r="N1371" s="185"/>
      <c r="O1371" s="159"/>
    </row>
    <row r="1372" spans="1:15">
      <c r="A1372" s="7" t="str">
        <f>Clothing!A624</f>
        <v>Swimwear</v>
      </c>
      <c r="B1372" s="7" t="str">
        <f>Clothing!B624</f>
        <v>Clothing washed (in use)</v>
      </c>
      <c r="C1372" s="7" t="str">
        <f>Clothing!C624</f>
        <v>any</v>
      </c>
      <c r="D1372" s="7" t="str">
        <f>Clothing!D624</f>
        <v>any</v>
      </c>
      <c r="E1372" s="7">
        <f>Clothing!E624</f>
        <v>1.3554814450000001E-2</v>
      </c>
      <c r="F1372" s="7">
        <f>Clothing!F624</f>
        <v>2</v>
      </c>
      <c r="G1372" s="7" t="str">
        <f>Clothing!G624</f>
        <v>Computed from wearing, washing, drying TCs</v>
      </c>
      <c r="H1372" s="7">
        <f>Clothing!H624</f>
        <v>2</v>
      </c>
      <c r="I1372" s="7">
        <f>Clothing!I624</f>
        <v>2</v>
      </c>
      <c r="J1372" s="7">
        <f>Clothing!J624</f>
        <v>2</v>
      </c>
      <c r="K1372" s="7">
        <f>Clothing!K624</f>
        <v>2</v>
      </c>
      <c r="L1372" s="7">
        <f>Clothing!L624</f>
        <v>2</v>
      </c>
      <c r="M1372" s="7">
        <f>Clothing!M624</f>
        <v>2</v>
      </c>
      <c r="N1372" s="185">
        <f t="shared" ref="N1372:N1374" si="119">IF( OR( ISBLANK(H1372),ISBLANK(J1372), ISBLANK(K1372), ISBLANK(L1372), ISBLANK(M1372) ), "", 1.5*SQRT(   EXP(2.21*(H1372-1)) + EXP(2.21*(J1372-1)) + EXP(2.21*(K1372-1)) + EXP(2.21*(L1372-1)) + EXP(2.21*M1372)   )/100*2.45 )</f>
        <v>0.40183591897512122</v>
      </c>
      <c r="O1372" s="159">
        <f t="shared" ref="O1372:O1374" si="120">IF( OR( ISBLANK(I1372),ISBLANK(J1372), ISBLANK(K1372), ISBLANK(L1372), ISBLANK(M1372) ), "", 1.5*SQRT( EXP(2.21*(I1372-1)) + EXP(2.21*(J1372-1)) + EXP(2.21*(K1372-1)) + EXP(2.21*(L1372-1)) + EXP(2.21*M1372)   )/100*2.45 )</f>
        <v>0.40183591897512122</v>
      </c>
    </row>
    <row r="1373" spans="1:15">
      <c r="A1373" s="7" t="str">
        <f>Clothing!A625</f>
        <v>Swimwear</v>
      </c>
      <c r="B1373" s="7" t="str">
        <f>Clothing!B625</f>
        <v>Clothing washed (discarded)</v>
      </c>
      <c r="C1373" s="7" t="str">
        <f>Clothing!C625</f>
        <v>any</v>
      </c>
      <c r="D1373" s="7" t="str">
        <f>Clothing!D625</f>
        <v>any</v>
      </c>
      <c r="E1373" s="7" t="str">
        <f>Clothing!E625</f>
        <v>rest</v>
      </c>
      <c r="F1373" s="7">
        <f>Clothing!F625</f>
        <v>1</v>
      </c>
      <c r="N1373" s="185" t="str">
        <f t="shared" si="119"/>
        <v/>
      </c>
      <c r="O1373" s="159" t="str">
        <f t="shared" si="120"/>
        <v/>
      </c>
    </row>
    <row r="1374" spans="1:15">
      <c r="A1374" s="7" t="str">
        <f>Clothing!A626</f>
        <v>T-shirts</v>
      </c>
      <c r="B1374" s="7" t="str">
        <f>Clothing!B626</f>
        <v>Clothing washed (in use)</v>
      </c>
      <c r="C1374" s="7" t="str">
        <f>Clothing!C626</f>
        <v>any</v>
      </c>
      <c r="D1374" s="7" t="str">
        <f>Clothing!D626</f>
        <v>any</v>
      </c>
      <c r="E1374" s="7">
        <f>Clothing!E626</f>
        <v>1.3554814450000001E-2</v>
      </c>
      <c r="F1374" s="7">
        <f>Clothing!F626</f>
        <v>2</v>
      </c>
      <c r="G1374" s="7" t="str">
        <f>Clothing!G626</f>
        <v>Computed from wearing, washing, drying TCs</v>
      </c>
      <c r="H1374" s="7">
        <f>Clothing!H626</f>
        <v>2</v>
      </c>
      <c r="I1374" s="7">
        <f>Clothing!I626</f>
        <v>2</v>
      </c>
      <c r="J1374" s="7">
        <f>Clothing!J626</f>
        <v>2</v>
      </c>
      <c r="K1374" s="7">
        <f>Clothing!K626</f>
        <v>2</v>
      </c>
      <c r="L1374" s="7">
        <f>Clothing!L626</f>
        <v>2</v>
      </c>
      <c r="M1374" s="7">
        <f>Clothing!M626</f>
        <v>2</v>
      </c>
      <c r="N1374" s="959">
        <f t="shared" si="119"/>
        <v>0.40183591897512122</v>
      </c>
      <c r="O1374" s="159">
        <f t="shared" si="120"/>
        <v>0.40183591897512122</v>
      </c>
    </row>
    <row r="1375" spans="1:15">
      <c r="A1375" s="7" t="str">
        <f>Clothing!A627</f>
        <v>T-shirts</v>
      </c>
      <c r="B1375" s="7" t="str">
        <f>Clothing!B627</f>
        <v>Clothing washed (discarded)</v>
      </c>
      <c r="C1375" s="7" t="str">
        <f>Clothing!C627</f>
        <v>any</v>
      </c>
      <c r="D1375" s="7" t="str">
        <f>Clothing!D627</f>
        <v>any</v>
      </c>
      <c r="E1375" s="7" t="str">
        <f>Clothing!E627</f>
        <v>rest</v>
      </c>
      <c r="F1375" s="7">
        <f>Clothing!F627</f>
        <v>1</v>
      </c>
      <c r="N1375" s="1034"/>
      <c r="O1375" s="813"/>
    </row>
    <row r="1376" spans="1:15">
      <c r="A1376" s="1066" t="str">
        <f>Clothing!A628</f>
        <v>Underwear</v>
      </c>
      <c r="B1376" s="1066" t="str">
        <f>Clothing!B628</f>
        <v>Clothing washed (in use)</v>
      </c>
      <c r="C1376" s="1066" t="str">
        <f>Clothing!C628</f>
        <v>any</v>
      </c>
      <c r="D1376" s="1066" t="str">
        <f>Clothing!D628</f>
        <v>any</v>
      </c>
      <c r="E1376" s="1066">
        <f>Clothing!E628</f>
        <v>1.3554814450000001E-2</v>
      </c>
      <c r="F1376" s="1066">
        <f>Clothing!F628</f>
        <v>2</v>
      </c>
      <c r="G1376" s="1066" t="str">
        <f>Clothing!G628</f>
        <v>Computed from wearing, washing, drying TCs</v>
      </c>
      <c r="H1376" s="1066">
        <f>Clothing!H628</f>
        <v>2</v>
      </c>
      <c r="I1376" s="1066">
        <f>Clothing!I628</f>
        <v>2</v>
      </c>
      <c r="J1376" s="1066">
        <f>Clothing!J628</f>
        <v>2</v>
      </c>
      <c r="K1376" s="1066">
        <f>Clothing!K628</f>
        <v>2</v>
      </c>
      <c r="L1376" s="1066">
        <f>Clothing!L628</f>
        <v>2</v>
      </c>
      <c r="M1376" s="1066">
        <f>Clothing!M628</f>
        <v>2</v>
      </c>
      <c r="N1376" s="1067">
        <f t="shared" ref="N1376:N1379" si="121">IF( OR( ISBLANK(H1376),ISBLANK(J1376), ISBLANK(K1376), ISBLANK(L1376), ISBLANK(M1376) ), "", 1.5*SQRT(   EXP(2.21*(H1376-1)) + EXP(2.21*(J1376-1)) + EXP(2.21*(K1376-1)) + EXP(2.21*(L1376-1)) + EXP(2.21*M1376)   )/100*2.45 )</f>
        <v>0.40183591897512122</v>
      </c>
      <c r="O1376" s="1067">
        <f t="shared" ref="O1376:O1379" si="122">IF( OR( ISBLANK(I1376),ISBLANK(J1376), ISBLANK(K1376), ISBLANK(L1376), ISBLANK(M1376) ), "", 1.5*SQRT( EXP(2.21*(I1376-1)) + EXP(2.21*(J1376-1)) + EXP(2.21*(K1376-1)) + EXP(2.21*(L1376-1)) + EXP(2.21*M1376)   )/100*2.45 )</f>
        <v>0.40183591897512122</v>
      </c>
    </row>
    <row r="1377" spans="1:15" ht="15.75" thickBot="1">
      <c r="A1377" s="1065" t="str">
        <f>Clothing!A629</f>
        <v>Underwear</v>
      </c>
      <c r="B1377" s="1065" t="str">
        <f>Clothing!B629</f>
        <v>Clothing washed (discarded)</v>
      </c>
      <c r="C1377" s="1065" t="str">
        <f>Clothing!C629</f>
        <v>any</v>
      </c>
      <c r="D1377" s="1065" t="str">
        <f>Clothing!D629</f>
        <v>any</v>
      </c>
      <c r="E1377" s="1065" t="str">
        <f>Clothing!E629</f>
        <v>rest</v>
      </c>
      <c r="F1377" s="1065">
        <f>Clothing!F629</f>
        <v>1</v>
      </c>
      <c r="G1377" s="1065"/>
      <c r="H1377" s="1065"/>
      <c r="I1377" s="1065"/>
      <c r="J1377" s="1065"/>
      <c r="K1377" s="1065"/>
      <c r="L1377" s="1065"/>
      <c r="M1377" s="1065"/>
      <c r="N1377" s="185" t="str">
        <f t="shared" si="121"/>
        <v/>
      </c>
      <c r="O1377" s="159" t="str">
        <f t="shared" si="122"/>
        <v/>
      </c>
    </row>
    <row r="1378" spans="1:15">
      <c r="A1378" s="7" t="str">
        <f>Clothing!A632</f>
        <v>Clothing washed (in use)</v>
      </c>
      <c r="B1378" s="7" t="str">
        <f>Clothing!B632</f>
        <v>Clothing wearing</v>
      </c>
      <c r="C1378" s="7" t="str">
        <f>Clothing!C632</f>
        <v>any</v>
      </c>
      <c r="D1378" s="7" t="str">
        <f>Clothing!D632</f>
        <v>any</v>
      </c>
      <c r="E1378" s="7">
        <f>Clothing!E632</f>
        <v>0.22316793868026719</v>
      </c>
      <c r="F1378" s="7">
        <f>Clothing!F632</f>
        <v>2</v>
      </c>
      <c r="G1378" s="7" t="str">
        <f>Clothing!G632</f>
        <v>Average loss during wear, Kawecki et al. 2019, SI table 17</v>
      </c>
      <c r="H1378" s="7">
        <f>Clothing!H632</f>
        <v>2</v>
      </c>
      <c r="I1378" s="7">
        <f>Clothing!I632</f>
        <v>2</v>
      </c>
      <c r="J1378" s="7">
        <f>Clothing!J632</f>
        <v>2</v>
      </c>
      <c r="K1378" s="7">
        <f>Clothing!K632</f>
        <v>2</v>
      </c>
      <c r="L1378" s="7">
        <f>Clothing!L632</f>
        <v>2</v>
      </c>
      <c r="M1378" s="7">
        <f>Clothing!M632</f>
        <v>2</v>
      </c>
      <c r="N1378" s="185">
        <f t="shared" si="121"/>
        <v>0.40183591897512122</v>
      </c>
      <c r="O1378" s="159">
        <f t="shared" si="122"/>
        <v>0.40183591897512122</v>
      </c>
    </row>
    <row r="1379" spans="1:15">
      <c r="A1379" s="7" t="str">
        <f>Clothing!A633</f>
        <v>Clothing washed (in use)</v>
      </c>
      <c r="B1379" s="7" t="str">
        <f>Clothing!B633</f>
        <v>Clothing washing</v>
      </c>
      <c r="C1379" s="7" t="str">
        <f>Clothing!C633</f>
        <v>any</v>
      </c>
      <c r="D1379" s="7" t="str">
        <f>Clothing!D633</f>
        <v>any</v>
      </c>
      <c r="E1379" s="7">
        <f>Clothing!E633</f>
        <v>0.7390620127596067</v>
      </c>
      <c r="F1379" s="7">
        <f>Clothing!F633</f>
        <v>2</v>
      </c>
      <c r="G1379" s="7" t="str">
        <f>Clothing!G633</f>
        <v>Computed from available data from Kawecki et al. (2019) and CBS (2022)</v>
      </c>
      <c r="H1379" s="7">
        <f>Clothing!H633</f>
        <v>2</v>
      </c>
      <c r="I1379" s="7">
        <f>Clothing!I633</f>
        <v>2</v>
      </c>
      <c r="J1379" s="7">
        <f>Clothing!J633</f>
        <v>2</v>
      </c>
      <c r="K1379" s="7">
        <f>Clothing!K633</f>
        <v>2</v>
      </c>
      <c r="L1379" s="7">
        <f>Clothing!L633</f>
        <v>2</v>
      </c>
      <c r="M1379" s="7">
        <f>Clothing!M633</f>
        <v>2</v>
      </c>
      <c r="N1379" s="185">
        <f t="shared" si="121"/>
        <v>0.40183591897512122</v>
      </c>
      <c r="O1379" s="159">
        <f t="shared" si="122"/>
        <v>0.40183591897512122</v>
      </c>
    </row>
    <row r="1380" spans="1:15">
      <c r="A1380" s="7" t="str">
        <f>Clothing!A634</f>
        <v>Clothing washed (in use)</v>
      </c>
      <c r="B1380" s="7" t="str">
        <f>Clothing!B634</f>
        <v>Clothing drying</v>
      </c>
      <c r="C1380" s="7" t="str">
        <f>Clothing!C634</f>
        <v>any</v>
      </c>
      <c r="D1380" s="7" t="str">
        <f>Clothing!D634</f>
        <v>any</v>
      </c>
      <c r="E1380" s="7">
        <f>Clothing!E634</f>
        <v>3.7770048560126175E-2</v>
      </c>
      <c r="F1380" s="7">
        <f>Clothing!F634</f>
        <v>2</v>
      </c>
      <c r="G1380" s="7" t="str">
        <f>Clothing!G634</f>
        <v>Computed from available data from Kawecki et al. (2019)</v>
      </c>
      <c r="H1380" s="7">
        <f>Clothing!H634</f>
        <v>2</v>
      </c>
      <c r="I1380" s="7">
        <f>Clothing!I634</f>
        <v>2</v>
      </c>
      <c r="J1380" s="7">
        <f>Clothing!J634</f>
        <v>2</v>
      </c>
      <c r="K1380" s="7">
        <f>Clothing!K634</f>
        <v>2</v>
      </c>
      <c r="L1380" s="7">
        <f>Clothing!L634</f>
        <v>2</v>
      </c>
      <c r="M1380" s="7">
        <f>Clothing!M634</f>
        <v>2</v>
      </c>
      <c r="N1380" s="185"/>
      <c r="O1380" s="159"/>
    </row>
    <row r="1381" spans="1:15">
      <c r="A1381" s="7" t="str">
        <f>Clothing!A635</f>
        <v>Clothing washed (discarded)</v>
      </c>
      <c r="B1381" s="7" t="str">
        <f>Clothing!B635</f>
        <v>Clothing waste collection</v>
      </c>
      <c r="C1381" s="7" t="str">
        <f>Clothing!C635</f>
        <v>any</v>
      </c>
      <c r="D1381" s="7" t="str">
        <f>Clothing!D635</f>
        <v>any</v>
      </c>
      <c r="E1381" s="7">
        <f>Clothing!E635</f>
        <v>0.50465116279069766</v>
      </c>
      <c r="F1381" s="7">
        <f>Clothing!F635</f>
        <v>2</v>
      </c>
      <c r="G1381" s="7" t="str">
        <f>Clothing!G635</f>
        <v>Massabalans textiel, 2022</v>
      </c>
      <c r="H1381" s="7">
        <f>Clothing!H635</f>
        <v>1</v>
      </c>
      <c r="I1381" s="7">
        <f>Clothing!I635</f>
        <v>2</v>
      </c>
      <c r="J1381" s="7">
        <f>Clothing!J635</f>
        <v>2</v>
      </c>
      <c r="K1381" s="7">
        <f>Clothing!K635</f>
        <v>1</v>
      </c>
      <c r="L1381" s="7">
        <f>Clothing!L635</f>
        <v>2</v>
      </c>
      <c r="M1381" s="7">
        <f>Clothing!M635</f>
        <v>2</v>
      </c>
      <c r="N1381" s="185">
        <f t="shared" ref="N1381:N1383" si="123">IF( OR( ISBLANK(H1381),ISBLANK(J1381), ISBLANK(K1381), ISBLANK(L1381), ISBLANK(M1381) ), "", 1.5*SQRT(   EXP(2.21*(H1381-1)) + EXP(2.21*(J1381-1)) + EXP(2.21*(K1381-1)) + EXP(2.21*(L1381-1)) + EXP(2.21*M1381)   )/100*2.45 )</f>
        <v>0.37356464144298934</v>
      </c>
      <c r="O1381" s="159">
        <f t="shared" ref="O1381:O1383" si="124">IF( OR( ISBLANK(I1381),ISBLANK(J1381), ISBLANK(K1381), ISBLANK(L1381), ISBLANK(M1381) ), "", 1.5*SQRT( EXP(2.21*(I1381-1)) + EXP(2.21*(J1381-1)) + EXP(2.21*(K1381-1)) + EXP(2.21*(L1381-1)) + EXP(2.21*M1381)   )/100*2.45 )</f>
        <v>0.38795788889711302</v>
      </c>
    </row>
    <row r="1382" spans="1:15">
      <c r="A1382" s="7" t="str">
        <f>Clothing!A636</f>
        <v>Clothing washed (discarded)</v>
      </c>
      <c r="B1382" s="7" t="str">
        <f>Clothing!B636</f>
        <v>Mixed waste collection</v>
      </c>
      <c r="C1382" s="7" t="str">
        <f>Clothing!C636</f>
        <v>any</v>
      </c>
      <c r="D1382" s="7" t="str">
        <f>Clothing!D636</f>
        <v>any</v>
      </c>
      <c r="E1382" s="7" t="str">
        <f>Clothing!E636</f>
        <v>rest</v>
      </c>
      <c r="F1382" s="7">
        <f>Clothing!F636</f>
        <v>1</v>
      </c>
      <c r="N1382" s="185"/>
      <c r="O1382" s="159"/>
    </row>
    <row r="1383" spans="1:15">
      <c r="A1383" s="7" t="str">
        <f>Clothing!A637</f>
        <v>Clothing washed (discarded)</v>
      </c>
      <c r="B1383" s="7" t="str">
        <f>Clothing!B637</f>
        <v>Dumping</v>
      </c>
      <c r="C1383" s="7" t="str">
        <f>Clothing!C637</f>
        <v>any</v>
      </c>
      <c r="D1383" s="7" t="str">
        <f>Clothing!D637</f>
        <v>any</v>
      </c>
      <c r="E1383" s="7">
        <f>Clothing!E637</f>
        <v>2.7E-4</v>
      </c>
      <c r="F1383" s="7">
        <f>Clothing!F637</f>
        <v>2</v>
      </c>
      <c r="G1383" s="7" t="str">
        <f>Clothing!G637</f>
        <v>Kawecki &amp; Nowack (2019)</v>
      </c>
      <c r="H1383" s="7">
        <f>Clothing!H637</f>
        <v>2</v>
      </c>
      <c r="I1383" s="7">
        <f>Clothing!I637</f>
        <v>2</v>
      </c>
      <c r="J1383" s="7">
        <f>Clothing!J637</f>
        <v>2</v>
      </c>
      <c r="K1383" s="7">
        <f>Clothing!K637</f>
        <v>3</v>
      </c>
      <c r="L1383" s="7">
        <f>Clothing!L637</f>
        <v>3</v>
      </c>
      <c r="M1383" s="7">
        <f>Clothing!M637</f>
        <v>3</v>
      </c>
      <c r="N1383" s="959">
        <f t="shared" si="123"/>
        <v>1.1278755061256258</v>
      </c>
      <c r="O1383" s="159">
        <f t="shared" si="124"/>
        <v>1.1278755061256258</v>
      </c>
    </row>
    <row r="1384" spans="1:15">
      <c r="A1384" s="7" t="str">
        <f>Clothing!A638</f>
        <v>Clothing rarely washed (in use)</v>
      </c>
      <c r="B1384" s="7" t="str">
        <f>Clothing!B638</f>
        <v>Clothing wearing</v>
      </c>
      <c r="C1384" s="7" t="str">
        <f>Clothing!C638</f>
        <v>any</v>
      </c>
      <c r="D1384" s="7" t="str">
        <f>Clothing!D638</f>
        <v>any</v>
      </c>
      <c r="E1384" s="7">
        <f>Clothing!E638</f>
        <v>0.89283156750188131</v>
      </c>
      <c r="F1384" s="7">
        <f>Clothing!F638</f>
        <v>2</v>
      </c>
      <c r="G1384" s="7" t="str">
        <f>Clothing!G638</f>
        <v>Average loss during wear, Kawecki et al. 2019, SI table 17</v>
      </c>
      <c r="H1384" s="7">
        <f>Clothing!H638</f>
        <v>2</v>
      </c>
      <c r="I1384" s="7">
        <f>Clothing!I638</f>
        <v>2</v>
      </c>
      <c r="J1384" s="7">
        <f>Clothing!J638</f>
        <v>2</v>
      </c>
      <c r="K1384" s="7">
        <f>Clothing!K638</f>
        <v>2</v>
      </c>
      <c r="L1384" s="7">
        <f>Clothing!L638</f>
        <v>2</v>
      </c>
      <c r="M1384" s="7">
        <f>Clothing!M638</f>
        <v>2</v>
      </c>
      <c r="N1384" s="1034"/>
      <c r="O1384" s="813"/>
    </row>
    <row r="1385" spans="1:15">
      <c r="A1385" s="7" t="str">
        <f>Clothing!A639</f>
        <v>Clothing rarely washed (in use)</v>
      </c>
      <c r="B1385" s="7" t="str">
        <f>Clothing!B639</f>
        <v>Clothing washing</v>
      </c>
      <c r="C1385" s="7" t="str">
        <f>Clothing!C639</f>
        <v>any</v>
      </c>
      <c r="D1385" s="7" t="str">
        <f>Clothing!D639</f>
        <v>any</v>
      </c>
      <c r="E1385" s="7">
        <f>Clothing!E639</f>
        <v>0.10195783795508458</v>
      </c>
      <c r="F1385" s="7">
        <f>Clothing!F639</f>
        <v>2</v>
      </c>
      <c r="G1385" s="7" t="str">
        <f>Clothing!G639</f>
        <v>Computed from available data from Kawecki et al. (2019) and CBS (2022)</v>
      </c>
      <c r="H1385" s="7">
        <f>Clothing!H639</f>
        <v>2</v>
      </c>
      <c r="I1385" s="7">
        <f>Clothing!I639</f>
        <v>2</v>
      </c>
      <c r="J1385" s="7">
        <f>Clothing!J639</f>
        <v>2</v>
      </c>
      <c r="K1385" s="7">
        <f>Clothing!K639</f>
        <v>2</v>
      </c>
      <c r="L1385" s="7">
        <f>Clothing!L639</f>
        <v>2</v>
      </c>
      <c r="M1385" s="7">
        <f>Clothing!M639</f>
        <v>2</v>
      </c>
      <c r="N1385" s="1067">
        <f t="shared" ref="N1385:N1387" si="125">IF( OR( ISBLANK(H1385),ISBLANK(J1385), ISBLANK(K1385), ISBLANK(L1385), ISBLANK(M1385) ), "", 1.5*SQRT(   EXP(2.21*(H1385-1)) + EXP(2.21*(J1385-1)) + EXP(2.21*(K1385-1)) + EXP(2.21*(L1385-1)) + EXP(2.21*M1385)   )/100*2.45 )</f>
        <v>0.40183591897512122</v>
      </c>
      <c r="O1385" s="1067">
        <f t="shared" ref="O1385:O1387" si="126">IF( OR( ISBLANK(I1385),ISBLANK(J1385), ISBLANK(K1385), ISBLANK(L1385), ISBLANK(M1385) ), "", 1.5*SQRT( EXP(2.21*(I1385-1)) + EXP(2.21*(J1385-1)) + EXP(2.21*(K1385-1)) + EXP(2.21*(L1385-1)) + EXP(2.21*M1385)   )/100*2.45 )</f>
        <v>0.40183591897512122</v>
      </c>
    </row>
    <row r="1386" spans="1:15">
      <c r="A1386" s="7" t="str">
        <f>Clothing!A640</f>
        <v>Clothing rarely washed (in use)</v>
      </c>
      <c r="B1386" s="7" t="str">
        <f>Clothing!B640</f>
        <v>Clothing drying</v>
      </c>
      <c r="C1386" s="7" t="str">
        <f>Clothing!C640</f>
        <v>any</v>
      </c>
      <c r="D1386" s="7" t="str">
        <f>Clothing!D640</f>
        <v>any</v>
      </c>
      <c r="E1386" s="7">
        <f>Clothing!E640</f>
        <v>5.2105945430341201E-3</v>
      </c>
      <c r="F1386" s="7">
        <f>Clothing!F640</f>
        <v>2</v>
      </c>
      <c r="G1386" s="7" t="str">
        <f>Clothing!G640</f>
        <v>Computed from available data from Kawecki et al. (2019)</v>
      </c>
      <c r="H1386" s="7">
        <f>Clothing!H640</f>
        <v>2</v>
      </c>
      <c r="I1386" s="7">
        <f>Clothing!I640</f>
        <v>2</v>
      </c>
      <c r="J1386" s="7">
        <f>Clothing!J640</f>
        <v>2</v>
      </c>
      <c r="K1386" s="7">
        <f>Clothing!K640</f>
        <v>2</v>
      </c>
      <c r="L1386" s="7">
        <f>Clothing!L640</f>
        <v>2</v>
      </c>
      <c r="M1386" s="7">
        <f>Clothing!M640</f>
        <v>2</v>
      </c>
      <c r="N1386" s="185">
        <f t="shared" si="125"/>
        <v>0.40183591897512122</v>
      </c>
      <c r="O1386" s="159">
        <f t="shared" si="126"/>
        <v>0.40183591897512122</v>
      </c>
    </row>
    <row r="1387" spans="1:15">
      <c r="A1387" s="7" t="str">
        <f>Clothing!A641</f>
        <v>Clothing rarely washed (discarded)</v>
      </c>
      <c r="B1387" s="7" t="str">
        <f>Clothing!B641</f>
        <v>Clothing waste collection</v>
      </c>
      <c r="C1387" s="7" t="str">
        <f>Clothing!C641</f>
        <v>any</v>
      </c>
      <c r="D1387" s="7" t="str">
        <f>Clothing!D641</f>
        <v>any</v>
      </c>
      <c r="E1387" s="7">
        <f>Clothing!E641</f>
        <v>0.50465116279069766</v>
      </c>
      <c r="F1387" s="7">
        <f>Clothing!F641</f>
        <v>2</v>
      </c>
      <c r="G1387" s="7" t="str">
        <f>Clothing!G641</f>
        <v>Massabalans textiel, 2022</v>
      </c>
      <c r="H1387" s="7">
        <f>Clothing!H641</f>
        <v>1</v>
      </c>
      <c r="I1387" s="7">
        <f>Clothing!I641</f>
        <v>2</v>
      </c>
      <c r="J1387" s="7">
        <f>Clothing!J641</f>
        <v>2</v>
      </c>
      <c r="K1387" s="7">
        <f>Clothing!K641</f>
        <v>1</v>
      </c>
      <c r="L1387" s="7">
        <f>Clothing!L641</f>
        <v>2</v>
      </c>
      <c r="M1387" s="7">
        <f>Clothing!M641</f>
        <v>2</v>
      </c>
      <c r="N1387" s="185">
        <f t="shared" si="125"/>
        <v>0.37356464144298934</v>
      </c>
      <c r="O1387" s="159">
        <f t="shared" si="126"/>
        <v>0.38795788889711302</v>
      </c>
    </row>
    <row r="1388" spans="1:15">
      <c r="A1388" s="7" t="str">
        <f>Clothing!A642</f>
        <v>Clothing rarely washed (discarded)</v>
      </c>
      <c r="B1388" s="7" t="str">
        <f>Clothing!B642</f>
        <v>Mixed waste collection</v>
      </c>
      <c r="C1388" s="7" t="str">
        <f>Clothing!C642</f>
        <v>any</v>
      </c>
      <c r="D1388" s="7" t="str">
        <f>Clothing!D642</f>
        <v>any</v>
      </c>
      <c r="E1388" s="7" t="str">
        <f>Clothing!E642</f>
        <v>rest</v>
      </c>
      <c r="F1388" s="7">
        <f>Clothing!F642</f>
        <v>1</v>
      </c>
      <c r="N1388" s="185"/>
      <c r="O1388" s="159"/>
    </row>
    <row r="1389" spans="1:15">
      <c r="A1389" s="7" t="str">
        <f>Clothing!A643</f>
        <v>Clothing rarely washed (discarded)</v>
      </c>
      <c r="B1389" s="7" t="str">
        <f>Clothing!B643</f>
        <v>Dumping</v>
      </c>
      <c r="C1389" s="7" t="str">
        <f>Clothing!C643</f>
        <v>any</v>
      </c>
      <c r="D1389" s="7" t="str">
        <f>Clothing!D643</f>
        <v>any</v>
      </c>
      <c r="E1389" s="7">
        <f>Clothing!E643</f>
        <v>2.7E-4</v>
      </c>
      <c r="F1389" s="7">
        <f>Clothing!F643</f>
        <v>2</v>
      </c>
      <c r="G1389" s="7" t="str">
        <f>Clothing!G643</f>
        <v>Kawecki &amp; Nowack (2019)</v>
      </c>
      <c r="H1389" s="7">
        <f>Clothing!H643</f>
        <v>2</v>
      </c>
      <c r="I1389" s="7">
        <f>Clothing!I643</f>
        <v>2</v>
      </c>
      <c r="J1389" s="7">
        <f>Clothing!J643</f>
        <v>2</v>
      </c>
      <c r="K1389" s="7">
        <f>Clothing!K643</f>
        <v>3</v>
      </c>
      <c r="L1389" s="7">
        <f>Clothing!L643</f>
        <v>3</v>
      </c>
      <c r="M1389" s="7">
        <f>Clothing!M643</f>
        <v>3</v>
      </c>
      <c r="N1389" s="185"/>
      <c r="O1389" s="159"/>
    </row>
    <row r="1390" spans="1:15">
      <c r="A1390" s="7" t="str">
        <f>Clothing!A644</f>
        <v>Clothing not washed (in use)</v>
      </c>
      <c r="B1390" s="7" t="str">
        <f>Clothing!B644</f>
        <v>Clothing wearing</v>
      </c>
      <c r="C1390" s="7" t="str">
        <f>Clothing!C644</f>
        <v>any</v>
      </c>
      <c r="D1390" s="7" t="str">
        <f>Clothing!D644</f>
        <v>any</v>
      </c>
      <c r="E1390" s="7">
        <f>Clothing!E644</f>
        <v>1</v>
      </c>
      <c r="F1390" s="7">
        <f>Clothing!F644</f>
        <v>1</v>
      </c>
      <c r="G1390" s="7" t="str">
        <f>Clothing!G644</f>
        <v>Average loss during wear, Kawecki et al. 2019, SI table 17</v>
      </c>
      <c r="H1390" s="7">
        <f>Clothing!H644</f>
        <v>2</v>
      </c>
      <c r="I1390" s="7">
        <f>Clothing!I644</f>
        <v>2</v>
      </c>
      <c r="J1390" s="7">
        <f>Clothing!J644</f>
        <v>2</v>
      </c>
      <c r="K1390" s="7">
        <f>Clothing!K644</f>
        <v>2</v>
      </c>
      <c r="L1390" s="7">
        <f>Clothing!L644</f>
        <v>2</v>
      </c>
      <c r="M1390" s="7">
        <f>Clothing!M644</f>
        <v>2</v>
      </c>
      <c r="N1390" s="185">
        <f t="shared" ref="N1390:N1391" si="127">IF( OR( ISBLANK(H1390),ISBLANK(J1390), ISBLANK(K1390), ISBLANK(L1390), ISBLANK(M1390) ), "", 1.5*SQRT(   EXP(2.21*(H1390-1)) + EXP(2.21*(J1390-1)) + EXP(2.21*(K1390-1)) + EXP(2.21*(L1390-1)) + EXP(2.21*M1390)   )/100*2.45 )</f>
        <v>0.40183591897512122</v>
      </c>
      <c r="O1390" s="159">
        <f t="shared" ref="O1390:O1392" si="128">IF( OR( ISBLANK(I1390),ISBLANK(J1390), ISBLANK(K1390), ISBLANK(L1390), ISBLANK(M1390) ), "", 1.5*SQRT( EXP(2.21*(I1390-1)) + EXP(2.21*(J1390-1)) + EXP(2.21*(K1390-1)) + EXP(2.21*(L1390-1)) + EXP(2.21*M1390)   )/100*2.45 )</f>
        <v>0.40183591897512122</v>
      </c>
    </row>
    <row r="1391" spans="1:15">
      <c r="A1391" s="7" t="str">
        <f>Clothing!A645</f>
        <v>Clothing not washed (discarded)</v>
      </c>
      <c r="B1391" s="7" t="str">
        <f>Clothing!B645</f>
        <v>Clothing waste collection</v>
      </c>
      <c r="C1391" s="7" t="str">
        <f>Clothing!C645</f>
        <v>any</v>
      </c>
      <c r="D1391" s="7" t="str">
        <f>Clothing!D645</f>
        <v>any</v>
      </c>
      <c r="E1391" s="7">
        <f>Clothing!E645</f>
        <v>0.50465116279069766</v>
      </c>
      <c r="F1391" s="7">
        <f>Clothing!F645</f>
        <v>2</v>
      </c>
      <c r="G1391" s="7" t="str">
        <f>Clothing!G645</f>
        <v>Massabalans textiel, 2022</v>
      </c>
      <c r="H1391" s="7">
        <f>Clothing!H645</f>
        <v>1</v>
      </c>
      <c r="I1391" s="7">
        <f>Clothing!I645</f>
        <v>2</v>
      </c>
      <c r="J1391" s="7">
        <f>Clothing!J645</f>
        <v>2</v>
      </c>
      <c r="K1391" s="7">
        <f>Clothing!K645</f>
        <v>1</v>
      </c>
      <c r="L1391" s="7">
        <f>Clothing!L645</f>
        <v>2</v>
      </c>
      <c r="M1391" s="7">
        <f>Clothing!M645</f>
        <v>2</v>
      </c>
      <c r="N1391" s="185">
        <f t="shared" si="127"/>
        <v>0.37356464144298934</v>
      </c>
      <c r="O1391" s="159">
        <f t="shared" si="128"/>
        <v>0.38795788889711302</v>
      </c>
    </row>
    <row r="1392" spans="1:15">
      <c r="A1392" s="7" t="str">
        <f>Clothing!A646</f>
        <v>Clothing not washed (discarded)</v>
      </c>
      <c r="B1392" s="7" t="str">
        <f>Clothing!B646</f>
        <v>Mixed waste collection</v>
      </c>
      <c r="C1392" s="7" t="str">
        <f>Clothing!C646</f>
        <v>any</v>
      </c>
      <c r="D1392" s="7" t="str">
        <f>Clothing!D646</f>
        <v>any</v>
      </c>
      <c r="E1392" s="7" t="str">
        <f>Clothing!E646</f>
        <v>rest</v>
      </c>
      <c r="F1392" s="7">
        <f>Clothing!F646</f>
        <v>1</v>
      </c>
      <c r="N1392" s="959"/>
      <c r="O1392" s="159" t="str">
        <f t="shared" si="128"/>
        <v/>
      </c>
    </row>
    <row r="1393" spans="1:15" ht="15.75" thickBot="1">
      <c r="A1393" s="1065" t="str">
        <f>Clothing!A647</f>
        <v>Clothing not washed (discarded)</v>
      </c>
      <c r="B1393" s="1065" t="str">
        <f>Clothing!B647</f>
        <v>Dumping</v>
      </c>
      <c r="C1393" s="1065" t="str">
        <f>Clothing!C647</f>
        <v>any</v>
      </c>
      <c r="D1393" s="1065" t="str">
        <f>Clothing!D647</f>
        <v>any</v>
      </c>
      <c r="E1393" s="1065">
        <f>Clothing!E647</f>
        <v>2.7E-4</v>
      </c>
      <c r="F1393" s="1065">
        <f>Clothing!F647</f>
        <v>2</v>
      </c>
      <c r="G1393" s="1065" t="str">
        <f>Clothing!G647</f>
        <v>Kawecki &amp; Nowack (2019)</v>
      </c>
      <c r="H1393" s="1065">
        <f>Clothing!H647</f>
        <v>2</v>
      </c>
      <c r="I1393" s="1065">
        <f>Clothing!I647</f>
        <v>2</v>
      </c>
      <c r="J1393" s="1065">
        <f>Clothing!J647</f>
        <v>2</v>
      </c>
      <c r="K1393" s="1065">
        <f>Clothing!K647</f>
        <v>3</v>
      </c>
      <c r="L1393" s="1065">
        <f>Clothing!L647</f>
        <v>3</v>
      </c>
      <c r="M1393" s="1065">
        <f>Clothing!M647</f>
        <v>3</v>
      </c>
      <c r="N1393" s="1068"/>
      <c r="O1393" s="160"/>
    </row>
    <row r="1394" spans="1:15">
      <c r="A1394" s="7" t="str">
        <f>Clothing!A650</f>
        <v>Boots</v>
      </c>
      <c r="B1394" s="7" t="str">
        <f>Clothing!B650</f>
        <v>Footwear waste collection</v>
      </c>
      <c r="C1394" s="7" t="str">
        <f>Clothing!C650</f>
        <v>any</v>
      </c>
      <c r="D1394" s="7" t="str">
        <f>Clothing!D650</f>
        <v>any</v>
      </c>
      <c r="E1394" s="7">
        <f>Clothing!E650</f>
        <v>0.25</v>
      </c>
      <c r="F1394" s="7">
        <f>Clothing!F650</f>
        <v>2</v>
      </c>
      <c r="G1394" s="7" t="str">
        <f>Clothing!G650</f>
        <v>(de Waart et al., 2023)</v>
      </c>
      <c r="H1394" s="7">
        <f>Clothing!H650</f>
        <v>2</v>
      </c>
      <c r="I1394" s="7">
        <f>Clothing!I650</f>
        <v>2</v>
      </c>
      <c r="J1394" s="7">
        <f>Clothing!J650</f>
        <v>2</v>
      </c>
      <c r="K1394" s="7">
        <f>Clothing!K650</f>
        <v>3</v>
      </c>
      <c r="L1394" s="7">
        <f>Clothing!L650</f>
        <v>2</v>
      </c>
      <c r="M1394" s="7">
        <f>Clothing!M650</f>
        <v>2</v>
      </c>
      <c r="N1394" s="185"/>
      <c r="O1394" s="159"/>
    </row>
    <row r="1395" spans="1:15">
      <c r="A1395" s="7" t="str">
        <f>Clothing!A651</f>
        <v>Boots</v>
      </c>
      <c r="B1395" s="7" t="str">
        <f>Clothing!B651</f>
        <v>Mixed waste collection</v>
      </c>
      <c r="C1395" s="7" t="str">
        <f>Clothing!C651</f>
        <v>any</v>
      </c>
      <c r="D1395" s="7" t="str">
        <f>Clothing!D651</f>
        <v>any</v>
      </c>
      <c r="E1395" s="7" t="str">
        <f>Clothing!E651</f>
        <v>rest</v>
      </c>
      <c r="F1395" s="7">
        <f>Clothing!F651</f>
        <v>1</v>
      </c>
      <c r="G1395" s="7">
        <f>Clothing!G651</f>
        <v>0</v>
      </c>
      <c r="H1395" s="7">
        <f>Clothing!H651</f>
        <v>0</v>
      </c>
      <c r="I1395" s="7">
        <f>Clothing!I651</f>
        <v>0</v>
      </c>
      <c r="J1395" s="7">
        <f>Clothing!J651</f>
        <v>0</v>
      </c>
      <c r="K1395" s="7">
        <f>Clothing!K651</f>
        <v>0</v>
      </c>
      <c r="L1395" s="7">
        <f>Clothing!L651</f>
        <v>0</v>
      </c>
      <c r="M1395" s="7">
        <f>Clothing!M651</f>
        <v>0</v>
      </c>
      <c r="N1395" s="185">
        <f t="shared" ref="N1395" si="129">IF( OR( ISBLANK(H1395),ISBLANK(J1395), ISBLANK(K1395), ISBLANK(L1395), ISBLANK(M1395) ), "", 1.5*SQRT(   EXP(2.21*(H1395-1)) + EXP(2.21*(J1395-1)) + EXP(2.21*(K1395-1)) + EXP(2.21*(L1395-1)) + EXP(2.21*M1395)   )/100*2.45 )</f>
        <v>4.4081660908397297E-2</v>
      </c>
      <c r="O1395" s="159">
        <f t="shared" ref="O1395" si="130">IF( OR( ISBLANK(I1395),ISBLANK(J1395), ISBLANK(K1395), ISBLANK(L1395), ISBLANK(M1395) ), "", 1.5*SQRT( EXP(2.21*(I1395-1)) + EXP(2.21*(J1395-1)) + EXP(2.21*(K1395-1)) + EXP(2.21*(L1395-1)) + EXP(2.21*M1395)   )/100*2.45 )</f>
        <v>4.4081660908397297E-2</v>
      </c>
    </row>
    <row r="1396" spans="1:15">
      <c r="A1396" s="7" t="str">
        <f>Clothing!A652</f>
        <v>Boots</v>
      </c>
      <c r="B1396" s="7" t="str">
        <f>Clothing!B652</f>
        <v>Dumping</v>
      </c>
      <c r="C1396" s="7" t="str">
        <f>Clothing!C652</f>
        <v>any</v>
      </c>
      <c r="D1396" s="7" t="str">
        <f>Clothing!D652</f>
        <v>any</v>
      </c>
      <c r="E1396" s="7">
        <f>Clothing!E652</f>
        <v>2.6918324999999996E-4</v>
      </c>
      <c r="F1396" s="7">
        <f>Clothing!F652</f>
        <v>2</v>
      </c>
      <c r="G1396" s="7" t="str">
        <f>Clothing!G652</f>
        <v>Kawecki &amp; Nowack (2019)</v>
      </c>
      <c r="H1396" s="7">
        <f>Clothing!H652</f>
        <v>2</v>
      </c>
      <c r="I1396" s="7">
        <f>Clothing!I652</f>
        <v>2</v>
      </c>
      <c r="J1396" s="7">
        <f>Clothing!J652</f>
        <v>2</v>
      </c>
      <c r="K1396" s="7">
        <f>Clothing!K652</f>
        <v>3</v>
      </c>
      <c r="L1396" s="7">
        <f>Clothing!L652</f>
        <v>3</v>
      </c>
      <c r="M1396" s="7">
        <f>Clothing!M652</f>
        <v>3</v>
      </c>
      <c r="N1396" s="185"/>
      <c r="O1396" s="159"/>
    </row>
    <row r="1397" spans="1:15">
      <c r="A1397" s="7" t="str">
        <f>Clothing!A653</f>
        <v>Boots</v>
      </c>
      <c r="B1397" s="7" t="str">
        <f>Clothing!B653</f>
        <v>Footwear wearing (soles)</v>
      </c>
      <c r="C1397" s="7" t="str">
        <f>Clothing!C653</f>
        <v>any</v>
      </c>
      <c r="D1397" s="7" t="str">
        <f>Clothing!D653</f>
        <v>RUBBER</v>
      </c>
      <c r="E1397" s="7">
        <f>Clothing!E653</f>
        <v>5.7712387375211246E-3</v>
      </c>
      <c r="F1397" s="7">
        <f>Clothing!F653</f>
        <v>3</v>
      </c>
      <c r="G1397" s="7" t="str">
        <f>Clothing!G653</f>
        <v>See shoesole wear calculation in clothing tab of MainInputFile</v>
      </c>
      <c r="H1397" s="7">
        <f>Clothing!H653</f>
        <v>1</v>
      </c>
      <c r="I1397" s="7">
        <f>Clothing!I653</f>
        <v>2</v>
      </c>
      <c r="J1397" s="7">
        <f>Clothing!J653</f>
        <v>2</v>
      </c>
      <c r="K1397" s="7">
        <f>Clothing!K653</f>
        <v>2</v>
      </c>
      <c r="L1397" s="7">
        <f>Clothing!L653</f>
        <v>2</v>
      </c>
      <c r="M1397" s="7">
        <f>Clothing!M653</f>
        <v>3</v>
      </c>
      <c r="N1397" s="959">
        <f t="shared" ref="N1397" si="131">IF( OR( ISBLANK(H1397),ISBLANK(J1397), ISBLANK(K1397), ISBLANK(L1397), ISBLANK(M1397) ), "", 1.5*SQRT(   EXP(2.21*(H1397-1)) + EXP(2.21*(J1397-1)) + EXP(2.21*(K1397-1)) + EXP(2.21*(L1397-1)) + EXP(2.21*M1397)   )/100*2.45 )</f>
        <v>1.0301997916669636</v>
      </c>
      <c r="O1397" s="159">
        <f t="shared" ref="O1397" si="132">IF( OR( ISBLANK(I1397),ISBLANK(J1397), ISBLANK(K1397), ISBLANK(L1397), ISBLANK(M1397) ), "", 1.5*SQRT( EXP(2.21*(I1397-1)) + EXP(2.21*(J1397-1)) + EXP(2.21*(K1397-1)) + EXP(2.21*(L1397-1)) + EXP(2.21*M1397)   )/100*2.45 )</f>
        <v>1.0355058633207881</v>
      </c>
    </row>
    <row r="1398" spans="1:15">
      <c r="A1398" s="7" t="str">
        <f>Clothing!A654</f>
        <v>Boots</v>
      </c>
      <c r="B1398" s="7" t="str">
        <f>Clothing!B654</f>
        <v>Footwear wearing (soles)</v>
      </c>
      <c r="C1398" s="7" t="str">
        <f>Clothing!C654</f>
        <v>any</v>
      </c>
      <c r="D1398" s="7" t="str">
        <f>Clothing!D654</f>
        <v>RUBBER</v>
      </c>
      <c r="E1398" s="7">
        <f>Clothing!E654</f>
        <v>1.1542477475042249E-2</v>
      </c>
      <c r="F1398" s="7">
        <f>Clothing!F654</f>
        <v>3</v>
      </c>
      <c r="G1398" s="7" t="str">
        <f>Clothing!G654</f>
        <v>See shoesole wear calculation in clothing tab of MainInputFile</v>
      </c>
      <c r="H1398" s="7">
        <f>Clothing!H654</f>
        <v>1</v>
      </c>
      <c r="I1398" s="7">
        <f>Clothing!I654</f>
        <v>2</v>
      </c>
      <c r="J1398" s="7">
        <f>Clothing!J654</f>
        <v>2</v>
      </c>
      <c r="K1398" s="7">
        <f>Clothing!K654</f>
        <v>2</v>
      </c>
      <c r="L1398" s="7">
        <f>Clothing!L654</f>
        <v>2</v>
      </c>
      <c r="M1398" s="7">
        <f>Clothing!M654</f>
        <v>3</v>
      </c>
      <c r="N1398" s="1034"/>
      <c r="O1398" s="813"/>
    </row>
    <row r="1399" spans="1:15">
      <c r="A1399" s="7" t="str">
        <f>Clothing!A655</f>
        <v>Boots</v>
      </c>
      <c r="B1399" s="7" t="str">
        <f>Clothing!B655</f>
        <v>Footwear wearing (soles)</v>
      </c>
      <c r="C1399" s="7" t="str">
        <f>Clothing!C655</f>
        <v>any</v>
      </c>
      <c r="D1399" s="7" t="str">
        <f>Clothing!D655</f>
        <v>PUR</v>
      </c>
      <c r="E1399" s="7">
        <f>Clothing!E655</f>
        <v>2.5413504031689942E-3</v>
      </c>
      <c r="F1399" s="7">
        <f>Clothing!F655</f>
        <v>3</v>
      </c>
      <c r="G1399" s="7" t="str">
        <f>Clothing!G655</f>
        <v>See shoesole wear calculation in clothing tab of MainInputFile</v>
      </c>
      <c r="H1399" s="7">
        <f>Clothing!H655</f>
        <v>1</v>
      </c>
      <c r="I1399" s="7">
        <f>Clothing!I655</f>
        <v>2</v>
      </c>
      <c r="J1399" s="7">
        <f>Clothing!J655</f>
        <v>2</v>
      </c>
      <c r="K1399" s="7">
        <f>Clothing!K655</f>
        <v>2</v>
      </c>
      <c r="L1399" s="7">
        <f>Clothing!L655</f>
        <v>2</v>
      </c>
      <c r="M1399" s="7">
        <f>Clothing!M655</f>
        <v>3</v>
      </c>
      <c r="N1399" s="1067">
        <f t="shared" ref="N1399:N1401" si="133">IF( OR( ISBLANK(H1399),ISBLANK(J1399), ISBLANK(K1399), ISBLANK(L1399), ISBLANK(M1399) ), "", 1.5*SQRT(   EXP(2.21*(H1399-1)) + EXP(2.21*(J1399-1)) + EXP(2.21*(K1399-1)) + EXP(2.21*(L1399-1)) + EXP(2.21*M1399)   )/100*2.45 )</f>
        <v>1.0301997916669636</v>
      </c>
      <c r="O1399" s="1067">
        <f t="shared" ref="O1399:O1401" si="134">IF( OR( ISBLANK(I1399),ISBLANK(J1399), ISBLANK(K1399), ISBLANK(L1399), ISBLANK(M1399) ), "", 1.5*SQRT( EXP(2.21*(I1399-1)) + EXP(2.21*(J1399-1)) + EXP(2.21*(K1399-1)) + EXP(2.21*(L1399-1)) + EXP(2.21*M1399)   )/100*2.45 )</f>
        <v>1.0355058633207881</v>
      </c>
    </row>
    <row r="1400" spans="1:15">
      <c r="A1400" s="7" t="str">
        <f>Clothing!A656</f>
        <v>Boots</v>
      </c>
      <c r="B1400" s="7" t="str">
        <f>Clothing!B656</f>
        <v>Footwear wearing (soles)</v>
      </c>
      <c r="C1400" s="7" t="str">
        <f>Clothing!C656</f>
        <v>any</v>
      </c>
      <c r="D1400" s="7" t="str">
        <f>Clothing!D656</f>
        <v>PUR</v>
      </c>
      <c r="E1400" s="7">
        <f>Clothing!E656</f>
        <v>5.0827008063379885E-3</v>
      </c>
      <c r="F1400" s="7">
        <f>Clothing!F656</f>
        <v>3</v>
      </c>
      <c r="G1400" s="7" t="str">
        <f>Clothing!G656</f>
        <v>See shoesole wear calculation in clothing tab of MainInputFile</v>
      </c>
      <c r="H1400" s="7">
        <f>Clothing!H656</f>
        <v>1</v>
      </c>
      <c r="I1400" s="7">
        <f>Clothing!I656</f>
        <v>2</v>
      </c>
      <c r="J1400" s="7">
        <f>Clothing!J656</f>
        <v>2</v>
      </c>
      <c r="K1400" s="7">
        <f>Clothing!K656</f>
        <v>2</v>
      </c>
      <c r="L1400" s="7">
        <f>Clothing!L656</f>
        <v>2</v>
      </c>
      <c r="M1400" s="7">
        <f>Clothing!M656</f>
        <v>3</v>
      </c>
      <c r="N1400" s="185">
        <f t="shared" si="133"/>
        <v>1.0301997916669636</v>
      </c>
      <c r="O1400" s="159">
        <f t="shared" si="134"/>
        <v>1.0355058633207881</v>
      </c>
    </row>
    <row r="1401" spans="1:15">
      <c r="A1401" s="7" t="str">
        <f>Clothing!A657</f>
        <v>Boots</v>
      </c>
      <c r="B1401" s="7" t="str">
        <f>Clothing!B657</f>
        <v>Footwear wearing (soles)</v>
      </c>
      <c r="C1401" s="7" t="str">
        <f>Clothing!C657</f>
        <v>any</v>
      </c>
      <c r="D1401" s="7" t="str">
        <f>Clothing!D657</f>
        <v>OTHER</v>
      </c>
      <c r="E1401" s="7">
        <f>Clothing!E657</f>
        <v>2.6370870403593857E-3</v>
      </c>
      <c r="F1401" s="7">
        <f>Clothing!F657</f>
        <v>3</v>
      </c>
      <c r="G1401" s="7" t="str">
        <f>Clothing!G657</f>
        <v>See shoesole wear calculation in clothing tab of MainInputFile</v>
      </c>
      <c r="H1401" s="7">
        <f>Clothing!H657</f>
        <v>1</v>
      </c>
      <c r="I1401" s="7">
        <f>Clothing!I657</f>
        <v>2</v>
      </c>
      <c r="J1401" s="7">
        <f>Clothing!J657</f>
        <v>2</v>
      </c>
      <c r="K1401" s="7">
        <f>Clothing!K657</f>
        <v>2</v>
      </c>
      <c r="L1401" s="7">
        <f>Clothing!L657</f>
        <v>2</v>
      </c>
      <c r="M1401" s="7">
        <f>Clothing!M657</f>
        <v>3</v>
      </c>
      <c r="N1401" s="185">
        <f t="shared" si="133"/>
        <v>1.0301997916669636</v>
      </c>
      <c r="O1401" s="159">
        <f t="shared" si="134"/>
        <v>1.0355058633207881</v>
      </c>
    </row>
    <row r="1402" spans="1:15">
      <c r="A1402" s="7" t="str">
        <f>Clothing!A658</f>
        <v>Boots</v>
      </c>
      <c r="B1402" s="7" t="str">
        <f>Clothing!B658</f>
        <v>Footwear wearing (soles)</v>
      </c>
      <c r="C1402" s="7" t="str">
        <f>Clothing!C658</f>
        <v>any</v>
      </c>
      <c r="D1402" s="7" t="str">
        <f>Clothing!D658</f>
        <v>OTHER</v>
      </c>
      <c r="E1402" s="7">
        <f>Clothing!E658</f>
        <v>5.2741740807187715E-3</v>
      </c>
      <c r="F1402" s="7">
        <f>Clothing!F658</f>
        <v>3</v>
      </c>
      <c r="G1402" s="7" t="str">
        <f>Clothing!G658</f>
        <v>See shoesole wear calculation in clothing tab of MainInputFile</v>
      </c>
      <c r="H1402" s="7">
        <f>Clothing!H658</f>
        <v>1</v>
      </c>
      <c r="I1402" s="7">
        <f>Clothing!I658</f>
        <v>2</v>
      </c>
      <c r="J1402" s="7">
        <f>Clothing!J658</f>
        <v>2</v>
      </c>
      <c r="K1402" s="7">
        <f>Clothing!K658</f>
        <v>2</v>
      </c>
      <c r="L1402" s="7">
        <f>Clothing!L658</f>
        <v>2</v>
      </c>
      <c r="M1402" s="7">
        <f>Clothing!M658</f>
        <v>3</v>
      </c>
      <c r="N1402" s="185"/>
      <c r="O1402" s="159"/>
    </row>
    <row r="1403" spans="1:15">
      <c r="A1403" s="7" t="str">
        <f>Clothing!A659</f>
        <v>Boots</v>
      </c>
      <c r="B1403" s="7" t="str">
        <f>Clothing!B659</f>
        <v>Footwear wearing (soles)</v>
      </c>
      <c r="C1403" s="7" t="str">
        <f>Clothing!C659</f>
        <v>any</v>
      </c>
      <c r="D1403" s="7" t="str">
        <f>Clothing!D659</f>
        <v>PVC</v>
      </c>
      <c r="E1403" s="7">
        <f>Clothing!E659</f>
        <v>3.2506855134566658E-3</v>
      </c>
      <c r="F1403" s="7">
        <f>Clothing!F659</f>
        <v>3</v>
      </c>
      <c r="G1403" s="7" t="str">
        <f>Clothing!G659</f>
        <v>See shoesole wear calculation in clothing tab of MainInputFile</v>
      </c>
      <c r="H1403" s="7">
        <f>Clothing!H659</f>
        <v>1</v>
      </c>
      <c r="I1403" s="7">
        <f>Clothing!I659</f>
        <v>2</v>
      </c>
      <c r="J1403" s="7">
        <f>Clothing!J659</f>
        <v>2</v>
      </c>
      <c r="K1403" s="7">
        <f>Clothing!K659</f>
        <v>2</v>
      </c>
      <c r="L1403" s="7">
        <f>Clothing!L659</f>
        <v>2</v>
      </c>
      <c r="M1403" s="7">
        <f>Clothing!M659</f>
        <v>3</v>
      </c>
      <c r="N1403" s="185"/>
      <c r="O1403" s="159"/>
    </row>
    <row r="1404" spans="1:15">
      <c r="A1404" s="7" t="str">
        <f>Clothing!A660</f>
        <v>Boots</v>
      </c>
      <c r="B1404" s="7" t="str">
        <f>Clothing!B660</f>
        <v>Footwear wearing (soles)</v>
      </c>
      <c r="C1404" s="7" t="str">
        <f>Clothing!C660</f>
        <v>any</v>
      </c>
      <c r="D1404" s="7" t="str">
        <f>Clothing!D660</f>
        <v>PVC</v>
      </c>
      <c r="E1404" s="7">
        <f>Clothing!E660</f>
        <v>6.5013710269133315E-3</v>
      </c>
      <c r="F1404" s="7">
        <f>Clothing!F660</f>
        <v>3</v>
      </c>
      <c r="G1404" s="7" t="str">
        <f>Clothing!G660</f>
        <v>See shoesole wear calculation in clothing tab of MainInputFile</v>
      </c>
      <c r="H1404" s="7">
        <f>Clothing!H660</f>
        <v>1</v>
      </c>
      <c r="I1404" s="7">
        <f>Clothing!I660</f>
        <v>2</v>
      </c>
      <c r="J1404" s="7">
        <f>Clothing!J660</f>
        <v>2</v>
      </c>
      <c r="K1404" s="7">
        <f>Clothing!K660</f>
        <v>2</v>
      </c>
      <c r="L1404" s="7">
        <f>Clothing!L660</f>
        <v>2</v>
      </c>
      <c r="M1404" s="7">
        <f>Clothing!M660</f>
        <v>3</v>
      </c>
      <c r="N1404" s="185">
        <f t="shared" ref="N1404:N1405" si="135">IF( OR( ISBLANK(H1404),ISBLANK(J1404), ISBLANK(K1404), ISBLANK(L1404), ISBLANK(M1404) ), "", 1.5*SQRT(   EXP(2.21*(H1404-1)) + EXP(2.21*(J1404-1)) + EXP(2.21*(K1404-1)) + EXP(2.21*(L1404-1)) + EXP(2.21*M1404)   )/100*2.45 )</f>
        <v>1.0301997916669636</v>
      </c>
      <c r="O1404" s="159">
        <f t="shared" ref="O1404:O1406" si="136">IF( OR( ISBLANK(I1404),ISBLANK(J1404), ISBLANK(K1404), ISBLANK(L1404), ISBLANK(M1404) ), "", 1.5*SQRT( EXP(2.21*(I1404-1)) + EXP(2.21*(J1404-1)) + EXP(2.21*(K1404-1)) + EXP(2.21*(L1404-1)) + EXP(2.21*M1404)   )/100*2.45 )</f>
        <v>1.0355058633207881</v>
      </c>
    </row>
    <row r="1405" spans="1:15">
      <c r="A1405" s="7" t="str">
        <f>Clothing!A661</f>
        <v>Boots</v>
      </c>
      <c r="B1405" s="7" t="str">
        <f>Clothing!B661</f>
        <v>Footwear wearing (uppers)</v>
      </c>
      <c r="C1405" s="7" t="str">
        <f>Clothing!C661</f>
        <v>any</v>
      </c>
      <c r="D1405" s="7" t="str">
        <f>Clothing!D661</f>
        <v>PA</v>
      </c>
      <c r="E1405" s="7">
        <f>Clothing!E661</f>
        <v>3.0249999999999999E-3</v>
      </c>
      <c r="F1405" s="7">
        <f>Clothing!F661</f>
        <v>3</v>
      </c>
      <c r="G1405" s="7" t="str">
        <f>Clothing!G661</f>
        <v>Average loss during wear, Kawecki et al. 2019, SI table 17</v>
      </c>
      <c r="H1405" s="7">
        <f>Clothing!H661</f>
        <v>2</v>
      </c>
      <c r="I1405" s="7">
        <f>Clothing!I661</f>
        <v>2</v>
      </c>
      <c r="J1405" s="7">
        <f>Clothing!J661</f>
        <v>2</v>
      </c>
      <c r="K1405" s="7">
        <f>Clothing!K661</f>
        <v>2</v>
      </c>
      <c r="L1405" s="7">
        <f>Clothing!L661</f>
        <v>2</v>
      </c>
      <c r="M1405" s="7">
        <f>Clothing!M661</f>
        <v>2</v>
      </c>
      <c r="N1405" s="185">
        <f t="shared" si="135"/>
        <v>0.40183591897512122</v>
      </c>
      <c r="O1405" s="159">
        <f t="shared" si="136"/>
        <v>0.40183591897512122</v>
      </c>
    </row>
    <row r="1406" spans="1:15">
      <c r="A1406" s="7" t="str">
        <f>Clothing!A662</f>
        <v>Boots</v>
      </c>
      <c r="B1406" s="7" t="str">
        <f>Clothing!B662</f>
        <v>Footwear wearing (uppers)</v>
      </c>
      <c r="C1406" s="7" t="str">
        <f>Clothing!C662</f>
        <v>any</v>
      </c>
      <c r="D1406" s="7" t="str">
        <f>Clothing!D662</f>
        <v>PET</v>
      </c>
      <c r="E1406" s="7">
        <f>Clothing!E662</f>
        <v>3.0249999999999999E-3</v>
      </c>
      <c r="F1406" s="7">
        <f>Clothing!F662</f>
        <v>3</v>
      </c>
      <c r="G1406" s="7" t="str">
        <f>Clothing!G662</f>
        <v>Average loss during wear, Kawecki et al. 2019, SI table 17</v>
      </c>
      <c r="H1406" s="7">
        <f>Clothing!H662</f>
        <v>2</v>
      </c>
      <c r="I1406" s="7">
        <f>Clothing!I662</f>
        <v>2</v>
      </c>
      <c r="J1406" s="7">
        <f>Clothing!J662</f>
        <v>2</v>
      </c>
      <c r="K1406" s="7">
        <f>Clothing!K662</f>
        <v>2</v>
      </c>
      <c r="L1406" s="7">
        <f>Clothing!L662</f>
        <v>2</v>
      </c>
      <c r="M1406" s="7">
        <f>Clothing!M662</f>
        <v>2</v>
      </c>
      <c r="N1406" s="959"/>
      <c r="O1406" s="159">
        <f t="shared" si="136"/>
        <v>0.40183591897512122</v>
      </c>
    </row>
    <row r="1407" spans="1:15" ht="15.75" thickBot="1">
      <c r="A1407" s="7" t="str">
        <f>Clothing!A663</f>
        <v>Closed-toed shoes</v>
      </c>
      <c r="B1407" s="7" t="str">
        <f>Clothing!B663</f>
        <v>Footwear waste collection</v>
      </c>
      <c r="C1407" s="7" t="str">
        <f>Clothing!C663</f>
        <v>any</v>
      </c>
      <c r="D1407" s="7" t="str">
        <f>Clothing!D663</f>
        <v>any</v>
      </c>
      <c r="E1407" s="7">
        <f>Clothing!E663</f>
        <v>0.25</v>
      </c>
      <c r="F1407" s="7">
        <f>Clothing!F663</f>
        <v>2</v>
      </c>
      <c r="G1407" s="7" t="str">
        <f>Clothing!G663</f>
        <v>(de Waart et al., 2023)</v>
      </c>
      <c r="H1407" s="7">
        <f>Clothing!H663</f>
        <v>2</v>
      </c>
      <c r="I1407" s="7">
        <f>Clothing!I663</f>
        <v>2</v>
      </c>
      <c r="J1407" s="7">
        <f>Clothing!J663</f>
        <v>2</v>
      </c>
      <c r="K1407" s="7">
        <f>Clothing!K663</f>
        <v>3</v>
      </c>
      <c r="L1407" s="7">
        <f>Clothing!L663</f>
        <v>2</v>
      </c>
      <c r="M1407" s="7">
        <f>Clothing!M663</f>
        <v>2</v>
      </c>
      <c r="N1407" s="1068"/>
      <c r="O1407" s="160"/>
    </row>
    <row r="1408" spans="1:15">
      <c r="A1408" s="7" t="str">
        <f>Clothing!A664</f>
        <v>Closed-toed shoes</v>
      </c>
      <c r="B1408" s="7" t="str">
        <f>Clothing!B664</f>
        <v>Mixed waste collection</v>
      </c>
      <c r="C1408" s="7" t="str">
        <f>Clothing!C664</f>
        <v>any</v>
      </c>
      <c r="D1408" s="7" t="str">
        <f>Clothing!D664</f>
        <v>any</v>
      </c>
      <c r="E1408" s="7" t="str">
        <f>Clothing!E664</f>
        <v>rest</v>
      </c>
      <c r="F1408" s="7">
        <f>Clothing!F664</f>
        <v>1</v>
      </c>
      <c r="N1408" s="185"/>
      <c r="O1408" s="159"/>
    </row>
    <row r="1409" spans="1:15">
      <c r="A1409" s="7" t="str">
        <f>Clothing!A665</f>
        <v>Closed-toed shoes</v>
      </c>
      <c r="B1409" s="7" t="str">
        <f>Clothing!B665</f>
        <v>Dumping</v>
      </c>
      <c r="C1409" s="7" t="str">
        <f>Clothing!C665</f>
        <v>any</v>
      </c>
      <c r="D1409" s="7" t="str">
        <f>Clothing!D665</f>
        <v>any</v>
      </c>
      <c r="E1409" s="7">
        <f>Clothing!E665</f>
        <v>2.6918324999999996E-4</v>
      </c>
      <c r="F1409" s="7">
        <f>Clothing!F665</f>
        <v>2</v>
      </c>
      <c r="G1409" s="7" t="str">
        <f>Clothing!G665</f>
        <v>Kawecki &amp; Nowack (2019)</v>
      </c>
      <c r="H1409" s="7">
        <f>Clothing!H665</f>
        <v>2</v>
      </c>
      <c r="I1409" s="7">
        <f>Clothing!I665</f>
        <v>2</v>
      </c>
      <c r="J1409" s="7">
        <f>Clothing!J665</f>
        <v>2</v>
      </c>
      <c r="K1409" s="7">
        <f>Clothing!K665</f>
        <v>3</v>
      </c>
      <c r="L1409" s="7">
        <f>Clothing!L665</f>
        <v>3</v>
      </c>
      <c r="M1409" s="7">
        <f>Clothing!M665</f>
        <v>3</v>
      </c>
      <c r="N1409" s="185">
        <f t="shared" ref="N1409" si="137">IF( OR( ISBLANK(H1409),ISBLANK(J1409), ISBLANK(K1409), ISBLANK(L1409), ISBLANK(M1409) ), "", 1.5*SQRT(   EXP(2.21*(H1409-1)) + EXP(2.21*(J1409-1)) + EXP(2.21*(K1409-1)) + EXP(2.21*(L1409-1)) + EXP(2.21*M1409)   )/100*2.45 )</f>
        <v>1.1278755061256258</v>
      </c>
      <c r="O1409" s="159">
        <f t="shared" ref="O1409" si="138">IF( OR( ISBLANK(I1409),ISBLANK(J1409), ISBLANK(K1409), ISBLANK(L1409), ISBLANK(M1409) ), "", 1.5*SQRT( EXP(2.21*(I1409-1)) + EXP(2.21*(J1409-1)) + EXP(2.21*(K1409-1)) + EXP(2.21*(L1409-1)) + EXP(2.21*M1409)   )/100*2.45 )</f>
        <v>1.1278755061256258</v>
      </c>
    </row>
    <row r="1410" spans="1:15">
      <c r="A1410" s="7" t="str">
        <f>Clothing!A666</f>
        <v>Closed-toed shoes</v>
      </c>
      <c r="B1410" s="7" t="str">
        <f>Clothing!B666</f>
        <v>Footwear wearing (soles)</v>
      </c>
      <c r="C1410" s="7" t="str">
        <f>Clothing!C666</f>
        <v>any</v>
      </c>
      <c r="D1410" s="7" t="str">
        <f>Clothing!D666</f>
        <v>RUBBER</v>
      </c>
      <c r="E1410" s="7">
        <f>Clothing!E666</f>
        <v>5.7712387375211246E-3</v>
      </c>
      <c r="F1410" s="7">
        <f>Clothing!F666</f>
        <v>3</v>
      </c>
      <c r="G1410" s="7" t="str">
        <f>Clothing!G666</f>
        <v>See shoesole wear calculation in clothing tab of MainInputFile</v>
      </c>
      <c r="H1410" s="7">
        <f>Clothing!H666</f>
        <v>1</v>
      </c>
      <c r="I1410" s="7">
        <f>Clothing!I666</f>
        <v>2</v>
      </c>
      <c r="J1410" s="7">
        <f>Clothing!J666</f>
        <v>2</v>
      </c>
      <c r="K1410" s="7">
        <f>Clothing!K666</f>
        <v>2</v>
      </c>
      <c r="L1410" s="7">
        <f>Clothing!L666</f>
        <v>2</v>
      </c>
      <c r="M1410" s="7">
        <f>Clothing!M666</f>
        <v>3</v>
      </c>
      <c r="N1410" s="185"/>
      <c r="O1410" s="159"/>
    </row>
    <row r="1411" spans="1:15">
      <c r="A1411" s="7" t="str">
        <f>Clothing!A667</f>
        <v>Closed-toed shoes</v>
      </c>
      <c r="B1411" s="7" t="str">
        <f>Clothing!B667</f>
        <v>Footwear wearing (soles)</v>
      </c>
      <c r="C1411" s="7" t="str">
        <f>Clothing!C667</f>
        <v>any</v>
      </c>
      <c r="D1411" s="7" t="str">
        <f>Clothing!D667</f>
        <v>RUBBER</v>
      </c>
      <c r="E1411" s="7">
        <f>Clothing!E667</f>
        <v>1.1542477475042249E-2</v>
      </c>
      <c r="F1411" s="7">
        <f>Clothing!F667</f>
        <v>3</v>
      </c>
      <c r="G1411" s="7" t="str">
        <f>Clothing!G667</f>
        <v>See shoesole wear calculation in clothing tab of MainInputFile</v>
      </c>
      <c r="H1411" s="7">
        <f>Clothing!H667</f>
        <v>1</v>
      </c>
      <c r="I1411" s="7">
        <f>Clothing!I667</f>
        <v>2</v>
      </c>
      <c r="J1411" s="7">
        <f>Clothing!J667</f>
        <v>2</v>
      </c>
      <c r="K1411" s="7">
        <f>Clothing!K667</f>
        <v>2</v>
      </c>
      <c r="L1411" s="7">
        <f>Clothing!L667</f>
        <v>2</v>
      </c>
      <c r="M1411" s="7">
        <f>Clothing!M667</f>
        <v>3</v>
      </c>
      <c r="N1411" s="959">
        <f t="shared" ref="N1411" si="139">IF( OR( ISBLANK(H1411),ISBLANK(J1411), ISBLANK(K1411), ISBLANK(L1411), ISBLANK(M1411) ), "", 1.5*SQRT(   EXP(2.21*(H1411-1)) + EXP(2.21*(J1411-1)) + EXP(2.21*(K1411-1)) + EXP(2.21*(L1411-1)) + EXP(2.21*M1411)   )/100*2.45 )</f>
        <v>1.0301997916669636</v>
      </c>
      <c r="O1411" s="159">
        <f t="shared" ref="O1411" si="140">IF( OR( ISBLANK(I1411),ISBLANK(J1411), ISBLANK(K1411), ISBLANK(L1411), ISBLANK(M1411) ), "", 1.5*SQRT( EXP(2.21*(I1411-1)) + EXP(2.21*(J1411-1)) + EXP(2.21*(K1411-1)) + EXP(2.21*(L1411-1)) + EXP(2.21*M1411)   )/100*2.45 )</f>
        <v>1.0355058633207881</v>
      </c>
    </row>
    <row r="1412" spans="1:15">
      <c r="A1412" s="7" t="str">
        <f>Clothing!A668</f>
        <v>Closed-toed shoes</v>
      </c>
      <c r="B1412" s="7" t="str">
        <f>Clothing!B668</f>
        <v>Footwear wearing (soles)</v>
      </c>
      <c r="C1412" s="7" t="str">
        <f>Clothing!C668</f>
        <v>any</v>
      </c>
      <c r="D1412" s="7" t="str">
        <f>Clothing!D668</f>
        <v>PUR</v>
      </c>
      <c r="E1412" s="7">
        <f>Clothing!E668</f>
        <v>2.5413504031689942E-3</v>
      </c>
      <c r="F1412" s="7">
        <f>Clothing!F668</f>
        <v>3</v>
      </c>
      <c r="G1412" s="7" t="str">
        <f>Clothing!G668</f>
        <v>See shoesole wear calculation in clothing tab of MainInputFile</v>
      </c>
      <c r="H1412" s="7">
        <f>Clothing!H668</f>
        <v>1</v>
      </c>
      <c r="I1412" s="7">
        <f>Clothing!I668</f>
        <v>2</v>
      </c>
      <c r="J1412" s="7">
        <f>Clothing!J668</f>
        <v>2</v>
      </c>
      <c r="K1412" s="7">
        <f>Clothing!K668</f>
        <v>2</v>
      </c>
      <c r="L1412" s="7">
        <f>Clothing!L668</f>
        <v>2</v>
      </c>
      <c r="M1412" s="7">
        <f>Clothing!M668</f>
        <v>3</v>
      </c>
      <c r="N1412" s="1034"/>
      <c r="O1412" s="813"/>
    </row>
    <row r="1413" spans="1:15">
      <c r="A1413" s="7" t="str">
        <f>Clothing!A669</f>
        <v>Closed-toed shoes</v>
      </c>
      <c r="B1413" s="7" t="str">
        <f>Clothing!B669</f>
        <v>Footwear wearing (soles)</v>
      </c>
      <c r="C1413" s="7" t="str">
        <f>Clothing!C669</f>
        <v>any</v>
      </c>
      <c r="D1413" s="7" t="str">
        <f>Clothing!D669</f>
        <v>PUR</v>
      </c>
      <c r="E1413" s="7">
        <f>Clothing!E669</f>
        <v>5.0827008063379885E-3</v>
      </c>
      <c r="F1413" s="7">
        <f>Clothing!F669</f>
        <v>3</v>
      </c>
      <c r="G1413" s="7" t="str">
        <f>Clothing!G669</f>
        <v>See shoesole wear calculation in clothing tab of MainInputFile</v>
      </c>
      <c r="H1413" s="7">
        <f>Clothing!H669</f>
        <v>1</v>
      </c>
      <c r="I1413" s="7">
        <f>Clothing!I669</f>
        <v>2</v>
      </c>
      <c r="J1413" s="7">
        <f>Clothing!J669</f>
        <v>2</v>
      </c>
      <c r="K1413" s="7">
        <f>Clothing!K669</f>
        <v>2</v>
      </c>
      <c r="L1413" s="7">
        <f>Clothing!L669</f>
        <v>2</v>
      </c>
      <c r="M1413" s="7">
        <f>Clothing!M669</f>
        <v>3</v>
      </c>
      <c r="N1413" s="1067">
        <f t="shared" ref="N1413:N1415" si="141">IF( OR( ISBLANK(H1413),ISBLANK(J1413), ISBLANK(K1413), ISBLANK(L1413), ISBLANK(M1413) ), "", 1.5*SQRT(   EXP(2.21*(H1413-1)) + EXP(2.21*(J1413-1)) + EXP(2.21*(K1413-1)) + EXP(2.21*(L1413-1)) + EXP(2.21*M1413)   )/100*2.45 )</f>
        <v>1.0301997916669636</v>
      </c>
      <c r="O1413" s="1067">
        <f t="shared" ref="O1413:O1415" si="142">IF( OR( ISBLANK(I1413),ISBLANK(J1413), ISBLANK(K1413), ISBLANK(L1413), ISBLANK(M1413) ), "", 1.5*SQRT( EXP(2.21*(I1413-1)) + EXP(2.21*(J1413-1)) + EXP(2.21*(K1413-1)) + EXP(2.21*(L1413-1)) + EXP(2.21*M1413)   )/100*2.45 )</f>
        <v>1.0355058633207881</v>
      </c>
    </row>
    <row r="1414" spans="1:15">
      <c r="A1414" s="7" t="str">
        <f>Clothing!A670</f>
        <v>Closed-toed shoes</v>
      </c>
      <c r="B1414" s="7" t="str">
        <f>Clothing!B670</f>
        <v>Footwear wearing (soles)</v>
      </c>
      <c r="C1414" s="7" t="str">
        <f>Clothing!C670</f>
        <v>any</v>
      </c>
      <c r="D1414" s="7" t="str">
        <f>Clothing!D670</f>
        <v>OTHER</v>
      </c>
      <c r="E1414" s="7">
        <f>Clothing!E670</f>
        <v>2.6370870403593857E-3</v>
      </c>
      <c r="F1414" s="7">
        <f>Clothing!F670</f>
        <v>3</v>
      </c>
      <c r="G1414" s="7" t="str">
        <f>Clothing!G670</f>
        <v>See shoesole wear calculation in clothing tab of MainInputFile</v>
      </c>
      <c r="H1414" s="7">
        <f>Clothing!H670</f>
        <v>1</v>
      </c>
      <c r="I1414" s="7">
        <f>Clothing!I670</f>
        <v>2</v>
      </c>
      <c r="J1414" s="7">
        <f>Clothing!J670</f>
        <v>2</v>
      </c>
      <c r="K1414" s="7">
        <f>Clothing!K670</f>
        <v>2</v>
      </c>
      <c r="L1414" s="7">
        <f>Clothing!L670</f>
        <v>2</v>
      </c>
      <c r="M1414" s="7">
        <f>Clothing!M670</f>
        <v>3</v>
      </c>
      <c r="N1414" s="185">
        <f t="shared" si="141"/>
        <v>1.0301997916669636</v>
      </c>
      <c r="O1414" s="159">
        <f t="shared" si="142"/>
        <v>1.0355058633207881</v>
      </c>
    </row>
    <row r="1415" spans="1:15">
      <c r="A1415" s="7" t="str">
        <f>Clothing!A671</f>
        <v>Closed-toed shoes</v>
      </c>
      <c r="B1415" s="7" t="str">
        <f>Clothing!B671</f>
        <v>Footwear wearing (soles)</v>
      </c>
      <c r="C1415" s="7" t="str">
        <f>Clothing!C671</f>
        <v>any</v>
      </c>
      <c r="D1415" s="7" t="str">
        <f>Clothing!D671</f>
        <v>OTHER</v>
      </c>
      <c r="E1415" s="7">
        <f>Clothing!E671</f>
        <v>5.2741740807187715E-3</v>
      </c>
      <c r="F1415" s="7">
        <f>Clothing!F671</f>
        <v>3</v>
      </c>
      <c r="G1415" s="7" t="str">
        <f>Clothing!G671</f>
        <v>See shoesole wear calculation in clothing tab of MainInputFile</v>
      </c>
      <c r="H1415" s="7">
        <f>Clothing!H671</f>
        <v>1</v>
      </c>
      <c r="I1415" s="7">
        <f>Clothing!I671</f>
        <v>2</v>
      </c>
      <c r="J1415" s="7">
        <f>Clothing!J671</f>
        <v>2</v>
      </c>
      <c r="K1415" s="7">
        <f>Clothing!K671</f>
        <v>2</v>
      </c>
      <c r="L1415" s="7">
        <f>Clothing!L671</f>
        <v>2</v>
      </c>
      <c r="M1415" s="7">
        <f>Clothing!M671</f>
        <v>3</v>
      </c>
      <c r="N1415" s="185">
        <f t="shared" si="141"/>
        <v>1.0301997916669636</v>
      </c>
      <c r="O1415" s="159">
        <f t="shared" si="142"/>
        <v>1.0355058633207881</v>
      </c>
    </row>
    <row r="1416" spans="1:15">
      <c r="A1416" s="7" t="str">
        <f>Clothing!A672</f>
        <v>Closed-toed shoes</v>
      </c>
      <c r="B1416" s="7" t="str">
        <f>Clothing!B672</f>
        <v>Footwear wearing (soles)</v>
      </c>
      <c r="C1416" s="7" t="str">
        <f>Clothing!C672</f>
        <v>any</v>
      </c>
      <c r="D1416" s="7" t="str">
        <f>Clothing!D672</f>
        <v>PVC</v>
      </c>
      <c r="E1416" s="7">
        <f>Clothing!E672</f>
        <v>3.2506855134566658E-3</v>
      </c>
      <c r="F1416" s="7">
        <f>Clothing!F672</f>
        <v>3</v>
      </c>
      <c r="G1416" s="7" t="str">
        <f>Clothing!G672</f>
        <v>See shoesole wear calculation in clothing tab of MainInputFile</v>
      </c>
      <c r="H1416" s="7">
        <f>Clothing!H672</f>
        <v>1</v>
      </c>
      <c r="I1416" s="7">
        <f>Clothing!I672</f>
        <v>2</v>
      </c>
      <c r="J1416" s="7">
        <f>Clothing!J672</f>
        <v>2</v>
      </c>
      <c r="K1416" s="7">
        <f>Clothing!K672</f>
        <v>2</v>
      </c>
      <c r="L1416" s="7">
        <f>Clothing!L672</f>
        <v>2</v>
      </c>
      <c r="M1416" s="7">
        <f>Clothing!M672</f>
        <v>3</v>
      </c>
      <c r="N1416" s="185"/>
      <c r="O1416" s="159"/>
    </row>
    <row r="1417" spans="1:15">
      <c r="A1417" s="7" t="str">
        <f>Clothing!A673</f>
        <v>Closed-toed shoes</v>
      </c>
      <c r="B1417" s="7" t="str">
        <f>Clothing!B673</f>
        <v>Footwear wearing (soles)</v>
      </c>
      <c r="C1417" s="7" t="str">
        <f>Clothing!C673</f>
        <v>any</v>
      </c>
      <c r="D1417" s="7" t="str">
        <f>Clothing!D673</f>
        <v>PVC</v>
      </c>
      <c r="E1417" s="7">
        <f>Clothing!E673</f>
        <v>6.5013710269133315E-3</v>
      </c>
      <c r="F1417" s="7">
        <f>Clothing!F673</f>
        <v>3</v>
      </c>
      <c r="G1417" s="7" t="str">
        <f>Clothing!G673</f>
        <v>See shoesole wear calculation in clothing tab of MainInputFile</v>
      </c>
      <c r="H1417" s="7">
        <f>Clothing!H673</f>
        <v>1</v>
      </c>
      <c r="I1417" s="7">
        <f>Clothing!I673</f>
        <v>2</v>
      </c>
      <c r="J1417" s="7">
        <f>Clothing!J673</f>
        <v>2</v>
      </c>
      <c r="K1417" s="7">
        <f>Clothing!K673</f>
        <v>2</v>
      </c>
      <c r="L1417" s="7">
        <f>Clothing!L673</f>
        <v>2</v>
      </c>
      <c r="M1417" s="7">
        <f>Clothing!M673</f>
        <v>3</v>
      </c>
      <c r="N1417" s="185"/>
      <c r="O1417" s="159"/>
    </row>
    <row r="1418" spans="1:15">
      <c r="A1418" s="7" t="str">
        <f>Clothing!A674</f>
        <v>Closed-toed shoes</v>
      </c>
      <c r="B1418" s="7" t="str">
        <f>Clothing!B674</f>
        <v>Footwear wearing (uppers)</v>
      </c>
      <c r="C1418" s="7" t="str">
        <f>Clothing!C674</f>
        <v>any</v>
      </c>
      <c r="D1418" s="7" t="str">
        <f>Clothing!D674</f>
        <v>PA</v>
      </c>
      <c r="E1418" s="7">
        <f>Clothing!E674</f>
        <v>3.0249999999999999E-3</v>
      </c>
      <c r="F1418" s="7">
        <f>Clothing!F674</f>
        <v>3</v>
      </c>
      <c r="G1418" s="7" t="str">
        <f>Clothing!G674</f>
        <v>Average loss during wear, Kawecki et al. 2019, SI table 17</v>
      </c>
      <c r="H1418" s="7">
        <f>Clothing!H674</f>
        <v>2</v>
      </c>
      <c r="I1418" s="7">
        <f>Clothing!I674</f>
        <v>2</v>
      </c>
      <c r="J1418" s="7">
        <f>Clothing!J674</f>
        <v>2</v>
      </c>
      <c r="K1418" s="7">
        <f>Clothing!K674</f>
        <v>2</v>
      </c>
      <c r="L1418" s="7">
        <f>Clothing!L674</f>
        <v>2</v>
      </c>
      <c r="M1418" s="7">
        <f>Clothing!M674</f>
        <v>2</v>
      </c>
      <c r="N1418" s="185">
        <f t="shared" ref="N1418:N1419" si="143">IF( OR( ISBLANK(H1418),ISBLANK(J1418), ISBLANK(K1418), ISBLANK(L1418), ISBLANK(M1418) ), "", 1.5*SQRT(   EXP(2.21*(H1418-1)) + EXP(2.21*(J1418-1)) + EXP(2.21*(K1418-1)) + EXP(2.21*(L1418-1)) + EXP(2.21*M1418)   )/100*2.45 )</f>
        <v>0.40183591897512122</v>
      </c>
      <c r="O1418" s="159">
        <f t="shared" ref="O1418:O1420" si="144">IF( OR( ISBLANK(I1418),ISBLANK(J1418), ISBLANK(K1418), ISBLANK(L1418), ISBLANK(M1418) ), "", 1.5*SQRT( EXP(2.21*(I1418-1)) + EXP(2.21*(J1418-1)) + EXP(2.21*(K1418-1)) + EXP(2.21*(L1418-1)) + EXP(2.21*M1418)   )/100*2.45 )</f>
        <v>0.40183591897512122</v>
      </c>
    </row>
    <row r="1419" spans="1:15">
      <c r="A1419" s="7" t="str">
        <f>Clothing!A675</f>
        <v>Closed-toed shoes</v>
      </c>
      <c r="B1419" s="7" t="str">
        <f>Clothing!B675</f>
        <v>Footwear wearing (uppers)</v>
      </c>
      <c r="C1419" s="7" t="str">
        <f>Clothing!C675</f>
        <v>any</v>
      </c>
      <c r="D1419" s="7" t="str">
        <f>Clothing!D675</f>
        <v>PET</v>
      </c>
      <c r="E1419" s="7">
        <f>Clothing!E675</f>
        <v>3.4544305000000009E-4</v>
      </c>
      <c r="F1419" s="7">
        <f>Clothing!F675</f>
        <v>3</v>
      </c>
      <c r="G1419" s="7" t="str">
        <f>Clothing!G675</f>
        <v>Average loss during wear, Kawecki et al. 2019, SI table 17</v>
      </c>
      <c r="H1419" s="7">
        <f>Clothing!H675</f>
        <v>2</v>
      </c>
      <c r="I1419" s="7">
        <f>Clothing!I675</f>
        <v>2</v>
      </c>
      <c r="J1419" s="7">
        <f>Clothing!J675</f>
        <v>2</v>
      </c>
      <c r="K1419" s="7">
        <f>Clothing!K675</f>
        <v>2</v>
      </c>
      <c r="L1419" s="7">
        <f>Clothing!L675</f>
        <v>2</v>
      </c>
      <c r="M1419" s="7">
        <f>Clothing!M675</f>
        <v>2</v>
      </c>
      <c r="N1419" s="185">
        <f t="shared" si="143"/>
        <v>0.40183591897512122</v>
      </c>
      <c r="O1419" s="159">
        <f t="shared" si="144"/>
        <v>0.40183591897512122</v>
      </c>
    </row>
    <row r="1420" spans="1:15">
      <c r="A1420" s="7" t="str">
        <f>Clothing!A676</f>
        <v>Closed-toed shoes</v>
      </c>
      <c r="B1420" s="7" t="str">
        <f>Clothing!B676</f>
        <v>Clothing washing</v>
      </c>
      <c r="C1420" s="7" t="str">
        <f>Clothing!C676</f>
        <v>any</v>
      </c>
      <c r="D1420" s="7" t="str">
        <f>Clothing!D676</f>
        <v>any</v>
      </c>
      <c r="E1420" s="7">
        <f>Clothing!E676</f>
        <v>3.4544305000000009E-4</v>
      </c>
      <c r="F1420" s="7">
        <f>Clothing!F676</f>
        <v>2</v>
      </c>
      <c r="G1420" s="7" t="str">
        <f>Clothing!G676</f>
        <v>Computed from available data from Kawecki et al. (2019) and CBS (2022)</v>
      </c>
      <c r="H1420" s="7">
        <f>Clothing!H676</f>
        <v>2</v>
      </c>
      <c r="I1420" s="7">
        <f>Clothing!I676</f>
        <v>2</v>
      </c>
      <c r="J1420" s="7">
        <f>Clothing!J676</f>
        <v>2</v>
      </c>
      <c r="K1420" s="7">
        <f>Clothing!K676</f>
        <v>2</v>
      </c>
      <c r="L1420" s="7">
        <f>Clothing!L676</f>
        <v>2</v>
      </c>
      <c r="M1420" s="7">
        <f>Clothing!M676</f>
        <v>2</v>
      </c>
      <c r="N1420" s="959"/>
      <c r="O1420" s="159">
        <f t="shared" si="144"/>
        <v>0.40183591897512122</v>
      </c>
    </row>
    <row r="1421" spans="1:15" ht="15.75" thickBot="1">
      <c r="A1421" s="7" t="str">
        <f>Clothing!A677</f>
        <v>Open-toed shoes</v>
      </c>
      <c r="B1421" s="7" t="str">
        <f>Clothing!B677</f>
        <v>Footwear waste collection</v>
      </c>
      <c r="C1421" s="7" t="str">
        <f>Clothing!C677</f>
        <v>any</v>
      </c>
      <c r="D1421" s="7" t="str">
        <f>Clothing!D677</f>
        <v>any</v>
      </c>
      <c r="E1421" s="7">
        <f>Clothing!E677</f>
        <v>0.25</v>
      </c>
      <c r="F1421" s="7">
        <f>Clothing!F677</f>
        <v>2</v>
      </c>
      <c r="G1421" s="7" t="str">
        <f>Clothing!G677</f>
        <v>(de Waart et al., 2023)</v>
      </c>
      <c r="H1421" s="7">
        <f>Clothing!H677</f>
        <v>2</v>
      </c>
      <c r="I1421" s="7">
        <f>Clothing!I677</f>
        <v>2</v>
      </c>
      <c r="J1421" s="7">
        <f>Clothing!J677</f>
        <v>2</v>
      </c>
      <c r="K1421" s="7">
        <f>Clothing!K677</f>
        <v>3</v>
      </c>
      <c r="L1421" s="7">
        <f>Clothing!L677</f>
        <v>2</v>
      </c>
      <c r="M1421" s="7">
        <f>Clothing!M677</f>
        <v>2</v>
      </c>
      <c r="N1421" s="1068"/>
      <c r="O1421" s="160"/>
    </row>
    <row r="1422" spans="1:15">
      <c r="A1422" s="7" t="str">
        <f>Clothing!A678</f>
        <v>Open-toed shoes</v>
      </c>
      <c r="B1422" s="7" t="str">
        <f>Clothing!B678</f>
        <v>Mixed waste collection</v>
      </c>
      <c r="C1422" s="7" t="str">
        <f>Clothing!C678</f>
        <v>any</v>
      </c>
      <c r="D1422" s="7" t="str">
        <f>Clothing!D678</f>
        <v>any</v>
      </c>
      <c r="E1422" s="7" t="str">
        <f>Clothing!E678</f>
        <v>rest</v>
      </c>
      <c r="F1422" s="7">
        <f>Clothing!F678</f>
        <v>1</v>
      </c>
      <c r="N1422" s="185"/>
      <c r="O1422" s="159"/>
    </row>
    <row r="1423" spans="1:15">
      <c r="A1423" s="7" t="str">
        <f>Clothing!A679</f>
        <v>Open-toed shoes</v>
      </c>
      <c r="B1423" s="7" t="str">
        <f>Clothing!B679</f>
        <v>Dumping</v>
      </c>
      <c r="C1423" s="7" t="str">
        <f>Clothing!C679</f>
        <v>any</v>
      </c>
      <c r="D1423" s="7" t="str">
        <f>Clothing!D679</f>
        <v>any</v>
      </c>
      <c r="E1423" s="7">
        <f>Clothing!E679</f>
        <v>2.6918324999999996E-4</v>
      </c>
      <c r="F1423" s="7">
        <f>Clothing!F679</f>
        <v>2</v>
      </c>
      <c r="G1423" s="7" t="str">
        <f>Clothing!G679</f>
        <v>Kawecki &amp; Nowack (2019)</v>
      </c>
      <c r="H1423" s="7">
        <f>Clothing!H679</f>
        <v>2</v>
      </c>
      <c r="I1423" s="7">
        <f>Clothing!I679</f>
        <v>2</v>
      </c>
      <c r="J1423" s="7">
        <f>Clothing!J679</f>
        <v>2</v>
      </c>
      <c r="K1423" s="7">
        <f>Clothing!K679</f>
        <v>3</v>
      </c>
      <c r="L1423" s="7">
        <f>Clothing!L679</f>
        <v>3</v>
      </c>
      <c r="M1423" s="7">
        <f>Clothing!M679</f>
        <v>3</v>
      </c>
      <c r="N1423" s="185">
        <f t="shared" ref="N1423" si="145">IF( OR( ISBLANK(H1423),ISBLANK(J1423), ISBLANK(K1423), ISBLANK(L1423), ISBLANK(M1423) ), "", 1.5*SQRT(   EXP(2.21*(H1423-1)) + EXP(2.21*(J1423-1)) + EXP(2.21*(K1423-1)) + EXP(2.21*(L1423-1)) + EXP(2.21*M1423)   )/100*2.45 )</f>
        <v>1.1278755061256258</v>
      </c>
      <c r="O1423" s="159">
        <f t="shared" ref="O1423" si="146">IF( OR( ISBLANK(I1423),ISBLANK(J1423), ISBLANK(K1423), ISBLANK(L1423), ISBLANK(M1423) ), "", 1.5*SQRT( EXP(2.21*(I1423-1)) + EXP(2.21*(J1423-1)) + EXP(2.21*(K1423-1)) + EXP(2.21*(L1423-1)) + EXP(2.21*M1423)   )/100*2.45 )</f>
        <v>1.1278755061256258</v>
      </c>
    </row>
    <row r="1424" spans="1:15">
      <c r="A1424" s="7" t="str">
        <f>Clothing!A680</f>
        <v>Open-toed shoes</v>
      </c>
      <c r="B1424" s="7" t="str">
        <f>Clothing!B680</f>
        <v>Footwear wearing (soles)</v>
      </c>
      <c r="C1424" s="7" t="str">
        <f>Clothing!C680</f>
        <v>any</v>
      </c>
      <c r="D1424" s="7" t="str">
        <f>Clothing!D680</f>
        <v>RUBBER</v>
      </c>
      <c r="E1424" s="7">
        <f>Clothing!E680</f>
        <v>5.7712387375211246E-3</v>
      </c>
      <c r="F1424" s="7">
        <f>Clothing!F680</f>
        <v>3</v>
      </c>
      <c r="G1424" s="7" t="str">
        <f>Clothing!G680</f>
        <v>See shoesole wear calculation in clothing tab of MainInputFile</v>
      </c>
      <c r="H1424" s="7">
        <f>Clothing!H680</f>
        <v>1</v>
      </c>
      <c r="I1424" s="7">
        <f>Clothing!I680</f>
        <v>2</v>
      </c>
      <c r="J1424" s="7">
        <f>Clothing!J680</f>
        <v>2</v>
      </c>
      <c r="K1424" s="7">
        <f>Clothing!K680</f>
        <v>2</v>
      </c>
      <c r="L1424" s="7">
        <f>Clothing!L680</f>
        <v>2</v>
      </c>
      <c r="M1424" s="7">
        <f>Clothing!M680</f>
        <v>3</v>
      </c>
      <c r="N1424" s="185"/>
      <c r="O1424" s="159"/>
    </row>
    <row r="1425" spans="1:15">
      <c r="A1425" s="7" t="str">
        <f>Clothing!A681</f>
        <v>Open-toed shoes</v>
      </c>
      <c r="B1425" s="7" t="str">
        <f>Clothing!B681</f>
        <v>Footwear wearing (soles)</v>
      </c>
      <c r="C1425" s="7" t="str">
        <f>Clothing!C681</f>
        <v>any</v>
      </c>
      <c r="D1425" s="7" t="str">
        <f>Clothing!D681</f>
        <v>RUBBER</v>
      </c>
      <c r="E1425" s="7">
        <f>Clothing!E681</f>
        <v>1.1542477475042249E-2</v>
      </c>
      <c r="F1425" s="7">
        <f>Clothing!F681</f>
        <v>3</v>
      </c>
      <c r="G1425" s="7" t="str">
        <f>Clothing!G681</f>
        <v>See shoesole wear calculation in clothing tab of MainInputFile</v>
      </c>
      <c r="H1425" s="7">
        <f>Clothing!H681</f>
        <v>1</v>
      </c>
      <c r="I1425" s="7">
        <f>Clothing!I681</f>
        <v>2</v>
      </c>
      <c r="J1425" s="7">
        <f>Clothing!J681</f>
        <v>2</v>
      </c>
      <c r="K1425" s="7">
        <f>Clothing!K681</f>
        <v>2</v>
      </c>
      <c r="L1425" s="7">
        <f>Clothing!L681</f>
        <v>2</v>
      </c>
      <c r="M1425" s="7">
        <f>Clothing!M681</f>
        <v>3</v>
      </c>
      <c r="N1425" s="959">
        <f t="shared" ref="N1425" si="147">IF( OR( ISBLANK(H1425),ISBLANK(J1425), ISBLANK(K1425), ISBLANK(L1425), ISBLANK(M1425) ), "", 1.5*SQRT(   EXP(2.21*(H1425-1)) + EXP(2.21*(J1425-1)) + EXP(2.21*(K1425-1)) + EXP(2.21*(L1425-1)) + EXP(2.21*M1425)   )/100*2.45 )</f>
        <v>1.0301997916669636</v>
      </c>
      <c r="O1425" s="159">
        <f t="shared" ref="O1425" si="148">IF( OR( ISBLANK(I1425),ISBLANK(J1425), ISBLANK(K1425), ISBLANK(L1425), ISBLANK(M1425) ), "", 1.5*SQRT( EXP(2.21*(I1425-1)) + EXP(2.21*(J1425-1)) + EXP(2.21*(K1425-1)) + EXP(2.21*(L1425-1)) + EXP(2.21*M1425)   )/100*2.45 )</f>
        <v>1.0355058633207881</v>
      </c>
    </row>
    <row r="1426" spans="1:15">
      <c r="A1426" s="7" t="str">
        <f>Clothing!A682</f>
        <v>Open-toed shoes</v>
      </c>
      <c r="B1426" s="7" t="str">
        <f>Clothing!B682</f>
        <v>Footwear wearing (soles)</v>
      </c>
      <c r="C1426" s="7" t="str">
        <f>Clothing!C682</f>
        <v>any</v>
      </c>
      <c r="D1426" s="7" t="str">
        <f>Clothing!D682</f>
        <v>PUR</v>
      </c>
      <c r="E1426" s="7">
        <f>Clothing!E682</f>
        <v>2.5413504031689942E-3</v>
      </c>
      <c r="F1426" s="7">
        <f>Clothing!F682</f>
        <v>3</v>
      </c>
      <c r="G1426" s="7" t="str">
        <f>Clothing!G682</f>
        <v>See shoesole wear calculation in clothing tab of MainInputFile</v>
      </c>
      <c r="H1426" s="7">
        <f>Clothing!H682</f>
        <v>1</v>
      </c>
      <c r="I1426" s="7">
        <f>Clothing!I682</f>
        <v>2</v>
      </c>
      <c r="J1426" s="7">
        <f>Clothing!J682</f>
        <v>2</v>
      </c>
      <c r="K1426" s="7">
        <f>Clothing!K682</f>
        <v>2</v>
      </c>
      <c r="L1426" s="7">
        <f>Clothing!L682</f>
        <v>2</v>
      </c>
      <c r="M1426" s="7">
        <f>Clothing!M682</f>
        <v>3</v>
      </c>
      <c r="N1426" s="1034"/>
      <c r="O1426" s="813"/>
    </row>
    <row r="1427" spans="1:15">
      <c r="A1427" s="7" t="str">
        <f>Clothing!A683</f>
        <v>Open-toed shoes</v>
      </c>
      <c r="B1427" s="7" t="str">
        <f>Clothing!B683</f>
        <v>Footwear wearing (soles)</v>
      </c>
      <c r="C1427" s="7" t="str">
        <f>Clothing!C683</f>
        <v>any</v>
      </c>
      <c r="D1427" s="7" t="str">
        <f>Clothing!D683</f>
        <v>PUR</v>
      </c>
      <c r="E1427" s="7">
        <f>Clothing!E683</f>
        <v>5.0827008063379885E-3</v>
      </c>
      <c r="F1427" s="7">
        <f>Clothing!F683</f>
        <v>3</v>
      </c>
      <c r="G1427" s="7" t="str">
        <f>Clothing!G683</f>
        <v>See shoesole wear calculation in clothing tab of MainInputFile</v>
      </c>
      <c r="H1427" s="7">
        <f>Clothing!H683</f>
        <v>1</v>
      </c>
      <c r="I1427" s="7">
        <f>Clothing!I683</f>
        <v>2</v>
      </c>
      <c r="J1427" s="7">
        <f>Clothing!J683</f>
        <v>2</v>
      </c>
      <c r="K1427" s="7">
        <f>Clothing!K683</f>
        <v>2</v>
      </c>
      <c r="L1427" s="7">
        <f>Clothing!L683</f>
        <v>2</v>
      </c>
      <c r="M1427" s="7">
        <f>Clothing!M683</f>
        <v>3</v>
      </c>
      <c r="N1427" s="1067">
        <f t="shared" ref="N1427:N1429" si="149">IF( OR( ISBLANK(H1427),ISBLANK(J1427), ISBLANK(K1427), ISBLANK(L1427), ISBLANK(M1427) ), "", 1.5*SQRT(   EXP(2.21*(H1427-1)) + EXP(2.21*(J1427-1)) + EXP(2.21*(K1427-1)) + EXP(2.21*(L1427-1)) + EXP(2.21*M1427)   )/100*2.45 )</f>
        <v>1.0301997916669636</v>
      </c>
      <c r="O1427" s="1067">
        <f t="shared" ref="O1427:O1429" si="150">IF( OR( ISBLANK(I1427),ISBLANK(J1427), ISBLANK(K1427), ISBLANK(L1427), ISBLANK(M1427) ), "", 1.5*SQRT( EXP(2.21*(I1427-1)) + EXP(2.21*(J1427-1)) + EXP(2.21*(K1427-1)) + EXP(2.21*(L1427-1)) + EXP(2.21*M1427)   )/100*2.45 )</f>
        <v>1.0355058633207881</v>
      </c>
    </row>
    <row r="1428" spans="1:15">
      <c r="A1428" s="7" t="str">
        <f>Clothing!A684</f>
        <v>Open-toed shoes</v>
      </c>
      <c r="B1428" s="7" t="str">
        <f>Clothing!B684</f>
        <v>Footwear wearing (soles)</v>
      </c>
      <c r="C1428" s="7" t="str">
        <f>Clothing!C684</f>
        <v>any</v>
      </c>
      <c r="D1428" s="7" t="str">
        <f>Clothing!D684</f>
        <v>OTHER</v>
      </c>
      <c r="E1428" s="7">
        <f>Clothing!E684</f>
        <v>2.6370870403593857E-3</v>
      </c>
      <c r="F1428" s="7">
        <f>Clothing!F684</f>
        <v>3</v>
      </c>
      <c r="G1428" s="7" t="str">
        <f>Clothing!G684</f>
        <v>See shoesole wear calculation in clothing tab of MainInputFile</v>
      </c>
      <c r="H1428" s="7">
        <f>Clothing!H684</f>
        <v>1</v>
      </c>
      <c r="I1428" s="7">
        <f>Clothing!I684</f>
        <v>2</v>
      </c>
      <c r="J1428" s="7">
        <f>Clothing!J684</f>
        <v>2</v>
      </c>
      <c r="K1428" s="7">
        <f>Clothing!K684</f>
        <v>2</v>
      </c>
      <c r="L1428" s="7">
        <f>Clothing!L684</f>
        <v>2</v>
      </c>
      <c r="M1428" s="7">
        <f>Clothing!M684</f>
        <v>3</v>
      </c>
      <c r="N1428" s="185">
        <f t="shared" si="149"/>
        <v>1.0301997916669636</v>
      </c>
      <c r="O1428" s="159">
        <f t="shared" si="150"/>
        <v>1.0355058633207881</v>
      </c>
    </row>
    <row r="1429" spans="1:15">
      <c r="A1429" s="7" t="str">
        <f>Clothing!A685</f>
        <v>Open-toed shoes</v>
      </c>
      <c r="B1429" s="7" t="str">
        <f>Clothing!B685</f>
        <v>Footwear wearing (soles)</v>
      </c>
      <c r="C1429" s="7" t="str">
        <f>Clothing!C685</f>
        <v>any</v>
      </c>
      <c r="D1429" s="7" t="str">
        <f>Clothing!D685</f>
        <v>OTHER</v>
      </c>
      <c r="E1429" s="7">
        <f>Clothing!E685</f>
        <v>5.2741740807187715E-3</v>
      </c>
      <c r="F1429" s="7">
        <f>Clothing!F685</f>
        <v>3</v>
      </c>
      <c r="G1429" s="7" t="str">
        <f>Clothing!G685</f>
        <v>See shoesole wear calculation in clothing tab of MainInputFile</v>
      </c>
      <c r="H1429" s="7">
        <f>Clothing!H685</f>
        <v>1</v>
      </c>
      <c r="I1429" s="7">
        <f>Clothing!I685</f>
        <v>2</v>
      </c>
      <c r="J1429" s="7">
        <f>Clothing!J685</f>
        <v>2</v>
      </c>
      <c r="K1429" s="7">
        <f>Clothing!K685</f>
        <v>2</v>
      </c>
      <c r="L1429" s="7">
        <f>Clothing!L685</f>
        <v>2</v>
      </c>
      <c r="M1429" s="7">
        <f>Clothing!M685</f>
        <v>3</v>
      </c>
      <c r="N1429" s="185">
        <f t="shared" si="149"/>
        <v>1.0301997916669636</v>
      </c>
      <c r="O1429" s="159">
        <f t="shared" si="150"/>
        <v>1.0355058633207881</v>
      </c>
    </row>
    <row r="1430" spans="1:15">
      <c r="A1430" s="7" t="str">
        <f>Clothing!A686</f>
        <v>Open-toed shoes</v>
      </c>
      <c r="B1430" s="7" t="str">
        <f>Clothing!B686</f>
        <v>Footwear wearing (soles)</v>
      </c>
      <c r="C1430" s="7" t="str">
        <f>Clothing!C686</f>
        <v>any</v>
      </c>
      <c r="D1430" s="7" t="str">
        <f>Clothing!D686</f>
        <v>PVC</v>
      </c>
      <c r="E1430" s="7">
        <f>Clothing!E686</f>
        <v>3.2506855134566658E-3</v>
      </c>
      <c r="F1430" s="7">
        <f>Clothing!F686</f>
        <v>3</v>
      </c>
      <c r="G1430" s="7" t="str">
        <f>Clothing!G686</f>
        <v>See shoesole wear calculation in clothing tab of MainInputFile</v>
      </c>
      <c r="H1430" s="7">
        <f>Clothing!H686</f>
        <v>1</v>
      </c>
      <c r="I1430" s="7">
        <f>Clothing!I686</f>
        <v>2</v>
      </c>
      <c r="J1430" s="7">
        <f>Clothing!J686</f>
        <v>2</v>
      </c>
      <c r="K1430" s="7">
        <f>Clothing!K686</f>
        <v>2</v>
      </c>
      <c r="L1430" s="7">
        <f>Clothing!L686</f>
        <v>2</v>
      </c>
      <c r="M1430" s="7">
        <f>Clothing!M686</f>
        <v>3</v>
      </c>
      <c r="N1430" s="185"/>
      <c r="O1430" s="159"/>
    </row>
    <row r="1431" spans="1:15">
      <c r="A1431" s="7" t="str">
        <f>Clothing!A687</f>
        <v>Open-toed shoes</v>
      </c>
      <c r="B1431" s="7" t="str">
        <f>Clothing!B687</f>
        <v>Footwear wearing (soles)</v>
      </c>
      <c r="C1431" s="7" t="str">
        <f>Clothing!C687</f>
        <v>any</v>
      </c>
      <c r="D1431" s="7" t="str">
        <f>Clothing!D687</f>
        <v>PVC</v>
      </c>
      <c r="E1431" s="7">
        <f>Clothing!E687</f>
        <v>6.5013710269133315E-3</v>
      </c>
      <c r="F1431" s="7">
        <f>Clothing!F687</f>
        <v>3</v>
      </c>
      <c r="G1431" s="7" t="str">
        <f>Clothing!G687</f>
        <v>See shoesole wear calculation in clothing tab of MainInputFile</v>
      </c>
      <c r="H1431" s="7">
        <f>Clothing!H687</f>
        <v>1</v>
      </c>
      <c r="I1431" s="7">
        <f>Clothing!I687</f>
        <v>2</v>
      </c>
      <c r="J1431" s="7">
        <f>Clothing!J687</f>
        <v>2</v>
      </c>
      <c r="K1431" s="7">
        <f>Clothing!K687</f>
        <v>2</v>
      </c>
      <c r="L1431" s="7">
        <f>Clothing!L687</f>
        <v>2</v>
      </c>
      <c r="M1431" s="7">
        <f>Clothing!M687</f>
        <v>3</v>
      </c>
      <c r="N1431" s="185"/>
      <c r="O1431" s="159"/>
    </row>
    <row r="1432" spans="1:15">
      <c r="A1432" s="7" t="str">
        <f>Clothing!A688</f>
        <v>Open-toed shoes</v>
      </c>
      <c r="B1432" s="7" t="str">
        <f>Clothing!B688</f>
        <v>Footwear wearing (uppers)</v>
      </c>
      <c r="C1432" s="7" t="str">
        <f>Clothing!C688</f>
        <v>any</v>
      </c>
      <c r="D1432" s="7" t="str">
        <f>Clothing!D688</f>
        <v>PA</v>
      </c>
      <c r="E1432" s="7">
        <f>Clothing!E688</f>
        <v>3.0249999999999999E-3</v>
      </c>
      <c r="F1432" s="7">
        <f>Clothing!F688</f>
        <v>3</v>
      </c>
      <c r="G1432" s="7" t="str">
        <f>Clothing!G688</f>
        <v>Average loss during wear, Kawecki et al. 2019, SI table 17</v>
      </c>
      <c r="H1432" s="7">
        <f>Clothing!H688</f>
        <v>2</v>
      </c>
      <c r="I1432" s="7">
        <f>Clothing!I688</f>
        <v>2</v>
      </c>
      <c r="J1432" s="7">
        <f>Clothing!J688</f>
        <v>2</v>
      </c>
      <c r="K1432" s="7">
        <f>Clothing!K688</f>
        <v>2</v>
      </c>
      <c r="L1432" s="7">
        <f>Clothing!L688</f>
        <v>2</v>
      </c>
      <c r="M1432" s="7">
        <f>Clothing!M688</f>
        <v>2</v>
      </c>
      <c r="N1432" s="185">
        <f t="shared" ref="N1432:N1433" si="151">IF( OR( ISBLANK(H1432),ISBLANK(J1432), ISBLANK(K1432), ISBLANK(L1432), ISBLANK(M1432) ), "", 1.5*SQRT(   EXP(2.21*(H1432-1)) + EXP(2.21*(J1432-1)) + EXP(2.21*(K1432-1)) + EXP(2.21*(L1432-1)) + EXP(2.21*M1432)   )/100*2.45 )</f>
        <v>0.40183591897512122</v>
      </c>
      <c r="O1432" s="159">
        <f t="shared" ref="O1432:O1433" si="152">IF( OR( ISBLANK(I1432),ISBLANK(J1432), ISBLANK(K1432), ISBLANK(L1432), ISBLANK(M1432) ), "", 1.5*SQRT( EXP(2.21*(I1432-1)) + EXP(2.21*(J1432-1)) + EXP(2.21*(K1432-1)) + EXP(2.21*(L1432-1)) + EXP(2.21*M1432)   )/100*2.45 )</f>
        <v>0.40183591897512122</v>
      </c>
    </row>
    <row r="1433" spans="1:15" ht="15.75" thickBot="1">
      <c r="A1433" s="1065" t="str">
        <f>Clothing!A689</f>
        <v>Open-toed shoes</v>
      </c>
      <c r="B1433" s="1065" t="str">
        <f>Clothing!B689</f>
        <v>Footwear wearing (uppers)</v>
      </c>
      <c r="C1433" s="1065" t="str">
        <f>Clothing!C689</f>
        <v>any</v>
      </c>
      <c r="D1433" s="1065" t="str">
        <f>Clothing!D689</f>
        <v>PET</v>
      </c>
      <c r="E1433" s="1065">
        <f>Clothing!E689</f>
        <v>3.0249999999999999E-3</v>
      </c>
      <c r="F1433" s="1065">
        <f>Clothing!F689</f>
        <v>3</v>
      </c>
      <c r="G1433" s="1065" t="str">
        <f>Clothing!G689</f>
        <v>Average loss during wear, Kawecki et al. 2019, SI table 17</v>
      </c>
      <c r="H1433" s="1065">
        <f>Clothing!H689</f>
        <v>2</v>
      </c>
      <c r="I1433" s="1065">
        <f>Clothing!I689</f>
        <v>2</v>
      </c>
      <c r="J1433" s="1065">
        <f>Clothing!J689</f>
        <v>2</v>
      </c>
      <c r="K1433" s="1065">
        <f>Clothing!K689</f>
        <v>2</v>
      </c>
      <c r="L1433" s="1065">
        <f>Clothing!L689</f>
        <v>2</v>
      </c>
      <c r="M1433" s="1065">
        <f>Clothing!M689</f>
        <v>2</v>
      </c>
      <c r="N1433" s="915">
        <f t="shared" si="151"/>
        <v>0.40183591897512122</v>
      </c>
      <c r="O1433" s="160">
        <f t="shared" si="152"/>
        <v>0.40183591897512122</v>
      </c>
    </row>
    <row r="1434" spans="1:15">
      <c r="A1434" s="7" t="str">
        <f>'WWTP TCs'!G3</f>
        <v>Primary water treatment (micro)</v>
      </c>
      <c r="B1434" s="7" t="str">
        <f>'WWTP TCs'!H3</f>
        <v>Secondary water treatment (micro)</v>
      </c>
      <c r="C1434" s="7" t="str">
        <f>'WWTP TCs'!I3</f>
        <v>any</v>
      </c>
      <c r="D1434" s="7" t="str">
        <f>'WWTP TCs'!J3</f>
        <v>any</v>
      </c>
      <c r="E1434" s="7" t="str">
        <f>'WWTP TCs'!K3</f>
        <v>rest</v>
      </c>
      <c r="F1434" s="7">
        <f>'WWTP TCs'!L3</f>
        <v>1</v>
      </c>
      <c r="N1434" s="7"/>
      <c r="O1434" s="7"/>
    </row>
    <row r="1435" spans="1:15">
      <c r="A1435" s="7" t="str">
        <f>'WWTP TCs'!G4</f>
        <v>Primary water treatment (micro)</v>
      </c>
      <c r="B1435" s="7" t="str">
        <f>'WWTP TCs'!H4</f>
        <v>Sludge (micro)</v>
      </c>
      <c r="C1435" s="7" t="str">
        <f>'WWTP TCs'!I4</f>
        <v>any</v>
      </c>
      <c r="D1435" s="7" t="str">
        <f>'WWTP TCs'!J4</f>
        <v>any</v>
      </c>
      <c r="E1435" s="7">
        <f>'WWTP TCs'!K4</f>
        <v>0.72</v>
      </c>
      <c r="F1435" s="7">
        <f>'WWTP TCs'!L4</f>
        <v>2</v>
      </c>
      <c r="G1435" s="7" t="str">
        <f>'WWTP TCs'!M4</f>
        <v>Iyare et al. (2020)</v>
      </c>
      <c r="H1435" s="7">
        <f>'WWTP TCs'!N4</f>
        <v>3</v>
      </c>
      <c r="I1435" s="7">
        <f>'WWTP TCs'!O4</f>
        <v>3</v>
      </c>
      <c r="J1435" s="7">
        <f>'WWTP TCs'!P4</f>
        <v>2</v>
      </c>
      <c r="K1435" s="7">
        <f>'WWTP TCs'!Q4</f>
        <v>3</v>
      </c>
      <c r="L1435" s="7">
        <f>'WWTP TCs'!R4</f>
        <v>2</v>
      </c>
      <c r="M1435" s="7">
        <f>'WWTP TCs'!S4</f>
        <v>1</v>
      </c>
      <c r="N1435" s="7"/>
      <c r="O1435" s="7"/>
    </row>
    <row r="1436" spans="1:15">
      <c r="A1436" s="7" t="str">
        <f>'WWTP TCs'!G5</f>
        <v>Secondary water treatment (micro)</v>
      </c>
      <c r="B1436" s="7" t="str">
        <f>'WWTP TCs'!H5</f>
        <v>Tertiary water treatment (micro)</v>
      </c>
      <c r="C1436" s="7" t="str">
        <f>'WWTP TCs'!I5</f>
        <v>any</v>
      </c>
      <c r="D1436" s="7" t="str">
        <f>'WWTP TCs'!J5</f>
        <v>any</v>
      </c>
      <c r="E1436" s="7" t="str">
        <f>'WWTP TCs'!K5</f>
        <v>rest</v>
      </c>
      <c r="F1436" s="7">
        <f>'WWTP TCs'!L5</f>
        <v>1</v>
      </c>
      <c r="N1436" s="7"/>
      <c r="O1436" s="7"/>
    </row>
    <row r="1437" spans="1:15">
      <c r="A1437" s="7" t="str">
        <f>'WWTP TCs'!G6</f>
        <v>Secondary water treatment (micro)</v>
      </c>
      <c r="B1437" s="7" t="str">
        <f>'WWTP TCs'!H6</f>
        <v>Sludge (micro)</v>
      </c>
      <c r="C1437" s="7" t="str">
        <f>'WWTP TCs'!I6</f>
        <v>any</v>
      </c>
      <c r="D1437" s="7" t="str">
        <f>'WWTP TCs'!J6</f>
        <v>any</v>
      </c>
      <c r="E1437" s="7">
        <f>'WWTP TCs'!K6</f>
        <v>0.57142857142857151</v>
      </c>
      <c r="F1437" s="7">
        <f>'WWTP TCs'!L6</f>
        <v>2</v>
      </c>
      <c r="G1437" s="7" t="str">
        <f>'WWTP TCs'!M6</f>
        <v>Iyare et al. (2020)</v>
      </c>
      <c r="H1437" s="7">
        <f>'WWTP TCs'!N6</f>
        <v>3</v>
      </c>
      <c r="I1437" s="7">
        <f>'WWTP TCs'!O6</f>
        <v>3</v>
      </c>
      <c r="J1437" s="7">
        <f>'WWTP TCs'!P6</f>
        <v>2</v>
      </c>
      <c r="K1437" s="7">
        <f>'WWTP TCs'!Q6</f>
        <v>3</v>
      </c>
      <c r="L1437" s="7">
        <f>'WWTP TCs'!R6</f>
        <v>2</v>
      </c>
      <c r="M1437" s="7">
        <f>'WWTP TCs'!S6</f>
        <v>1</v>
      </c>
      <c r="N1437" s="7"/>
      <c r="O1437" s="7"/>
    </row>
    <row r="1438" spans="1:15">
      <c r="A1438" s="7" t="str">
        <f>'WWTP TCs'!G7</f>
        <v>Tertiary water treatment (micro)</v>
      </c>
      <c r="B1438" s="7" t="str">
        <f>'WWTP TCs'!H7</f>
        <v>Surface water (micro)</v>
      </c>
      <c r="C1438" s="7" t="str">
        <f>'WWTP TCs'!I7</f>
        <v>any</v>
      </c>
      <c r="D1438" s="7" t="str">
        <f>'WWTP TCs'!J7</f>
        <v>any</v>
      </c>
      <c r="E1438" s="7" t="str">
        <f>'WWTP TCs'!K7</f>
        <v>rest</v>
      </c>
      <c r="F1438" s="7">
        <f>'WWTP TCs'!L7</f>
        <v>1</v>
      </c>
      <c r="N1438" s="7"/>
      <c r="O1438" s="7"/>
    </row>
    <row r="1439" spans="1:15">
      <c r="A1439" s="7" t="str">
        <f>'WWTP TCs'!G8</f>
        <v>Tertiary water treatment (micro)</v>
      </c>
      <c r="B1439" s="7" t="str">
        <f>'WWTP TCs'!H8</f>
        <v>Sludge (micro)</v>
      </c>
      <c r="C1439" s="7" t="str">
        <f>'WWTP TCs'!I8</f>
        <v>any</v>
      </c>
      <c r="D1439" s="7" t="str">
        <f>'WWTP TCs'!J8</f>
        <v>any</v>
      </c>
      <c r="E1439" s="7">
        <f>'WWTP TCs'!K8</f>
        <v>0.1399999999999999</v>
      </c>
      <c r="F1439" s="7">
        <f>'WWTP TCs'!L8</f>
        <v>2</v>
      </c>
      <c r="G1439" s="7" t="str">
        <f>'WWTP TCs'!M8</f>
        <v>Iyare et al. (2020)</v>
      </c>
      <c r="H1439" s="7">
        <f>'WWTP TCs'!N8</f>
        <v>3</v>
      </c>
      <c r="I1439" s="7">
        <f>'WWTP TCs'!O8</f>
        <v>3</v>
      </c>
      <c r="J1439" s="7">
        <f>'WWTP TCs'!P8</f>
        <v>2</v>
      </c>
      <c r="K1439" s="7">
        <f>'WWTP TCs'!Q8</f>
        <v>3</v>
      </c>
      <c r="L1439" s="7">
        <f>'WWTP TCs'!R8</f>
        <v>2</v>
      </c>
      <c r="M1439" s="7">
        <f>'WWTP TCs'!S8</f>
        <v>1</v>
      </c>
      <c r="N1439" s="7"/>
      <c r="O1439" s="7"/>
    </row>
    <row r="1440" spans="1:15">
      <c r="A1440" s="7" t="str">
        <f>'WWTP TCs'!G9</f>
        <v>Primary water treatment (micro)</v>
      </c>
      <c r="B1440" s="7" t="str">
        <f>'WWTP TCs'!H9</f>
        <v>Sludge (micro)</v>
      </c>
      <c r="C1440" s="7" t="str">
        <f>'WWTP TCs'!I9</f>
        <v>any</v>
      </c>
      <c r="D1440" s="7" t="str">
        <f>'WWTP TCs'!J9</f>
        <v>any</v>
      </c>
      <c r="E1440" s="7">
        <f>'WWTP TCs'!K9</f>
        <v>0.76442553191489371</v>
      </c>
      <c r="F1440" s="7">
        <f>'WWTP TCs'!L9</f>
        <v>2</v>
      </c>
      <c r="G1440" s="7" t="str">
        <f>'WWTP TCs'!M9</f>
        <v>Waternet (2025)</v>
      </c>
      <c r="H1440" s="7">
        <f>'WWTP TCs'!N9</f>
        <v>1</v>
      </c>
      <c r="I1440" s="7">
        <f>'WWTP TCs'!O9</f>
        <v>2</v>
      </c>
      <c r="J1440" s="7">
        <f>'WWTP TCs'!P9</f>
        <v>3</v>
      </c>
      <c r="K1440" s="7">
        <f>'WWTP TCs'!Q9</f>
        <v>3</v>
      </c>
      <c r="L1440" s="7">
        <f>'WWTP TCs'!R9</f>
        <v>2</v>
      </c>
      <c r="M1440" s="7">
        <f>'WWTP TCs'!S9</f>
        <v>1</v>
      </c>
      <c r="N1440" s="7"/>
      <c r="O1440" s="7"/>
    </row>
    <row r="1441" spans="1:15">
      <c r="A1441" s="7" t="str">
        <f>'WWTP TCs'!G10</f>
        <v>Secondary water treatment (micro)</v>
      </c>
      <c r="B1441" s="7" t="str">
        <f>'WWTP TCs'!H10</f>
        <v>Sludge (micro)</v>
      </c>
      <c r="C1441" s="7" t="str">
        <f>'WWTP TCs'!I10</f>
        <v>any</v>
      </c>
      <c r="D1441" s="7" t="str">
        <f>'WWTP TCs'!J10</f>
        <v>any</v>
      </c>
      <c r="E1441" s="7">
        <f>'WWTP TCs'!K10</f>
        <v>0.60668693009118557</v>
      </c>
      <c r="F1441" s="7">
        <f>'WWTP TCs'!L10</f>
        <v>2</v>
      </c>
      <c r="G1441" s="7" t="str">
        <f>'WWTP TCs'!M10</f>
        <v>Waternet (2025)</v>
      </c>
      <c r="H1441" s="7">
        <f>'WWTP TCs'!N10</f>
        <v>1</v>
      </c>
      <c r="I1441" s="7">
        <f>'WWTP TCs'!O10</f>
        <v>2</v>
      </c>
      <c r="J1441" s="7">
        <f>'WWTP TCs'!P10</f>
        <v>3</v>
      </c>
      <c r="K1441" s="7">
        <f>'WWTP TCs'!Q10</f>
        <v>3</v>
      </c>
      <c r="L1441" s="7">
        <f>'WWTP TCs'!R10</f>
        <v>2</v>
      </c>
      <c r="M1441" s="7">
        <f>'WWTP TCs'!S10</f>
        <v>1</v>
      </c>
      <c r="N1441" s="7"/>
      <c r="O1441" s="7"/>
    </row>
    <row r="1442" spans="1:15">
      <c r="A1442" s="7" t="str">
        <f>'WWTP TCs'!G11</f>
        <v>Tertiary water treatment (micro)</v>
      </c>
      <c r="B1442" s="7" t="str">
        <f>'WWTP TCs'!H11</f>
        <v>Sludge (micro)</v>
      </c>
      <c r="C1442" s="7" t="str">
        <f>'WWTP TCs'!I11</f>
        <v>any</v>
      </c>
      <c r="D1442" s="7" t="str">
        <f>'WWTP TCs'!J11</f>
        <v>any</v>
      </c>
      <c r="E1442" s="7">
        <f>'WWTP TCs'!K11</f>
        <v>0.14863829787234034</v>
      </c>
      <c r="F1442" s="7">
        <f>'WWTP TCs'!L11</f>
        <v>2</v>
      </c>
      <c r="G1442" s="7" t="str">
        <f>'WWTP TCs'!M11</f>
        <v>Waternet (2025)</v>
      </c>
      <c r="H1442" s="7">
        <f>'WWTP TCs'!N11</f>
        <v>1</v>
      </c>
      <c r="I1442" s="7">
        <f>'WWTP TCs'!O11</f>
        <v>2</v>
      </c>
      <c r="J1442" s="7">
        <f>'WWTP TCs'!P11</f>
        <v>3</v>
      </c>
      <c r="K1442" s="7">
        <f>'WWTP TCs'!Q11</f>
        <v>3</v>
      </c>
      <c r="L1442" s="7">
        <f>'WWTP TCs'!R11</f>
        <v>2</v>
      </c>
      <c r="M1442" s="7">
        <f>'WWTP TCs'!S11</f>
        <v>1</v>
      </c>
      <c r="N1442" s="7"/>
      <c r="O1442" s="7"/>
    </row>
    <row r="1443" spans="1:15">
      <c r="N1443" s="7"/>
      <c r="O1443" s="7"/>
    </row>
    <row r="1444" spans="1:15">
      <c r="N1444" s="7"/>
      <c r="O1444" s="7"/>
    </row>
    <row r="1445" spans="1:15">
      <c r="N1445" s="7"/>
      <c r="O1445" s="7"/>
    </row>
    <row r="1446" spans="1:15">
      <c r="N1446" s="7"/>
      <c r="O1446" s="7"/>
    </row>
    <row r="1447" spans="1:15">
      <c r="N1447" s="7"/>
      <c r="O1447" s="7"/>
    </row>
    <row r="1448" spans="1:15">
      <c r="N1448" s="7"/>
      <c r="O1448" s="7"/>
    </row>
    <row r="1449" spans="1:15">
      <c r="N1449" s="7"/>
      <c r="O1449" s="7"/>
    </row>
    <row r="1450" spans="1:15">
      <c r="N1450" s="7"/>
      <c r="O1450" s="7"/>
    </row>
    <row r="1451" spans="1:15">
      <c r="N1451" s="7"/>
      <c r="O1451" s="7"/>
    </row>
    <row r="1452" spans="1:15">
      <c r="N1452" s="7"/>
      <c r="O1452" s="7"/>
    </row>
    <row r="1453" spans="1:15">
      <c r="N1453" s="7"/>
      <c r="O1453" s="7"/>
    </row>
    <row r="1454" spans="1:15">
      <c r="N1454" s="7"/>
      <c r="O1454" s="7"/>
    </row>
    <row r="1455" spans="1:15">
      <c r="N1455" s="7"/>
      <c r="O1455" s="7"/>
    </row>
    <row r="1456" spans="1:15">
      <c r="N1456" s="7"/>
      <c r="O1456" s="7"/>
    </row>
    <row r="1457" spans="14:15">
      <c r="N1457" s="7"/>
      <c r="O1457" s="7"/>
    </row>
    <row r="1458" spans="14:15">
      <c r="N1458" s="7"/>
      <c r="O1458" s="7"/>
    </row>
    <row r="1459" spans="14:15">
      <c r="N1459" s="7"/>
      <c r="O1459" s="7"/>
    </row>
    <row r="1460" spans="14:15">
      <c r="N1460" s="7"/>
      <c r="O1460" s="7"/>
    </row>
    <row r="1461" spans="14:15">
      <c r="N1461" s="7"/>
      <c r="O1461" s="7"/>
    </row>
    <row r="1462" spans="14:15">
      <c r="N1462" s="7"/>
      <c r="O1462" s="7"/>
    </row>
    <row r="1463" spans="14:15">
      <c r="N1463" s="7"/>
      <c r="O1463" s="7"/>
    </row>
    <row r="1464" spans="14:15">
      <c r="N1464" s="7"/>
      <c r="O1464" s="7"/>
    </row>
    <row r="1465" spans="14:15">
      <c r="N1465" s="7"/>
      <c r="O1465" s="7"/>
    </row>
    <row r="1466" spans="14:15">
      <c r="N1466" s="7"/>
      <c r="O1466" s="7"/>
    </row>
    <row r="1467" spans="14:15">
      <c r="N1467" s="7"/>
      <c r="O1467" s="7"/>
    </row>
    <row r="1468" spans="14:15">
      <c r="N1468" s="7"/>
      <c r="O1468" s="7"/>
    </row>
    <row r="1469" spans="14:15">
      <c r="N1469" s="7"/>
      <c r="O1469" s="7"/>
    </row>
    <row r="1470" spans="14:15">
      <c r="N1470" s="7"/>
      <c r="O1470" s="7"/>
    </row>
    <row r="1471" spans="14:15">
      <c r="N1471" s="7"/>
      <c r="O1471" s="7"/>
    </row>
    <row r="1472" spans="14:15">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row r="2861" spans="14:15">
      <c r="N2861" s="7"/>
      <c r="O2861" s="7"/>
    </row>
    <row r="2862" spans="14:15">
      <c r="N2862" s="7"/>
      <c r="O2862" s="7"/>
    </row>
    <row r="2863" spans="14:15">
      <c r="N2863" s="7"/>
      <c r="O2863" s="7"/>
    </row>
    <row r="2864" spans="14:15">
      <c r="N2864" s="7"/>
      <c r="O2864" s="7"/>
    </row>
    <row r="2865" spans="14:15">
      <c r="N2865" s="7"/>
      <c r="O2865" s="7"/>
    </row>
    <row r="2866" spans="14:15">
      <c r="N2866" s="7"/>
      <c r="O2866" s="7"/>
    </row>
    <row r="2867" spans="14:15">
      <c r="N2867" s="7"/>
      <c r="O2867" s="7"/>
    </row>
    <row r="2868" spans="14:15">
      <c r="N2868" s="7"/>
      <c r="O2868" s="7"/>
    </row>
    <row r="2869" spans="14:15">
      <c r="N2869" s="7"/>
      <c r="O2869" s="7"/>
    </row>
    <row r="2870" spans="14:15">
      <c r="N2870" s="7"/>
      <c r="O2870" s="7"/>
    </row>
    <row r="2871" spans="14:15">
      <c r="N2871" s="7"/>
      <c r="O2871" s="7"/>
    </row>
    <row r="2872" spans="14:15">
      <c r="N2872" s="7"/>
      <c r="O2872" s="7"/>
    </row>
    <row r="2873" spans="14:15">
      <c r="N2873" s="7"/>
      <c r="O2873" s="7"/>
    </row>
    <row r="2874" spans="14:15">
      <c r="N2874" s="7"/>
      <c r="O2874" s="7"/>
    </row>
    <row r="2875" spans="14:15">
      <c r="N2875" s="7"/>
      <c r="O2875" s="7"/>
    </row>
    <row r="2876" spans="14:15">
      <c r="N2876" s="7"/>
      <c r="O2876" s="7"/>
    </row>
    <row r="2877" spans="14:15">
      <c r="N2877" s="7"/>
      <c r="O2877" s="7"/>
    </row>
    <row r="2878" spans="14:15">
      <c r="N2878" s="7"/>
      <c r="O2878" s="7"/>
    </row>
    <row r="2879" spans="14:15">
      <c r="N2879" s="7"/>
      <c r="O2879" s="7"/>
    </row>
    <row r="2880" spans="14:15">
      <c r="N2880" s="7"/>
      <c r="O2880" s="7"/>
    </row>
    <row r="2881" spans="14:15">
      <c r="N2881" s="7"/>
      <c r="O2881" s="7"/>
    </row>
    <row r="2882" spans="14:15">
      <c r="N2882" s="7"/>
      <c r="O2882" s="7"/>
    </row>
    <row r="2883" spans="14:15">
      <c r="N2883" s="7"/>
      <c r="O2883" s="7"/>
    </row>
    <row r="2884" spans="14:15">
      <c r="N2884" s="7"/>
      <c r="O2884" s="7"/>
    </row>
    <row r="2885" spans="14:15">
      <c r="N2885" s="7"/>
      <c r="O2885" s="7"/>
    </row>
    <row r="2886" spans="14:15">
      <c r="N2886" s="7"/>
      <c r="O2886" s="7"/>
    </row>
    <row r="2887" spans="14:15">
      <c r="N2887" s="7"/>
      <c r="O2887" s="7"/>
    </row>
    <row r="2888" spans="14:15">
      <c r="N2888" s="7"/>
      <c r="O2888" s="7"/>
    </row>
    <row r="2889" spans="14:15">
      <c r="N2889" s="7"/>
      <c r="O2889" s="7"/>
    </row>
    <row r="2890" spans="14:15">
      <c r="N2890" s="7"/>
      <c r="O2890" s="7"/>
    </row>
    <row r="2891" spans="14:15">
      <c r="N2891" s="7"/>
      <c r="O2891" s="7"/>
    </row>
    <row r="2892" spans="14:15">
      <c r="N2892" s="7"/>
      <c r="O2892" s="7"/>
    </row>
    <row r="2893" spans="14:15">
      <c r="N2893" s="7"/>
      <c r="O2893" s="7"/>
    </row>
    <row r="2894" spans="14:15">
      <c r="N2894" s="7"/>
      <c r="O2894" s="7"/>
    </row>
    <row r="2895" spans="14:15">
      <c r="N2895" s="7"/>
      <c r="O2895" s="7"/>
    </row>
    <row r="2896" spans="14:15">
      <c r="N2896" s="7"/>
      <c r="O2896" s="7"/>
    </row>
    <row r="2897" spans="14:15">
      <c r="N2897" s="7"/>
      <c r="O2897" s="7"/>
    </row>
    <row r="2898" spans="14:15">
      <c r="N2898" s="7"/>
      <c r="O2898" s="7"/>
    </row>
    <row r="2899" spans="14:15">
      <c r="N2899" s="7"/>
      <c r="O2899" s="7"/>
    </row>
    <row r="2900" spans="14:15">
      <c r="N2900" s="7"/>
      <c r="O2900" s="7"/>
    </row>
    <row r="2901" spans="14:15">
      <c r="N2901" s="7"/>
      <c r="O2901" s="7"/>
    </row>
    <row r="2902" spans="14:15">
      <c r="N2902" s="7"/>
      <c r="O2902" s="7"/>
    </row>
    <row r="2903" spans="14:15">
      <c r="N2903" s="7"/>
      <c r="O2903" s="7"/>
    </row>
    <row r="2904" spans="14:15">
      <c r="N2904" s="7"/>
      <c r="O2904" s="7"/>
    </row>
    <row r="2905" spans="14:15">
      <c r="N2905" s="7"/>
      <c r="O2905" s="7"/>
    </row>
    <row r="2906" spans="14:15">
      <c r="N2906" s="7"/>
      <c r="O2906" s="7"/>
    </row>
    <row r="2907" spans="14:15">
      <c r="N2907" s="7"/>
      <c r="O2907" s="7"/>
    </row>
    <row r="2908" spans="14:15">
      <c r="N2908" s="7"/>
      <c r="O2908" s="7"/>
    </row>
    <row r="2909" spans="14:15">
      <c r="N2909" s="7"/>
      <c r="O2909" s="7"/>
    </row>
    <row r="2910" spans="14:15">
      <c r="N2910" s="7"/>
      <c r="O2910" s="7"/>
    </row>
    <row r="2911" spans="14:15">
      <c r="N2911" s="7"/>
      <c r="O2911" s="7"/>
    </row>
    <row r="2912" spans="14:15">
      <c r="N2912" s="7"/>
      <c r="O2912" s="7"/>
    </row>
    <row r="2913" spans="14:15">
      <c r="N2913" s="7"/>
      <c r="O2913" s="7"/>
    </row>
    <row r="2914" spans="14:15">
      <c r="N2914" s="7"/>
      <c r="O2914" s="7"/>
    </row>
    <row r="2915" spans="14:15">
      <c r="N2915" s="7"/>
      <c r="O2915" s="7"/>
    </row>
    <row r="2916" spans="14:15">
      <c r="N2916" s="7"/>
      <c r="O2916" s="7"/>
    </row>
    <row r="2917" spans="14:15">
      <c r="N2917" s="7"/>
      <c r="O2917" s="7"/>
    </row>
    <row r="2918" spans="14:15">
      <c r="N2918" s="7"/>
      <c r="O2918" s="7"/>
    </row>
    <row r="2919" spans="14:15">
      <c r="N2919" s="7"/>
      <c r="O2919" s="7"/>
    </row>
    <row r="2920" spans="14:15">
      <c r="N2920" s="7"/>
      <c r="O2920" s="7"/>
    </row>
    <row r="2921" spans="14:15">
      <c r="N2921" s="7"/>
      <c r="O2921" s="7"/>
    </row>
    <row r="2922" spans="14:15">
      <c r="N2922" s="7"/>
      <c r="O2922" s="7"/>
    </row>
    <row r="2923" spans="14:15">
      <c r="N2923" s="7"/>
      <c r="O2923" s="7"/>
    </row>
    <row r="2924" spans="14:15">
      <c r="N2924" s="7"/>
      <c r="O2924" s="7"/>
    </row>
    <row r="2925" spans="14:15">
      <c r="N2925" s="7"/>
      <c r="O2925" s="7"/>
    </row>
    <row r="2926" spans="14:15">
      <c r="N2926" s="7"/>
      <c r="O2926" s="7"/>
    </row>
    <row r="2927" spans="14:15">
      <c r="N2927" s="7"/>
      <c r="O2927" s="7"/>
    </row>
    <row r="2928" spans="14:15">
      <c r="N2928" s="7"/>
      <c r="O2928" s="7"/>
    </row>
  </sheetData>
  <autoFilter ref="A1:P1433" xr:uid="{D17F49C5-045C-4C41-8133-90E2E1555C53}">
    <sortState xmlns:xlrd2="http://schemas.microsoft.com/office/spreadsheetml/2017/richdata2" ref="A388:P824">
      <sortCondition ref="B1:B1357"/>
    </sortState>
  </autoFilter>
  <sortState xmlns:xlrd2="http://schemas.microsoft.com/office/spreadsheetml/2017/richdata2" ref="A2:P2928">
    <sortCondition ref="A1:A2928"/>
  </sortState>
  <phoneticPr fontId="22" type="noConversion"/>
  <conditionalFormatting sqref="H277:H278">
    <cfRule type="dataBar" priority="214">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232">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74:H879">
    <cfRule type="dataBar" priority="170">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72">
    <cfRule type="cellIs" dxfId="189" priority="7992" stopIfTrue="1" operator="notBetween">
      <formula>1</formula>
      <formula>4</formula>
    </cfRule>
  </conditionalFormatting>
  <conditionalFormatting sqref="H282:M282 H276:M276 H279:M279">
    <cfRule type="dataBar" priority="250">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873:M873">
    <cfRule type="dataBar" priority="185">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73:M879">
    <cfRule type="cellIs" dxfId="188" priority="166" stopIfTrue="1" operator="notBetween">
      <formula>1</formula>
      <formula>4</formula>
    </cfRule>
  </conditionalFormatting>
  <conditionalFormatting sqref="H880:M880">
    <cfRule type="dataBar" priority="152">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880:M881">
    <cfRule type="dataBar" priority="135">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880:M882">
    <cfRule type="cellIs" dxfId="187" priority="136" stopIfTrue="1" operator="notBetween">
      <formula>1</formula>
      <formula>4</formula>
    </cfRule>
  </conditionalFormatting>
  <conditionalFormatting sqref="H880:M891 N893:O1433">
    <cfRule type="containsBlanks" dxfId="186" priority="129">
      <formula>LEN(TRIM(H880))=0</formula>
    </cfRule>
  </conditionalFormatting>
  <conditionalFormatting sqref="H881:M881">
    <cfRule type="dataBar" priority="154">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882:M882">
    <cfRule type="dataBar" priority="147">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883:M883">
    <cfRule type="dataBar" priority="162">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883:M887">
    <cfRule type="cellIs" dxfId="185" priority="160" stopIfTrue="1" operator="notBetween">
      <formula>1</formula>
      <formula>4</formula>
    </cfRule>
  </conditionalFormatting>
  <conditionalFormatting sqref="H884:M887">
    <cfRule type="dataBar" priority="157">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888:M889">
    <cfRule type="dataBar" priority="130">
      <dataBar>
        <cfvo type="min"/>
        <cfvo type="num" val="4"/>
        <color rgb="FFFFC000"/>
      </dataBar>
      <extLst>
        <ext xmlns:x14="http://schemas.microsoft.com/office/spreadsheetml/2009/9/main" uri="{B025F937-C7B1-47D3-B67F-A62EFF666E3E}">
          <x14:id>{4FF3944F-F6EB-469A-B3BF-89C2ACEF9A5A}</x14:id>
        </ext>
      </extLst>
    </cfRule>
    <cfRule type="cellIs" dxfId="184" priority="132" stopIfTrue="1" operator="notBetween">
      <formula>1</formula>
      <formula>4</formula>
    </cfRule>
  </conditionalFormatting>
  <conditionalFormatting sqref="H890:M891">
    <cfRule type="dataBar" priority="138">
      <dataBar>
        <cfvo type="min"/>
        <cfvo type="num" val="4"/>
        <color rgb="FFFFC000"/>
      </dataBar>
      <extLst>
        <ext xmlns:x14="http://schemas.microsoft.com/office/spreadsheetml/2009/9/main" uri="{B025F937-C7B1-47D3-B67F-A62EFF666E3E}">
          <x14:id>{C636A330-3589-4118-9161-5E09435D3530}</x14:id>
        </ext>
      </extLst>
    </cfRule>
    <cfRule type="cellIs" dxfId="183" priority="140" stopIfTrue="1" operator="notBetween">
      <formula>1</formula>
      <formula>4</formula>
    </cfRule>
  </conditionalFormatting>
  <conditionalFormatting sqref="H892:M905">
    <cfRule type="dataBar" priority="124">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892:M1146">
    <cfRule type="cellIs" dxfId="182" priority="71" stopIfTrue="1" operator="notBetween">
      <formula>1</formula>
      <formula>4</formula>
    </cfRule>
  </conditionalFormatting>
  <conditionalFormatting sqref="H893:M893">
    <cfRule type="containsBlanks" dxfId="181" priority="67" stopIfTrue="1">
      <formula>LEN(TRIM(H893))=0</formula>
    </cfRule>
    <cfRule type="dataBar" priority="68">
      <dataBar>
        <cfvo type="min"/>
        <cfvo type="num" val="4"/>
        <color rgb="FFFFC000"/>
      </dataBar>
      <extLst>
        <ext xmlns:x14="http://schemas.microsoft.com/office/spreadsheetml/2009/9/main" uri="{B025F937-C7B1-47D3-B67F-A62EFF666E3E}">
          <x14:id>{4A516C74-FCED-47AC-AAE2-98D1F54DE959}</x14:id>
        </ext>
      </extLst>
    </cfRule>
  </conditionalFormatting>
  <conditionalFormatting sqref="H923:M923">
    <cfRule type="dataBar" priority="120">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24:M929 H1144:M1146 H906:M922 H932:M949 H951:M968 H970:M987 H989:M1006 H1008:M1025 H1027:M1044 H1046:M1063 H1065:M1082 H1084:M1104 H1106:M1123 H1125:M1142">
    <cfRule type="dataBar" priority="128">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30:M931">
    <cfRule type="dataBar" priority="116">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50:M950">
    <cfRule type="dataBar" priority="112">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69:M969">
    <cfRule type="dataBar" priority="108">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988:M988">
    <cfRule type="dataBar" priority="104">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1007:M1007">
    <cfRule type="dataBar" priority="100">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26:M1026">
    <cfRule type="dataBar" priority="96">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45:M1045">
    <cfRule type="dataBar" priority="92">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64:M1064">
    <cfRule type="dataBar" priority="88">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083:M1083">
    <cfRule type="dataBar" priority="84">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105:M1105">
    <cfRule type="dataBar" priority="80">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24:M1124">
    <cfRule type="dataBar" priority="76">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43:M1143">
    <cfRule type="dataBar" priority="72">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57:M1157">
    <cfRule type="dataBar" priority="65">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57:M1357">
    <cfRule type="containsBlanks" dxfId="180" priority="1" stopIfTrue="1">
      <formula>LEN(TRIM(H1157))=0</formula>
    </cfRule>
    <cfRule type="cellIs" dxfId="179" priority="2" stopIfTrue="1" operator="notBetween">
      <formula>1</formula>
      <formula>4</formula>
    </cfRule>
  </conditionalFormatting>
  <conditionalFormatting sqref="H1158:M1215">
    <cfRule type="dataBar" priority="55">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216:M1273">
    <cfRule type="dataBar" priority="36">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1274:M1310">
    <cfRule type="dataBar" priority="8132">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311:M1314">
    <cfRule type="dataBar" priority="8190">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1315:M1315">
    <cfRule type="dataBar" priority="16">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H1316:M1326">
    <cfRule type="dataBar" priority="22">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327:M1337">
    <cfRule type="dataBar" priority="12">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338:M1341">
    <cfRule type="dataBar" priority="13">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342:M1342">
    <cfRule type="dataBar" priority="6">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343:M1352">
    <cfRule type="dataBar" priority="9">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353:M1357">
    <cfRule type="dataBar" priority="3">
      <dataBar>
        <cfvo type="min"/>
        <cfvo type="num" val="4"/>
        <color rgb="FFFFC000"/>
      </dataBar>
      <extLst>
        <ext xmlns:x14="http://schemas.microsoft.com/office/spreadsheetml/2009/9/main" uri="{B025F937-C7B1-47D3-B67F-A62EFF666E3E}">
          <x14:id>{FE468DE5-93BE-473E-A7A2-7E2187B30927}</x14:id>
        </ext>
      </extLst>
    </cfRule>
  </conditionalFormatting>
  <conditionalFormatting sqref="H874:N879">
    <cfRule type="containsBlanks" dxfId="178" priority="163">
      <formula>LEN(TRIM(H874))=0</formula>
    </cfRule>
  </conditionalFormatting>
  <conditionalFormatting sqref="H2:O275 H906:M1146 H283:O873">
    <cfRule type="containsBlanks" dxfId="177" priority="70" stopIfTrue="1">
      <formula>LEN(TRIM(H2))=0</formula>
    </cfRule>
  </conditionalFormatting>
  <conditionalFormatting sqref="H276:O282">
    <cfRule type="containsBlanks" dxfId="176" priority="209">
      <formula>LEN(TRIM(H276))=0</formula>
    </cfRule>
  </conditionalFormatting>
  <conditionalFormatting sqref="H880:O881 N882:O891">
    <cfRule type="containsBlanks" dxfId="175" priority="158">
      <formula>LEN(TRIM(H880))=0</formula>
    </cfRule>
  </conditionalFormatting>
  <conditionalFormatting sqref="H892:O892 H893:M905">
    <cfRule type="containsBlanks" dxfId="174" priority="125">
      <formula>LEN(TRIM(H892))=0</formula>
    </cfRule>
  </conditionalFormatting>
  <conditionalFormatting sqref="I277:I278">
    <cfRule type="dataBar" priority="217">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235">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74:I879">
    <cfRule type="dataBar" priority="173">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211">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229">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74:J879">
    <cfRule type="dataBar" priority="167">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226">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244">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74:K879">
    <cfRule type="dataBar" priority="182">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223">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241">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74:L879">
    <cfRule type="dataBar" priority="179">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220">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238">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74:M879">
    <cfRule type="dataBar" priority="176">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246">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74:N879">
    <cfRule type="dataBar" priority="164">
      <dataBar>
        <cfvo type="min"/>
        <cfvo type="max"/>
        <color rgb="FF3FCDFF"/>
      </dataBar>
      <extLst>
        <ext xmlns:x14="http://schemas.microsoft.com/office/spreadsheetml/2009/9/main" uri="{B025F937-C7B1-47D3-B67F-A62EFF666E3E}">
          <x14:id>{653FB42B-DE40-4B04-BFE0-2BFA64BBDF9F}</x14:id>
        </ext>
      </extLst>
    </cfRule>
  </conditionalFormatting>
  <conditionalFormatting sqref="N880:N891">
    <cfRule type="dataBar" priority="155">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73:O873">
    <cfRule type="dataBar" priority="188">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247">
      <dataBar>
        <cfvo type="min"/>
        <cfvo type="max"/>
        <color rgb="FF3FCDFF"/>
      </dataBar>
      <extLst>
        <ext xmlns:x14="http://schemas.microsoft.com/office/spreadsheetml/2009/9/main" uri="{B025F937-C7B1-47D3-B67F-A62EFF666E3E}">
          <x14:id>{0AFB4F83-0A52-40D8-AB0C-A5FD58A88EC6}</x14:id>
        </ext>
      </extLst>
    </cfRule>
  </conditionalFormatting>
  <conditionalFormatting sqref="O880:O891">
    <cfRule type="dataBar" priority="156">
      <dataBar>
        <cfvo type="min"/>
        <cfvo type="max"/>
        <color rgb="FF3FCDFF"/>
      </dataBar>
      <extLst>
        <ext xmlns:x14="http://schemas.microsoft.com/office/spreadsheetml/2009/9/main" uri="{B025F937-C7B1-47D3-B67F-A62EFF666E3E}">
          <x14:id>{66C82E18-99EA-4433-AB1D-53FBF20EFA86}</x14:id>
        </ext>
      </extLst>
    </cfRule>
  </conditionalFormatting>
  <conditionalFormatting sqref="P1157:P1161 P2:P451 P711:P873">
    <cfRule type="containsText" dxfId="173" priority="248" operator="containsText" text="Actual TC">
      <formula>NOT(ISERROR(SEARCH("Actual TC",P2)))</formula>
    </cfRule>
  </conditionalFormatting>
  <conditionalFormatting sqref="P52">
    <cfRule type="dataBar" priority="554">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54:P464">
    <cfRule type="containsText" dxfId="172" priority="274" operator="containsText" text="Actual TC">
      <formula>NOT(ISERROR(SEARCH("Actual TC",P454)))</formula>
    </cfRule>
  </conditionalFormatting>
  <conditionalFormatting sqref="P470">
    <cfRule type="containsText" dxfId="171" priority="503" operator="containsText" text="Actual TC">
      <formula>NOT(ISERROR(SEARCH("Actual TC",P470)))</formula>
    </cfRule>
  </conditionalFormatting>
  <conditionalFormatting sqref="P472:P474">
    <cfRule type="containsText" dxfId="170" priority="502" operator="containsText" text="Actual TC">
      <formula>NOT(ISERROR(SEARCH("Actual TC",P472)))</formula>
    </cfRule>
  </conditionalFormatting>
  <conditionalFormatting sqref="P882:P885">
    <cfRule type="containsText" dxfId="169" priority="149" operator="containsText" text="Actual TC">
      <formula>NOT(ISERROR(SEARCH("Actual TC",P882)))</formula>
    </cfRule>
  </conditionalFormatting>
  <conditionalFormatting sqref="P888:P891">
    <cfRule type="containsText" dxfId="168" priority="141" operator="containsText" text="Actual TC">
      <formula>NOT(ISERROR(SEARCH("Actual TC",P888)))</formula>
    </cfRule>
  </conditionalFormatting>
  <conditionalFormatting sqref="Q71:T71">
    <cfRule type="dataBar" priority="2861">
      <dataBar>
        <cfvo type="min"/>
        <cfvo type="max"/>
        <color rgb="FF3FCDFF"/>
      </dataBar>
      <extLst>
        <ext xmlns:x14="http://schemas.microsoft.com/office/spreadsheetml/2009/9/main" uri="{B025F937-C7B1-47D3-B67F-A62EFF666E3E}">
          <x14:id>{9D887FAC-849C-4DD2-9754-D6AB34DE9384}</x14:id>
        </ext>
      </extLst>
    </cfRule>
  </conditionalFormatting>
  <conditionalFormatting sqref="N892:N1433">
    <cfRule type="dataBar" priority="8335">
      <dataBar>
        <cfvo type="min"/>
        <cfvo type="max"/>
        <color rgb="FF3FCDFF"/>
      </dataBar>
      <extLst>
        <ext xmlns:x14="http://schemas.microsoft.com/office/spreadsheetml/2009/9/main" uri="{B025F937-C7B1-47D3-B67F-A62EFF666E3E}">
          <x14:id>{75FB3F3D-C50D-494B-9F38-66F7DAE5D4A4}</x14:id>
        </ext>
      </extLst>
    </cfRule>
  </conditionalFormatting>
  <conditionalFormatting sqref="O892:O1433">
    <cfRule type="dataBar" priority="8337">
      <dataBar>
        <cfvo type="min"/>
        <cfvo type="max"/>
        <color rgb="FF3FCDFF"/>
      </dataBar>
      <extLst>
        <ext xmlns:x14="http://schemas.microsoft.com/office/spreadsheetml/2009/9/main" uri="{B025F937-C7B1-47D3-B67F-A62EFF666E3E}">
          <x14:id>{FA495B81-A52E-48A7-8207-E9317622B22D}</x14:id>
        </ext>
      </extLst>
    </cfRule>
  </conditionalFormatting>
  <conditionalFormatting sqref="H283:M872 H2:M275">
    <cfRule type="dataBar" priority="8470">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N283:O872 N2:O275">
    <cfRule type="dataBar" priority="8473">
      <dataBar>
        <cfvo type="min"/>
        <cfvo type="max"/>
        <color rgb="FF3FCDFF"/>
      </dataBar>
      <extLst>
        <ext xmlns:x14="http://schemas.microsoft.com/office/spreadsheetml/2009/9/main" uri="{B025F937-C7B1-47D3-B67F-A62EFF666E3E}">
          <x14:id>{39683FCE-C635-49D2-A9BA-C7023BF37511}</x14:id>
        </ext>
      </extLst>
    </cfRule>
  </conditionalFormatting>
  <hyperlinks>
    <hyperlink ref="G436:G440" r:id="rId1" display="https://ec.europa.eu/eurostat/databrowser/view/DS-056120__custom_6262207/default/table" xr:uid="{64A4E7E9-E2C9-4784-8D63-9E64E7CFC3FE}"/>
    <hyperlink ref="G432:G435" r:id="rId2" display="https://ec.europa.eu/eurostat/databrowser/view/DS-056120__custom_5851448/default/table" xr:uid="{B595BB2C-99BA-46ED-BB35-C7522A3C7864}"/>
    <hyperlink ref="G350" r:id="rId3" display="https://doi.org/10.1016/j.resconrec.2023.107389" xr:uid="{42973653-FFAC-497A-A977-F79969579536}"/>
    <hyperlink ref="G738" r:id="rId4" display="https://doi.org/10.1016/j.resconrec.2023.107389" xr:uid="{818B2EDA-DBA0-4EF2-83FC-24BC7E843676}"/>
    <hyperlink ref="G855" r:id="rId5" display="https://doi.org/10.1016/j.resconrec.2023.107389" xr:uid="{C93F6439-DC92-4293-99EF-B0A52E4135A9}"/>
    <hyperlink ref="G634" r:id="rId6" display="https://doi.org/10.1016/j.resconrec.2023.107389" xr:uid="{02B72B08-7A21-47ED-A54A-1B09FB599AFA}"/>
    <hyperlink ref="G702" r:id="rId7" display="https://ec.europa.eu/eurostat/databrowser/view/DS-056120__custom_6262207/default/table" xr:uid="{53DE11B1-913B-4F17-931B-7D82CEBADD33}"/>
    <hyperlink ref="G297"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H874:H879</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H873:M873</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H880:M880</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H880:M881</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H881:M881</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H882:M882</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H883:M883</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H884:M887</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H888:M889</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H890:M891</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H892:M905</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H893:M893</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H923:M923</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H924:M929 H1144:M1146 H906:M922 H932:M949 H951:M968 H970:M987 H989:M1006 H1008:M1025 H1027:M1044 H1046:M1063 H1065:M1082 H1084:M1104 H1106:M1123 H1125:M1142</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H930:M931</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H950:M950</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H969:M969</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H988:M988</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H1007:M1007</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H1026:M1026</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H1045:M1045</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H1064:M1064</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H1083:M1083</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H1105:M1105</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H1124:M1124</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H1143:M1143</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H1157:M1157</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H1158:M1215</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H1216:M1273</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H1274:M1310</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H1311:M1314</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H1315:M1315</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H1316:M1326</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H1327:M1337</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H1338:M1341</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H1342:M1342</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H1343:M1352</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H1353:M1357</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I874:I879</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J874:J879</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K874:K879</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L874:L879</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M874:M879</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N874:N879</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N880:N891</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N873:O873</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O880:O891</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N892:N1433</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O892:O1433</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H283:M872 H2:M275</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N283:O872 N2:O275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822"/>
  <sheetViews>
    <sheetView topLeftCell="A749" zoomScale="105" zoomScaleNormal="100" workbookViewId="0">
      <selection activeCell="B826" sqref="B826"/>
    </sheetView>
  </sheetViews>
  <sheetFormatPr defaultRowHeight="15"/>
  <cols>
    <col min="1" max="1" width="43" customWidth="1"/>
    <col min="2" max="2" width="33.28515625" bestFit="1" customWidth="1"/>
    <col min="3" max="3" width="16" customWidth="1"/>
    <col min="4" max="5" width="18.85546875" customWidth="1"/>
    <col min="6" max="6" width="28" customWidth="1"/>
    <col min="7" max="7" width="29.140625" customWidth="1"/>
    <col min="8" max="8" width="23.5703125" customWidth="1"/>
    <col min="9" max="9" width="18.5703125" bestFit="1" customWidth="1"/>
    <col min="10" max="10" width="20.7109375" bestFit="1" customWidth="1"/>
    <col min="11" max="11" width="15" customWidth="1"/>
    <col min="12" max="12" width="13.42578125" customWidth="1"/>
    <col min="13" max="13" width="12" customWidth="1"/>
    <col min="14" max="14" width="14.28515625" customWidth="1"/>
  </cols>
  <sheetData>
    <row r="1" spans="1:7" s="1111" customFormat="1"/>
    <row r="2" spans="1:7" s="1111" customFormat="1"/>
    <row r="3" spans="1:7">
      <c r="A3" s="222" t="s">
        <v>2</v>
      </c>
      <c r="B3" s="222" t="s">
        <v>2017</v>
      </c>
      <c r="C3" s="222" t="s">
        <v>104</v>
      </c>
      <c r="F3" s="222" t="s">
        <v>132</v>
      </c>
      <c r="G3" s="222" t="s">
        <v>104</v>
      </c>
    </row>
    <row r="4" spans="1:7">
      <c r="A4" t="s">
        <v>2049</v>
      </c>
      <c r="B4" s="897">
        <v>1.1000000000000001</v>
      </c>
      <c r="C4" t="s">
        <v>2047</v>
      </c>
      <c r="F4" t="s">
        <v>844</v>
      </c>
      <c r="G4" t="s">
        <v>2042</v>
      </c>
    </row>
    <row r="5" spans="1:7">
      <c r="A5" t="s">
        <v>2050</v>
      </c>
      <c r="B5" s="897">
        <v>0.9</v>
      </c>
      <c r="C5" t="s">
        <v>2047</v>
      </c>
      <c r="F5" t="s">
        <v>845</v>
      </c>
      <c r="G5" s="367" t="s">
        <v>2042</v>
      </c>
    </row>
    <row r="6" spans="1:7">
      <c r="A6" t="s">
        <v>2051</v>
      </c>
      <c r="B6" s="897">
        <f>B4+B14+B13+B12+B11+B9</f>
        <v>1.3655000000000002</v>
      </c>
      <c r="C6" t="s">
        <v>2048</v>
      </c>
    </row>
    <row r="7" spans="1:7">
      <c r="A7" t="s">
        <v>2052</v>
      </c>
      <c r="B7" s="897">
        <f>B5+B14+B13+B12+B10+B9</f>
        <v>1.1561000000000001</v>
      </c>
      <c r="C7" t="s">
        <v>2048</v>
      </c>
    </row>
    <row r="8" spans="1:7">
      <c r="B8" s="897"/>
    </row>
    <row r="9" spans="1:7">
      <c r="A9" t="s">
        <v>2031</v>
      </c>
      <c r="B9" s="897">
        <v>0.05</v>
      </c>
      <c r="C9" t="s">
        <v>2037</v>
      </c>
    </row>
    <row r="10" spans="1:7">
      <c r="A10" t="s">
        <v>2032</v>
      </c>
      <c r="B10" s="897">
        <v>5.9999999999999995E-4</v>
      </c>
      <c r="C10" t="s">
        <v>2037</v>
      </c>
    </row>
    <row r="11" spans="1:7">
      <c r="A11" t="s">
        <v>2033</v>
      </c>
      <c r="B11" s="897">
        <v>0.01</v>
      </c>
      <c r="C11" t="s">
        <v>2037</v>
      </c>
    </row>
    <row r="12" spans="1:7">
      <c r="A12" t="s">
        <v>2034</v>
      </c>
      <c r="B12" s="897">
        <v>1.5E-3</v>
      </c>
      <c r="C12" t="s">
        <v>2037</v>
      </c>
    </row>
    <row r="13" spans="1:7">
      <c r="A13" t="s">
        <v>2035</v>
      </c>
      <c r="B13" s="897">
        <v>4.0000000000000001E-3</v>
      </c>
      <c r="C13" t="s">
        <v>2037</v>
      </c>
    </row>
    <row r="14" spans="1:7">
      <c r="A14" t="s">
        <v>2036</v>
      </c>
      <c r="B14" s="897">
        <v>0.2</v>
      </c>
      <c r="C14" t="s">
        <v>2037</v>
      </c>
    </row>
    <row r="16" spans="1:7">
      <c r="A16" t="s">
        <v>2029</v>
      </c>
    </row>
    <row r="17" spans="1:20" s="1113" customFormat="1">
      <c r="A17" s="1112" t="s">
        <v>2022</v>
      </c>
    </row>
    <row r="18" spans="1:20" s="1113" customFormat="1" ht="15.75" thickBot="1"/>
    <row r="19" spans="1:20">
      <c r="A19" s="895" t="s">
        <v>1026</v>
      </c>
      <c r="B19" s="895" t="s">
        <v>101</v>
      </c>
      <c r="C19" s="895" t="s">
        <v>102</v>
      </c>
      <c r="D19" t="s">
        <v>245</v>
      </c>
      <c r="E19" t="s">
        <v>2019</v>
      </c>
      <c r="F19" t="s">
        <v>2018</v>
      </c>
      <c r="G19" t="s">
        <v>2024</v>
      </c>
      <c r="H19" t="s">
        <v>2025</v>
      </c>
      <c r="I19" s="895" t="s">
        <v>2020</v>
      </c>
      <c r="J19" s="895" t="s">
        <v>2021</v>
      </c>
      <c r="K19" s="895" t="s">
        <v>2038</v>
      </c>
      <c r="L19" s="895" t="s">
        <v>2040</v>
      </c>
      <c r="M19" s="895" t="s">
        <v>2041</v>
      </c>
      <c r="N19" s="895" t="s">
        <v>2039</v>
      </c>
      <c r="O19" s="419" t="s">
        <v>105</v>
      </c>
      <c r="P19" s="420" t="s">
        <v>65</v>
      </c>
      <c r="Q19" s="420" t="s">
        <v>67</v>
      </c>
      <c r="R19" s="420" t="s">
        <v>73</v>
      </c>
      <c r="S19" s="421" t="s">
        <v>79</v>
      </c>
      <c r="T19" s="423" t="s">
        <v>107</v>
      </c>
    </row>
    <row r="20" spans="1:20">
      <c r="A20" s="895" t="s">
        <v>180</v>
      </c>
      <c r="B20" s="895">
        <v>2011</v>
      </c>
      <c r="C20" s="895" t="s">
        <v>99</v>
      </c>
      <c r="D20" s="217">
        <v>7.0630766383000001</v>
      </c>
      <c r="E20" s="217">
        <v>2.9838768521284802</v>
      </c>
      <c r="F20" s="217">
        <v>14.8801788318715</v>
      </c>
      <c r="G20" s="217">
        <f>E20/(E20+F20)</f>
        <v>0.16703244240337892</v>
      </c>
      <c r="H20" s="217">
        <f>1-G20</f>
        <v>0.83296755759662111</v>
      </c>
      <c r="I20" s="946">
        <f>E20-(D20*G20)</f>
        <v>1.8041139103509842</v>
      </c>
      <c r="J20" s="946">
        <f>F20-D20*H20</f>
        <v>8.9968651353489975</v>
      </c>
      <c r="K20" s="217">
        <f>I20*$B$5</f>
        <v>1.6237025193158858</v>
      </c>
      <c r="L20" s="217">
        <f>I20*$B$4</f>
        <v>1.9845253013860829</v>
      </c>
      <c r="M20" s="217">
        <f>J20*$B$5</f>
        <v>8.0971786218140984</v>
      </c>
      <c r="N20" s="217">
        <f>J20*$B$4</f>
        <v>9.8965516488838983</v>
      </c>
      <c r="O20">
        <v>1</v>
      </c>
      <c r="P20">
        <v>1</v>
      </c>
      <c r="Q20">
        <v>2</v>
      </c>
      <c r="R20">
        <v>2</v>
      </c>
      <c r="S20">
        <v>2</v>
      </c>
    </row>
    <row r="21" spans="1:20">
      <c r="A21" s="895" t="s">
        <v>180</v>
      </c>
      <c r="B21" s="895">
        <v>2011</v>
      </c>
      <c r="C21" s="895" t="s">
        <v>98</v>
      </c>
      <c r="D21" s="217">
        <v>14.3340022375</v>
      </c>
      <c r="E21" s="217">
        <v>4.6702255953457898</v>
      </c>
      <c r="F21" s="217">
        <v>23.851269135254199</v>
      </c>
      <c r="G21" s="217">
        <f t="shared" ref="G21:G84" si="0">E21/(E21+F21)</f>
        <v>0.1637440687964794</v>
      </c>
      <c r="H21" s="217">
        <f t="shared" ref="H21:H84" si="1">1-G21</f>
        <v>0.8362559312035206</v>
      </c>
      <c r="I21" s="946">
        <f t="shared" ref="I21:I84" si="2">E21-(D21*G21)</f>
        <v>2.3231177468397002</v>
      </c>
      <c r="J21" s="946">
        <f t="shared" ref="J21:J84" si="3">F21-D21*H21</f>
        <v>11.864374746260289</v>
      </c>
      <c r="K21" s="217">
        <f t="shared" ref="K21:K84" si="4">I21*$B$5</f>
        <v>2.0908059721557302</v>
      </c>
      <c r="L21" s="217">
        <f t="shared" ref="L21:L84" si="5">I21*$B$4</f>
        <v>2.5554295215236702</v>
      </c>
      <c r="M21" s="217">
        <f t="shared" ref="M21:M84" si="6">J21*$B$5</f>
        <v>10.67793727163426</v>
      </c>
      <c r="N21" s="217">
        <f t="shared" ref="N21:N84" si="7">J21*$B$4</f>
        <v>13.05081222088632</v>
      </c>
      <c r="O21">
        <v>1</v>
      </c>
      <c r="P21">
        <v>1</v>
      </c>
      <c r="Q21">
        <v>2</v>
      </c>
      <c r="R21">
        <v>2</v>
      </c>
      <c r="S21">
        <v>2</v>
      </c>
    </row>
    <row r="22" spans="1:20">
      <c r="A22" s="895" t="s">
        <v>180</v>
      </c>
      <c r="B22" s="895">
        <v>2011</v>
      </c>
      <c r="C22" s="895" t="s">
        <v>95</v>
      </c>
      <c r="D22" s="217">
        <v>18.619256866000001</v>
      </c>
      <c r="E22" s="217">
        <v>10.3258583173874</v>
      </c>
      <c r="F22" s="217">
        <v>35.543951156312602</v>
      </c>
      <c r="G22" s="217">
        <f t="shared" si="0"/>
        <v>0.22511230013518702</v>
      </c>
      <c r="H22" s="217">
        <f t="shared" si="1"/>
        <v>0.77488769986481298</v>
      </c>
      <c r="I22" s="946">
        <f t="shared" si="2"/>
        <v>6.1344345774742663</v>
      </c>
      <c r="J22" s="946">
        <f t="shared" si="3"/>
        <v>21.116118030225735</v>
      </c>
      <c r="K22" s="217">
        <f t="shared" si="4"/>
        <v>5.5209911197268395</v>
      </c>
      <c r="L22" s="217">
        <f t="shared" si="5"/>
        <v>6.7478780352216932</v>
      </c>
      <c r="M22" s="217">
        <f t="shared" si="6"/>
        <v>19.004506227203162</v>
      </c>
      <c r="N22" s="217">
        <f t="shared" si="7"/>
        <v>23.227729833248311</v>
      </c>
      <c r="O22">
        <v>1</v>
      </c>
      <c r="P22">
        <v>1</v>
      </c>
      <c r="Q22">
        <v>2</v>
      </c>
      <c r="R22">
        <v>2</v>
      </c>
      <c r="S22">
        <v>2</v>
      </c>
    </row>
    <row r="23" spans="1:20">
      <c r="A23" s="895" t="s">
        <v>180</v>
      </c>
      <c r="B23" s="895">
        <v>2011</v>
      </c>
      <c r="C23" s="895" t="s">
        <v>91</v>
      </c>
      <c r="D23" s="217">
        <v>76.861589176739997</v>
      </c>
      <c r="E23" s="217">
        <v>27.695602211611</v>
      </c>
      <c r="F23" s="217">
        <v>162.91352493893899</v>
      </c>
      <c r="G23" s="217">
        <f t="shared" si="0"/>
        <v>0.14530050384070017</v>
      </c>
      <c r="H23" s="217">
        <f t="shared" si="1"/>
        <v>0.85469949615929985</v>
      </c>
      <c r="I23" s="946">
        <f t="shared" si="2"/>
        <v>16.527574578233772</v>
      </c>
      <c r="J23" s="946">
        <f t="shared" si="3"/>
        <v>97.219963395576215</v>
      </c>
      <c r="K23" s="217">
        <f t="shared" si="4"/>
        <v>14.874817120410395</v>
      </c>
      <c r="L23" s="217">
        <f t="shared" si="5"/>
        <v>18.180332036057152</v>
      </c>
      <c r="M23" s="217">
        <f t="shared" si="6"/>
        <v>87.497967056018595</v>
      </c>
      <c r="N23" s="217">
        <f t="shared" si="7"/>
        <v>106.94195973513385</v>
      </c>
      <c r="O23">
        <v>1</v>
      </c>
      <c r="P23">
        <v>1</v>
      </c>
      <c r="Q23">
        <v>2</v>
      </c>
      <c r="R23">
        <v>2</v>
      </c>
      <c r="S23">
        <v>2</v>
      </c>
    </row>
    <row r="24" spans="1:20">
      <c r="A24" s="895" t="s">
        <v>180</v>
      </c>
      <c r="B24" s="895">
        <v>2011</v>
      </c>
      <c r="C24" s="895" t="s">
        <v>93</v>
      </c>
      <c r="D24" s="217">
        <v>16.158205452000001</v>
      </c>
      <c r="E24" s="217">
        <v>7.3596634695651</v>
      </c>
      <c r="F24" s="217">
        <v>18.8550660514349</v>
      </c>
      <c r="G24" s="217">
        <f t="shared" si="0"/>
        <v>0.28074535209945417</v>
      </c>
      <c r="H24" s="217">
        <f t="shared" si="1"/>
        <v>0.71925464790054583</v>
      </c>
      <c r="I24" s="946">
        <f t="shared" si="2"/>
        <v>2.8233223906480394</v>
      </c>
      <c r="J24" s="946">
        <f t="shared" si="3"/>
        <v>7.2332016783519588</v>
      </c>
      <c r="K24" s="217">
        <f t="shared" si="4"/>
        <v>2.5409901515832356</v>
      </c>
      <c r="L24" s="217">
        <f t="shared" si="5"/>
        <v>3.1056546297128436</v>
      </c>
      <c r="M24" s="217">
        <f t="shared" si="6"/>
        <v>6.5098815105167631</v>
      </c>
      <c r="N24" s="217">
        <f t="shared" si="7"/>
        <v>7.9565218461871554</v>
      </c>
      <c r="O24">
        <v>1</v>
      </c>
      <c r="P24">
        <v>1</v>
      </c>
      <c r="Q24">
        <v>2</v>
      </c>
      <c r="R24">
        <v>2</v>
      </c>
      <c r="S24">
        <v>2</v>
      </c>
    </row>
    <row r="25" spans="1:20">
      <c r="A25" s="895" t="s">
        <v>180</v>
      </c>
      <c r="B25" s="895">
        <v>2011</v>
      </c>
      <c r="C25" s="895" t="s">
        <v>90</v>
      </c>
      <c r="D25" s="217">
        <v>10.16148924</v>
      </c>
      <c r="E25" s="217">
        <v>4.4250242219113698</v>
      </c>
      <c r="F25" s="217">
        <v>12.1449342750886</v>
      </c>
      <c r="G25" s="217">
        <f t="shared" si="0"/>
        <v>0.26705101420214966</v>
      </c>
      <c r="H25" s="217">
        <f t="shared" si="1"/>
        <v>0.73294898579785039</v>
      </c>
      <c r="I25" s="946">
        <f t="shared" si="2"/>
        <v>1.7113882145651389</v>
      </c>
      <c r="J25" s="946">
        <f t="shared" si="3"/>
        <v>4.6970810424348306</v>
      </c>
      <c r="K25" s="217">
        <f t="shared" si="4"/>
        <v>1.540249393108625</v>
      </c>
      <c r="L25" s="217">
        <f t="shared" si="5"/>
        <v>1.8825270360216528</v>
      </c>
      <c r="M25" s="217">
        <f t="shared" si="6"/>
        <v>4.2273729381913476</v>
      </c>
      <c r="N25" s="217">
        <f t="shared" si="7"/>
        <v>5.1667891466783145</v>
      </c>
      <c r="O25">
        <v>1</v>
      </c>
      <c r="P25">
        <v>1</v>
      </c>
      <c r="Q25">
        <v>2</v>
      </c>
      <c r="R25">
        <v>2</v>
      </c>
      <c r="S25">
        <v>2</v>
      </c>
    </row>
    <row r="26" spans="1:20">
      <c r="A26" s="895" t="s">
        <v>180</v>
      </c>
      <c r="B26" s="895">
        <v>2011</v>
      </c>
      <c r="C26" s="895" t="s">
        <v>92</v>
      </c>
      <c r="D26" s="217">
        <v>18.036622103999999</v>
      </c>
      <c r="E26" s="217">
        <v>5.3007882208538497</v>
      </c>
      <c r="F26" s="217">
        <v>25.408375244646098</v>
      </c>
      <c r="G26" s="217">
        <f t="shared" si="0"/>
        <v>0.17261258929469026</v>
      </c>
      <c r="H26" s="217">
        <f t="shared" si="1"/>
        <v>0.82738741070530974</v>
      </c>
      <c r="I26" s="946">
        <f t="shared" si="2"/>
        <v>2.187440177352566</v>
      </c>
      <c r="J26" s="946">
        <f t="shared" si="3"/>
        <v>10.485101184147384</v>
      </c>
      <c r="K26" s="217">
        <f t="shared" si="4"/>
        <v>1.9686961596173094</v>
      </c>
      <c r="L26" s="217">
        <f t="shared" si="5"/>
        <v>2.4061841950878229</v>
      </c>
      <c r="M26" s="217">
        <f t="shared" si="6"/>
        <v>9.4365910657326459</v>
      </c>
      <c r="N26" s="217">
        <f t="shared" si="7"/>
        <v>11.533611302562123</v>
      </c>
      <c r="O26">
        <v>1</v>
      </c>
      <c r="P26">
        <v>1</v>
      </c>
      <c r="Q26">
        <v>2</v>
      </c>
      <c r="R26">
        <v>2</v>
      </c>
      <c r="S26">
        <v>2</v>
      </c>
    </row>
    <row r="27" spans="1:20">
      <c r="A27" s="895" t="s">
        <v>180</v>
      </c>
      <c r="B27" s="895">
        <v>2012</v>
      </c>
      <c r="C27" s="895" t="s">
        <v>99</v>
      </c>
      <c r="D27" s="217">
        <v>5.2640174657000003</v>
      </c>
      <c r="E27" s="217">
        <v>2.88142708455681</v>
      </c>
      <c r="F27" s="217">
        <v>11.625426204943199</v>
      </c>
      <c r="G27" s="217">
        <f t="shared" si="0"/>
        <v>0.19862523092050383</v>
      </c>
      <c r="H27" s="217">
        <f t="shared" si="1"/>
        <v>0.80137476907949612</v>
      </c>
      <c r="I27" s="946">
        <f t="shared" si="2"/>
        <v>1.835860399862582</v>
      </c>
      <c r="J27" s="946">
        <f t="shared" si="3"/>
        <v>7.4069754239374275</v>
      </c>
      <c r="K27" s="217">
        <f t="shared" si="4"/>
        <v>1.6522743598763239</v>
      </c>
      <c r="L27" s="217">
        <f t="shared" si="5"/>
        <v>2.0194464398488403</v>
      </c>
      <c r="M27" s="217">
        <f t="shared" si="6"/>
        <v>6.6662778815436852</v>
      </c>
      <c r="N27" s="217">
        <f t="shared" si="7"/>
        <v>8.1476729663311716</v>
      </c>
      <c r="O27">
        <v>1</v>
      </c>
      <c r="P27">
        <v>1</v>
      </c>
      <c r="Q27">
        <v>2</v>
      </c>
      <c r="R27">
        <v>2</v>
      </c>
      <c r="S27">
        <v>2</v>
      </c>
    </row>
    <row r="28" spans="1:20">
      <c r="A28" s="895" t="s">
        <v>180</v>
      </c>
      <c r="B28" s="895">
        <v>2012</v>
      </c>
      <c r="C28" s="895" t="s">
        <v>98</v>
      </c>
      <c r="D28" s="217">
        <v>12.6522568807</v>
      </c>
      <c r="E28" s="217">
        <v>4.0094459584146502</v>
      </c>
      <c r="F28" s="217">
        <v>19.3205172447853</v>
      </c>
      <c r="G28" s="217">
        <f t="shared" si="0"/>
        <v>0.17185822041351151</v>
      </c>
      <c r="H28" s="217">
        <f t="shared" si="1"/>
        <v>0.82814177958648849</v>
      </c>
      <c r="I28" s="946">
        <f t="shared" si="2"/>
        <v>1.8350516066829421</v>
      </c>
      <c r="J28" s="946">
        <f t="shared" si="3"/>
        <v>8.8426547158170088</v>
      </c>
      <c r="K28" s="217">
        <f t="shared" si="4"/>
        <v>1.6515464460146478</v>
      </c>
      <c r="L28" s="217">
        <f t="shared" si="5"/>
        <v>2.0185567673512366</v>
      </c>
      <c r="M28" s="217">
        <f t="shared" si="6"/>
        <v>7.9583892442353079</v>
      </c>
      <c r="N28" s="217">
        <f t="shared" si="7"/>
        <v>9.7269201873987097</v>
      </c>
      <c r="O28">
        <v>1</v>
      </c>
      <c r="P28">
        <v>1</v>
      </c>
      <c r="Q28">
        <v>2</v>
      </c>
      <c r="R28">
        <v>2</v>
      </c>
      <c r="S28">
        <v>2</v>
      </c>
    </row>
    <row r="29" spans="1:20">
      <c r="A29" s="895" t="s">
        <v>180</v>
      </c>
      <c r="B29" s="895">
        <v>2012</v>
      </c>
      <c r="C29" s="895" t="s">
        <v>95</v>
      </c>
      <c r="D29" s="217">
        <v>13.2470930035</v>
      </c>
      <c r="E29" s="217">
        <v>8.7461496994453203</v>
      </c>
      <c r="F29" s="217">
        <v>25.704587830354701</v>
      </c>
      <c r="G29" s="217">
        <f t="shared" si="0"/>
        <v>0.25387409171951303</v>
      </c>
      <c r="H29" s="217">
        <f t="shared" si="1"/>
        <v>0.74612590828048697</v>
      </c>
      <c r="I29" s="946">
        <f t="shared" si="2"/>
        <v>5.3830559952578421</v>
      </c>
      <c r="J29" s="946">
        <f t="shared" si="3"/>
        <v>15.82058853104218</v>
      </c>
      <c r="K29" s="217">
        <f t="shared" si="4"/>
        <v>4.8447503957320581</v>
      </c>
      <c r="L29" s="217">
        <f t="shared" si="5"/>
        <v>5.9213615947836269</v>
      </c>
      <c r="M29" s="217">
        <f t="shared" si="6"/>
        <v>14.238529677937962</v>
      </c>
      <c r="N29" s="217">
        <f t="shared" si="7"/>
        <v>17.402647384146398</v>
      </c>
      <c r="O29">
        <v>1</v>
      </c>
      <c r="P29">
        <v>1</v>
      </c>
      <c r="Q29">
        <v>2</v>
      </c>
      <c r="R29">
        <v>2</v>
      </c>
      <c r="S29">
        <v>2</v>
      </c>
    </row>
    <row r="30" spans="1:20">
      <c r="A30" s="895" t="s">
        <v>180</v>
      </c>
      <c r="B30" s="895">
        <v>2012</v>
      </c>
      <c r="C30" s="895" t="s">
        <v>91</v>
      </c>
      <c r="D30" s="217">
        <v>69.49940018222</v>
      </c>
      <c r="E30" s="217">
        <v>28.355291548623899</v>
      </c>
      <c r="F30" s="217">
        <v>148.47090887031601</v>
      </c>
      <c r="G30" s="217">
        <f t="shared" si="0"/>
        <v>0.16035684463865657</v>
      </c>
      <c r="H30" s="217">
        <f t="shared" si="1"/>
        <v>0.83964315536134349</v>
      </c>
      <c r="I30" s="946">
        <f t="shared" si="2"/>
        <v>17.210587031123829</v>
      </c>
      <c r="J30" s="946">
        <f t="shared" si="3"/>
        <v>90.116213205596068</v>
      </c>
      <c r="K30" s="217">
        <f t="shared" si="4"/>
        <v>15.489528328011447</v>
      </c>
      <c r="L30" s="217">
        <f t="shared" si="5"/>
        <v>18.931645734236213</v>
      </c>
      <c r="M30" s="217">
        <f t="shared" si="6"/>
        <v>81.10459188503647</v>
      </c>
      <c r="N30" s="217">
        <f t="shared" si="7"/>
        <v>99.127834526155681</v>
      </c>
      <c r="O30">
        <v>1</v>
      </c>
      <c r="P30">
        <v>1</v>
      </c>
      <c r="Q30">
        <v>2</v>
      </c>
      <c r="R30">
        <v>2</v>
      </c>
      <c r="S30">
        <v>2</v>
      </c>
    </row>
    <row r="31" spans="1:20">
      <c r="A31" s="895" t="s">
        <v>180</v>
      </c>
      <c r="B31" s="895">
        <v>2012</v>
      </c>
      <c r="C31" s="895" t="s">
        <v>93</v>
      </c>
      <c r="D31" s="217">
        <v>14.538809602000001</v>
      </c>
      <c r="E31" s="217">
        <v>6.9357768958170096</v>
      </c>
      <c r="F31" s="217">
        <v>16.410014790182998</v>
      </c>
      <c r="G31" s="217">
        <f t="shared" si="0"/>
        <v>0.29708895672089169</v>
      </c>
      <c r="H31" s="217">
        <f t="shared" si="1"/>
        <v>0.70291104327910836</v>
      </c>
      <c r="I31" s="946">
        <f t="shared" si="2"/>
        <v>2.6164571191951467</v>
      </c>
      <c r="J31" s="946">
        <f t="shared" si="3"/>
        <v>6.1905249648048599</v>
      </c>
      <c r="K31" s="217">
        <f t="shared" si="4"/>
        <v>2.3548114072756321</v>
      </c>
      <c r="L31" s="217">
        <f t="shared" si="5"/>
        <v>2.8781028311146617</v>
      </c>
      <c r="M31" s="217">
        <f t="shared" si="6"/>
        <v>5.5714724683243739</v>
      </c>
      <c r="N31" s="217">
        <f t="shared" si="7"/>
        <v>6.8095774612853468</v>
      </c>
      <c r="O31">
        <v>1</v>
      </c>
      <c r="P31">
        <v>1</v>
      </c>
      <c r="Q31">
        <v>2</v>
      </c>
      <c r="R31">
        <v>2</v>
      </c>
      <c r="S31">
        <v>2</v>
      </c>
    </row>
    <row r="32" spans="1:20">
      <c r="A32" s="895" t="s">
        <v>180</v>
      </c>
      <c r="B32" s="895">
        <v>2012</v>
      </c>
      <c r="C32" s="895" t="s">
        <v>90</v>
      </c>
      <c r="D32" s="217">
        <v>9.1850493360000005</v>
      </c>
      <c r="E32" s="217">
        <v>4.1764702404714997</v>
      </c>
      <c r="F32" s="217">
        <v>10.5582348725285</v>
      </c>
      <c r="G32" s="217">
        <f t="shared" si="0"/>
        <v>0.28344444007818803</v>
      </c>
      <c r="H32" s="217">
        <f t="shared" si="1"/>
        <v>0.71655555992181197</v>
      </c>
      <c r="I32" s="946">
        <f t="shared" si="2"/>
        <v>1.5730190743384469</v>
      </c>
      <c r="J32" s="946">
        <f t="shared" si="3"/>
        <v>3.9766367026615521</v>
      </c>
      <c r="K32" s="217">
        <f t="shared" si="4"/>
        <v>1.4157171669046023</v>
      </c>
      <c r="L32" s="217">
        <f t="shared" si="5"/>
        <v>1.7303209817722918</v>
      </c>
      <c r="M32" s="217">
        <f t="shared" si="6"/>
        <v>3.578973032395397</v>
      </c>
      <c r="N32" s="217">
        <f t="shared" si="7"/>
        <v>4.3743003729277072</v>
      </c>
      <c r="O32">
        <v>1</v>
      </c>
      <c r="P32">
        <v>1</v>
      </c>
      <c r="Q32">
        <v>2</v>
      </c>
      <c r="R32">
        <v>2</v>
      </c>
      <c r="S32">
        <v>2</v>
      </c>
    </row>
    <row r="33" spans="1:19">
      <c r="A33" s="895" t="s">
        <v>180</v>
      </c>
      <c r="B33" s="895">
        <v>2012</v>
      </c>
      <c r="C33" s="895" t="s">
        <v>92</v>
      </c>
      <c r="D33" s="217">
        <v>16.823204306000001</v>
      </c>
      <c r="E33" s="217">
        <v>5.0060553399371504</v>
      </c>
      <c r="F33" s="217">
        <v>22.085493438562899</v>
      </c>
      <c r="G33" s="217">
        <f t="shared" si="0"/>
        <v>0.18478291443824629</v>
      </c>
      <c r="H33" s="217">
        <f t="shared" si="1"/>
        <v>0.81521708556175376</v>
      </c>
      <c r="I33" s="946">
        <f t="shared" si="2"/>
        <v>1.8974146180844156</v>
      </c>
      <c r="J33" s="946">
        <f t="shared" si="3"/>
        <v>8.3709298544156319</v>
      </c>
      <c r="K33" s="217">
        <f t="shared" si="4"/>
        <v>1.7076731562759742</v>
      </c>
      <c r="L33" s="217">
        <f t="shared" si="5"/>
        <v>2.0871560798928575</v>
      </c>
      <c r="M33" s="217">
        <f t="shared" si="6"/>
        <v>7.5338368689740687</v>
      </c>
      <c r="N33" s="217">
        <f t="shared" si="7"/>
        <v>9.2080228398571951</v>
      </c>
      <c r="O33">
        <v>1</v>
      </c>
      <c r="P33">
        <v>1</v>
      </c>
      <c r="Q33">
        <v>2</v>
      </c>
      <c r="R33">
        <v>2</v>
      </c>
      <c r="S33">
        <v>2</v>
      </c>
    </row>
    <row r="34" spans="1:19">
      <c r="A34" s="895" t="s">
        <v>180</v>
      </c>
      <c r="B34" s="895">
        <v>2013</v>
      </c>
      <c r="C34" s="895" t="s">
        <v>99</v>
      </c>
      <c r="D34" s="217">
        <v>7.0791820757000004</v>
      </c>
      <c r="E34" s="217">
        <v>3.06148669075974</v>
      </c>
      <c r="F34" s="217">
        <v>13.7550504380403</v>
      </c>
      <c r="G34" s="217">
        <f t="shared" si="0"/>
        <v>0.18205214708066331</v>
      </c>
      <c r="H34" s="217">
        <f t="shared" si="1"/>
        <v>0.81794785291933669</v>
      </c>
      <c r="I34" s="946">
        <f t="shared" si="2"/>
        <v>1.7727063943036081</v>
      </c>
      <c r="J34" s="946">
        <f t="shared" si="3"/>
        <v>7.9646486587964311</v>
      </c>
      <c r="K34" s="217">
        <f t="shared" si="4"/>
        <v>1.5954357548732474</v>
      </c>
      <c r="L34" s="217">
        <f t="shared" si="5"/>
        <v>1.949977033733969</v>
      </c>
      <c r="M34" s="217">
        <f t="shared" si="6"/>
        <v>7.1681837929167882</v>
      </c>
      <c r="N34" s="217">
        <f t="shared" si="7"/>
        <v>8.761113524676075</v>
      </c>
      <c r="O34">
        <v>1</v>
      </c>
      <c r="P34">
        <v>1</v>
      </c>
      <c r="Q34">
        <v>2</v>
      </c>
      <c r="R34">
        <v>2</v>
      </c>
      <c r="S34">
        <v>2</v>
      </c>
    </row>
    <row r="35" spans="1:19">
      <c r="A35" s="895" t="s">
        <v>180</v>
      </c>
      <c r="B35" s="895">
        <v>2013</v>
      </c>
      <c r="C35" s="895" t="s">
        <v>98</v>
      </c>
      <c r="D35" s="217">
        <v>14.154660159300001</v>
      </c>
      <c r="E35" s="217">
        <v>4.2768624747036803</v>
      </c>
      <c r="F35" s="217">
        <v>23.156980851996298</v>
      </c>
      <c r="G35" s="217">
        <f t="shared" si="0"/>
        <v>0.15589731353977754</v>
      </c>
      <c r="H35" s="217">
        <f t="shared" si="1"/>
        <v>0.84410268646022246</v>
      </c>
      <c r="I35" s="946">
        <f t="shared" si="2"/>
        <v>2.0701889818002908</v>
      </c>
      <c r="J35" s="946">
        <f t="shared" si="3"/>
        <v>11.208994185599687</v>
      </c>
      <c r="K35" s="217">
        <f t="shared" si="4"/>
        <v>1.8631700836202618</v>
      </c>
      <c r="L35" s="217">
        <f t="shared" si="5"/>
        <v>2.2772078799803199</v>
      </c>
      <c r="M35" s="217">
        <f t="shared" si="6"/>
        <v>10.088094767039719</v>
      </c>
      <c r="N35" s="217">
        <f t="shared" si="7"/>
        <v>12.329893604159658</v>
      </c>
      <c r="O35">
        <v>1</v>
      </c>
      <c r="P35">
        <v>1</v>
      </c>
      <c r="Q35">
        <v>2</v>
      </c>
      <c r="R35">
        <v>2</v>
      </c>
      <c r="S35">
        <v>2</v>
      </c>
    </row>
    <row r="36" spans="1:19">
      <c r="A36" s="895" t="s">
        <v>180</v>
      </c>
      <c r="B36" s="895">
        <v>2013</v>
      </c>
      <c r="C36" s="895" t="s">
        <v>95</v>
      </c>
      <c r="D36" s="217">
        <v>16.0355648894</v>
      </c>
      <c r="E36" s="217">
        <v>9.2648735485593008</v>
      </c>
      <c r="F36" s="217">
        <v>29.860490801140699</v>
      </c>
      <c r="G36" s="217">
        <f t="shared" si="0"/>
        <v>0.23679967464968388</v>
      </c>
      <c r="H36" s="217">
        <f t="shared" si="1"/>
        <v>0.76320032535031612</v>
      </c>
      <c r="I36" s="946">
        <f t="shared" si="2"/>
        <v>5.4676569999254863</v>
      </c>
      <c r="J36" s="946">
        <f t="shared" si="3"/>
        <v>17.622142460374512</v>
      </c>
      <c r="K36" s="217">
        <f t="shared" si="4"/>
        <v>4.9208912999329382</v>
      </c>
      <c r="L36" s="217">
        <f t="shared" si="5"/>
        <v>6.0144226999180352</v>
      </c>
      <c r="M36" s="217">
        <f t="shared" si="6"/>
        <v>15.859928214337062</v>
      </c>
      <c r="N36" s="217">
        <f t="shared" si="7"/>
        <v>19.384356706411964</v>
      </c>
      <c r="O36">
        <v>1</v>
      </c>
      <c r="P36">
        <v>1</v>
      </c>
      <c r="Q36">
        <v>2</v>
      </c>
      <c r="R36">
        <v>2</v>
      </c>
      <c r="S36">
        <v>2</v>
      </c>
    </row>
    <row r="37" spans="1:19">
      <c r="A37" s="895" t="s">
        <v>180</v>
      </c>
      <c r="B37" s="895">
        <v>2013</v>
      </c>
      <c r="C37" s="895" t="s">
        <v>91</v>
      </c>
      <c r="D37" s="217">
        <v>84.701817708429999</v>
      </c>
      <c r="E37" s="217">
        <v>31.312524372819201</v>
      </c>
      <c r="F37" s="217">
        <v>172.81298180344101</v>
      </c>
      <c r="G37" s="217">
        <f t="shared" si="0"/>
        <v>0.15339839180009757</v>
      </c>
      <c r="H37" s="217">
        <f t="shared" si="1"/>
        <v>0.84660160819990238</v>
      </c>
      <c r="I37" s="946">
        <f t="shared" si="2"/>
        <v>18.319401753801014</v>
      </c>
      <c r="J37" s="946">
        <f t="shared" si="3"/>
        <v>101.1042867140292</v>
      </c>
      <c r="K37" s="217">
        <f t="shared" si="4"/>
        <v>16.487461578420913</v>
      </c>
      <c r="L37" s="217">
        <f t="shared" si="5"/>
        <v>20.151341929181118</v>
      </c>
      <c r="M37" s="217">
        <f t="shared" si="6"/>
        <v>90.993858042626286</v>
      </c>
      <c r="N37" s="217">
        <f t="shared" si="7"/>
        <v>111.21471538543213</v>
      </c>
      <c r="O37">
        <v>1</v>
      </c>
      <c r="P37">
        <v>1</v>
      </c>
      <c r="Q37">
        <v>2</v>
      </c>
      <c r="R37">
        <v>2</v>
      </c>
      <c r="S37">
        <v>2</v>
      </c>
    </row>
    <row r="38" spans="1:19">
      <c r="A38" s="895" t="s">
        <v>180</v>
      </c>
      <c r="B38" s="895">
        <v>2013</v>
      </c>
      <c r="C38" s="895" t="s">
        <v>93</v>
      </c>
      <c r="D38" s="217">
        <v>16.060460152000001</v>
      </c>
      <c r="E38" s="217">
        <v>7.3957083452502701</v>
      </c>
      <c r="F38" s="217">
        <v>17.789246278749701</v>
      </c>
      <c r="G38" s="217">
        <f t="shared" si="0"/>
        <v>0.29365581378505001</v>
      </c>
      <c r="H38" s="217">
        <f t="shared" si="1"/>
        <v>0.70634418621494999</v>
      </c>
      <c r="I38" s="946">
        <f t="shared" si="2"/>
        <v>2.679460849552342</v>
      </c>
      <c r="J38" s="946">
        <f t="shared" si="3"/>
        <v>6.4450336224476281</v>
      </c>
      <c r="K38" s="217">
        <f t="shared" si="4"/>
        <v>2.4115147645971078</v>
      </c>
      <c r="L38" s="217">
        <f t="shared" si="5"/>
        <v>2.9474069345075766</v>
      </c>
      <c r="M38" s="217">
        <f t="shared" si="6"/>
        <v>5.8005302602028657</v>
      </c>
      <c r="N38" s="217">
        <f t="shared" si="7"/>
        <v>7.0895369846923915</v>
      </c>
      <c r="O38">
        <v>1</v>
      </c>
      <c r="P38">
        <v>1</v>
      </c>
      <c r="Q38">
        <v>2</v>
      </c>
      <c r="R38">
        <v>2</v>
      </c>
      <c r="S38">
        <v>2</v>
      </c>
    </row>
    <row r="39" spans="1:19">
      <c r="A39" s="895" t="s">
        <v>180</v>
      </c>
      <c r="B39" s="895">
        <v>2013</v>
      </c>
      <c r="C39" s="895" t="s">
        <v>90</v>
      </c>
      <c r="D39" s="217">
        <v>10.157695527</v>
      </c>
      <c r="E39" s="217">
        <v>4.4761625479560196</v>
      </c>
      <c r="F39" s="217">
        <v>11.524375417044</v>
      </c>
      <c r="G39" s="217">
        <f t="shared" si="0"/>
        <v>0.27975075324012794</v>
      </c>
      <c r="H39" s="217">
        <f t="shared" si="1"/>
        <v>0.72024924675987201</v>
      </c>
      <c r="I39" s="946">
        <f t="shared" si="2"/>
        <v>1.6345395730938916</v>
      </c>
      <c r="J39" s="946">
        <f t="shared" si="3"/>
        <v>4.2083028649061296</v>
      </c>
      <c r="K39" s="217">
        <f t="shared" si="4"/>
        <v>1.4710856157845025</v>
      </c>
      <c r="L39" s="217">
        <f t="shared" si="5"/>
        <v>1.797993530403281</v>
      </c>
      <c r="M39" s="217">
        <f t="shared" si="6"/>
        <v>3.7874725784155165</v>
      </c>
      <c r="N39" s="217">
        <f t="shared" si="7"/>
        <v>4.6291331513967426</v>
      </c>
      <c r="O39">
        <v>1</v>
      </c>
      <c r="P39">
        <v>1</v>
      </c>
      <c r="Q39">
        <v>2</v>
      </c>
      <c r="R39">
        <v>2</v>
      </c>
      <c r="S39">
        <v>2</v>
      </c>
    </row>
    <row r="40" spans="1:19">
      <c r="A40" s="895" t="s">
        <v>180</v>
      </c>
      <c r="B40" s="895">
        <v>2013</v>
      </c>
      <c r="C40" s="895" t="s">
        <v>92</v>
      </c>
      <c r="D40" s="217">
        <v>18.870301935499999</v>
      </c>
      <c r="E40" s="217">
        <v>5.55937336696923</v>
      </c>
      <c r="F40" s="217">
        <v>25.210982943530801</v>
      </c>
      <c r="G40" s="217">
        <f t="shared" si="0"/>
        <v>0.18067302539074459</v>
      </c>
      <c r="H40" s="217">
        <f t="shared" si="1"/>
        <v>0.81932697460925541</v>
      </c>
      <c r="I40" s="946">
        <f t="shared" si="2"/>
        <v>2.1500188262456219</v>
      </c>
      <c r="J40" s="946">
        <f t="shared" si="3"/>
        <v>9.7500355487544113</v>
      </c>
      <c r="K40" s="217">
        <f t="shared" si="4"/>
        <v>1.9350169436210598</v>
      </c>
      <c r="L40" s="217">
        <f t="shared" si="5"/>
        <v>2.3650207088701842</v>
      </c>
      <c r="M40" s="217">
        <f t="shared" si="6"/>
        <v>8.7750319938789705</v>
      </c>
      <c r="N40" s="217">
        <f t="shared" si="7"/>
        <v>10.725039103629854</v>
      </c>
      <c r="O40">
        <v>1</v>
      </c>
      <c r="P40">
        <v>1</v>
      </c>
      <c r="Q40">
        <v>2</v>
      </c>
      <c r="R40">
        <v>2</v>
      </c>
      <c r="S40">
        <v>2</v>
      </c>
    </row>
    <row r="41" spans="1:19">
      <c r="A41" s="895" t="s">
        <v>180</v>
      </c>
      <c r="B41" s="895">
        <v>2014</v>
      </c>
      <c r="C41" s="895" t="s">
        <v>99</v>
      </c>
      <c r="D41" s="217">
        <v>10.4366245564</v>
      </c>
      <c r="E41" s="217">
        <v>3.3916552970315199</v>
      </c>
      <c r="F41" s="217">
        <v>17.677083196868502</v>
      </c>
      <c r="G41" s="217">
        <f t="shared" si="0"/>
        <v>0.16098046392352808</v>
      </c>
      <c r="H41" s="217">
        <f t="shared" si="1"/>
        <v>0.83901953607647195</v>
      </c>
      <c r="I41" s="946">
        <f t="shared" si="2"/>
        <v>1.7115626341465624</v>
      </c>
      <c r="J41" s="946">
        <f t="shared" si="3"/>
        <v>8.9205513033534594</v>
      </c>
      <c r="K41" s="217">
        <f t="shared" si="4"/>
        <v>1.5404063707319062</v>
      </c>
      <c r="L41" s="217">
        <f t="shared" si="5"/>
        <v>1.8827188975612188</v>
      </c>
      <c r="M41" s="217">
        <f t="shared" si="6"/>
        <v>8.0284961730181141</v>
      </c>
      <c r="N41" s="217">
        <f t="shared" si="7"/>
        <v>9.8126064336888064</v>
      </c>
      <c r="O41">
        <v>1</v>
      </c>
      <c r="P41">
        <v>1</v>
      </c>
      <c r="Q41">
        <v>2</v>
      </c>
      <c r="R41">
        <v>2</v>
      </c>
      <c r="S41">
        <v>2</v>
      </c>
    </row>
    <row r="42" spans="1:19">
      <c r="A42" s="895" t="s">
        <v>180</v>
      </c>
      <c r="B42" s="895">
        <v>2014</v>
      </c>
      <c r="C42" s="895" t="s">
        <v>98</v>
      </c>
      <c r="D42" s="217">
        <v>16.611146119699999</v>
      </c>
      <c r="E42" s="217">
        <v>4.92719231731947</v>
      </c>
      <c r="F42" s="217">
        <v>27.8264395436805</v>
      </c>
      <c r="G42" s="217">
        <f t="shared" si="0"/>
        <v>0.15043193799788412</v>
      </c>
      <c r="H42" s="217">
        <f t="shared" si="1"/>
        <v>0.84956806200211588</v>
      </c>
      <c r="I42" s="946">
        <f t="shared" si="2"/>
        <v>2.4283454141669663</v>
      </c>
      <c r="J42" s="946">
        <f t="shared" si="3"/>
        <v>13.714140327133006</v>
      </c>
      <c r="K42" s="217">
        <f t="shared" si="4"/>
        <v>2.1855108727502697</v>
      </c>
      <c r="L42" s="217">
        <f t="shared" si="5"/>
        <v>2.6711799555836633</v>
      </c>
      <c r="M42" s="217">
        <f t="shared" si="6"/>
        <v>12.342726294419705</v>
      </c>
      <c r="N42" s="217">
        <f t="shared" si="7"/>
        <v>15.085554359846308</v>
      </c>
      <c r="O42">
        <v>1</v>
      </c>
      <c r="P42">
        <v>1</v>
      </c>
      <c r="Q42">
        <v>2</v>
      </c>
      <c r="R42">
        <v>2</v>
      </c>
      <c r="S42">
        <v>2</v>
      </c>
    </row>
    <row r="43" spans="1:19">
      <c r="A43" s="895" t="s">
        <v>180</v>
      </c>
      <c r="B43" s="895">
        <v>2014</v>
      </c>
      <c r="C43" s="895" t="s">
        <v>95</v>
      </c>
      <c r="D43" s="217">
        <v>21.313565153199999</v>
      </c>
      <c r="E43" s="217">
        <v>10.4674757322424</v>
      </c>
      <c r="F43" s="217">
        <v>37.394253262157598</v>
      </c>
      <c r="G43" s="217">
        <f t="shared" si="0"/>
        <v>0.21870241531531665</v>
      </c>
      <c r="H43" s="217">
        <f t="shared" si="1"/>
        <v>0.78129758468468335</v>
      </c>
      <c r="I43" s="946">
        <f t="shared" si="2"/>
        <v>5.8061475542571941</v>
      </c>
      <c r="J43" s="946">
        <f t="shared" si="3"/>
        <v>20.742016286942807</v>
      </c>
      <c r="K43" s="217">
        <f t="shared" si="4"/>
        <v>5.225532798831475</v>
      </c>
      <c r="L43" s="217">
        <f t="shared" si="5"/>
        <v>6.386762309682914</v>
      </c>
      <c r="M43" s="217">
        <f t="shared" si="6"/>
        <v>18.667814658248528</v>
      </c>
      <c r="N43" s="217">
        <f t="shared" si="7"/>
        <v>22.81621791563709</v>
      </c>
      <c r="O43">
        <v>1</v>
      </c>
      <c r="P43">
        <v>1</v>
      </c>
      <c r="Q43">
        <v>2</v>
      </c>
      <c r="R43">
        <v>2</v>
      </c>
      <c r="S43">
        <v>2</v>
      </c>
    </row>
    <row r="44" spans="1:19">
      <c r="A44" s="895" t="s">
        <v>180</v>
      </c>
      <c r="B44" s="895">
        <v>2014</v>
      </c>
      <c r="C44" s="895" t="s">
        <v>91</v>
      </c>
      <c r="D44" s="217">
        <v>111.38126869379001</v>
      </c>
      <c r="E44" s="217">
        <v>35.148589379467403</v>
      </c>
      <c r="F44" s="217">
        <v>212.348269514663</v>
      </c>
      <c r="G44" s="217">
        <f t="shared" si="0"/>
        <v>0.14201630492006612</v>
      </c>
      <c r="H44" s="217">
        <f t="shared" si="1"/>
        <v>0.85798369507993388</v>
      </c>
      <c r="I44" s="946">
        <f t="shared" si="2"/>
        <v>19.330633162266309</v>
      </c>
      <c r="J44" s="946">
        <f t="shared" si="3"/>
        <v>116.7849570380741</v>
      </c>
      <c r="K44" s="217">
        <f t="shared" si="4"/>
        <v>17.39756984603968</v>
      </c>
      <c r="L44" s="217">
        <f t="shared" si="5"/>
        <v>21.263696478492943</v>
      </c>
      <c r="M44" s="217">
        <f t="shared" si="6"/>
        <v>105.10646133426668</v>
      </c>
      <c r="N44" s="217">
        <f t="shared" si="7"/>
        <v>128.46345274188153</v>
      </c>
      <c r="O44">
        <v>1</v>
      </c>
      <c r="P44">
        <v>1</v>
      </c>
      <c r="Q44">
        <v>2</v>
      </c>
      <c r="R44">
        <v>2</v>
      </c>
      <c r="S44">
        <v>2</v>
      </c>
    </row>
    <row r="45" spans="1:19">
      <c r="A45" s="895" t="s">
        <v>180</v>
      </c>
      <c r="B45" s="895">
        <v>2014</v>
      </c>
      <c r="C45" s="895" t="s">
        <v>93</v>
      </c>
      <c r="D45" s="217">
        <v>16.388617928999999</v>
      </c>
      <c r="E45" s="217">
        <v>8.0330004733841296</v>
      </c>
      <c r="F45" s="217">
        <v>19.173431068615901</v>
      </c>
      <c r="G45" s="217">
        <f t="shared" si="0"/>
        <v>0.29526108416618896</v>
      </c>
      <c r="H45" s="217">
        <f t="shared" si="1"/>
        <v>0.7047389158338111</v>
      </c>
      <c r="I45" s="946">
        <f t="shared" si="2"/>
        <v>3.1940793756821479</v>
      </c>
      <c r="J45" s="946">
        <f t="shared" si="3"/>
        <v>7.6237342373178834</v>
      </c>
      <c r="K45" s="217">
        <f t="shared" si="4"/>
        <v>2.8746714381139333</v>
      </c>
      <c r="L45" s="217">
        <f t="shared" si="5"/>
        <v>3.513487313250363</v>
      </c>
      <c r="M45" s="217">
        <f t="shared" si="6"/>
        <v>6.8613608135860948</v>
      </c>
      <c r="N45" s="217">
        <f t="shared" si="7"/>
        <v>8.3861076610496728</v>
      </c>
      <c r="O45">
        <v>1</v>
      </c>
      <c r="P45">
        <v>1</v>
      </c>
      <c r="Q45">
        <v>2</v>
      </c>
      <c r="R45">
        <v>2</v>
      </c>
      <c r="S45">
        <v>2</v>
      </c>
    </row>
    <row r="46" spans="1:19">
      <c r="A46" s="895" t="s">
        <v>180</v>
      </c>
      <c r="B46" s="895">
        <v>2014</v>
      </c>
      <c r="C46" s="895" t="s">
        <v>90</v>
      </c>
      <c r="D46" s="217">
        <v>10.446142995000001</v>
      </c>
      <c r="E46" s="217">
        <v>4.88334785658044</v>
      </c>
      <c r="F46" s="217">
        <v>12.482892006419601</v>
      </c>
      <c r="G46" s="217">
        <f t="shared" si="0"/>
        <v>0.28119776618914183</v>
      </c>
      <c r="H46" s="217">
        <f t="shared" si="1"/>
        <v>0.71880223381085817</v>
      </c>
      <c r="I46" s="946">
        <f t="shared" si="2"/>
        <v>1.9459157810940879</v>
      </c>
      <c r="J46" s="946">
        <f t="shared" si="3"/>
        <v>4.9741810869059515</v>
      </c>
      <c r="K46" s="217">
        <f t="shared" si="4"/>
        <v>1.7513242029846792</v>
      </c>
      <c r="L46" s="217">
        <f t="shared" si="5"/>
        <v>2.1405073592034967</v>
      </c>
      <c r="M46" s="217">
        <f t="shared" si="6"/>
        <v>4.4767629782153566</v>
      </c>
      <c r="N46" s="217">
        <f t="shared" si="7"/>
        <v>5.4715991955965473</v>
      </c>
      <c r="O46">
        <v>1</v>
      </c>
      <c r="P46">
        <v>1</v>
      </c>
      <c r="Q46">
        <v>2</v>
      </c>
      <c r="R46">
        <v>2</v>
      </c>
      <c r="S46">
        <v>2</v>
      </c>
    </row>
    <row r="47" spans="1:19">
      <c r="A47" s="895" t="s">
        <v>180</v>
      </c>
      <c r="B47" s="895">
        <v>2014</v>
      </c>
      <c r="C47" s="895" t="s">
        <v>92</v>
      </c>
      <c r="D47" s="217">
        <v>20.470950934499999</v>
      </c>
      <c r="E47" s="217">
        <v>6.2244893734195603</v>
      </c>
      <c r="F47" s="217">
        <v>28.0803557440804</v>
      </c>
      <c r="G47" s="217">
        <f t="shared" si="0"/>
        <v>0.18144636281258872</v>
      </c>
      <c r="H47" s="217">
        <f t="shared" si="1"/>
        <v>0.81855363718741125</v>
      </c>
      <c r="I47" s="946">
        <f t="shared" si="2"/>
        <v>2.5101097830395713</v>
      </c>
      <c r="J47" s="946">
        <f t="shared" si="3"/>
        <v>11.323784399960392</v>
      </c>
      <c r="K47" s="217">
        <f t="shared" si="4"/>
        <v>2.2590988047356144</v>
      </c>
      <c r="L47" s="217">
        <f t="shared" si="5"/>
        <v>2.7611207613435287</v>
      </c>
      <c r="M47" s="217">
        <f t="shared" si="6"/>
        <v>10.191405959964353</v>
      </c>
      <c r="N47" s="217">
        <f t="shared" si="7"/>
        <v>12.456162839956432</v>
      </c>
      <c r="O47">
        <v>1</v>
      </c>
      <c r="P47">
        <v>1</v>
      </c>
      <c r="Q47">
        <v>2</v>
      </c>
      <c r="R47">
        <v>2</v>
      </c>
      <c r="S47">
        <v>2</v>
      </c>
    </row>
    <row r="48" spans="1:19">
      <c r="A48" s="895" t="s">
        <v>180</v>
      </c>
      <c r="B48" s="895">
        <v>2015</v>
      </c>
      <c r="C48" s="895" t="s">
        <v>99</v>
      </c>
      <c r="D48" s="217">
        <v>7.6148640638999998</v>
      </c>
      <c r="E48" s="217">
        <v>2.8612299745145702</v>
      </c>
      <c r="F48" s="217">
        <v>15.481102009685401</v>
      </c>
      <c r="G48" s="217">
        <f t="shared" si="0"/>
        <v>0.15599052383193285</v>
      </c>
      <c r="H48" s="217">
        <f t="shared" si="1"/>
        <v>0.84400947616806721</v>
      </c>
      <c r="I48" s="946">
        <f t="shared" si="2"/>
        <v>1.6733833402778482</v>
      </c>
      <c r="J48" s="946">
        <f t="shared" si="3"/>
        <v>9.0540845800221224</v>
      </c>
      <c r="K48" s="217">
        <f t="shared" si="4"/>
        <v>1.5060450062500634</v>
      </c>
      <c r="L48" s="217">
        <f t="shared" si="5"/>
        <v>1.8407216743056332</v>
      </c>
      <c r="M48" s="217">
        <f t="shared" si="6"/>
        <v>8.1486761220199107</v>
      </c>
      <c r="N48" s="217">
        <f t="shared" si="7"/>
        <v>9.9594930380243358</v>
      </c>
      <c r="O48">
        <v>1</v>
      </c>
      <c r="P48">
        <v>1</v>
      </c>
      <c r="Q48">
        <v>2</v>
      </c>
      <c r="R48">
        <v>2</v>
      </c>
      <c r="S48">
        <v>2</v>
      </c>
    </row>
    <row r="49" spans="1:19">
      <c r="A49" s="895" t="s">
        <v>180</v>
      </c>
      <c r="B49" s="895">
        <v>2015</v>
      </c>
      <c r="C49" s="895" t="s">
        <v>98</v>
      </c>
      <c r="D49" s="217">
        <v>14.234603527399999</v>
      </c>
      <c r="E49" s="217">
        <v>4.4930375965829699</v>
      </c>
      <c r="F49" s="217">
        <v>25.374029893816999</v>
      </c>
      <c r="G49" s="217">
        <f t="shared" si="0"/>
        <v>0.15043450777439552</v>
      </c>
      <c r="H49" s="217">
        <f t="shared" si="1"/>
        <v>0.84956549222560451</v>
      </c>
      <c r="I49" s="946">
        <f t="shared" si="2"/>
        <v>2.3516620215748767</v>
      </c>
      <c r="J49" s="946">
        <f t="shared" si="3"/>
        <v>13.280801941425093</v>
      </c>
      <c r="K49" s="217">
        <f t="shared" si="4"/>
        <v>2.1164958194173891</v>
      </c>
      <c r="L49" s="217">
        <f t="shared" si="5"/>
        <v>2.5868282237323648</v>
      </c>
      <c r="M49" s="217">
        <f t="shared" si="6"/>
        <v>11.952721747282585</v>
      </c>
      <c r="N49" s="217">
        <f t="shared" si="7"/>
        <v>14.608882135567603</v>
      </c>
      <c r="O49">
        <v>1</v>
      </c>
      <c r="P49">
        <v>1</v>
      </c>
      <c r="Q49">
        <v>2</v>
      </c>
      <c r="R49">
        <v>2</v>
      </c>
      <c r="S49">
        <v>2</v>
      </c>
    </row>
    <row r="50" spans="1:19">
      <c r="A50" s="895" t="s">
        <v>180</v>
      </c>
      <c r="B50" s="895">
        <v>2015</v>
      </c>
      <c r="C50" s="895" t="s">
        <v>95</v>
      </c>
      <c r="D50" s="217">
        <v>18.325043384800001</v>
      </c>
      <c r="E50" s="217">
        <v>9.3032460304583395</v>
      </c>
      <c r="F50" s="217">
        <v>34.434036741141703</v>
      </c>
      <c r="G50" s="217">
        <f t="shared" si="0"/>
        <v>0.21270745325082752</v>
      </c>
      <c r="H50" s="217">
        <f t="shared" si="1"/>
        <v>0.78729254674917248</v>
      </c>
      <c r="I50" s="946">
        <f t="shared" si="2"/>
        <v>5.4053727213666072</v>
      </c>
      <c r="J50" s="946">
        <f t="shared" si="3"/>
        <v>20.006866665433435</v>
      </c>
      <c r="K50" s="217">
        <f t="shared" si="4"/>
        <v>4.8648354492299468</v>
      </c>
      <c r="L50" s="217">
        <f t="shared" si="5"/>
        <v>5.9459099935032684</v>
      </c>
      <c r="M50" s="217">
        <f t="shared" si="6"/>
        <v>18.006179998890094</v>
      </c>
      <c r="N50" s="217">
        <f t="shared" si="7"/>
        <v>22.00755333197678</v>
      </c>
      <c r="O50">
        <v>1</v>
      </c>
      <c r="P50">
        <v>1</v>
      </c>
      <c r="Q50">
        <v>2</v>
      </c>
      <c r="R50">
        <v>2</v>
      </c>
      <c r="S50">
        <v>2</v>
      </c>
    </row>
    <row r="51" spans="1:19">
      <c r="A51" s="895" t="s">
        <v>180</v>
      </c>
      <c r="B51" s="895">
        <v>2015</v>
      </c>
      <c r="C51" s="895" t="s">
        <v>91</v>
      </c>
      <c r="D51" s="217">
        <v>92.926025435650004</v>
      </c>
      <c r="E51" s="217">
        <v>30.5543662248595</v>
      </c>
      <c r="F51" s="217">
        <v>194.630004709031</v>
      </c>
      <c r="G51" s="217">
        <f t="shared" si="0"/>
        <v>0.13568599853597135</v>
      </c>
      <c r="H51" s="217">
        <f t="shared" si="1"/>
        <v>0.8643140014640287</v>
      </c>
      <c r="I51" s="946">
        <f t="shared" si="2"/>
        <v>17.945605673644259</v>
      </c>
      <c r="J51" s="946">
        <f t="shared" si="3"/>
        <v>114.31273982459624</v>
      </c>
      <c r="K51" s="217">
        <f t="shared" si="4"/>
        <v>16.151045106279835</v>
      </c>
      <c r="L51" s="217">
        <f t="shared" si="5"/>
        <v>19.740166241008687</v>
      </c>
      <c r="M51" s="217">
        <f t="shared" si="6"/>
        <v>102.88146584213662</v>
      </c>
      <c r="N51" s="217">
        <f t="shared" si="7"/>
        <v>125.74401380705586</v>
      </c>
      <c r="O51">
        <v>1</v>
      </c>
      <c r="P51">
        <v>1</v>
      </c>
      <c r="Q51">
        <v>2</v>
      </c>
      <c r="R51">
        <v>2</v>
      </c>
      <c r="S51">
        <v>2</v>
      </c>
    </row>
    <row r="52" spans="1:19">
      <c r="A52" s="895" t="s">
        <v>180</v>
      </c>
      <c r="B52" s="895">
        <v>2015</v>
      </c>
      <c r="C52" s="895" t="s">
        <v>93</v>
      </c>
      <c r="D52" s="217">
        <v>14.501953571</v>
      </c>
      <c r="E52" s="217">
        <v>7.79086366639077</v>
      </c>
      <c r="F52" s="217">
        <v>18.440981303609199</v>
      </c>
      <c r="G52" s="217">
        <f t="shared" si="0"/>
        <v>0.29700021768582369</v>
      </c>
      <c r="H52" s="217">
        <f t="shared" si="1"/>
        <v>0.70299978231417626</v>
      </c>
      <c r="I52" s="946">
        <f t="shared" si="2"/>
        <v>3.4837802989340618</v>
      </c>
      <c r="J52" s="946">
        <f t="shared" si="3"/>
        <v>8.2461111000659084</v>
      </c>
      <c r="K52" s="217">
        <f t="shared" si="4"/>
        <v>3.1354022690406556</v>
      </c>
      <c r="L52" s="217">
        <f t="shared" si="5"/>
        <v>3.8321583288274681</v>
      </c>
      <c r="M52" s="217">
        <f t="shared" si="6"/>
        <v>7.4214999900593179</v>
      </c>
      <c r="N52" s="217">
        <f t="shared" si="7"/>
        <v>9.0707222100724998</v>
      </c>
      <c r="O52">
        <v>1</v>
      </c>
      <c r="P52">
        <v>1</v>
      </c>
      <c r="Q52">
        <v>2</v>
      </c>
      <c r="R52">
        <v>2</v>
      </c>
      <c r="S52">
        <v>2</v>
      </c>
    </row>
    <row r="53" spans="1:19">
      <c r="A53" s="895" t="s">
        <v>180</v>
      </c>
      <c r="B53" s="895">
        <v>2015</v>
      </c>
      <c r="C53" s="895" t="s">
        <v>90</v>
      </c>
      <c r="D53" s="217">
        <v>9.1773205440000005</v>
      </c>
      <c r="E53" s="217">
        <v>4.7322028644061804</v>
      </c>
      <c r="F53" s="217">
        <v>11.9501231675938</v>
      </c>
      <c r="G53" s="217">
        <f t="shared" si="0"/>
        <v>0.28366565042122333</v>
      </c>
      <c r="H53" s="217">
        <f t="shared" si="1"/>
        <v>0.71633434957877662</v>
      </c>
      <c r="I53" s="946">
        <f t="shared" si="2"/>
        <v>2.128912263168365</v>
      </c>
      <c r="J53" s="946">
        <f t="shared" si="3"/>
        <v>5.3760932248316147</v>
      </c>
      <c r="K53" s="217">
        <f t="shared" si="4"/>
        <v>1.9160210368515285</v>
      </c>
      <c r="L53" s="217">
        <f t="shared" si="5"/>
        <v>2.3418034894852018</v>
      </c>
      <c r="M53" s="217">
        <f t="shared" si="6"/>
        <v>4.8384839023484529</v>
      </c>
      <c r="N53" s="217">
        <f t="shared" si="7"/>
        <v>5.9137025473147764</v>
      </c>
      <c r="O53">
        <v>1</v>
      </c>
      <c r="P53">
        <v>1</v>
      </c>
      <c r="Q53">
        <v>2</v>
      </c>
      <c r="R53">
        <v>2</v>
      </c>
      <c r="S53">
        <v>2</v>
      </c>
    </row>
    <row r="54" spans="1:19">
      <c r="A54" s="895" t="s">
        <v>180</v>
      </c>
      <c r="B54" s="895">
        <v>2015</v>
      </c>
      <c r="C54" s="895" t="s">
        <v>92</v>
      </c>
      <c r="D54" s="217">
        <v>17.112173683000002</v>
      </c>
      <c r="E54" s="217">
        <v>6.0161579134949896</v>
      </c>
      <c r="F54" s="217">
        <v>26.298167476505</v>
      </c>
      <c r="G54" s="217">
        <f t="shared" si="0"/>
        <v>0.18617618783268033</v>
      </c>
      <c r="H54" s="217">
        <f t="shared" si="1"/>
        <v>0.81382381216731969</v>
      </c>
      <c r="I54" s="946">
        <f t="shared" si="2"/>
        <v>2.830278651663332</v>
      </c>
      <c r="J54" s="946">
        <f t="shared" si="3"/>
        <v>12.371873055336655</v>
      </c>
      <c r="K54" s="217">
        <f t="shared" si="4"/>
        <v>2.5472507864969991</v>
      </c>
      <c r="L54" s="217">
        <f t="shared" si="5"/>
        <v>3.1133065168296654</v>
      </c>
      <c r="M54" s="217">
        <f t="shared" si="6"/>
        <v>11.134685749802991</v>
      </c>
      <c r="N54" s="217">
        <f t="shared" si="7"/>
        <v>13.609060360870322</v>
      </c>
      <c r="O54">
        <v>1</v>
      </c>
      <c r="P54">
        <v>1</v>
      </c>
      <c r="Q54">
        <v>2</v>
      </c>
      <c r="R54">
        <v>2</v>
      </c>
      <c r="S54">
        <v>2</v>
      </c>
    </row>
    <row r="55" spans="1:19">
      <c r="A55" s="895" t="s">
        <v>180</v>
      </c>
      <c r="B55" s="895">
        <v>2016</v>
      </c>
      <c r="C55" s="895" t="s">
        <v>99</v>
      </c>
      <c r="D55" s="217">
        <v>8.6037087323999994</v>
      </c>
      <c r="E55" s="217">
        <v>3.33248424016293</v>
      </c>
      <c r="F55" s="217">
        <v>16.501961649937101</v>
      </c>
      <c r="G55" s="217">
        <f t="shared" si="0"/>
        <v>0.16801499061923747</v>
      </c>
      <c r="H55" s="217">
        <f t="shared" si="1"/>
        <v>0.83198500938076259</v>
      </c>
      <c r="I55" s="946">
        <f t="shared" si="2"/>
        <v>1.8869321981980927</v>
      </c>
      <c r="J55" s="946">
        <f t="shared" si="3"/>
        <v>9.3438049595019379</v>
      </c>
      <c r="K55" s="217">
        <f t="shared" si="4"/>
        <v>1.6982389783782834</v>
      </c>
      <c r="L55" s="217">
        <f t="shared" si="5"/>
        <v>2.0756254180179021</v>
      </c>
      <c r="M55" s="217">
        <f t="shared" si="6"/>
        <v>8.4094244635517441</v>
      </c>
      <c r="N55" s="217">
        <f t="shared" si="7"/>
        <v>10.278185455452132</v>
      </c>
      <c r="O55">
        <v>1</v>
      </c>
      <c r="P55">
        <v>1</v>
      </c>
      <c r="Q55">
        <v>2</v>
      </c>
      <c r="R55">
        <v>2</v>
      </c>
      <c r="S55">
        <v>2</v>
      </c>
    </row>
    <row r="56" spans="1:19">
      <c r="A56" s="895" t="s">
        <v>180</v>
      </c>
      <c r="B56" s="895">
        <v>2016</v>
      </c>
      <c r="C56" s="895" t="s">
        <v>98</v>
      </c>
      <c r="D56" s="217">
        <v>16.7650600385</v>
      </c>
      <c r="E56" s="217">
        <v>4.8596989455364596</v>
      </c>
      <c r="F56" s="217">
        <v>28.171670334563501</v>
      </c>
      <c r="G56" s="217">
        <f t="shared" si="0"/>
        <v>0.14712375089046728</v>
      </c>
      <c r="H56" s="217">
        <f t="shared" si="1"/>
        <v>0.85287624910953275</v>
      </c>
      <c r="I56" s="946">
        <f t="shared" si="2"/>
        <v>2.393160428768458</v>
      </c>
      <c r="J56" s="946">
        <f t="shared" si="3"/>
        <v>13.873148812831502</v>
      </c>
      <c r="K56" s="217">
        <f t="shared" si="4"/>
        <v>2.1538443858916123</v>
      </c>
      <c r="L56" s="217">
        <f t="shared" si="5"/>
        <v>2.6324764716453042</v>
      </c>
      <c r="M56" s="217">
        <f t="shared" si="6"/>
        <v>12.485833931548353</v>
      </c>
      <c r="N56" s="217">
        <f t="shared" si="7"/>
        <v>15.260463694114653</v>
      </c>
      <c r="O56">
        <v>1</v>
      </c>
      <c r="P56">
        <v>1</v>
      </c>
      <c r="Q56">
        <v>2</v>
      </c>
      <c r="R56">
        <v>2</v>
      </c>
      <c r="S56">
        <v>2</v>
      </c>
    </row>
    <row r="57" spans="1:19">
      <c r="A57" s="895" t="s">
        <v>180</v>
      </c>
      <c r="B57" s="895">
        <v>2016</v>
      </c>
      <c r="C57" s="895" t="s">
        <v>95</v>
      </c>
      <c r="D57" s="217">
        <v>21.639784132500001</v>
      </c>
      <c r="E57" s="217">
        <v>10.0725217530818</v>
      </c>
      <c r="F57" s="217">
        <v>39.275965265018201</v>
      </c>
      <c r="G57" s="217">
        <f t="shared" si="0"/>
        <v>0.20411004190234663</v>
      </c>
      <c r="H57" s="217">
        <f t="shared" si="1"/>
        <v>0.79588995809765339</v>
      </c>
      <c r="I57" s="946">
        <f t="shared" si="2"/>
        <v>5.655624507039489</v>
      </c>
      <c r="J57" s="946">
        <f t="shared" si="3"/>
        <v>22.05307837856051</v>
      </c>
      <c r="K57" s="217">
        <f t="shared" si="4"/>
        <v>5.0900620563355403</v>
      </c>
      <c r="L57" s="217">
        <f t="shared" si="5"/>
        <v>6.2211869577434387</v>
      </c>
      <c r="M57" s="217">
        <f t="shared" si="6"/>
        <v>19.84777054070446</v>
      </c>
      <c r="N57" s="217">
        <f t="shared" si="7"/>
        <v>24.258386216416564</v>
      </c>
      <c r="O57">
        <v>1</v>
      </c>
      <c r="P57">
        <v>1</v>
      </c>
      <c r="Q57">
        <v>2</v>
      </c>
      <c r="R57">
        <v>2</v>
      </c>
      <c r="S57">
        <v>2</v>
      </c>
    </row>
    <row r="58" spans="1:19">
      <c r="A58" s="895" t="s">
        <v>180</v>
      </c>
      <c r="B58" s="895">
        <v>2016</v>
      </c>
      <c r="C58" s="895" t="s">
        <v>91</v>
      </c>
      <c r="D58" s="217">
        <v>110.30048233719999</v>
      </c>
      <c r="E58" s="217">
        <v>34.5156119202585</v>
      </c>
      <c r="F58" s="217">
        <v>217.60483039074199</v>
      </c>
      <c r="G58" s="217">
        <f t="shared" si="0"/>
        <v>0.13690128259287335</v>
      </c>
      <c r="H58" s="217">
        <f t="shared" si="1"/>
        <v>0.86309871740712663</v>
      </c>
      <c r="I58" s="946">
        <f t="shared" si="2"/>
        <v>19.415334417683248</v>
      </c>
      <c r="J58" s="946">
        <f t="shared" si="3"/>
        <v>122.40462555611725</v>
      </c>
      <c r="K58" s="217">
        <f t="shared" si="4"/>
        <v>17.473800975914923</v>
      </c>
      <c r="L58" s="217">
        <f t="shared" si="5"/>
        <v>21.356867859451572</v>
      </c>
      <c r="M58" s="217">
        <f t="shared" si="6"/>
        <v>110.16416300050552</v>
      </c>
      <c r="N58" s="217">
        <f t="shared" si="7"/>
        <v>134.645088111729</v>
      </c>
      <c r="O58">
        <v>1</v>
      </c>
      <c r="P58">
        <v>1</v>
      </c>
      <c r="Q58">
        <v>2</v>
      </c>
      <c r="R58">
        <v>2</v>
      </c>
      <c r="S58">
        <v>2</v>
      </c>
    </row>
    <row r="59" spans="1:19">
      <c r="A59" s="895" t="s">
        <v>180</v>
      </c>
      <c r="B59" s="895">
        <v>2016</v>
      </c>
      <c r="C59" s="895" t="s">
        <v>93</v>
      </c>
      <c r="D59" s="217">
        <v>16.889088151999999</v>
      </c>
      <c r="E59" s="217">
        <v>8.6108498444349593</v>
      </c>
      <c r="F59" s="217">
        <v>20.214756594564999</v>
      </c>
      <c r="G59" s="217">
        <f t="shared" si="0"/>
        <v>0.29872224414972948</v>
      </c>
      <c r="H59" s="217">
        <f t="shared" si="1"/>
        <v>0.70127775585027052</v>
      </c>
      <c r="I59" s="946">
        <f t="shared" si="2"/>
        <v>3.5657035300269122</v>
      </c>
      <c r="J59" s="946">
        <f t="shared" si="3"/>
        <v>8.3708147569730471</v>
      </c>
      <c r="K59" s="217">
        <f t="shared" si="4"/>
        <v>3.2091331770242211</v>
      </c>
      <c r="L59" s="217">
        <f t="shared" si="5"/>
        <v>3.9222738830296038</v>
      </c>
      <c r="M59" s="217">
        <f t="shared" si="6"/>
        <v>7.5337332812757429</v>
      </c>
      <c r="N59" s="217">
        <f t="shared" si="7"/>
        <v>9.2078962326703522</v>
      </c>
      <c r="O59">
        <v>1</v>
      </c>
      <c r="P59">
        <v>1</v>
      </c>
      <c r="Q59">
        <v>2</v>
      </c>
      <c r="R59">
        <v>2</v>
      </c>
      <c r="S59">
        <v>2</v>
      </c>
    </row>
    <row r="60" spans="1:19">
      <c r="A60" s="895" t="s">
        <v>180</v>
      </c>
      <c r="B60" s="895">
        <v>2016</v>
      </c>
      <c r="C60" s="895" t="s">
        <v>90</v>
      </c>
      <c r="D60" s="217">
        <v>10.712392188000001</v>
      </c>
      <c r="E60" s="217">
        <v>5.2132951452520304</v>
      </c>
      <c r="F60" s="217">
        <v>13.063414063748001</v>
      </c>
      <c r="G60" s="217">
        <f t="shared" si="0"/>
        <v>0.28524255026637063</v>
      </c>
      <c r="H60" s="217">
        <f t="shared" si="1"/>
        <v>0.71475744973362931</v>
      </c>
      <c r="I60" s="946">
        <f t="shared" si="2"/>
        <v>2.1576650780933639</v>
      </c>
      <c r="J60" s="946">
        <f t="shared" si="3"/>
        <v>5.4066519429066666</v>
      </c>
      <c r="K60" s="217">
        <f t="shared" si="4"/>
        <v>1.9418985702840277</v>
      </c>
      <c r="L60" s="217">
        <f t="shared" si="5"/>
        <v>2.3734315859027006</v>
      </c>
      <c r="M60" s="217">
        <f t="shared" si="6"/>
        <v>4.8659867486159998</v>
      </c>
      <c r="N60" s="217">
        <f t="shared" si="7"/>
        <v>5.9473171371973335</v>
      </c>
      <c r="O60">
        <v>1</v>
      </c>
      <c r="P60">
        <v>1</v>
      </c>
      <c r="Q60">
        <v>2</v>
      </c>
      <c r="R60">
        <v>2</v>
      </c>
      <c r="S60">
        <v>2</v>
      </c>
    </row>
    <row r="61" spans="1:19">
      <c r="A61" s="895" t="s">
        <v>180</v>
      </c>
      <c r="B61" s="895">
        <v>2016</v>
      </c>
      <c r="C61" s="895" t="s">
        <v>92</v>
      </c>
      <c r="D61" s="217">
        <v>20.378832478</v>
      </c>
      <c r="E61" s="217">
        <v>6.44808467515176</v>
      </c>
      <c r="F61" s="217">
        <v>28.1643669523482</v>
      </c>
      <c r="G61" s="217">
        <f t="shared" si="0"/>
        <v>0.18629378654093051</v>
      </c>
      <c r="H61" s="217">
        <f t="shared" si="1"/>
        <v>0.81370621345906946</v>
      </c>
      <c r="I61" s="946">
        <f t="shared" si="2"/>
        <v>2.6516348075418459</v>
      </c>
      <c r="J61" s="946">
        <f t="shared" si="3"/>
        <v>11.581984341958115</v>
      </c>
      <c r="K61" s="217">
        <f t="shared" si="4"/>
        <v>2.3864713267876612</v>
      </c>
      <c r="L61" s="217">
        <f t="shared" si="5"/>
        <v>2.9167982882960306</v>
      </c>
      <c r="M61" s="217">
        <f t="shared" si="6"/>
        <v>10.423785907762305</v>
      </c>
      <c r="N61" s="217">
        <f t="shared" si="7"/>
        <v>12.740182776153928</v>
      </c>
      <c r="O61">
        <v>1</v>
      </c>
      <c r="P61">
        <v>1</v>
      </c>
      <c r="Q61">
        <v>2</v>
      </c>
      <c r="R61">
        <v>2</v>
      </c>
      <c r="S61">
        <v>2</v>
      </c>
    </row>
    <row r="62" spans="1:19">
      <c r="A62" s="895" t="s">
        <v>180</v>
      </c>
      <c r="B62" s="895">
        <v>2017</v>
      </c>
      <c r="C62" s="895" t="s">
        <v>99</v>
      </c>
      <c r="D62" s="217">
        <v>8.8705314049999995</v>
      </c>
      <c r="E62" s="217">
        <v>2.7178807889862102</v>
      </c>
      <c r="F62" s="217">
        <v>17.034923070113798</v>
      </c>
      <c r="G62" s="217">
        <f t="shared" si="0"/>
        <v>0.13759468318388113</v>
      </c>
      <c r="H62" s="217">
        <f t="shared" si="1"/>
        <v>0.86240531681611887</v>
      </c>
      <c r="I62" s="946">
        <f t="shared" si="2"/>
        <v>1.4973428306425673</v>
      </c>
      <c r="J62" s="946">
        <f t="shared" si="3"/>
        <v>9.3849296234574417</v>
      </c>
      <c r="K62" s="217">
        <f t="shared" si="4"/>
        <v>1.3476085475783106</v>
      </c>
      <c r="L62" s="217">
        <f t="shared" si="5"/>
        <v>1.6470771137068243</v>
      </c>
      <c r="M62" s="217">
        <f t="shared" si="6"/>
        <v>8.4464366611116972</v>
      </c>
      <c r="N62" s="217">
        <f t="shared" si="7"/>
        <v>10.323422585803186</v>
      </c>
      <c r="O62">
        <v>1</v>
      </c>
      <c r="P62">
        <v>1</v>
      </c>
      <c r="Q62">
        <v>2</v>
      </c>
      <c r="R62">
        <v>2</v>
      </c>
      <c r="S62">
        <v>2</v>
      </c>
    </row>
    <row r="63" spans="1:19">
      <c r="A63" s="895" t="s">
        <v>180</v>
      </c>
      <c r="B63" s="895">
        <v>2017</v>
      </c>
      <c r="C63" s="895" t="s">
        <v>98</v>
      </c>
      <c r="D63" s="217">
        <v>18.213439018999999</v>
      </c>
      <c r="E63" s="217">
        <v>4.4825118309821503</v>
      </c>
      <c r="F63" s="217">
        <v>28.3359051149178</v>
      </c>
      <c r="G63" s="217">
        <f t="shared" si="0"/>
        <v>0.13658525450424436</v>
      </c>
      <c r="H63" s="217">
        <f t="shared" si="1"/>
        <v>0.8634147454957557</v>
      </c>
      <c r="I63" s="946">
        <f t="shared" si="2"/>
        <v>1.9948246271745007</v>
      </c>
      <c r="J63" s="946">
        <f t="shared" si="3"/>
        <v>12.61015329972545</v>
      </c>
      <c r="K63" s="217">
        <f t="shared" si="4"/>
        <v>1.7953421644570506</v>
      </c>
      <c r="L63" s="217">
        <f t="shared" si="5"/>
        <v>2.194307089891951</v>
      </c>
      <c r="M63" s="217">
        <f t="shared" si="6"/>
        <v>11.349137969752906</v>
      </c>
      <c r="N63" s="217">
        <f t="shared" si="7"/>
        <v>13.871168629697996</v>
      </c>
      <c r="O63">
        <v>1</v>
      </c>
      <c r="P63">
        <v>1</v>
      </c>
      <c r="Q63">
        <v>2</v>
      </c>
      <c r="R63">
        <v>2</v>
      </c>
      <c r="S63">
        <v>2</v>
      </c>
    </row>
    <row r="64" spans="1:19">
      <c r="A64" s="895" t="s">
        <v>180</v>
      </c>
      <c r="B64" s="895">
        <v>2017</v>
      </c>
      <c r="C64" s="895" t="s">
        <v>95</v>
      </c>
      <c r="D64" s="217">
        <v>23.019471899199999</v>
      </c>
      <c r="E64" s="217">
        <v>8.9314289821303792</v>
      </c>
      <c r="F64" s="217">
        <v>39.039347985469597</v>
      </c>
      <c r="G64" s="217">
        <f t="shared" si="0"/>
        <v>0.18618478888017118</v>
      </c>
      <c r="H64" s="217">
        <f t="shared" si="1"/>
        <v>0.8138152111198288</v>
      </c>
      <c r="I64" s="946">
        <f t="shared" si="2"/>
        <v>4.6455534664447944</v>
      </c>
      <c r="J64" s="946">
        <f t="shared" si="3"/>
        <v>20.305751601955183</v>
      </c>
      <c r="K64" s="217">
        <f t="shared" si="4"/>
        <v>4.1809981198003152</v>
      </c>
      <c r="L64" s="217">
        <f t="shared" si="5"/>
        <v>5.1101088130892744</v>
      </c>
      <c r="M64" s="217">
        <f t="shared" si="6"/>
        <v>18.275176441759665</v>
      </c>
      <c r="N64" s="217">
        <f t="shared" si="7"/>
        <v>22.336326762150705</v>
      </c>
      <c r="O64">
        <v>1</v>
      </c>
      <c r="P64">
        <v>1</v>
      </c>
      <c r="Q64">
        <v>2</v>
      </c>
      <c r="R64">
        <v>2</v>
      </c>
      <c r="S64">
        <v>2</v>
      </c>
    </row>
    <row r="65" spans="1:19">
      <c r="A65" s="895" t="s">
        <v>180</v>
      </c>
      <c r="B65" s="895">
        <v>2017</v>
      </c>
      <c r="C65" s="895" t="s">
        <v>91</v>
      </c>
      <c r="D65" s="217">
        <v>116.65476798582</v>
      </c>
      <c r="E65" s="217">
        <v>30.4537635870157</v>
      </c>
      <c r="F65" s="217">
        <v>208.10389072913401</v>
      </c>
      <c r="G65" s="217">
        <f t="shared" si="0"/>
        <v>0.12765787655950331</v>
      </c>
      <c r="H65" s="217">
        <f t="shared" si="1"/>
        <v>0.87234212344049666</v>
      </c>
      <c r="I65" s="946">
        <f t="shared" si="2"/>
        <v>15.561863615404393</v>
      </c>
      <c r="J65" s="946">
        <f t="shared" si="3"/>
        <v>106.34102271492532</v>
      </c>
      <c r="K65" s="217">
        <f t="shared" si="4"/>
        <v>14.005677253863954</v>
      </c>
      <c r="L65" s="217">
        <f t="shared" si="5"/>
        <v>17.118049976944835</v>
      </c>
      <c r="M65" s="217">
        <f t="shared" si="6"/>
        <v>95.706920443432793</v>
      </c>
      <c r="N65" s="217">
        <f t="shared" si="7"/>
        <v>116.97512498641785</v>
      </c>
      <c r="O65">
        <v>1</v>
      </c>
      <c r="P65">
        <v>1</v>
      </c>
      <c r="Q65">
        <v>2</v>
      </c>
      <c r="R65">
        <v>2</v>
      </c>
      <c r="S65">
        <v>2</v>
      </c>
    </row>
    <row r="66" spans="1:19">
      <c r="A66" s="895" t="s">
        <v>180</v>
      </c>
      <c r="B66" s="895">
        <v>2017</v>
      </c>
      <c r="C66" s="895" t="s">
        <v>93</v>
      </c>
      <c r="D66" s="217">
        <v>18.539099319000002</v>
      </c>
      <c r="E66" s="217">
        <v>8.4864438229593695</v>
      </c>
      <c r="F66" s="217">
        <v>20.151662381040602</v>
      </c>
      <c r="G66" s="217">
        <f t="shared" si="0"/>
        <v>0.2963339741289891</v>
      </c>
      <c r="H66" s="217">
        <f t="shared" si="1"/>
        <v>0.7036660258710109</v>
      </c>
      <c r="I66" s="946">
        <f t="shared" si="2"/>
        <v>2.9926788449880632</v>
      </c>
      <c r="J66" s="946">
        <f t="shared" si="3"/>
        <v>7.1063280400119062</v>
      </c>
      <c r="K66" s="217">
        <f t="shared" si="4"/>
        <v>2.6934109604892571</v>
      </c>
      <c r="L66" s="217">
        <f t="shared" si="5"/>
        <v>3.2919467294868698</v>
      </c>
      <c r="M66" s="217">
        <f t="shared" si="6"/>
        <v>6.3956952360107158</v>
      </c>
      <c r="N66" s="217">
        <f t="shared" si="7"/>
        <v>7.8169608440130975</v>
      </c>
      <c r="O66">
        <v>1</v>
      </c>
      <c r="P66">
        <v>1</v>
      </c>
      <c r="Q66">
        <v>2</v>
      </c>
      <c r="R66">
        <v>2</v>
      </c>
      <c r="S66">
        <v>2</v>
      </c>
    </row>
    <row r="67" spans="1:19">
      <c r="A67" s="895" t="s">
        <v>180</v>
      </c>
      <c r="B67" s="895">
        <v>2017</v>
      </c>
      <c r="C67" s="895" t="s">
        <v>90</v>
      </c>
      <c r="D67" s="217">
        <v>11.718102123</v>
      </c>
      <c r="E67" s="217">
        <v>5.1317544799836003</v>
      </c>
      <c r="F67" s="217">
        <v>13.021409575016399</v>
      </c>
      <c r="G67" s="217">
        <f t="shared" si="0"/>
        <v>0.28269201250181736</v>
      </c>
      <c r="H67" s="217">
        <f t="shared" si="1"/>
        <v>0.7173079874981827</v>
      </c>
      <c r="I67" s="946">
        <f t="shared" si="2"/>
        <v>1.8191406081309118</v>
      </c>
      <c r="J67" s="946">
        <f t="shared" si="3"/>
        <v>4.6159213238690882</v>
      </c>
      <c r="K67" s="217">
        <f t="shared" si="4"/>
        <v>1.6372265473178207</v>
      </c>
      <c r="L67" s="217">
        <f t="shared" si="5"/>
        <v>2.0010546689440032</v>
      </c>
      <c r="M67" s="217">
        <f t="shared" si="6"/>
        <v>4.1543291914821792</v>
      </c>
      <c r="N67" s="217">
        <f t="shared" si="7"/>
        <v>5.0775134562559971</v>
      </c>
      <c r="O67">
        <v>1</v>
      </c>
      <c r="P67">
        <v>1</v>
      </c>
      <c r="Q67">
        <v>2</v>
      </c>
      <c r="R67">
        <v>2</v>
      </c>
      <c r="S67">
        <v>2</v>
      </c>
    </row>
    <row r="68" spans="1:19">
      <c r="A68" s="895" t="s">
        <v>180</v>
      </c>
      <c r="B68" s="895">
        <v>2017</v>
      </c>
      <c r="C68" s="895" t="s">
        <v>92</v>
      </c>
      <c r="D68" s="217">
        <v>21.613362400500002</v>
      </c>
      <c r="E68" s="217">
        <v>6.2817467644420999</v>
      </c>
      <c r="F68" s="217">
        <v>27.853160043057901</v>
      </c>
      <c r="G68" s="217">
        <f t="shared" si="0"/>
        <v>0.18402706648262759</v>
      </c>
      <c r="H68" s="217">
        <f t="shared" si="1"/>
        <v>0.81597293351737243</v>
      </c>
      <c r="I68" s="946">
        <f t="shared" si="2"/>
        <v>2.3043030850521626</v>
      </c>
      <c r="J68" s="946">
        <f t="shared" si="3"/>
        <v>10.217241321947835</v>
      </c>
      <c r="K68" s="217">
        <f t="shared" si="4"/>
        <v>2.0738727765469465</v>
      </c>
      <c r="L68" s="217">
        <f t="shared" si="5"/>
        <v>2.5347333935573793</v>
      </c>
      <c r="M68" s="217">
        <f t="shared" si="6"/>
        <v>9.1955171897530512</v>
      </c>
      <c r="N68" s="217">
        <f t="shared" si="7"/>
        <v>11.238965454142619</v>
      </c>
      <c r="O68">
        <v>1</v>
      </c>
      <c r="P68">
        <v>1</v>
      </c>
      <c r="Q68">
        <v>2</v>
      </c>
      <c r="R68">
        <v>2</v>
      </c>
      <c r="S68">
        <v>2</v>
      </c>
    </row>
    <row r="69" spans="1:19">
      <c r="A69" s="895" t="s">
        <v>180</v>
      </c>
      <c r="B69" s="895">
        <v>2018</v>
      </c>
      <c r="C69" s="895" t="s">
        <v>99</v>
      </c>
      <c r="D69" s="217">
        <v>10.01495948</v>
      </c>
      <c r="E69" s="217">
        <v>3.09438205478282</v>
      </c>
      <c r="F69" s="217">
        <v>18.794389385617201</v>
      </c>
      <c r="G69" s="217">
        <f t="shared" si="0"/>
        <v>0.14136846662264155</v>
      </c>
      <c r="H69" s="217">
        <f t="shared" si="1"/>
        <v>0.85863153337735842</v>
      </c>
      <c r="I69" s="946">
        <f t="shared" si="2"/>
        <v>1.6785825898073325</v>
      </c>
      <c r="J69" s="946">
        <f t="shared" si="3"/>
        <v>10.195229370592688</v>
      </c>
      <c r="K69" s="217">
        <f t="shared" si="4"/>
        <v>1.5107243308265994</v>
      </c>
      <c r="L69" s="217">
        <f t="shared" si="5"/>
        <v>1.8464408487880659</v>
      </c>
      <c r="M69" s="217">
        <f t="shared" si="6"/>
        <v>9.1757064335334206</v>
      </c>
      <c r="N69" s="217">
        <f t="shared" si="7"/>
        <v>11.214752307651958</v>
      </c>
      <c r="O69">
        <v>1</v>
      </c>
      <c r="P69">
        <v>1</v>
      </c>
      <c r="Q69">
        <v>2</v>
      </c>
      <c r="R69">
        <v>2</v>
      </c>
      <c r="S69">
        <v>2</v>
      </c>
    </row>
    <row r="70" spans="1:19">
      <c r="A70" s="895" t="s">
        <v>180</v>
      </c>
      <c r="B70" s="895">
        <v>2018</v>
      </c>
      <c r="C70" s="895" t="s">
        <v>98</v>
      </c>
      <c r="D70" s="217">
        <v>19.549108049899999</v>
      </c>
      <c r="E70" s="217">
        <v>5.8008226209240696</v>
      </c>
      <c r="F70" s="217">
        <v>30.629017057775901</v>
      </c>
      <c r="G70" s="217">
        <f t="shared" si="0"/>
        <v>0.15923272438433847</v>
      </c>
      <c r="H70" s="217">
        <f t="shared" si="1"/>
        <v>0.84076727561566156</v>
      </c>
      <c r="I70" s="946">
        <f t="shared" si="2"/>
        <v>2.6879648868546906</v>
      </c>
      <c r="J70" s="946">
        <f t="shared" si="3"/>
        <v>14.192766741945281</v>
      </c>
      <c r="K70" s="217">
        <f t="shared" si="4"/>
        <v>2.4191683981692216</v>
      </c>
      <c r="L70" s="217">
        <f t="shared" si="5"/>
        <v>2.9567613755401601</v>
      </c>
      <c r="M70" s="217">
        <f t="shared" si="6"/>
        <v>12.773490067750753</v>
      </c>
      <c r="N70" s="217">
        <f t="shared" si="7"/>
        <v>15.612043416139811</v>
      </c>
      <c r="O70">
        <v>1</v>
      </c>
      <c r="P70">
        <v>1</v>
      </c>
      <c r="Q70">
        <v>2</v>
      </c>
      <c r="R70">
        <v>2</v>
      </c>
      <c r="S70">
        <v>2</v>
      </c>
    </row>
    <row r="71" spans="1:19">
      <c r="A71" s="895" t="s">
        <v>180</v>
      </c>
      <c r="B71" s="895">
        <v>2018</v>
      </c>
      <c r="C71" s="895" t="s">
        <v>95</v>
      </c>
      <c r="D71" s="217">
        <v>25.0729939241</v>
      </c>
      <c r="E71" s="217">
        <v>10.0414327235114</v>
      </c>
      <c r="F71" s="217">
        <v>43.979649269488597</v>
      </c>
      <c r="G71" s="217">
        <f t="shared" si="0"/>
        <v>0.18587988898135288</v>
      </c>
      <c r="H71" s="217">
        <f t="shared" si="1"/>
        <v>0.81412011101864712</v>
      </c>
      <c r="I71" s="946">
        <f t="shared" si="2"/>
        <v>5.380867396469557</v>
      </c>
      <c r="J71" s="946">
        <f t="shared" si="3"/>
        <v>23.567220672430441</v>
      </c>
      <c r="K71" s="217">
        <f t="shared" si="4"/>
        <v>4.8427806568226011</v>
      </c>
      <c r="L71" s="217">
        <f t="shared" si="5"/>
        <v>5.918954136116513</v>
      </c>
      <c r="M71" s="217">
        <f t="shared" si="6"/>
        <v>21.210498605187396</v>
      </c>
      <c r="N71" s="217">
        <f t="shared" si="7"/>
        <v>25.923942739673485</v>
      </c>
      <c r="O71">
        <v>1</v>
      </c>
      <c r="P71">
        <v>1</v>
      </c>
      <c r="Q71">
        <v>2</v>
      </c>
      <c r="R71">
        <v>2</v>
      </c>
      <c r="S71">
        <v>2</v>
      </c>
    </row>
    <row r="72" spans="1:19">
      <c r="A72" s="895" t="s">
        <v>180</v>
      </c>
      <c r="B72" s="895">
        <v>2018</v>
      </c>
      <c r="C72" s="895" t="s">
        <v>91</v>
      </c>
      <c r="D72" s="217">
        <v>126.51916299478</v>
      </c>
      <c r="E72" s="217">
        <v>36.5812226523812</v>
      </c>
      <c r="F72" s="217">
        <v>231.43261374930901</v>
      </c>
      <c r="G72" s="217">
        <f t="shared" si="0"/>
        <v>0.13649005269099046</v>
      </c>
      <c r="H72" s="217">
        <f t="shared" si="1"/>
        <v>0.86350994730900954</v>
      </c>
      <c r="I72" s="946">
        <f t="shared" si="2"/>
        <v>19.312615428803667</v>
      </c>
      <c r="J72" s="946">
        <f t="shared" si="3"/>
        <v>122.18205797810654</v>
      </c>
      <c r="K72" s="217">
        <f t="shared" si="4"/>
        <v>17.3813538859233</v>
      </c>
      <c r="L72" s="217">
        <f t="shared" si="5"/>
        <v>21.243876971684035</v>
      </c>
      <c r="M72" s="217">
        <f t="shared" si="6"/>
        <v>109.96385218029589</v>
      </c>
      <c r="N72" s="217">
        <f t="shared" si="7"/>
        <v>134.40026377591721</v>
      </c>
      <c r="O72">
        <v>1</v>
      </c>
      <c r="P72">
        <v>1</v>
      </c>
      <c r="Q72">
        <v>2</v>
      </c>
      <c r="R72">
        <v>2</v>
      </c>
      <c r="S72">
        <v>2</v>
      </c>
    </row>
    <row r="73" spans="1:19">
      <c r="A73" s="895" t="s">
        <v>180</v>
      </c>
      <c r="B73" s="895">
        <v>2018</v>
      </c>
      <c r="C73" s="895" t="s">
        <v>93</v>
      </c>
      <c r="D73" s="217">
        <v>18.712387209999999</v>
      </c>
      <c r="E73" s="217">
        <v>8.3623091552026896</v>
      </c>
      <c r="F73" s="217">
        <v>21.463345414797299</v>
      </c>
      <c r="G73" s="217">
        <f t="shared" si="0"/>
        <v>0.28037303039155703</v>
      </c>
      <c r="H73" s="217">
        <f t="shared" si="1"/>
        <v>0.71962696960844297</v>
      </c>
      <c r="I73" s="946">
        <f t="shared" si="2"/>
        <v>3.1158604472747768</v>
      </c>
      <c r="J73" s="946">
        <f t="shared" si="3"/>
        <v>7.9974069127252125</v>
      </c>
      <c r="K73" s="217">
        <f t="shared" si="4"/>
        <v>2.8042744025472994</v>
      </c>
      <c r="L73" s="217">
        <f t="shared" si="5"/>
        <v>3.4274464920022547</v>
      </c>
      <c r="M73" s="217">
        <f t="shared" si="6"/>
        <v>7.1976662214526916</v>
      </c>
      <c r="N73" s="217">
        <f t="shared" si="7"/>
        <v>8.7971476039977343</v>
      </c>
      <c r="O73">
        <v>1</v>
      </c>
      <c r="P73">
        <v>1</v>
      </c>
      <c r="Q73">
        <v>2</v>
      </c>
      <c r="R73">
        <v>2</v>
      </c>
      <c r="S73">
        <v>2</v>
      </c>
    </row>
    <row r="74" spans="1:19">
      <c r="A74" s="895" t="s">
        <v>180</v>
      </c>
      <c r="B74" s="895">
        <v>2018</v>
      </c>
      <c r="C74" s="895" t="s">
        <v>90</v>
      </c>
      <c r="D74" s="217">
        <v>11.878221567000001</v>
      </c>
      <c r="E74" s="217">
        <v>5.1216061603965004</v>
      </c>
      <c r="F74" s="217">
        <v>13.8619566586035</v>
      </c>
      <c r="G74" s="217">
        <f t="shared" si="0"/>
        <v>0.26979161968850546</v>
      </c>
      <c r="H74" s="217">
        <f t="shared" si="1"/>
        <v>0.73020838031149449</v>
      </c>
      <c r="I74" s="946">
        <f t="shared" si="2"/>
        <v>1.916961524816633</v>
      </c>
      <c r="J74" s="946">
        <f t="shared" si="3"/>
        <v>5.1883797271833672</v>
      </c>
      <c r="K74" s="217">
        <f t="shared" si="4"/>
        <v>1.7252653723349698</v>
      </c>
      <c r="L74" s="217">
        <f t="shared" si="5"/>
        <v>2.1086576772982966</v>
      </c>
      <c r="M74" s="217">
        <f t="shared" si="6"/>
        <v>4.6695417544650306</v>
      </c>
      <c r="N74" s="217">
        <f t="shared" si="7"/>
        <v>5.7072176999017046</v>
      </c>
      <c r="O74">
        <v>1</v>
      </c>
      <c r="P74">
        <v>1</v>
      </c>
      <c r="Q74">
        <v>2</v>
      </c>
      <c r="R74">
        <v>2</v>
      </c>
      <c r="S74">
        <v>2</v>
      </c>
    </row>
    <row r="75" spans="1:19">
      <c r="A75" s="895" t="s">
        <v>180</v>
      </c>
      <c r="B75" s="895">
        <v>2018</v>
      </c>
      <c r="C75" s="895" t="s">
        <v>92</v>
      </c>
      <c r="D75" s="217">
        <v>22.5402549935</v>
      </c>
      <c r="E75" s="217">
        <v>7.2968744228814399</v>
      </c>
      <c r="F75" s="217">
        <v>29.433377644618599</v>
      </c>
      <c r="G75" s="217">
        <f t="shared" si="0"/>
        <v>0.19866115836808862</v>
      </c>
      <c r="H75" s="217">
        <f t="shared" si="1"/>
        <v>0.80133884163191138</v>
      </c>
      <c r="I75" s="946">
        <f t="shared" si="2"/>
        <v>2.8190012559606359</v>
      </c>
      <c r="J75" s="946">
        <f t="shared" si="3"/>
        <v>11.370995818039404</v>
      </c>
      <c r="K75" s="217">
        <f t="shared" si="4"/>
        <v>2.5371011303645723</v>
      </c>
      <c r="L75" s="217">
        <f t="shared" si="5"/>
        <v>3.1009013815566999</v>
      </c>
      <c r="M75" s="217">
        <f t="shared" si="6"/>
        <v>10.233896236235465</v>
      </c>
      <c r="N75" s="217">
        <f t="shared" si="7"/>
        <v>12.508095399843345</v>
      </c>
      <c r="O75">
        <v>1</v>
      </c>
      <c r="P75">
        <v>1</v>
      </c>
      <c r="Q75">
        <v>2</v>
      </c>
      <c r="R75">
        <v>2</v>
      </c>
      <c r="S75">
        <v>2</v>
      </c>
    </row>
    <row r="76" spans="1:19">
      <c r="A76" s="895" t="s">
        <v>180</v>
      </c>
      <c r="B76" s="895">
        <v>2019</v>
      </c>
      <c r="C76" s="895" t="s">
        <v>99</v>
      </c>
      <c r="D76" s="217">
        <v>10.035812916999999</v>
      </c>
      <c r="E76" s="217">
        <v>2.9301375142839801</v>
      </c>
      <c r="F76" s="217">
        <v>17.548546315115999</v>
      </c>
      <c r="G76" s="217">
        <f t="shared" si="0"/>
        <v>0.14308231616317854</v>
      </c>
      <c r="H76" s="217">
        <f t="shared" si="1"/>
        <v>0.85691768383682143</v>
      </c>
      <c r="I76" s="946">
        <f t="shared" si="2"/>
        <v>1.4941901575392751</v>
      </c>
      <c r="J76" s="946">
        <f t="shared" si="3"/>
        <v>8.948680754860705</v>
      </c>
      <c r="K76" s="217">
        <f t="shared" si="4"/>
        <v>1.3447711417853476</v>
      </c>
      <c r="L76" s="217">
        <f t="shared" si="5"/>
        <v>1.6436091732932028</v>
      </c>
      <c r="M76" s="217">
        <f t="shared" si="6"/>
        <v>8.0538126793746354</v>
      </c>
      <c r="N76" s="217">
        <f t="shared" si="7"/>
        <v>9.8435488303467764</v>
      </c>
      <c r="O76">
        <v>1</v>
      </c>
      <c r="P76">
        <v>1</v>
      </c>
      <c r="Q76">
        <v>2</v>
      </c>
      <c r="R76">
        <v>2</v>
      </c>
      <c r="S76">
        <v>2</v>
      </c>
    </row>
    <row r="77" spans="1:19">
      <c r="A77" s="895" t="s">
        <v>180</v>
      </c>
      <c r="B77" s="895">
        <v>2019</v>
      </c>
      <c r="C77" s="895" t="s">
        <v>98</v>
      </c>
      <c r="D77" s="217">
        <v>19.410142635900002</v>
      </c>
      <c r="E77" s="217">
        <v>5.06356029847315</v>
      </c>
      <c r="F77" s="217">
        <v>29.5260500174269</v>
      </c>
      <c r="G77" s="217">
        <f t="shared" si="0"/>
        <v>0.14638963122824045</v>
      </c>
      <c r="H77" s="217">
        <f t="shared" si="1"/>
        <v>0.85361036877175955</v>
      </c>
      <c r="I77" s="946">
        <f t="shared" si="2"/>
        <v>2.2221166759162019</v>
      </c>
      <c r="J77" s="946">
        <f t="shared" si="3"/>
        <v>12.957351004083847</v>
      </c>
      <c r="K77" s="217">
        <f t="shared" si="4"/>
        <v>1.9999050083245817</v>
      </c>
      <c r="L77" s="217">
        <f t="shared" si="5"/>
        <v>2.4443283435078222</v>
      </c>
      <c r="M77" s="217">
        <f t="shared" si="6"/>
        <v>11.661615903675463</v>
      </c>
      <c r="N77" s="217">
        <f t="shared" si="7"/>
        <v>14.253086104492233</v>
      </c>
      <c r="O77">
        <v>1</v>
      </c>
      <c r="P77">
        <v>1</v>
      </c>
      <c r="Q77">
        <v>2</v>
      </c>
      <c r="R77">
        <v>2</v>
      </c>
      <c r="S77">
        <v>2</v>
      </c>
    </row>
    <row r="78" spans="1:19">
      <c r="A78" s="895" t="s">
        <v>180</v>
      </c>
      <c r="B78" s="895">
        <v>2019</v>
      </c>
      <c r="C78" s="895" t="s">
        <v>95</v>
      </c>
      <c r="D78" s="217">
        <v>25.6266245612</v>
      </c>
      <c r="E78" s="217">
        <v>8.8998138360777403</v>
      </c>
      <c r="F78" s="217">
        <v>42.516774695422299</v>
      </c>
      <c r="G78" s="217">
        <f t="shared" si="0"/>
        <v>0.17309226633395422</v>
      </c>
      <c r="H78" s="217">
        <f t="shared" si="1"/>
        <v>0.82690773366604575</v>
      </c>
      <c r="I78" s="946">
        <f t="shared" si="2"/>
        <v>4.464043312290257</v>
      </c>
      <c r="J78" s="946">
        <f t="shared" si="3"/>
        <v>21.325920658009782</v>
      </c>
      <c r="K78" s="217">
        <f t="shared" si="4"/>
        <v>4.0176389810612312</v>
      </c>
      <c r="L78" s="217">
        <f t="shared" si="5"/>
        <v>4.9104476435192828</v>
      </c>
      <c r="M78" s="217">
        <f t="shared" si="6"/>
        <v>19.193328592208804</v>
      </c>
      <c r="N78" s="217">
        <f t="shared" si="7"/>
        <v>23.458512723810763</v>
      </c>
      <c r="O78">
        <v>1</v>
      </c>
      <c r="P78">
        <v>1</v>
      </c>
      <c r="Q78">
        <v>2</v>
      </c>
      <c r="R78">
        <v>2</v>
      </c>
      <c r="S78">
        <v>2</v>
      </c>
    </row>
    <row r="79" spans="1:19">
      <c r="A79" s="895" t="s">
        <v>180</v>
      </c>
      <c r="B79" s="895">
        <v>2019</v>
      </c>
      <c r="C79" s="895" t="s">
        <v>91</v>
      </c>
      <c r="D79" s="217">
        <v>125.96647827635</v>
      </c>
      <c r="E79" s="217">
        <v>30.8689127575627</v>
      </c>
      <c r="F79" s="217">
        <v>222.749108674057</v>
      </c>
      <c r="G79" s="217">
        <f t="shared" si="0"/>
        <v>0.12171419279794971</v>
      </c>
      <c r="H79" s="217">
        <f t="shared" si="1"/>
        <v>0.87828580720205029</v>
      </c>
      <c r="I79" s="946">
        <f t="shared" si="2"/>
        <v>15.537004534556292</v>
      </c>
      <c r="J79" s="946">
        <f t="shared" si="3"/>
        <v>112.1145386207134</v>
      </c>
      <c r="K79" s="217">
        <f t="shared" si="4"/>
        <v>13.983304081100663</v>
      </c>
      <c r="L79" s="217">
        <f t="shared" si="5"/>
        <v>17.090704988011922</v>
      </c>
      <c r="M79" s="217">
        <f t="shared" si="6"/>
        <v>100.90308475864207</v>
      </c>
      <c r="N79" s="217">
        <f t="shared" si="7"/>
        <v>123.32599248278476</v>
      </c>
      <c r="O79">
        <v>1</v>
      </c>
      <c r="P79">
        <v>1</v>
      </c>
      <c r="Q79">
        <v>2</v>
      </c>
      <c r="R79">
        <v>2</v>
      </c>
      <c r="S79">
        <v>2</v>
      </c>
    </row>
    <row r="80" spans="1:19">
      <c r="A80" s="895" t="s">
        <v>180</v>
      </c>
      <c r="B80" s="895">
        <v>2019</v>
      </c>
      <c r="C80" s="895" t="s">
        <v>93</v>
      </c>
      <c r="D80" s="217">
        <v>17.814076269000001</v>
      </c>
      <c r="E80" s="217">
        <v>7.3827467759862397</v>
      </c>
      <c r="F80" s="217">
        <v>21.224926079013802</v>
      </c>
      <c r="G80" s="217">
        <f t="shared" si="0"/>
        <v>0.25806876404823981</v>
      </c>
      <c r="H80" s="217">
        <f t="shared" si="1"/>
        <v>0.74193123595176025</v>
      </c>
      <c r="I80" s="946">
        <f t="shared" si="2"/>
        <v>2.7854901305843303</v>
      </c>
      <c r="J80" s="946">
        <f t="shared" si="3"/>
        <v>8.0081064554157084</v>
      </c>
      <c r="K80" s="217">
        <f t="shared" si="4"/>
        <v>2.5069411175258973</v>
      </c>
      <c r="L80" s="217">
        <f t="shared" si="5"/>
        <v>3.0640391436427636</v>
      </c>
      <c r="M80" s="217">
        <f t="shared" si="6"/>
        <v>7.2072958098741378</v>
      </c>
      <c r="N80" s="217">
        <f t="shared" si="7"/>
        <v>8.8089171009572809</v>
      </c>
      <c r="O80">
        <v>1</v>
      </c>
      <c r="P80">
        <v>1</v>
      </c>
      <c r="Q80">
        <v>2</v>
      </c>
      <c r="R80">
        <v>2</v>
      </c>
      <c r="S80">
        <v>2</v>
      </c>
    </row>
    <row r="81" spans="1:19">
      <c r="A81" s="895" t="s">
        <v>180</v>
      </c>
      <c r="B81" s="895">
        <v>2019</v>
      </c>
      <c r="C81" s="895" t="s">
        <v>90</v>
      </c>
      <c r="D81" s="217">
        <v>11.317652388000001</v>
      </c>
      <c r="E81" s="217">
        <v>4.4926394129295399</v>
      </c>
      <c r="F81" s="217">
        <v>13.663754943070501</v>
      </c>
      <c r="G81" s="217">
        <f t="shared" si="0"/>
        <v>0.24744116727365983</v>
      </c>
      <c r="H81" s="217">
        <f t="shared" si="1"/>
        <v>0.75255883272634017</v>
      </c>
      <c r="I81" s="946">
        <f t="shared" si="2"/>
        <v>1.6921862952452962</v>
      </c>
      <c r="J81" s="946">
        <f t="shared" si="3"/>
        <v>5.1465556727547437</v>
      </c>
      <c r="K81" s="217">
        <f t="shared" si="4"/>
        <v>1.5229676657207667</v>
      </c>
      <c r="L81" s="217">
        <f t="shared" si="5"/>
        <v>1.8614049247698259</v>
      </c>
      <c r="M81" s="217">
        <f t="shared" si="6"/>
        <v>4.6319001054792697</v>
      </c>
      <c r="N81" s="217">
        <f t="shared" si="7"/>
        <v>5.6612112400302186</v>
      </c>
      <c r="O81">
        <v>1</v>
      </c>
      <c r="P81">
        <v>1</v>
      </c>
      <c r="Q81">
        <v>2</v>
      </c>
      <c r="R81">
        <v>2</v>
      </c>
      <c r="S81">
        <v>2</v>
      </c>
    </row>
    <row r="82" spans="1:19">
      <c r="A82" s="895" t="s">
        <v>180</v>
      </c>
      <c r="B82" s="895">
        <v>2019</v>
      </c>
      <c r="C82" s="895" t="s">
        <v>92</v>
      </c>
      <c r="D82" s="217">
        <v>21.589822731000002</v>
      </c>
      <c r="E82" s="217">
        <v>5.9459532917211302</v>
      </c>
      <c r="F82" s="217">
        <v>28.3987451692789</v>
      </c>
      <c r="G82" s="217">
        <f t="shared" si="0"/>
        <v>0.17312579693989835</v>
      </c>
      <c r="H82" s="217">
        <f t="shared" si="1"/>
        <v>0.82687420306010162</v>
      </c>
      <c r="I82" s="946">
        <f t="shared" si="2"/>
        <v>2.2081980256256224</v>
      </c>
      <c r="J82" s="946">
        <f t="shared" si="3"/>
        <v>10.546677704374407</v>
      </c>
      <c r="K82" s="217">
        <f t="shared" si="4"/>
        <v>1.9873782230630601</v>
      </c>
      <c r="L82" s="217">
        <f t="shared" si="5"/>
        <v>2.4290178281881847</v>
      </c>
      <c r="M82" s="217">
        <f t="shared" si="6"/>
        <v>9.4920099339369663</v>
      </c>
      <c r="N82" s="217">
        <f t="shared" si="7"/>
        <v>11.601345474811849</v>
      </c>
      <c r="O82">
        <v>1</v>
      </c>
      <c r="P82">
        <v>1</v>
      </c>
      <c r="Q82">
        <v>2</v>
      </c>
      <c r="R82">
        <v>2</v>
      </c>
      <c r="S82">
        <v>2</v>
      </c>
    </row>
    <row r="83" spans="1:19">
      <c r="A83" s="895" t="s">
        <v>180</v>
      </c>
      <c r="B83" s="895">
        <v>2020</v>
      </c>
      <c r="C83" s="895" t="s">
        <v>99</v>
      </c>
      <c r="D83" s="217">
        <v>9.1922539200000006</v>
      </c>
      <c r="E83" s="217">
        <v>1.87095304617939</v>
      </c>
      <c r="F83" s="217">
        <v>12.133247722920601</v>
      </c>
      <c r="G83" s="217">
        <f t="shared" si="0"/>
        <v>0.13359941613430831</v>
      </c>
      <c r="H83" s="217">
        <f t="shared" si="1"/>
        <v>0.86640058386569163</v>
      </c>
      <c r="I83" s="946">
        <f t="shared" si="2"/>
        <v>0.64287328950908296</v>
      </c>
      <c r="J83" s="946">
        <f t="shared" si="3"/>
        <v>4.169073559590907</v>
      </c>
      <c r="K83" s="217">
        <f t="shared" si="4"/>
        <v>0.57858596055817468</v>
      </c>
      <c r="L83" s="217">
        <f t="shared" si="5"/>
        <v>0.70716061845999134</v>
      </c>
      <c r="M83" s="217">
        <f t="shared" si="6"/>
        <v>3.7521662036318162</v>
      </c>
      <c r="N83" s="217">
        <f t="shared" si="7"/>
        <v>4.5859809155499978</v>
      </c>
      <c r="O83">
        <v>1</v>
      </c>
      <c r="P83">
        <v>1</v>
      </c>
      <c r="Q83">
        <v>2</v>
      </c>
      <c r="R83">
        <v>2</v>
      </c>
      <c r="S83">
        <v>2</v>
      </c>
    </row>
    <row r="84" spans="1:19">
      <c r="A84" s="895" t="s">
        <v>180</v>
      </c>
      <c r="B84" s="895">
        <v>2020</v>
      </c>
      <c r="C84" s="895" t="s">
        <v>98</v>
      </c>
      <c r="D84" s="217">
        <v>17.564268622699998</v>
      </c>
      <c r="E84" s="217">
        <v>3.3796470406082899</v>
      </c>
      <c r="F84" s="217">
        <v>20.1686001252917</v>
      </c>
      <c r="G84" s="217">
        <f t="shared" si="0"/>
        <v>0.1435201107240936</v>
      </c>
      <c r="H84" s="217">
        <f t="shared" si="1"/>
        <v>0.85647988927590646</v>
      </c>
      <c r="I84" s="946">
        <f t="shared" si="2"/>
        <v>0.85882126309066331</v>
      </c>
      <c r="J84" s="946">
        <f t="shared" si="3"/>
        <v>5.1251572801093275</v>
      </c>
      <c r="K84" s="217">
        <f t="shared" si="4"/>
        <v>0.77293913678159698</v>
      </c>
      <c r="L84" s="217">
        <f t="shared" si="5"/>
        <v>0.94470338939972975</v>
      </c>
      <c r="M84" s="217">
        <f t="shared" si="6"/>
        <v>4.6126415520983945</v>
      </c>
      <c r="N84" s="217">
        <f t="shared" si="7"/>
        <v>5.6376730081202604</v>
      </c>
      <c r="O84">
        <v>1</v>
      </c>
      <c r="P84">
        <v>1</v>
      </c>
      <c r="Q84">
        <v>2</v>
      </c>
      <c r="R84">
        <v>2</v>
      </c>
      <c r="S84">
        <v>2</v>
      </c>
    </row>
    <row r="85" spans="1:19">
      <c r="A85" s="895" t="s">
        <v>180</v>
      </c>
      <c r="B85" s="895">
        <v>2020</v>
      </c>
      <c r="C85" s="895" t="s">
        <v>95</v>
      </c>
      <c r="D85" s="217">
        <v>23.382186284500001</v>
      </c>
      <c r="E85" s="217">
        <v>5.9489918608376096</v>
      </c>
      <c r="F85" s="217">
        <v>27.473770125662401</v>
      </c>
      <c r="G85" s="217">
        <f t="shared" ref="G85:G103" si="8">E85/(E85+F85)</f>
        <v>0.17799222766929024</v>
      </c>
      <c r="H85" s="217">
        <f t="shared" ref="H85:H103" si="9">1-G85</f>
        <v>0.82200777233070976</v>
      </c>
      <c r="I85" s="946">
        <f t="shared" ref="I85:I103" si="10">E85-(D85*G85)</f>
        <v>1.78714443628113</v>
      </c>
      <c r="J85" s="946">
        <f t="shared" ref="J85:J103" si="11">F85-D85*H85</f>
        <v>8.2534312657188806</v>
      </c>
      <c r="K85" s="217">
        <f t="shared" ref="K85:K103" si="12">I85*$B$5</f>
        <v>1.608429992653017</v>
      </c>
      <c r="L85" s="217">
        <f t="shared" ref="L85:L103" si="13">I85*$B$4</f>
        <v>1.9658588799092431</v>
      </c>
      <c r="M85" s="217">
        <f t="shared" ref="M85:M103" si="14">J85*$B$5</f>
        <v>7.4280881391469924</v>
      </c>
      <c r="N85" s="217">
        <f t="shared" ref="N85:N103" si="15">J85*$B$4</f>
        <v>9.0787743922907698</v>
      </c>
      <c r="O85">
        <v>1</v>
      </c>
      <c r="P85">
        <v>1</v>
      </c>
      <c r="Q85">
        <v>2</v>
      </c>
      <c r="R85">
        <v>2</v>
      </c>
      <c r="S85">
        <v>2</v>
      </c>
    </row>
    <row r="86" spans="1:19">
      <c r="A86" s="895" t="s">
        <v>180</v>
      </c>
      <c r="B86" s="895">
        <v>2020</v>
      </c>
      <c r="C86" s="895" t="s">
        <v>91</v>
      </c>
      <c r="D86" s="217">
        <v>114.33510408165</v>
      </c>
      <c r="E86" s="217">
        <v>19.040808464052699</v>
      </c>
      <c r="F86" s="217">
        <v>143.989004993847</v>
      </c>
      <c r="G86" s="217">
        <f t="shared" si="8"/>
        <v>0.11679341379464767</v>
      </c>
      <c r="H86" s="217">
        <f t="shared" si="9"/>
        <v>0.88320658620535231</v>
      </c>
      <c r="I86" s="946">
        <f t="shared" si="10"/>
        <v>5.6872213417904405</v>
      </c>
      <c r="J86" s="946">
        <f t="shared" si="11"/>
        <v>43.007488034459257</v>
      </c>
      <c r="K86" s="217">
        <f t="shared" si="12"/>
        <v>5.1184992076113964</v>
      </c>
      <c r="L86" s="217">
        <f t="shared" si="13"/>
        <v>6.2559434759694854</v>
      </c>
      <c r="M86" s="217">
        <f t="shared" si="14"/>
        <v>38.70673923101333</v>
      </c>
      <c r="N86" s="217">
        <f t="shared" si="15"/>
        <v>47.308236837905184</v>
      </c>
      <c r="O86">
        <v>1</v>
      </c>
      <c r="P86">
        <v>1</v>
      </c>
      <c r="Q86">
        <v>2</v>
      </c>
      <c r="R86">
        <v>2</v>
      </c>
      <c r="S86">
        <v>2</v>
      </c>
    </row>
    <row r="87" spans="1:19">
      <c r="A87" s="895" t="s">
        <v>180</v>
      </c>
      <c r="B87" s="895">
        <v>2020</v>
      </c>
      <c r="C87" s="895" t="s">
        <v>93</v>
      </c>
      <c r="D87" s="217">
        <v>15.756675371</v>
      </c>
      <c r="E87" s="217">
        <v>5.92365786706723</v>
      </c>
      <c r="F87" s="217">
        <v>17.326536179932798</v>
      </c>
      <c r="G87" s="217">
        <f t="shared" si="8"/>
        <v>0.25477885711803594</v>
      </c>
      <c r="H87" s="217">
        <f t="shared" si="9"/>
        <v>0.74522114288196406</v>
      </c>
      <c r="I87" s="946">
        <f t="shared" si="10"/>
        <v>1.9091901240639446</v>
      </c>
      <c r="J87" s="946">
        <f t="shared" si="11"/>
        <v>5.5843285519360837</v>
      </c>
      <c r="K87" s="217">
        <f t="shared" si="12"/>
        <v>1.7182711116575502</v>
      </c>
      <c r="L87" s="217">
        <f t="shared" si="13"/>
        <v>2.1001091364703393</v>
      </c>
      <c r="M87" s="217">
        <f t="shared" si="14"/>
        <v>5.0258956967424755</v>
      </c>
      <c r="N87" s="217">
        <f t="shared" si="15"/>
        <v>6.1427614071296928</v>
      </c>
      <c r="O87">
        <v>1</v>
      </c>
      <c r="P87">
        <v>1</v>
      </c>
      <c r="Q87">
        <v>2</v>
      </c>
      <c r="R87">
        <v>2</v>
      </c>
      <c r="S87">
        <v>2</v>
      </c>
    </row>
    <row r="88" spans="1:19">
      <c r="A88" s="895" t="s">
        <v>180</v>
      </c>
      <c r="B88" s="895">
        <v>2020</v>
      </c>
      <c r="C88" s="895" t="s">
        <v>90</v>
      </c>
      <c r="D88" s="217">
        <v>10.010206473</v>
      </c>
      <c r="E88" s="217">
        <v>3.5814853497877799</v>
      </c>
      <c r="F88" s="217">
        <v>11.0681982872122</v>
      </c>
      <c r="G88" s="217">
        <f t="shared" si="8"/>
        <v>0.24447526912746428</v>
      </c>
      <c r="H88" s="217">
        <f t="shared" si="9"/>
        <v>0.75552473087253569</v>
      </c>
      <c r="I88" s="946">
        <f t="shared" si="10"/>
        <v>1.1342374282796199</v>
      </c>
      <c r="J88" s="946">
        <f t="shared" si="11"/>
        <v>3.5052397357203597</v>
      </c>
      <c r="K88" s="217">
        <f t="shared" si="12"/>
        <v>1.0208136854516581</v>
      </c>
      <c r="L88" s="217">
        <f t="shared" si="13"/>
        <v>1.247661171107582</v>
      </c>
      <c r="M88" s="217">
        <f t="shared" si="14"/>
        <v>3.1547157621483239</v>
      </c>
      <c r="N88" s="217">
        <f t="shared" si="15"/>
        <v>3.855763709292396</v>
      </c>
      <c r="O88">
        <v>1</v>
      </c>
      <c r="P88">
        <v>1</v>
      </c>
      <c r="Q88">
        <v>2</v>
      </c>
      <c r="R88">
        <v>2</v>
      </c>
      <c r="S88">
        <v>2</v>
      </c>
    </row>
    <row r="89" spans="1:19">
      <c r="A89" s="895" t="s">
        <v>180</v>
      </c>
      <c r="B89" s="895">
        <v>2020</v>
      </c>
      <c r="C89" s="895" t="s">
        <v>92</v>
      </c>
      <c r="D89" s="217">
        <v>19.051081547500001</v>
      </c>
      <c r="E89" s="217">
        <v>4.5528234466324502</v>
      </c>
      <c r="F89" s="217">
        <v>21.841717486867498</v>
      </c>
      <c r="G89" s="217">
        <f t="shared" si="8"/>
        <v>0.17249110178135388</v>
      </c>
      <c r="H89" s="217">
        <f t="shared" si="9"/>
        <v>0.82750889821864615</v>
      </c>
      <c r="I89" s="946">
        <f t="shared" si="10"/>
        <v>1.2666814003777547</v>
      </c>
      <c r="J89" s="946">
        <f t="shared" si="11"/>
        <v>6.0767779856221917</v>
      </c>
      <c r="K89" s="217">
        <f t="shared" si="12"/>
        <v>1.1400132603399793</v>
      </c>
      <c r="L89" s="217">
        <f t="shared" si="13"/>
        <v>1.3933495404155303</v>
      </c>
      <c r="M89" s="217">
        <f t="shared" si="14"/>
        <v>5.4691001870599729</v>
      </c>
      <c r="N89" s="217">
        <f t="shared" si="15"/>
        <v>6.6844557841844114</v>
      </c>
      <c r="O89">
        <v>1</v>
      </c>
      <c r="P89">
        <v>1</v>
      </c>
      <c r="Q89">
        <v>2</v>
      </c>
      <c r="R89">
        <v>2</v>
      </c>
      <c r="S89">
        <v>2</v>
      </c>
    </row>
    <row r="90" spans="1:19">
      <c r="A90" s="895" t="s">
        <v>180</v>
      </c>
      <c r="B90" s="895">
        <v>2021</v>
      </c>
      <c r="C90" s="895" t="s">
        <v>99</v>
      </c>
      <c r="D90" s="217">
        <v>10.636048544499999</v>
      </c>
      <c r="E90" s="217">
        <v>2.05528480173784</v>
      </c>
      <c r="F90" s="217">
        <v>14.4143000217622</v>
      </c>
      <c r="G90" s="217">
        <f t="shared" si="8"/>
        <v>0.12479275122984311</v>
      </c>
      <c r="H90" s="217">
        <f t="shared" si="9"/>
        <v>0.87520724877015688</v>
      </c>
      <c r="I90" s="946">
        <f t="shared" si="10"/>
        <v>0.72798304165551664</v>
      </c>
      <c r="J90" s="946">
        <f t="shared" si="11"/>
        <v>5.1055532373445232</v>
      </c>
      <c r="K90" s="217">
        <f t="shared" si="12"/>
        <v>0.65518473748996497</v>
      </c>
      <c r="L90" s="217">
        <f t="shared" si="13"/>
        <v>0.80078134582106841</v>
      </c>
      <c r="M90" s="217">
        <f t="shared" si="14"/>
        <v>4.5949979136100714</v>
      </c>
      <c r="N90" s="217">
        <f t="shared" si="15"/>
        <v>5.6161085610789758</v>
      </c>
      <c r="O90">
        <v>1</v>
      </c>
      <c r="P90">
        <v>1</v>
      </c>
      <c r="Q90">
        <v>2</v>
      </c>
      <c r="R90">
        <v>2</v>
      </c>
      <c r="S90">
        <v>2</v>
      </c>
    </row>
    <row r="91" spans="1:19">
      <c r="A91" s="895" t="s">
        <v>180</v>
      </c>
      <c r="B91" s="895">
        <v>2021</v>
      </c>
      <c r="C91" s="895" t="s">
        <v>98</v>
      </c>
      <c r="D91" s="217">
        <v>20.329976089599999</v>
      </c>
      <c r="E91" s="217">
        <v>3.8180221961958298</v>
      </c>
      <c r="F91" s="217">
        <v>22.4567839392042</v>
      </c>
      <c r="G91" s="217">
        <f t="shared" si="8"/>
        <v>0.14531114621819458</v>
      </c>
      <c r="H91" s="217">
        <f t="shared" si="9"/>
        <v>0.85468885378180537</v>
      </c>
      <c r="I91" s="946">
        <f t="shared" si="10"/>
        <v>0.8638500680275647</v>
      </c>
      <c r="J91" s="946">
        <f t="shared" si="11"/>
        <v>5.0809799777724685</v>
      </c>
      <c r="K91" s="217">
        <f t="shared" si="12"/>
        <v>0.7774650612248083</v>
      </c>
      <c r="L91" s="217">
        <f t="shared" si="13"/>
        <v>0.95023507483032121</v>
      </c>
      <c r="M91" s="217">
        <f t="shared" si="14"/>
        <v>4.5728819799952216</v>
      </c>
      <c r="N91" s="217">
        <f t="shared" si="15"/>
        <v>5.5890779755497162</v>
      </c>
      <c r="O91">
        <v>1</v>
      </c>
      <c r="P91">
        <v>1</v>
      </c>
      <c r="Q91">
        <v>2</v>
      </c>
      <c r="R91">
        <v>2</v>
      </c>
      <c r="S91">
        <v>2</v>
      </c>
    </row>
    <row r="92" spans="1:19">
      <c r="A92" s="895" t="s">
        <v>180</v>
      </c>
      <c r="B92" s="895">
        <v>2021</v>
      </c>
      <c r="C92" s="895" t="s">
        <v>95</v>
      </c>
      <c r="D92" s="217">
        <v>28.759489510200002</v>
      </c>
      <c r="E92" s="217">
        <v>6.4446616388502802</v>
      </c>
      <c r="F92" s="217">
        <v>32.316900891449698</v>
      </c>
      <c r="G92" s="217">
        <f t="shared" si="8"/>
        <v>0.16626423751138716</v>
      </c>
      <c r="H92" s="217">
        <f t="shared" si="9"/>
        <v>0.83373576248861281</v>
      </c>
      <c r="I92" s="946">
        <f t="shared" si="10"/>
        <v>1.6629870442201398</v>
      </c>
      <c r="J92" s="946">
        <f t="shared" si="11"/>
        <v>8.3390859758798399</v>
      </c>
      <c r="K92" s="217">
        <f t="shared" si="12"/>
        <v>1.4966883397981259</v>
      </c>
      <c r="L92" s="217">
        <f t="shared" si="13"/>
        <v>1.8292857486421539</v>
      </c>
      <c r="M92" s="217">
        <f t="shared" si="14"/>
        <v>7.5051773782918563</v>
      </c>
      <c r="N92" s="217">
        <f t="shared" si="15"/>
        <v>9.1729945734678253</v>
      </c>
      <c r="O92">
        <v>1</v>
      </c>
      <c r="P92">
        <v>1</v>
      </c>
      <c r="Q92">
        <v>2</v>
      </c>
      <c r="R92">
        <v>2</v>
      </c>
      <c r="S92">
        <v>2</v>
      </c>
    </row>
    <row r="93" spans="1:19">
      <c r="A93" s="895" t="s">
        <v>180</v>
      </c>
      <c r="B93" s="895">
        <v>2021</v>
      </c>
      <c r="C93" s="895" t="s">
        <v>91</v>
      </c>
      <c r="D93" s="217">
        <v>136.05926291</v>
      </c>
      <c r="E93" s="217">
        <v>22.701560495277</v>
      </c>
      <c r="F93" s="217">
        <v>164.946937963653</v>
      </c>
      <c r="G93" s="217">
        <f t="shared" si="8"/>
        <v>0.12097917479603822</v>
      </c>
      <c r="H93" s="217">
        <f t="shared" si="9"/>
        <v>0.87902082520396174</v>
      </c>
      <c r="I93" s="946">
        <f t="shared" si="10"/>
        <v>6.2412231450679911</v>
      </c>
      <c r="J93" s="946">
        <f t="shared" si="11"/>
        <v>45.348012403862015</v>
      </c>
      <c r="K93" s="217">
        <f t="shared" si="12"/>
        <v>5.617100830561192</v>
      </c>
      <c r="L93" s="217">
        <f t="shared" si="13"/>
        <v>6.8653454595747911</v>
      </c>
      <c r="M93" s="217">
        <f t="shared" si="14"/>
        <v>40.813211163475813</v>
      </c>
      <c r="N93" s="217">
        <f t="shared" si="15"/>
        <v>49.882813644248223</v>
      </c>
      <c r="O93">
        <v>1</v>
      </c>
      <c r="P93">
        <v>1</v>
      </c>
      <c r="Q93">
        <v>2</v>
      </c>
      <c r="R93">
        <v>2</v>
      </c>
      <c r="S93">
        <v>2</v>
      </c>
    </row>
    <row r="94" spans="1:19">
      <c r="A94" s="895" t="s">
        <v>180</v>
      </c>
      <c r="B94" s="895">
        <v>2021</v>
      </c>
      <c r="C94" s="895" t="s">
        <v>93</v>
      </c>
      <c r="D94" s="217">
        <v>17.910293412000001</v>
      </c>
      <c r="E94" s="217">
        <v>7.9345653520384598</v>
      </c>
      <c r="F94" s="217">
        <v>17.791036659961499</v>
      </c>
      <c r="G94" s="217">
        <f t="shared" si="8"/>
        <v>0.30843069671750745</v>
      </c>
      <c r="H94" s="217">
        <f t="shared" si="9"/>
        <v>0.69156930328249255</v>
      </c>
      <c r="I94" s="946">
        <f t="shared" si="10"/>
        <v>2.4104810765603153</v>
      </c>
      <c r="J94" s="946">
        <f t="shared" si="11"/>
        <v>5.404827523439641</v>
      </c>
      <c r="K94" s="217">
        <f t="shared" si="12"/>
        <v>2.1694329689042839</v>
      </c>
      <c r="L94" s="217">
        <f t="shared" si="13"/>
        <v>2.6515291842163471</v>
      </c>
      <c r="M94" s="217">
        <f t="shared" si="14"/>
        <v>4.8643447710956771</v>
      </c>
      <c r="N94" s="217">
        <f t="shared" si="15"/>
        <v>5.9453102757836058</v>
      </c>
      <c r="O94">
        <v>1</v>
      </c>
      <c r="P94">
        <v>1</v>
      </c>
      <c r="Q94">
        <v>2</v>
      </c>
      <c r="R94">
        <v>2</v>
      </c>
      <c r="S94">
        <v>2</v>
      </c>
    </row>
    <row r="95" spans="1:19">
      <c r="A95" s="895" t="s">
        <v>180</v>
      </c>
      <c r="B95" s="895">
        <v>2021</v>
      </c>
      <c r="C95" s="895" t="s">
        <v>90</v>
      </c>
      <c r="D95" s="217">
        <v>11.319748389000001</v>
      </c>
      <c r="E95" s="217">
        <v>4.7744769639362197</v>
      </c>
      <c r="F95" s="217">
        <v>11.4147234290638</v>
      </c>
      <c r="G95" s="217">
        <f t="shared" si="8"/>
        <v>0.29491740469162608</v>
      </c>
      <c r="H95" s="217">
        <f t="shared" si="9"/>
        <v>0.70508259530837392</v>
      </c>
      <c r="I95" s="946">
        <f t="shared" si="10"/>
        <v>1.4360861472901241</v>
      </c>
      <c r="J95" s="946">
        <f t="shared" si="11"/>
        <v>3.4333658567098952</v>
      </c>
      <c r="K95" s="217">
        <f t="shared" si="12"/>
        <v>1.2924775325611118</v>
      </c>
      <c r="L95" s="217">
        <f t="shared" si="13"/>
        <v>1.5796947620191366</v>
      </c>
      <c r="M95" s="217">
        <f t="shared" si="14"/>
        <v>3.0900292710389059</v>
      </c>
      <c r="N95" s="217">
        <f t="shared" si="15"/>
        <v>3.776702442380885</v>
      </c>
      <c r="O95">
        <v>1</v>
      </c>
      <c r="P95">
        <v>1</v>
      </c>
      <c r="Q95">
        <v>2</v>
      </c>
      <c r="R95">
        <v>2</v>
      </c>
      <c r="S95">
        <v>2</v>
      </c>
    </row>
    <row r="96" spans="1:19">
      <c r="A96" s="895" t="s">
        <v>180</v>
      </c>
      <c r="B96" s="895">
        <v>2021</v>
      </c>
      <c r="C96" s="895" t="s">
        <v>92</v>
      </c>
      <c r="D96" s="217">
        <v>20.844253018500002</v>
      </c>
      <c r="E96" s="217">
        <v>5.7810060999918296</v>
      </c>
      <c r="F96" s="217">
        <v>23.2568550885082</v>
      </c>
      <c r="G96" s="217">
        <f t="shared" si="8"/>
        <v>0.19908512071410076</v>
      </c>
      <c r="H96" s="217">
        <f t="shared" si="9"/>
        <v>0.80091487928589922</v>
      </c>
      <c r="I96" s="946">
        <f t="shared" si="10"/>
        <v>1.6312254716084977</v>
      </c>
      <c r="J96" s="946">
        <f t="shared" si="11"/>
        <v>6.5623826983915308</v>
      </c>
      <c r="K96" s="217">
        <f t="shared" si="12"/>
        <v>1.468102924447648</v>
      </c>
      <c r="L96" s="217">
        <f t="shared" si="13"/>
        <v>1.7943480187693477</v>
      </c>
      <c r="M96" s="217">
        <f t="shared" si="14"/>
        <v>5.9061444285523779</v>
      </c>
      <c r="N96" s="217">
        <f t="shared" si="15"/>
        <v>7.2186209682306846</v>
      </c>
      <c r="O96">
        <v>1</v>
      </c>
      <c r="P96">
        <v>1</v>
      </c>
      <c r="Q96">
        <v>2</v>
      </c>
      <c r="R96">
        <v>2</v>
      </c>
      <c r="S96">
        <v>2</v>
      </c>
    </row>
    <row r="97" spans="1:19">
      <c r="A97" s="895" t="s">
        <v>180</v>
      </c>
      <c r="B97" s="895">
        <v>2022</v>
      </c>
      <c r="C97" s="895" t="s">
        <v>99</v>
      </c>
      <c r="D97" s="217">
        <v>13.0806856805</v>
      </c>
      <c r="E97" s="217">
        <v>2.5444195930933602</v>
      </c>
      <c r="F97" s="217">
        <v>20.511336788906601</v>
      </c>
      <c r="G97" s="217">
        <f t="shared" si="8"/>
        <v>0.11035940660267533</v>
      </c>
      <c r="H97" s="217">
        <f t="shared" si="9"/>
        <v>0.88964059339732471</v>
      </c>
      <c r="I97" s="946">
        <f t="shared" si="10"/>
        <v>1.1008428834372679</v>
      </c>
      <c r="J97" s="946">
        <f t="shared" si="11"/>
        <v>8.8742278180626926</v>
      </c>
      <c r="K97" s="217">
        <f t="shared" si="12"/>
        <v>0.99075859509354114</v>
      </c>
      <c r="L97" s="217">
        <f t="shared" si="13"/>
        <v>1.2109271717809948</v>
      </c>
      <c r="M97" s="217">
        <f t="shared" si="14"/>
        <v>7.9868050362564231</v>
      </c>
      <c r="N97" s="217">
        <f t="shared" si="15"/>
        <v>9.7616505998689629</v>
      </c>
      <c r="O97">
        <v>1</v>
      </c>
      <c r="P97">
        <v>1</v>
      </c>
      <c r="Q97">
        <v>2</v>
      </c>
      <c r="R97">
        <v>2</v>
      </c>
      <c r="S97">
        <v>2</v>
      </c>
    </row>
    <row r="98" spans="1:19">
      <c r="A98" s="895" t="s">
        <v>180</v>
      </c>
      <c r="B98" s="895">
        <v>2022</v>
      </c>
      <c r="C98" s="895" t="s">
        <v>98</v>
      </c>
      <c r="D98" s="217">
        <v>22.262128409799999</v>
      </c>
      <c r="E98" s="217">
        <v>4.6327809457557301</v>
      </c>
      <c r="F98" s="217">
        <v>31.583377896244301</v>
      </c>
      <c r="G98" s="217">
        <f t="shared" si="8"/>
        <v>0.12792027354328575</v>
      </c>
      <c r="H98" s="217">
        <f t="shared" si="9"/>
        <v>0.87207972645671428</v>
      </c>
      <c r="I98" s="946">
        <f t="shared" si="10"/>
        <v>1.7850033899183613</v>
      </c>
      <c r="J98" s="946">
        <f t="shared" si="11"/>
        <v>12.16902704228167</v>
      </c>
      <c r="K98" s="217">
        <f t="shared" si="12"/>
        <v>1.6065030509265252</v>
      </c>
      <c r="L98" s="217">
        <f t="shared" si="13"/>
        <v>1.9635037289101975</v>
      </c>
      <c r="M98" s="217">
        <f t="shared" si="14"/>
        <v>10.952124338053503</v>
      </c>
      <c r="N98" s="217">
        <f t="shared" si="15"/>
        <v>13.385929746509838</v>
      </c>
      <c r="O98">
        <v>1</v>
      </c>
      <c r="P98">
        <v>1</v>
      </c>
      <c r="Q98">
        <v>2</v>
      </c>
      <c r="R98">
        <v>2</v>
      </c>
      <c r="S98">
        <v>2</v>
      </c>
    </row>
    <row r="99" spans="1:19">
      <c r="A99" s="895" t="s">
        <v>180</v>
      </c>
      <c r="B99" s="895">
        <v>2022</v>
      </c>
      <c r="C99" s="895" t="s">
        <v>95</v>
      </c>
      <c r="D99" s="217">
        <v>32.628676583699999</v>
      </c>
      <c r="E99" s="217">
        <v>7.3373571250562497</v>
      </c>
      <c r="F99" s="217">
        <v>46.393903377643802</v>
      </c>
      <c r="G99" s="217">
        <f t="shared" si="8"/>
        <v>0.13655657910142532</v>
      </c>
      <c r="H99" s="217">
        <f t="shared" si="9"/>
        <v>0.86344342089857462</v>
      </c>
      <c r="I99" s="946">
        <f t="shared" si="10"/>
        <v>2.8816966701793962</v>
      </c>
      <c r="J99" s="946">
        <f t="shared" si="11"/>
        <v>18.220887248820659</v>
      </c>
      <c r="K99" s="217">
        <f t="shared" si="12"/>
        <v>2.5935270031614568</v>
      </c>
      <c r="L99" s="217">
        <f t="shared" si="13"/>
        <v>3.1698663371973361</v>
      </c>
      <c r="M99" s="217">
        <f t="shared" si="14"/>
        <v>16.398798523938595</v>
      </c>
      <c r="N99" s="217">
        <f t="shared" si="15"/>
        <v>20.042975973702728</v>
      </c>
      <c r="O99">
        <v>1</v>
      </c>
      <c r="P99">
        <v>1</v>
      </c>
      <c r="Q99">
        <v>2</v>
      </c>
      <c r="R99">
        <v>2</v>
      </c>
      <c r="S99">
        <v>2</v>
      </c>
    </row>
    <row r="100" spans="1:19">
      <c r="A100" s="895" t="s">
        <v>180</v>
      </c>
      <c r="B100" s="895">
        <v>2022</v>
      </c>
      <c r="C100" s="895" t="s">
        <v>91</v>
      </c>
      <c r="D100" s="217">
        <v>150.56898782939001</v>
      </c>
      <c r="E100" s="217">
        <v>25.069735891438999</v>
      </c>
      <c r="F100" s="217">
        <v>228.069816277661</v>
      </c>
      <c r="G100" s="217">
        <f t="shared" si="8"/>
        <v>9.9035238375914242E-2</v>
      </c>
      <c r="H100" s="217">
        <f t="shared" si="9"/>
        <v>0.90096476162408579</v>
      </c>
      <c r="I100" s="946">
        <f t="shared" si="10"/>
        <v>10.158100289735229</v>
      </c>
      <c r="J100" s="946">
        <f t="shared" si="11"/>
        <v>92.412464049974773</v>
      </c>
      <c r="K100" s="217">
        <f t="shared" si="12"/>
        <v>9.1422902607617065</v>
      </c>
      <c r="L100" s="217">
        <f t="shared" si="13"/>
        <v>11.173910318708753</v>
      </c>
      <c r="M100" s="217">
        <f t="shared" si="14"/>
        <v>83.171217644977304</v>
      </c>
      <c r="N100" s="217">
        <f t="shared" si="15"/>
        <v>101.65371045497226</v>
      </c>
      <c r="O100">
        <v>1</v>
      </c>
      <c r="P100">
        <v>1</v>
      </c>
      <c r="Q100">
        <v>2</v>
      </c>
      <c r="R100">
        <v>2</v>
      </c>
      <c r="S100">
        <v>2</v>
      </c>
    </row>
    <row r="101" spans="1:19">
      <c r="A101" s="895" t="s">
        <v>180</v>
      </c>
      <c r="B101" s="895">
        <v>2022</v>
      </c>
      <c r="C101" s="895" t="s">
        <v>93</v>
      </c>
      <c r="D101" s="217">
        <v>20.634706928</v>
      </c>
      <c r="E101" s="217">
        <v>7.2385863777352402</v>
      </c>
      <c r="F101" s="217">
        <v>24.1177245992648</v>
      </c>
      <c r="G101" s="217">
        <f t="shared" si="8"/>
        <v>0.23084942559233984</v>
      </c>
      <c r="H101" s="217">
        <f t="shared" si="9"/>
        <v>0.7691505744076601</v>
      </c>
      <c r="I101" s="946">
        <f t="shared" si="10"/>
        <v>2.4750761361401645</v>
      </c>
      <c r="J101" s="946">
        <f t="shared" si="11"/>
        <v>8.246527912859877</v>
      </c>
      <c r="K101" s="217">
        <f t="shared" si="12"/>
        <v>2.2275685225261483</v>
      </c>
      <c r="L101" s="217">
        <f t="shared" si="13"/>
        <v>2.7225837497541812</v>
      </c>
      <c r="M101" s="217">
        <f t="shared" si="14"/>
        <v>7.4218751215738896</v>
      </c>
      <c r="N101" s="217">
        <f t="shared" si="15"/>
        <v>9.0711807041458652</v>
      </c>
      <c r="O101">
        <v>1</v>
      </c>
      <c r="P101">
        <v>1</v>
      </c>
      <c r="Q101">
        <v>2</v>
      </c>
      <c r="R101">
        <v>2</v>
      </c>
      <c r="S101">
        <v>2</v>
      </c>
    </row>
    <row r="102" spans="1:19">
      <c r="A102" s="895" t="s">
        <v>180</v>
      </c>
      <c r="B102" s="895">
        <v>2022</v>
      </c>
      <c r="C102" s="895" t="s">
        <v>90</v>
      </c>
      <c r="D102" s="217">
        <v>13.020417069000001</v>
      </c>
      <c r="E102" s="217">
        <v>4.3934125734512799</v>
      </c>
      <c r="F102" s="217">
        <v>15.464860752548701</v>
      </c>
      <c r="G102" s="217">
        <f t="shared" si="8"/>
        <v>0.22123839778653293</v>
      </c>
      <c r="H102" s="217">
        <f t="shared" si="9"/>
        <v>0.77876160221346713</v>
      </c>
      <c r="I102" s="946">
        <f t="shared" si="10"/>
        <v>1.5127963625932948</v>
      </c>
      <c r="J102" s="946">
        <f t="shared" si="11"/>
        <v>5.3250598944066851</v>
      </c>
      <c r="K102" s="217">
        <f t="shared" si="12"/>
        <v>1.3615167263339654</v>
      </c>
      <c r="L102" s="217">
        <f t="shared" si="13"/>
        <v>1.6640759988526244</v>
      </c>
      <c r="M102" s="217">
        <f t="shared" si="14"/>
        <v>4.7925539049660166</v>
      </c>
      <c r="N102" s="217">
        <f t="shared" si="15"/>
        <v>5.8575658838473545</v>
      </c>
      <c r="O102">
        <v>1</v>
      </c>
      <c r="P102">
        <v>1</v>
      </c>
      <c r="Q102">
        <v>2</v>
      </c>
      <c r="R102">
        <v>2</v>
      </c>
      <c r="S102">
        <v>2</v>
      </c>
    </row>
    <row r="103" spans="1:19">
      <c r="A103" s="895" t="s">
        <v>180</v>
      </c>
      <c r="B103" s="895">
        <v>2022</v>
      </c>
      <c r="C103" s="895" t="s">
        <v>92</v>
      </c>
      <c r="D103" s="217">
        <v>23.736616922500001</v>
      </c>
      <c r="E103" s="217">
        <v>5.7096488638723102</v>
      </c>
      <c r="F103" s="217">
        <v>31.2542334961277</v>
      </c>
      <c r="G103" s="217">
        <f t="shared" si="8"/>
        <v>0.15446561614563878</v>
      </c>
      <c r="H103" s="217">
        <f t="shared" si="9"/>
        <v>0.84553438385436119</v>
      </c>
      <c r="I103" s="946">
        <f t="shared" si="10"/>
        <v>2.0431577057253514</v>
      </c>
      <c r="J103" s="946">
        <f t="shared" si="11"/>
        <v>11.18410773177466</v>
      </c>
      <c r="K103" s="217">
        <f t="shared" si="12"/>
        <v>1.8388419351528162</v>
      </c>
      <c r="L103" s="217">
        <f t="shared" si="13"/>
        <v>2.2474734762978867</v>
      </c>
      <c r="M103" s="217">
        <f t="shared" si="14"/>
        <v>10.065696958597194</v>
      </c>
      <c r="N103" s="217">
        <f t="shared" si="15"/>
        <v>12.302518504952127</v>
      </c>
      <c r="O103">
        <v>1</v>
      </c>
      <c r="P103">
        <v>1</v>
      </c>
      <c r="Q103">
        <v>2</v>
      </c>
      <c r="R103">
        <v>2</v>
      </c>
      <c r="S103">
        <v>2</v>
      </c>
    </row>
    <row r="105" spans="1:19">
      <c r="A105" t="s">
        <v>2030</v>
      </c>
    </row>
    <row r="106" spans="1:19" s="1114" customFormat="1">
      <c r="A106" s="1112" t="s">
        <v>2023</v>
      </c>
    </row>
    <row r="107" spans="1:19" s="1114" customFormat="1" ht="15.75" thickBot="1"/>
    <row r="108" spans="1:19">
      <c r="A108" s="895" t="s">
        <v>1026</v>
      </c>
      <c r="B108" s="895" t="s">
        <v>101</v>
      </c>
      <c r="C108" s="895" t="s">
        <v>102</v>
      </c>
      <c r="D108" t="s">
        <v>245</v>
      </c>
      <c r="E108" t="s">
        <v>2018</v>
      </c>
      <c r="F108" t="s">
        <v>527</v>
      </c>
      <c r="G108" t="s">
        <v>2026</v>
      </c>
      <c r="H108" t="s">
        <v>2027</v>
      </c>
      <c r="I108" s="895" t="s">
        <v>2021</v>
      </c>
      <c r="J108" s="895" t="s">
        <v>2028</v>
      </c>
      <c r="K108" s="895" t="s">
        <v>2041</v>
      </c>
      <c r="L108" s="895" t="s">
        <v>2039</v>
      </c>
      <c r="M108" s="895" t="s">
        <v>2166</v>
      </c>
      <c r="N108" s="895" t="s">
        <v>2167</v>
      </c>
      <c r="O108" s="419" t="s">
        <v>105</v>
      </c>
      <c r="P108" s="420" t="s">
        <v>65</v>
      </c>
      <c r="Q108" s="420" t="s">
        <v>67</v>
      </c>
      <c r="R108" s="420" t="s">
        <v>73</v>
      </c>
      <c r="S108" s="421" t="s">
        <v>79</v>
      </c>
    </row>
    <row r="109" spans="1:19">
      <c r="A109" s="895" t="s">
        <v>182</v>
      </c>
      <c r="B109" s="895">
        <v>2011</v>
      </c>
      <c r="C109" s="895" t="s">
        <v>99</v>
      </c>
      <c r="D109" s="217">
        <v>15.0874263785</v>
      </c>
      <c r="E109" s="217">
        <v>154.79480139040001</v>
      </c>
      <c r="F109" s="217">
        <v>31.040529144000001</v>
      </c>
      <c r="G109" s="217">
        <f>E109/(E109+F109)</f>
        <v>0.83296755759662133</v>
      </c>
      <c r="H109" s="217">
        <f>1-G109</f>
        <v>0.16703244240337867</v>
      </c>
      <c r="I109" s="946">
        <f>E109-(D109*G109)</f>
        <v>142.22746468948202</v>
      </c>
      <c r="J109" s="946">
        <f>F109-(D109*H109)</f>
        <v>28.520439466417983</v>
      </c>
      <c r="K109" s="217">
        <f>I109*$B$5</f>
        <v>128.00471822053382</v>
      </c>
      <c r="L109" s="217">
        <f>I109*$B$4</f>
        <v>156.45021115843022</v>
      </c>
      <c r="M109" s="217">
        <f>J109*$B$7</f>
        <v>32.972480067125836</v>
      </c>
      <c r="N109" s="217">
        <f>J109*$B$6</f>
        <v>38.944660091393757</v>
      </c>
      <c r="O109">
        <v>1</v>
      </c>
      <c r="P109">
        <v>1</v>
      </c>
      <c r="Q109">
        <v>2</v>
      </c>
      <c r="R109">
        <v>2</v>
      </c>
      <c r="S109">
        <v>2</v>
      </c>
    </row>
    <row r="110" spans="1:19">
      <c r="A110" s="895" t="s">
        <v>182</v>
      </c>
      <c r="B110" s="895">
        <v>2011</v>
      </c>
      <c r="C110" s="895" t="s">
        <v>98</v>
      </c>
      <c r="D110" s="217">
        <v>26.3462807224</v>
      </c>
      <c r="E110" s="217">
        <v>255.1626041351</v>
      </c>
      <c r="F110" s="217">
        <v>49.962411561800003</v>
      </c>
      <c r="G110" s="217">
        <f t="shared" ref="G110:G173" si="16">E110/(E110+F110)</f>
        <v>0.83625593120352082</v>
      </c>
      <c r="H110" s="217">
        <f t="shared" ref="H110:H173" si="17">1-G110</f>
        <v>0.16374406879647918</v>
      </c>
      <c r="I110" s="946">
        <f t="shared" ref="I110:I173" si="18">E110-(D110*G110)</f>
        <v>233.13037061584001</v>
      </c>
      <c r="J110" s="946">
        <f t="shared" ref="J110:J173" si="19">F110-(D110*H110)</f>
        <v>45.648364358659983</v>
      </c>
      <c r="K110" s="217">
        <f t="shared" ref="K110:K173" si="20">I110*$B$5</f>
        <v>209.81733355425601</v>
      </c>
      <c r="L110" s="217">
        <f t="shared" ref="L110:L173" si="21">I110*$B$4</f>
        <v>256.44340767742403</v>
      </c>
      <c r="M110" s="217">
        <f t="shared" ref="M110:M173" si="22">J110*$B$7</f>
        <v>52.774074035046809</v>
      </c>
      <c r="N110" s="217">
        <f t="shared" ref="N110:N173" si="23">J110*$B$6</f>
        <v>62.332841531750212</v>
      </c>
      <c r="O110">
        <v>1</v>
      </c>
      <c r="P110">
        <v>1</v>
      </c>
      <c r="Q110">
        <v>2</v>
      </c>
      <c r="R110">
        <v>2</v>
      </c>
      <c r="S110">
        <v>2</v>
      </c>
    </row>
    <row r="111" spans="1:19">
      <c r="A111" s="895" t="s">
        <v>182</v>
      </c>
      <c r="B111" s="895">
        <v>2011</v>
      </c>
      <c r="C111" s="895" t="s">
        <v>95</v>
      </c>
      <c r="D111" s="217">
        <v>42.148068650799999</v>
      </c>
      <c r="E111" s="217">
        <v>344.29726214639999</v>
      </c>
      <c r="F111" s="217">
        <v>100.021652977</v>
      </c>
      <c r="G111" s="217">
        <f t="shared" si="16"/>
        <v>0.77488769986481187</v>
      </c>
      <c r="H111" s="217">
        <f t="shared" si="17"/>
        <v>0.22511230013518813</v>
      </c>
      <c r="I111" s="946">
        <f t="shared" si="18"/>
        <v>311.6372421758374</v>
      </c>
      <c r="J111" s="946">
        <f t="shared" si="19"/>
        <v>90.533604296762604</v>
      </c>
      <c r="K111" s="217">
        <f t="shared" si="20"/>
        <v>280.47351795825369</v>
      </c>
      <c r="L111" s="217">
        <f t="shared" si="21"/>
        <v>342.80096639342116</v>
      </c>
      <c r="M111" s="217">
        <f t="shared" si="22"/>
        <v>104.66589992748726</v>
      </c>
      <c r="N111" s="217">
        <f t="shared" si="23"/>
        <v>123.62363666722935</v>
      </c>
      <c r="O111">
        <v>1</v>
      </c>
      <c r="P111">
        <v>1</v>
      </c>
      <c r="Q111">
        <v>2</v>
      </c>
      <c r="R111">
        <v>2</v>
      </c>
      <c r="S111">
        <v>2</v>
      </c>
    </row>
    <row r="112" spans="1:19">
      <c r="A112" s="895" t="s">
        <v>182</v>
      </c>
      <c r="B112" s="895">
        <v>2011</v>
      </c>
      <c r="C112" s="895" t="s">
        <v>91</v>
      </c>
      <c r="D112" s="217">
        <v>155.01462406869001</v>
      </c>
      <c r="E112" s="217">
        <v>1527.61309157287</v>
      </c>
      <c r="F112" s="217">
        <v>259.69706648547998</v>
      </c>
      <c r="G112" s="217">
        <f t="shared" si="16"/>
        <v>0.85469949615929963</v>
      </c>
      <c r="H112" s="217">
        <f t="shared" si="17"/>
        <v>0.14530050384070037</v>
      </c>
      <c r="I112" s="946">
        <f t="shared" si="18"/>
        <v>1395.1221704840373</v>
      </c>
      <c r="J112" s="946">
        <f t="shared" si="19"/>
        <v>237.17336350562255</v>
      </c>
      <c r="K112" s="217">
        <f t="shared" si="20"/>
        <v>1255.6099534356335</v>
      </c>
      <c r="L112" s="217">
        <f t="shared" si="21"/>
        <v>1534.6343875324412</v>
      </c>
      <c r="M112" s="217">
        <f t="shared" si="22"/>
        <v>274.19612554885026</v>
      </c>
      <c r="N112" s="217">
        <f t="shared" si="23"/>
        <v>323.86022786692763</v>
      </c>
      <c r="O112">
        <v>1</v>
      </c>
      <c r="P112">
        <v>1</v>
      </c>
      <c r="Q112">
        <v>2</v>
      </c>
      <c r="R112">
        <v>2</v>
      </c>
      <c r="S112">
        <v>2</v>
      </c>
    </row>
    <row r="113" spans="1:19">
      <c r="A113" s="895" t="s">
        <v>182</v>
      </c>
      <c r="B113" s="895">
        <v>2011</v>
      </c>
      <c r="C113" s="895" t="s">
        <v>93</v>
      </c>
      <c r="D113" s="217">
        <v>33.500468339999998</v>
      </c>
      <c r="E113" s="217">
        <v>193.656643272</v>
      </c>
      <c r="F113" s="217">
        <v>75.589643613000007</v>
      </c>
      <c r="G113" s="217">
        <f t="shared" si="16"/>
        <v>0.71925464790054572</v>
      </c>
      <c r="H113" s="217">
        <f t="shared" si="17"/>
        <v>0.28074535209945428</v>
      </c>
      <c r="I113" s="946">
        <f t="shared" si="18"/>
        <v>169.56127571160991</v>
      </c>
      <c r="J113" s="946">
        <f t="shared" si="19"/>
        <v>66.184542833390083</v>
      </c>
      <c r="K113" s="217">
        <f t="shared" si="20"/>
        <v>152.60514814044893</v>
      </c>
      <c r="L113" s="217">
        <f t="shared" si="21"/>
        <v>186.51740328277091</v>
      </c>
      <c r="M113" s="217">
        <f t="shared" si="22"/>
        <v>76.515949969682282</v>
      </c>
      <c r="N113" s="217">
        <f t="shared" si="23"/>
        <v>90.374993238994165</v>
      </c>
      <c r="O113">
        <v>1</v>
      </c>
      <c r="P113">
        <v>1</v>
      </c>
      <c r="Q113">
        <v>2</v>
      </c>
      <c r="R113">
        <v>2</v>
      </c>
      <c r="S113">
        <v>2</v>
      </c>
    </row>
    <row r="114" spans="1:19">
      <c r="A114" s="895" t="s">
        <v>182</v>
      </c>
      <c r="B114" s="895">
        <v>2011</v>
      </c>
      <c r="C114" s="895" t="s">
        <v>90</v>
      </c>
      <c r="D114" s="217">
        <v>20.625658731000001</v>
      </c>
      <c r="E114" s="217">
        <v>125.237414997</v>
      </c>
      <c r="F114" s="217">
        <v>45.630431774999998</v>
      </c>
      <c r="G114" s="217">
        <f t="shared" si="16"/>
        <v>0.73294898579785095</v>
      </c>
      <c r="H114" s="217">
        <f t="shared" si="17"/>
        <v>0.26705101420214905</v>
      </c>
      <c r="I114" s="946">
        <f t="shared" si="18"/>
        <v>110.11985934870096</v>
      </c>
      <c r="J114" s="946">
        <f t="shared" si="19"/>
        <v>40.122328692299035</v>
      </c>
      <c r="K114" s="217">
        <f t="shared" si="20"/>
        <v>99.107873413830859</v>
      </c>
      <c r="L114" s="217">
        <f t="shared" si="21"/>
        <v>121.13184528357107</v>
      </c>
      <c r="M114" s="217">
        <f t="shared" si="22"/>
        <v>46.38542420116692</v>
      </c>
      <c r="N114" s="217">
        <f t="shared" si="23"/>
        <v>54.78703982933434</v>
      </c>
      <c r="O114">
        <v>1</v>
      </c>
      <c r="P114">
        <v>1</v>
      </c>
      <c r="Q114">
        <v>2</v>
      </c>
      <c r="R114">
        <v>2</v>
      </c>
      <c r="S114">
        <v>2</v>
      </c>
    </row>
    <row r="115" spans="1:19">
      <c r="A115" s="895" t="s">
        <v>182</v>
      </c>
      <c r="B115" s="895">
        <v>2011</v>
      </c>
      <c r="C115" s="895" t="s">
        <v>92</v>
      </c>
      <c r="D115" s="217">
        <v>30.545550841499999</v>
      </c>
      <c r="E115" s="217">
        <v>265.05502425449998</v>
      </c>
      <c r="F115" s="217">
        <v>55.2967490805</v>
      </c>
      <c r="G115" s="217">
        <f t="shared" si="16"/>
        <v>0.82738741070530997</v>
      </c>
      <c r="H115" s="217">
        <f t="shared" si="17"/>
        <v>0.17261258929469003</v>
      </c>
      <c r="I115" s="946">
        <f t="shared" si="18"/>
        <v>239.7820200351839</v>
      </c>
      <c r="J115" s="946">
        <f t="shared" si="19"/>
        <v>50.02420245831609</v>
      </c>
      <c r="K115" s="217">
        <f t="shared" si="20"/>
        <v>215.80381803166551</v>
      </c>
      <c r="L115" s="217">
        <f t="shared" si="21"/>
        <v>263.7602220387023</v>
      </c>
      <c r="M115" s="217">
        <f t="shared" si="22"/>
        <v>57.83298046205924</v>
      </c>
      <c r="N115" s="217">
        <f t="shared" si="23"/>
        <v>68.308048456830633</v>
      </c>
      <c r="O115">
        <v>1</v>
      </c>
      <c r="P115">
        <v>1</v>
      </c>
      <c r="Q115">
        <v>2</v>
      </c>
      <c r="R115">
        <v>2</v>
      </c>
      <c r="S115">
        <v>2</v>
      </c>
    </row>
    <row r="116" spans="1:19">
      <c r="A116" s="895" t="s">
        <v>182</v>
      </c>
      <c r="B116" s="895">
        <v>2012</v>
      </c>
      <c r="C116" s="895" t="s">
        <v>99</v>
      </c>
      <c r="D116" s="217">
        <v>14.6639428569</v>
      </c>
      <c r="E116" s="217">
        <v>118.0618426827</v>
      </c>
      <c r="F116" s="217">
        <v>29.2622898431</v>
      </c>
      <c r="G116" s="217">
        <f t="shared" si="16"/>
        <v>0.80137476907949579</v>
      </c>
      <c r="H116" s="217">
        <f t="shared" si="17"/>
        <v>0.19862523092050421</v>
      </c>
      <c r="I116" s="946">
        <f t="shared" si="18"/>
        <v>106.31052886195684</v>
      </c>
      <c r="J116" s="946">
        <f t="shared" si="19"/>
        <v>26.349660806943159</v>
      </c>
      <c r="K116" s="217">
        <f t="shared" si="20"/>
        <v>95.679475975761164</v>
      </c>
      <c r="L116" s="217">
        <f t="shared" si="21"/>
        <v>116.94158174815253</v>
      </c>
      <c r="M116" s="217">
        <f t="shared" si="22"/>
        <v>30.462842858906988</v>
      </c>
      <c r="N116" s="217">
        <f t="shared" si="23"/>
        <v>35.980461831880888</v>
      </c>
      <c r="O116">
        <v>1</v>
      </c>
      <c r="P116">
        <v>1</v>
      </c>
      <c r="Q116">
        <v>2</v>
      </c>
      <c r="R116">
        <v>2</v>
      </c>
      <c r="S116">
        <v>2</v>
      </c>
    </row>
    <row r="117" spans="1:19">
      <c r="A117" s="895" t="s">
        <v>182</v>
      </c>
      <c r="B117" s="895">
        <v>2012</v>
      </c>
      <c r="C117" s="895" t="s">
        <v>98</v>
      </c>
      <c r="D117" s="217">
        <v>25.8430181654</v>
      </c>
      <c r="E117" s="217">
        <v>205.70747125209999</v>
      </c>
      <c r="F117" s="217">
        <v>42.688970423400001</v>
      </c>
      <c r="G117" s="217">
        <f t="shared" si="16"/>
        <v>0.8281417795864886</v>
      </c>
      <c r="H117" s="217">
        <f t="shared" si="17"/>
        <v>0.1718582204135114</v>
      </c>
      <c r="I117" s="946">
        <f t="shared" si="18"/>
        <v>184.30578819871968</v>
      </c>
      <c r="J117" s="946">
        <f t="shared" si="19"/>
        <v>38.247635311380307</v>
      </c>
      <c r="K117" s="217">
        <f t="shared" si="20"/>
        <v>165.87520937884773</v>
      </c>
      <c r="L117" s="217">
        <f t="shared" si="21"/>
        <v>202.73636701859166</v>
      </c>
      <c r="M117" s="217">
        <f t="shared" si="22"/>
        <v>44.218091183486777</v>
      </c>
      <c r="N117" s="217">
        <f t="shared" si="23"/>
        <v>52.227146017689819</v>
      </c>
      <c r="O117">
        <v>1</v>
      </c>
      <c r="P117">
        <v>1</v>
      </c>
      <c r="Q117">
        <v>2</v>
      </c>
      <c r="R117">
        <v>2</v>
      </c>
      <c r="S117">
        <v>2</v>
      </c>
    </row>
    <row r="118" spans="1:19">
      <c r="A118" s="895" t="s">
        <v>182</v>
      </c>
      <c r="B118" s="895">
        <v>2012</v>
      </c>
      <c r="C118" s="895" t="s">
        <v>95</v>
      </c>
      <c r="D118" s="217">
        <v>38.307417483599998</v>
      </c>
      <c r="E118" s="217">
        <v>255.030635276</v>
      </c>
      <c r="F118" s="217">
        <v>86.775797721000004</v>
      </c>
      <c r="G118" s="217">
        <f t="shared" si="16"/>
        <v>0.74612590828048686</v>
      </c>
      <c r="H118" s="217">
        <f t="shared" si="17"/>
        <v>0.25387409171951314</v>
      </c>
      <c r="I118" s="946">
        <f t="shared" si="18"/>
        <v>226.44847861216914</v>
      </c>
      <c r="J118" s="946">
        <f t="shared" si="19"/>
        <v>77.050536901230856</v>
      </c>
      <c r="K118" s="217">
        <f t="shared" si="20"/>
        <v>203.80363075095224</v>
      </c>
      <c r="L118" s="217">
        <f t="shared" si="21"/>
        <v>249.09332647338607</v>
      </c>
      <c r="M118" s="217">
        <f t="shared" si="22"/>
        <v>89.078125711512996</v>
      </c>
      <c r="N118" s="217">
        <f t="shared" si="23"/>
        <v>105.21250813863075</v>
      </c>
      <c r="O118">
        <v>1</v>
      </c>
      <c r="P118">
        <v>1</v>
      </c>
      <c r="Q118">
        <v>2</v>
      </c>
      <c r="R118">
        <v>2</v>
      </c>
      <c r="S118">
        <v>2</v>
      </c>
    </row>
    <row r="119" spans="1:19">
      <c r="A119" s="895" t="s">
        <v>182</v>
      </c>
      <c r="B119" s="895">
        <v>2012</v>
      </c>
      <c r="C119" s="895" t="s">
        <v>91</v>
      </c>
      <c r="D119" s="217">
        <v>162.49925292803999</v>
      </c>
      <c r="E119" s="217">
        <v>1330.4608714067499</v>
      </c>
      <c r="F119" s="217">
        <v>254.09426122478001</v>
      </c>
      <c r="G119" s="217">
        <f t="shared" si="16"/>
        <v>0.83964315536134349</v>
      </c>
      <c r="H119" s="217">
        <f t="shared" si="17"/>
        <v>0.16035684463865651</v>
      </c>
      <c r="I119" s="946">
        <f t="shared" si="18"/>
        <v>1194.0194859343894</v>
      </c>
      <c r="J119" s="946">
        <f t="shared" si="19"/>
        <v>228.03639376910056</v>
      </c>
      <c r="K119" s="217">
        <f t="shared" si="20"/>
        <v>1074.6175373409505</v>
      </c>
      <c r="L119" s="217">
        <f t="shared" si="21"/>
        <v>1313.4214345278285</v>
      </c>
      <c r="M119" s="217">
        <f t="shared" si="22"/>
        <v>263.63287483645718</v>
      </c>
      <c r="N119" s="217">
        <f t="shared" si="23"/>
        <v>311.38369569170686</v>
      </c>
      <c r="O119">
        <v>1</v>
      </c>
      <c r="P119">
        <v>1</v>
      </c>
      <c r="Q119">
        <v>2</v>
      </c>
      <c r="R119">
        <v>2</v>
      </c>
      <c r="S119">
        <v>2</v>
      </c>
    </row>
    <row r="120" spans="1:19">
      <c r="A120" s="895" t="s">
        <v>182</v>
      </c>
      <c r="B120" s="895">
        <v>2012</v>
      </c>
      <c r="C120" s="895" t="s">
        <v>93</v>
      </c>
      <c r="D120" s="217">
        <v>36.246891734999998</v>
      </c>
      <c r="E120" s="217">
        <v>176.595578993</v>
      </c>
      <c r="F120" s="217">
        <v>74.639026981000001</v>
      </c>
      <c r="G120" s="217">
        <f t="shared" si="16"/>
        <v>0.70291104327910814</v>
      </c>
      <c r="H120" s="217">
        <f t="shared" si="17"/>
        <v>0.29708895672089186</v>
      </c>
      <c r="I120" s="946">
        <f t="shared" si="18"/>
        <v>151.11723850792629</v>
      </c>
      <c r="J120" s="946">
        <f t="shared" si="19"/>
        <v>63.870475731073732</v>
      </c>
      <c r="K120" s="217">
        <f t="shared" si="20"/>
        <v>136.00551465713366</v>
      </c>
      <c r="L120" s="217">
        <f t="shared" si="21"/>
        <v>166.22896235871892</v>
      </c>
      <c r="M120" s="217">
        <f t="shared" si="22"/>
        <v>73.840656992694349</v>
      </c>
      <c r="N120" s="217">
        <f t="shared" si="23"/>
        <v>87.215134610781192</v>
      </c>
      <c r="O120">
        <v>1</v>
      </c>
      <c r="P120">
        <v>1</v>
      </c>
      <c r="Q120">
        <v>2</v>
      </c>
      <c r="R120">
        <v>2</v>
      </c>
      <c r="S120">
        <v>2</v>
      </c>
    </row>
    <row r="121" spans="1:19">
      <c r="A121" s="895" t="s">
        <v>182</v>
      </c>
      <c r="B121" s="895">
        <v>2012</v>
      </c>
      <c r="C121" s="895" t="s">
        <v>90</v>
      </c>
      <c r="D121" s="217">
        <v>22.328881479</v>
      </c>
      <c r="E121" s="217">
        <v>113.572964328</v>
      </c>
      <c r="F121" s="217">
        <v>44.925511827000001</v>
      </c>
      <c r="G121" s="217">
        <f t="shared" si="16"/>
        <v>0.71655555992181208</v>
      </c>
      <c r="H121" s="217">
        <f t="shared" si="17"/>
        <v>0.28344444007818792</v>
      </c>
      <c r="I121" s="946">
        <f t="shared" si="18"/>
        <v>97.57308015738738</v>
      </c>
      <c r="J121" s="946">
        <f t="shared" si="19"/>
        <v>38.596514518612622</v>
      </c>
      <c r="K121" s="217">
        <f t="shared" si="20"/>
        <v>87.815772141648651</v>
      </c>
      <c r="L121" s="217">
        <f t="shared" si="21"/>
        <v>107.33038817312612</v>
      </c>
      <c r="M121" s="217">
        <f t="shared" si="22"/>
        <v>44.621430434968055</v>
      </c>
      <c r="N121" s="217">
        <f t="shared" si="23"/>
        <v>52.70354057516554</v>
      </c>
      <c r="O121">
        <v>1</v>
      </c>
      <c r="P121">
        <v>1</v>
      </c>
      <c r="Q121">
        <v>2</v>
      </c>
      <c r="R121">
        <v>2</v>
      </c>
      <c r="S121">
        <v>2</v>
      </c>
    </row>
    <row r="122" spans="1:19">
      <c r="A122" s="895" t="s">
        <v>182</v>
      </c>
      <c r="B122" s="895">
        <v>2012</v>
      </c>
      <c r="C122" s="895" t="s">
        <v>92</v>
      </c>
      <c r="D122" s="217">
        <v>33.428037046500002</v>
      </c>
      <c r="E122" s="217">
        <v>233.94698833300001</v>
      </c>
      <c r="F122" s="217">
        <v>53.028091650500002</v>
      </c>
      <c r="G122" s="217">
        <f t="shared" si="16"/>
        <v>0.81521708556175365</v>
      </c>
      <c r="H122" s="217">
        <f t="shared" si="17"/>
        <v>0.18478291443824635</v>
      </c>
      <c r="I122" s="946">
        <f t="shared" si="18"/>
        <v>206.69588139590195</v>
      </c>
      <c r="J122" s="946">
        <f t="shared" si="19"/>
        <v>46.851161541098065</v>
      </c>
      <c r="K122" s="217">
        <f t="shared" si="20"/>
        <v>186.02629325631176</v>
      </c>
      <c r="L122" s="217">
        <f t="shared" si="21"/>
        <v>227.36546953549217</v>
      </c>
      <c r="M122" s="217">
        <f t="shared" si="22"/>
        <v>54.164627857663483</v>
      </c>
      <c r="N122" s="217">
        <f t="shared" si="23"/>
        <v>63.975261084369414</v>
      </c>
      <c r="O122">
        <v>1</v>
      </c>
      <c r="P122">
        <v>1</v>
      </c>
      <c r="Q122">
        <v>2</v>
      </c>
      <c r="R122">
        <v>2</v>
      </c>
      <c r="S122">
        <v>2</v>
      </c>
    </row>
    <row r="123" spans="1:19">
      <c r="A123" s="895" t="s">
        <v>182</v>
      </c>
      <c r="B123" s="895">
        <v>2013</v>
      </c>
      <c r="C123" s="895" t="s">
        <v>99</v>
      </c>
      <c r="D123" s="217">
        <v>14.457800194200001</v>
      </c>
      <c r="E123" s="217">
        <v>124.4614760927</v>
      </c>
      <c r="F123" s="217">
        <v>27.7016179829</v>
      </c>
      <c r="G123" s="217">
        <f t="shared" si="16"/>
        <v>0.81794785291933636</v>
      </c>
      <c r="H123" s="217">
        <f t="shared" si="17"/>
        <v>0.18205214708066364</v>
      </c>
      <c r="I123" s="946">
        <f t="shared" si="18"/>
        <v>112.63574946591734</v>
      </c>
      <c r="J123" s="946">
        <f t="shared" si="19"/>
        <v>25.069544415482653</v>
      </c>
      <c r="K123" s="217">
        <f t="shared" si="20"/>
        <v>101.37217451932561</v>
      </c>
      <c r="L123" s="217">
        <f t="shared" si="21"/>
        <v>123.89932441250909</v>
      </c>
      <c r="M123" s="217">
        <f t="shared" si="22"/>
        <v>28.982900298739498</v>
      </c>
      <c r="N123" s="217">
        <f t="shared" si="23"/>
        <v>34.23246289934157</v>
      </c>
      <c r="O123">
        <v>1</v>
      </c>
      <c r="P123">
        <v>1</v>
      </c>
      <c r="Q123">
        <v>2</v>
      </c>
      <c r="R123">
        <v>2</v>
      </c>
      <c r="S123">
        <v>2</v>
      </c>
    </row>
    <row r="124" spans="1:19">
      <c r="A124" s="895" t="s">
        <v>182</v>
      </c>
      <c r="B124" s="895">
        <v>2013</v>
      </c>
      <c r="C124" s="895" t="s">
        <v>98</v>
      </c>
      <c r="D124" s="217">
        <v>26.5450682956</v>
      </c>
      <c r="E124" s="217">
        <v>214.31800184240001</v>
      </c>
      <c r="F124" s="217">
        <v>39.582388809299999</v>
      </c>
      <c r="G124" s="217">
        <f t="shared" si="16"/>
        <v>0.8441026864602228</v>
      </c>
      <c r="H124" s="217">
        <f t="shared" si="17"/>
        <v>0.1558973135397772</v>
      </c>
      <c r="I124" s="946">
        <f t="shared" si="18"/>
        <v>191.91123838181397</v>
      </c>
      <c r="J124" s="946">
        <f t="shared" si="19"/>
        <v>35.444083974286045</v>
      </c>
      <c r="K124" s="217">
        <f t="shared" si="20"/>
        <v>172.72011454363258</v>
      </c>
      <c r="L124" s="217">
        <f t="shared" si="21"/>
        <v>211.1023622199954</v>
      </c>
      <c r="M124" s="217">
        <f t="shared" si="22"/>
        <v>40.976905482672102</v>
      </c>
      <c r="N124" s="217">
        <f t="shared" si="23"/>
        <v>48.398896666887602</v>
      </c>
      <c r="O124">
        <v>1</v>
      </c>
      <c r="P124">
        <v>1</v>
      </c>
      <c r="Q124">
        <v>2</v>
      </c>
      <c r="R124">
        <v>2</v>
      </c>
      <c r="S124">
        <v>2</v>
      </c>
    </row>
    <row r="125" spans="1:19">
      <c r="A125" s="895" t="s">
        <v>182</v>
      </c>
      <c r="B125" s="895">
        <v>2013</v>
      </c>
      <c r="C125" s="895" t="s">
        <v>95</v>
      </c>
      <c r="D125" s="217">
        <v>38.561227846199998</v>
      </c>
      <c r="E125" s="217">
        <v>266.12033419490001</v>
      </c>
      <c r="F125" s="217">
        <v>82.569682509100005</v>
      </c>
      <c r="G125" s="217">
        <f t="shared" si="16"/>
        <v>0.76320032535031623</v>
      </c>
      <c r="H125" s="217">
        <f t="shared" si="17"/>
        <v>0.23679967464968377</v>
      </c>
      <c r="I125" s="946">
        <f t="shared" si="18"/>
        <v>236.69039255677251</v>
      </c>
      <c r="J125" s="946">
        <f t="shared" si="19"/>
        <v>73.438396301027524</v>
      </c>
      <c r="K125" s="217">
        <f t="shared" si="20"/>
        <v>213.02135330109527</v>
      </c>
      <c r="L125" s="217">
        <f t="shared" si="21"/>
        <v>260.35943181244977</v>
      </c>
      <c r="M125" s="217">
        <f t="shared" si="22"/>
        <v>84.902129963617924</v>
      </c>
      <c r="N125" s="217">
        <f t="shared" si="23"/>
        <v>100.28013014905309</v>
      </c>
      <c r="O125">
        <v>1</v>
      </c>
      <c r="P125">
        <v>1</v>
      </c>
      <c r="Q125">
        <v>2</v>
      </c>
      <c r="R125">
        <v>2</v>
      </c>
      <c r="S125">
        <v>2</v>
      </c>
    </row>
    <row r="126" spans="1:19">
      <c r="A126" s="895" t="s">
        <v>182</v>
      </c>
      <c r="B126" s="895">
        <v>2013</v>
      </c>
      <c r="C126" s="895" t="s">
        <v>91</v>
      </c>
      <c r="D126" s="217">
        <v>170.99273311952999</v>
      </c>
      <c r="E126" s="217">
        <v>1399.78778448765</v>
      </c>
      <c r="F126" s="217">
        <v>253.63192429835999</v>
      </c>
      <c r="G126" s="217">
        <f t="shared" si="16"/>
        <v>0.84660160819990216</v>
      </c>
      <c r="H126" s="217">
        <f t="shared" si="17"/>
        <v>0.15339839180009784</v>
      </c>
      <c r="I126" s="946">
        <f t="shared" si="18"/>
        <v>1255.0250616381593</v>
      </c>
      <c r="J126" s="946">
        <f t="shared" si="19"/>
        <v>227.40191402832076</v>
      </c>
      <c r="K126" s="217">
        <f t="shared" si="20"/>
        <v>1129.5225554743433</v>
      </c>
      <c r="L126" s="217">
        <f t="shared" si="21"/>
        <v>1380.5275678019752</v>
      </c>
      <c r="M126" s="217">
        <f t="shared" si="22"/>
        <v>262.89935280814166</v>
      </c>
      <c r="N126" s="217">
        <f t="shared" si="23"/>
        <v>310.51731360567203</v>
      </c>
      <c r="O126">
        <v>1</v>
      </c>
      <c r="P126">
        <v>1</v>
      </c>
      <c r="Q126">
        <v>2</v>
      </c>
      <c r="R126">
        <v>2</v>
      </c>
      <c r="S126">
        <v>2</v>
      </c>
    </row>
    <row r="127" spans="1:19">
      <c r="A127" s="895" t="s">
        <v>182</v>
      </c>
      <c r="B127" s="895">
        <v>2013</v>
      </c>
      <c r="C127" s="895" t="s">
        <v>93</v>
      </c>
      <c r="D127" s="217">
        <v>38.966978734999998</v>
      </c>
      <c r="E127" s="217">
        <v>182.33374791899999</v>
      </c>
      <c r="F127" s="217">
        <v>75.803505104999999</v>
      </c>
      <c r="G127" s="217">
        <f t="shared" si="16"/>
        <v>0.70634418621495032</v>
      </c>
      <c r="H127" s="217">
        <f t="shared" si="17"/>
        <v>0.29365581378504968</v>
      </c>
      <c r="I127" s="946">
        <f t="shared" si="18"/>
        <v>154.80964903517113</v>
      </c>
      <c r="J127" s="946">
        <f t="shared" si="19"/>
        <v>64.360625253828843</v>
      </c>
      <c r="K127" s="217">
        <f t="shared" si="20"/>
        <v>139.32868413165403</v>
      </c>
      <c r="L127" s="217">
        <f t="shared" si="21"/>
        <v>170.29061393868827</v>
      </c>
      <c r="M127" s="217">
        <f t="shared" si="22"/>
        <v>74.40731885595153</v>
      </c>
      <c r="N127" s="217">
        <f t="shared" si="23"/>
        <v>87.884433784103294</v>
      </c>
      <c r="O127">
        <v>1</v>
      </c>
      <c r="P127">
        <v>1</v>
      </c>
      <c r="Q127">
        <v>2</v>
      </c>
      <c r="R127">
        <v>2</v>
      </c>
      <c r="S127">
        <v>2</v>
      </c>
    </row>
    <row r="128" spans="1:19">
      <c r="A128" s="895" t="s">
        <v>182</v>
      </c>
      <c r="B128" s="895">
        <v>2013</v>
      </c>
      <c r="C128" s="895" t="s">
        <v>90</v>
      </c>
      <c r="D128" s="217">
        <v>23.959647096000001</v>
      </c>
      <c r="E128" s="217">
        <v>117.311127615</v>
      </c>
      <c r="F128" s="217">
        <v>45.564610391999999</v>
      </c>
      <c r="G128" s="217">
        <f t="shared" si="16"/>
        <v>0.72024924675987201</v>
      </c>
      <c r="H128" s="217">
        <f t="shared" si="17"/>
        <v>0.27975075324012799</v>
      </c>
      <c r="I128" s="946">
        <f t="shared" si="18"/>
        <v>100.05420984147365</v>
      </c>
      <c r="J128" s="946">
        <f t="shared" si="19"/>
        <v>38.861881069526355</v>
      </c>
      <c r="K128" s="217">
        <f t="shared" si="20"/>
        <v>90.048788857326286</v>
      </c>
      <c r="L128" s="217">
        <f t="shared" si="21"/>
        <v>110.05963082562103</v>
      </c>
      <c r="M128" s="217">
        <f t="shared" si="22"/>
        <v>44.928220704479422</v>
      </c>
      <c r="N128" s="217">
        <f t="shared" si="23"/>
        <v>53.065898600438246</v>
      </c>
      <c r="O128">
        <v>1</v>
      </c>
      <c r="P128">
        <v>1</v>
      </c>
      <c r="Q128">
        <v>2</v>
      </c>
      <c r="R128">
        <v>2</v>
      </c>
      <c r="S128">
        <v>2</v>
      </c>
    </row>
    <row r="129" spans="1:19">
      <c r="A129" s="895" t="s">
        <v>182</v>
      </c>
      <c r="B129" s="895">
        <v>2013</v>
      </c>
      <c r="C129" s="895" t="s">
        <v>92</v>
      </c>
      <c r="D129" s="217">
        <v>35.318847654999999</v>
      </c>
      <c r="E129" s="217">
        <v>242.25254767050001</v>
      </c>
      <c r="F129" s="217">
        <v>53.420065557000001</v>
      </c>
      <c r="G129" s="217">
        <f t="shared" si="16"/>
        <v>0.81932697460925519</v>
      </c>
      <c r="H129" s="217">
        <f t="shared" si="17"/>
        <v>0.18067302539074481</v>
      </c>
      <c r="I129" s="946">
        <f t="shared" si="18"/>
        <v>213.31486307464368</v>
      </c>
      <c r="J129" s="946">
        <f t="shared" si="19"/>
        <v>47.038902497856341</v>
      </c>
      <c r="K129" s="217">
        <f t="shared" si="20"/>
        <v>191.98337676717932</v>
      </c>
      <c r="L129" s="217">
        <f t="shared" si="21"/>
        <v>234.64634938210807</v>
      </c>
      <c r="M129" s="217">
        <f t="shared" si="22"/>
        <v>54.381675177771719</v>
      </c>
      <c r="N129" s="217">
        <f t="shared" si="23"/>
        <v>64.231621360822842</v>
      </c>
      <c r="O129">
        <v>1</v>
      </c>
      <c r="P129">
        <v>1</v>
      </c>
      <c r="Q129">
        <v>2</v>
      </c>
      <c r="R129">
        <v>2</v>
      </c>
      <c r="S129">
        <v>2</v>
      </c>
    </row>
    <row r="130" spans="1:19">
      <c r="A130" s="895" t="s">
        <v>182</v>
      </c>
      <c r="B130" s="895">
        <v>2014</v>
      </c>
      <c r="C130" s="895" t="s">
        <v>99</v>
      </c>
      <c r="D130" s="217">
        <v>15.166981333800001</v>
      </c>
      <c r="E130" s="217">
        <v>140.0694470263</v>
      </c>
      <c r="F130" s="217">
        <v>26.874755109100001</v>
      </c>
      <c r="G130" s="217">
        <f t="shared" si="16"/>
        <v>0.83901953607647162</v>
      </c>
      <c r="H130" s="217">
        <f t="shared" si="17"/>
        <v>0.16098046392352838</v>
      </c>
      <c r="I130" s="946">
        <f t="shared" si="18"/>
        <v>127.34405338393462</v>
      </c>
      <c r="J130" s="946">
        <f t="shared" si="19"/>
        <v>24.433167417665381</v>
      </c>
      <c r="K130" s="217">
        <f t="shared" si="20"/>
        <v>114.60964804554116</v>
      </c>
      <c r="L130" s="217">
        <f t="shared" si="21"/>
        <v>140.07845872232809</v>
      </c>
      <c r="M130" s="217">
        <f t="shared" si="22"/>
        <v>28.247184851562949</v>
      </c>
      <c r="N130" s="217">
        <f t="shared" si="23"/>
        <v>33.363490108822084</v>
      </c>
      <c r="O130">
        <v>1</v>
      </c>
      <c r="P130">
        <v>1</v>
      </c>
      <c r="Q130">
        <v>2</v>
      </c>
      <c r="R130">
        <v>2</v>
      </c>
      <c r="S130">
        <v>2</v>
      </c>
    </row>
    <row r="131" spans="1:19">
      <c r="A131" s="895" t="s">
        <v>182</v>
      </c>
      <c r="B131" s="895">
        <v>2014</v>
      </c>
      <c r="C131" s="895" t="s">
        <v>98</v>
      </c>
      <c r="D131" s="217">
        <v>27.741821870199999</v>
      </c>
      <c r="E131" s="217">
        <v>235.51658726989999</v>
      </c>
      <c r="F131" s="217">
        <v>41.702623060199997</v>
      </c>
      <c r="G131" s="217">
        <f t="shared" si="16"/>
        <v>0.84956806200211588</v>
      </c>
      <c r="H131" s="217">
        <f t="shared" si="17"/>
        <v>0.15043193799788412</v>
      </c>
      <c r="I131" s="946">
        <f t="shared" si="18"/>
        <v>211.94802142722625</v>
      </c>
      <c r="J131" s="946">
        <f t="shared" si="19"/>
        <v>37.529367032673726</v>
      </c>
      <c r="K131" s="217">
        <f t="shared" si="20"/>
        <v>190.75321928450364</v>
      </c>
      <c r="L131" s="217">
        <f t="shared" si="21"/>
        <v>233.14282356994889</v>
      </c>
      <c r="M131" s="217">
        <f t="shared" si="22"/>
        <v>43.3877012264741</v>
      </c>
      <c r="N131" s="217">
        <f t="shared" si="23"/>
        <v>51.246350683115978</v>
      </c>
      <c r="O131">
        <v>1</v>
      </c>
      <c r="P131">
        <v>1</v>
      </c>
      <c r="Q131">
        <v>2</v>
      </c>
      <c r="R131">
        <v>2</v>
      </c>
      <c r="S131">
        <v>2</v>
      </c>
    </row>
    <row r="132" spans="1:19">
      <c r="A132" s="895" t="s">
        <v>182</v>
      </c>
      <c r="B132" s="895">
        <v>2014</v>
      </c>
      <c r="C132" s="895" t="s">
        <v>95</v>
      </c>
      <c r="D132" s="217">
        <v>39.9049263749</v>
      </c>
      <c r="E132" s="217">
        <v>292.05010803020002</v>
      </c>
      <c r="F132" s="217">
        <v>81.751262606400005</v>
      </c>
      <c r="G132" s="217">
        <f t="shared" si="16"/>
        <v>0.78129758468468413</v>
      </c>
      <c r="H132" s="217">
        <f t="shared" si="17"/>
        <v>0.21870241531531587</v>
      </c>
      <c r="I132" s="946">
        <f t="shared" si="18"/>
        <v>260.87248543647053</v>
      </c>
      <c r="J132" s="946">
        <f t="shared" si="19"/>
        <v>73.023958825229528</v>
      </c>
      <c r="K132" s="217">
        <f t="shared" si="20"/>
        <v>234.78523689282349</v>
      </c>
      <c r="L132" s="217">
        <f t="shared" si="21"/>
        <v>286.95973398011762</v>
      </c>
      <c r="M132" s="217">
        <f t="shared" si="22"/>
        <v>84.422998797847868</v>
      </c>
      <c r="N132" s="217">
        <f t="shared" si="23"/>
        <v>99.714215775850931</v>
      </c>
      <c r="O132">
        <v>1</v>
      </c>
      <c r="P132">
        <v>1</v>
      </c>
      <c r="Q132">
        <v>2</v>
      </c>
      <c r="R132">
        <v>2</v>
      </c>
      <c r="S132">
        <v>2</v>
      </c>
    </row>
    <row r="133" spans="1:19">
      <c r="A133" s="895" t="s">
        <v>182</v>
      </c>
      <c r="B133" s="895">
        <v>2014</v>
      </c>
      <c r="C133" s="895" t="s">
        <v>91</v>
      </c>
      <c r="D133" s="217">
        <v>182.49548583584999</v>
      </c>
      <c r="E133" s="217">
        <v>1531.91367594435</v>
      </c>
      <c r="F133" s="217">
        <v>253.56742903355999</v>
      </c>
      <c r="G133" s="217">
        <f t="shared" si="16"/>
        <v>0.85798369507993355</v>
      </c>
      <c r="H133" s="217">
        <f t="shared" si="17"/>
        <v>0.14201630492006645</v>
      </c>
      <c r="I133" s="946">
        <f t="shared" si="18"/>
        <v>1375.3355246714998</v>
      </c>
      <c r="J133" s="946">
        <f t="shared" si="19"/>
        <v>227.65009447056025</v>
      </c>
      <c r="K133" s="217">
        <f t="shared" si="20"/>
        <v>1237.8019722043498</v>
      </c>
      <c r="L133" s="217">
        <f t="shared" si="21"/>
        <v>1512.8690771386498</v>
      </c>
      <c r="M133" s="217">
        <f t="shared" si="22"/>
        <v>263.18627421741473</v>
      </c>
      <c r="N133" s="217">
        <f t="shared" si="23"/>
        <v>310.85620399955008</v>
      </c>
      <c r="O133">
        <v>1</v>
      </c>
      <c r="P133">
        <v>1</v>
      </c>
      <c r="Q133">
        <v>2</v>
      </c>
      <c r="R133">
        <v>2</v>
      </c>
      <c r="S133">
        <v>2</v>
      </c>
    </row>
    <row r="134" spans="1:19">
      <c r="A134" s="895" t="s">
        <v>182</v>
      </c>
      <c r="B134" s="895">
        <v>2014</v>
      </c>
      <c r="C134" s="895" t="s">
        <v>93</v>
      </c>
      <c r="D134" s="217">
        <v>39.652465651</v>
      </c>
      <c r="E134" s="217">
        <v>196.34233849200001</v>
      </c>
      <c r="F134" s="217">
        <v>82.260608047000005</v>
      </c>
      <c r="G134" s="217">
        <f t="shared" si="16"/>
        <v>0.70473891583381076</v>
      </c>
      <c r="H134" s="217">
        <f t="shared" si="17"/>
        <v>0.29526108416618924</v>
      </c>
      <c r="I134" s="946">
        <f t="shared" si="18"/>
        <v>168.39770283897684</v>
      </c>
      <c r="J134" s="946">
        <f t="shared" si="19"/>
        <v>70.552778049023161</v>
      </c>
      <c r="K134" s="217">
        <f t="shared" si="20"/>
        <v>151.55793255507916</v>
      </c>
      <c r="L134" s="217">
        <f t="shared" si="21"/>
        <v>185.23747312287455</v>
      </c>
      <c r="M134" s="217">
        <f t="shared" si="22"/>
        <v>81.56606670247568</v>
      </c>
      <c r="N134" s="217">
        <f t="shared" si="23"/>
        <v>96.339818425941132</v>
      </c>
      <c r="O134">
        <v>1</v>
      </c>
      <c r="P134">
        <v>1</v>
      </c>
      <c r="Q134">
        <v>2</v>
      </c>
      <c r="R134">
        <v>2</v>
      </c>
      <c r="S134">
        <v>2</v>
      </c>
    </row>
    <row r="135" spans="1:19">
      <c r="A135" s="895" t="s">
        <v>182</v>
      </c>
      <c r="B135" s="895">
        <v>2014</v>
      </c>
      <c r="C135" s="895" t="s">
        <v>90</v>
      </c>
      <c r="D135" s="217">
        <v>24.427419284999999</v>
      </c>
      <c r="E135" s="217">
        <v>126.433927422</v>
      </c>
      <c r="F135" s="217">
        <v>49.461362651999998</v>
      </c>
      <c r="G135" s="217">
        <f t="shared" si="16"/>
        <v>0.71880223381085773</v>
      </c>
      <c r="H135" s="217">
        <f t="shared" si="17"/>
        <v>0.28119776618914227</v>
      </c>
      <c r="I135" s="946">
        <f t="shared" si="18"/>
        <v>108.87544387370757</v>
      </c>
      <c r="J135" s="946">
        <f t="shared" si="19"/>
        <v>42.592426915292421</v>
      </c>
      <c r="K135" s="217">
        <f t="shared" si="20"/>
        <v>97.987899486336815</v>
      </c>
      <c r="L135" s="217">
        <f t="shared" si="21"/>
        <v>119.76298826107833</v>
      </c>
      <c r="M135" s="217">
        <f t="shared" si="22"/>
        <v>49.241104756769573</v>
      </c>
      <c r="N135" s="217">
        <f t="shared" si="23"/>
        <v>58.159958952831808</v>
      </c>
      <c r="O135">
        <v>1</v>
      </c>
      <c r="P135">
        <v>1</v>
      </c>
      <c r="Q135">
        <v>2</v>
      </c>
      <c r="R135">
        <v>2</v>
      </c>
      <c r="S135">
        <v>2</v>
      </c>
    </row>
    <row r="136" spans="1:19">
      <c r="A136" s="895" t="s">
        <v>182</v>
      </c>
      <c r="B136" s="895">
        <v>2014</v>
      </c>
      <c r="C136" s="895" t="s">
        <v>92</v>
      </c>
      <c r="D136" s="217">
        <v>36.6431888495</v>
      </c>
      <c r="E136" s="217">
        <v>261.371151387</v>
      </c>
      <c r="F136" s="217">
        <v>57.937369781000001</v>
      </c>
      <c r="G136" s="217">
        <f t="shared" si="16"/>
        <v>0.81855363718741159</v>
      </c>
      <c r="H136" s="217">
        <f t="shared" si="17"/>
        <v>0.18144636281258841</v>
      </c>
      <c r="I136" s="946">
        <f t="shared" si="18"/>
        <v>231.37673587609657</v>
      </c>
      <c r="J136" s="946">
        <f t="shared" si="19"/>
        <v>51.288596442403431</v>
      </c>
      <c r="K136" s="217">
        <f t="shared" si="20"/>
        <v>208.23906228848693</v>
      </c>
      <c r="L136" s="217">
        <f t="shared" si="21"/>
        <v>254.51440946370624</v>
      </c>
      <c r="M136" s="217">
        <f t="shared" si="22"/>
        <v>59.294746347062613</v>
      </c>
      <c r="N136" s="217">
        <f t="shared" si="23"/>
        <v>70.034578442101889</v>
      </c>
      <c r="O136">
        <v>1</v>
      </c>
      <c r="P136">
        <v>1</v>
      </c>
      <c r="Q136">
        <v>2</v>
      </c>
      <c r="R136">
        <v>2</v>
      </c>
      <c r="S136">
        <v>2</v>
      </c>
    </row>
    <row r="137" spans="1:19">
      <c r="A137" s="895" t="s">
        <v>182</v>
      </c>
      <c r="B137" s="895">
        <v>2015</v>
      </c>
      <c r="C137" s="895" t="s">
        <v>99</v>
      </c>
      <c r="D137" s="217">
        <v>15.266342312100001</v>
      </c>
      <c r="E137" s="217">
        <v>131.80811861710001</v>
      </c>
      <c r="F137" s="217">
        <v>24.360884621499999</v>
      </c>
      <c r="G137" s="217">
        <f t="shared" si="16"/>
        <v>0.84400947616806743</v>
      </c>
      <c r="H137" s="217">
        <f t="shared" si="17"/>
        <v>0.15599052383193257</v>
      </c>
      <c r="I137" s="946">
        <f t="shared" si="18"/>
        <v>118.92318103926208</v>
      </c>
      <c r="J137" s="946">
        <f t="shared" si="19"/>
        <v>21.979479887237922</v>
      </c>
      <c r="K137" s="217">
        <f t="shared" si="20"/>
        <v>107.03086293533588</v>
      </c>
      <c r="L137" s="217">
        <f t="shared" si="21"/>
        <v>130.8154991431883</v>
      </c>
      <c r="M137" s="217">
        <f t="shared" si="22"/>
        <v>25.410476697635765</v>
      </c>
      <c r="N137" s="217">
        <f t="shared" si="23"/>
        <v>30.012979786023386</v>
      </c>
      <c r="O137">
        <v>1</v>
      </c>
      <c r="P137">
        <v>1</v>
      </c>
      <c r="Q137">
        <v>2</v>
      </c>
      <c r="R137">
        <v>2</v>
      </c>
      <c r="S137">
        <v>2</v>
      </c>
    </row>
    <row r="138" spans="1:19">
      <c r="A138" s="895" t="s">
        <v>182</v>
      </c>
      <c r="B138" s="895">
        <v>2015</v>
      </c>
      <c r="C138" s="895" t="s">
        <v>98</v>
      </c>
      <c r="D138" s="217">
        <v>28.143792913399999</v>
      </c>
      <c r="E138" s="217">
        <v>215.6857742048</v>
      </c>
      <c r="F138" s="217">
        <v>38.191974101299998</v>
      </c>
      <c r="G138" s="217">
        <f t="shared" si="16"/>
        <v>0.84956549222560462</v>
      </c>
      <c r="H138" s="217">
        <f t="shared" si="17"/>
        <v>0.15043450777439538</v>
      </c>
      <c r="I138" s="946">
        <f t="shared" si="18"/>
        <v>191.77577892523183</v>
      </c>
      <c r="J138" s="946">
        <f t="shared" si="19"/>
        <v>33.958176467468149</v>
      </c>
      <c r="K138" s="217">
        <f t="shared" si="20"/>
        <v>172.59820103270866</v>
      </c>
      <c r="L138" s="217">
        <f t="shared" si="21"/>
        <v>210.95335681775504</v>
      </c>
      <c r="M138" s="217">
        <f t="shared" si="22"/>
        <v>39.259047814039931</v>
      </c>
      <c r="N138" s="217">
        <f t="shared" si="23"/>
        <v>46.369889966327761</v>
      </c>
      <c r="O138">
        <v>1</v>
      </c>
      <c r="P138">
        <v>1</v>
      </c>
      <c r="Q138">
        <v>2</v>
      </c>
      <c r="R138">
        <v>2</v>
      </c>
      <c r="S138">
        <v>2</v>
      </c>
    </row>
    <row r="139" spans="1:19">
      <c r="A139" s="895" t="s">
        <v>182</v>
      </c>
      <c r="B139" s="895">
        <v>2015</v>
      </c>
      <c r="C139" s="895" t="s">
        <v>95</v>
      </c>
      <c r="D139" s="217">
        <v>40.495547237899999</v>
      </c>
      <c r="E139" s="217">
        <v>277.7586190669</v>
      </c>
      <c r="F139" s="217">
        <v>75.043678139899995</v>
      </c>
      <c r="G139" s="217">
        <f t="shared" si="16"/>
        <v>0.78729254674917237</v>
      </c>
      <c r="H139" s="217">
        <f t="shared" si="17"/>
        <v>0.21270745325082763</v>
      </c>
      <c r="I139" s="946">
        <f t="shared" si="18"/>
        <v>245.87677654997231</v>
      </c>
      <c r="J139" s="946">
        <f t="shared" si="19"/>
        <v>66.429973418927702</v>
      </c>
      <c r="K139" s="217">
        <f t="shared" si="20"/>
        <v>221.28909889497507</v>
      </c>
      <c r="L139" s="217">
        <f t="shared" si="21"/>
        <v>270.46445420496957</v>
      </c>
      <c r="M139" s="217">
        <f t="shared" si="22"/>
        <v>76.799692269622327</v>
      </c>
      <c r="N139" s="217">
        <f t="shared" si="23"/>
        <v>90.710128703545791</v>
      </c>
      <c r="O139">
        <v>1</v>
      </c>
      <c r="P139">
        <v>1</v>
      </c>
      <c r="Q139">
        <v>2</v>
      </c>
      <c r="R139">
        <v>2</v>
      </c>
      <c r="S139">
        <v>2</v>
      </c>
    </row>
    <row r="140" spans="1:19">
      <c r="A140" s="895" t="s">
        <v>182</v>
      </c>
      <c r="B140" s="895">
        <v>2015</v>
      </c>
      <c r="C140" s="895" t="s">
        <v>91</v>
      </c>
      <c r="D140" s="217">
        <v>185.97395447142</v>
      </c>
      <c r="E140" s="217">
        <v>1466.51177983406</v>
      </c>
      <c r="F140" s="217">
        <v>230.22317684833999</v>
      </c>
      <c r="G140" s="217">
        <f t="shared" si="16"/>
        <v>0.86431400146402837</v>
      </c>
      <c r="H140" s="217">
        <f t="shared" si="17"/>
        <v>0.13568599853597163</v>
      </c>
      <c r="I140" s="946">
        <f t="shared" si="18"/>
        <v>1305.7718870767781</v>
      </c>
      <c r="J140" s="946">
        <f t="shared" si="19"/>
        <v>204.98911513420205</v>
      </c>
      <c r="K140" s="217">
        <f t="shared" si="20"/>
        <v>1175.1946983691003</v>
      </c>
      <c r="L140" s="217">
        <f t="shared" si="21"/>
        <v>1436.3490757844561</v>
      </c>
      <c r="M140" s="217">
        <f t="shared" si="22"/>
        <v>236.98791600665101</v>
      </c>
      <c r="N140" s="217">
        <f t="shared" si="23"/>
        <v>279.91263671575291</v>
      </c>
      <c r="O140">
        <v>1</v>
      </c>
      <c r="P140">
        <v>1</v>
      </c>
      <c r="Q140">
        <v>2</v>
      </c>
      <c r="R140">
        <v>2</v>
      </c>
      <c r="S140">
        <v>2</v>
      </c>
    </row>
    <row r="141" spans="1:19">
      <c r="A141" s="895" t="s">
        <v>182</v>
      </c>
      <c r="B141" s="895">
        <v>2015</v>
      </c>
      <c r="C141" s="895" t="s">
        <v>93</v>
      </c>
      <c r="D141" s="217">
        <v>38.770970308999999</v>
      </c>
      <c r="E141" s="217">
        <v>186.75439187800001</v>
      </c>
      <c r="F141" s="217">
        <v>78.899163892999994</v>
      </c>
      <c r="G141" s="217">
        <f t="shared" si="16"/>
        <v>0.7029997823141767</v>
      </c>
      <c r="H141" s="217">
        <f t="shared" si="17"/>
        <v>0.2970002176858233</v>
      </c>
      <c r="I141" s="946">
        <f t="shared" si="18"/>
        <v>159.49840819066361</v>
      </c>
      <c r="J141" s="946">
        <f t="shared" si="19"/>
        <v>67.384177271336398</v>
      </c>
      <c r="K141" s="217">
        <f t="shared" si="20"/>
        <v>143.54856737159724</v>
      </c>
      <c r="L141" s="217">
        <f t="shared" si="21"/>
        <v>175.44824900972998</v>
      </c>
      <c r="M141" s="217">
        <f t="shared" si="22"/>
        <v>77.902847343392011</v>
      </c>
      <c r="N141" s="217">
        <f t="shared" si="23"/>
        <v>92.013094064009863</v>
      </c>
      <c r="O141">
        <v>1</v>
      </c>
      <c r="P141">
        <v>1</v>
      </c>
      <c r="Q141">
        <v>2</v>
      </c>
      <c r="R141">
        <v>2</v>
      </c>
      <c r="S141">
        <v>2</v>
      </c>
    </row>
    <row r="142" spans="1:19">
      <c r="A142" s="895" t="s">
        <v>182</v>
      </c>
      <c r="B142" s="895">
        <v>2015</v>
      </c>
      <c r="C142" s="895" t="s">
        <v>90</v>
      </c>
      <c r="D142" s="217">
        <v>23.924247855000001</v>
      </c>
      <c r="E142" s="217">
        <v>119.73085285800001</v>
      </c>
      <c r="F142" s="217">
        <v>47.412957749999997</v>
      </c>
      <c r="G142" s="217">
        <f t="shared" si="16"/>
        <v>0.71633434957877729</v>
      </c>
      <c r="H142" s="217">
        <f t="shared" si="17"/>
        <v>0.28366565042122271</v>
      </c>
      <c r="I142" s="946">
        <f t="shared" si="18"/>
        <v>102.59309233162712</v>
      </c>
      <c r="J142" s="946">
        <f t="shared" si="19"/>
        <v>40.626470421372879</v>
      </c>
      <c r="K142" s="217">
        <f t="shared" si="20"/>
        <v>92.333783098464409</v>
      </c>
      <c r="L142" s="217">
        <f t="shared" si="21"/>
        <v>112.85240156478984</v>
      </c>
      <c r="M142" s="217">
        <f t="shared" si="22"/>
        <v>46.96826245414919</v>
      </c>
      <c r="N142" s="217">
        <f t="shared" si="23"/>
        <v>55.475445360384676</v>
      </c>
      <c r="O142">
        <v>1</v>
      </c>
      <c r="P142">
        <v>1</v>
      </c>
      <c r="Q142">
        <v>2</v>
      </c>
      <c r="R142">
        <v>2</v>
      </c>
      <c r="S142">
        <v>2</v>
      </c>
    </row>
    <row r="143" spans="1:19">
      <c r="A143" s="895" t="s">
        <v>182</v>
      </c>
      <c r="B143" s="895">
        <v>2015</v>
      </c>
      <c r="C143" s="895" t="s">
        <v>92</v>
      </c>
      <c r="D143" s="217">
        <v>36.435097796500003</v>
      </c>
      <c r="E143" s="217">
        <v>241.73989508299999</v>
      </c>
      <c r="F143" s="217">
        <v>55.302156856000003</v>
      </c>
      <c r="G143" s="217">
        <f t="shared" si="16"/>
        <v>0.81382381216731992</v>
      </c>
      <c r="H143" s="217">
        <f t="shared" si="17"/>
        <v>0.18617618783268008</v>
      </c>
      <c r="I143" s="946">
        <f t="shared" si="18"/>
        <v>212.08814489756324</v>
      </c>
      <c r="J143" s="946">
        <f t="shared" si="19"/>
        <v>48.518809244936747</v>
      </c>
      <c r="K143" s="217">
        <f t="shared" si="20"/>
        <v>190.87933040780692</v>
      </c>
      <c r="L143" s="217">
        <f t="shared" si="21"/>
        <v>233.29695938731959</v>
      </c>
      <c r="M143" s="217">
        <f t="shared" si="22"/>
        <v>56.092595368071379</v>
      </c>
      <c r="N143" s="217">
        <f t="shared" si="23"/>
        <v>66.252434023961143</v>
      </c>
      <c r="O143">
        <v>1</v>
      </c>
      <c r="P143">
        <v>1</v>
      </c>
      <c r="Q143">
        <v>2</v>
      </c>
      <c r="R143">
        <v>2</v>
      </c>
      <c r="S143">
        <v>2</v>
      </c>
    </row>
    <row r="144" spans="1:19">
      <c r="A144" s="895" t="s">
        <v>182</v>
      </c>
      <c r="B144" s="895">
        <v>2016</v>
      </c>
      <c r="C144" s="895" t="s">
        <v>99</v>
      </c>
      <c r="D144" s="217">
        <v>16.234604388099999</v>
      </c>
      <c r="E144" s="217">
        <v>137.58729524930001</v>
      </c>
      <c r="F144" s="217">
        <v>27.7850296099</v>
      </c>
      <c r="G144" s="217">
        <f t="shared" si="16"/>
        <v>0.83198500938076247</v>
      </c>
      <c r="H144" s="217">
        <f t="shared" si="17"/>
        <v>0.16801499061923753</v>
      </c>
      <c r="I144" s="946">
        <f t="shared" si="18"/>
        <v>124.08034776517367</v>
      </c>
      <c r="J144" s="946">
        <f t="shared" si="19"/>
        <v>25.057372705926348</v>
      </c>
      <c r="K144" s="217">
        <f t="shared" si="20"/>
        <v>111.6723129886563</v>
      </c>
      <c r="L144" s="217">
        <f t="shared" si="21"/>
        <v>136.48838254169104</v>
      </c>
      <c r="M144" s="217">
        <f t="shared" si="22"/>
        <v>28.968828585321454</v>
      </c>
      <c r="N144" s="217">
        <f t="shared" si="23"/>
        <v>34.215842429942434</v>
      </c>
      <c r="O144">
        <v>1</v>
      </c>
      <c r="P144">
        <v>1</v>
      </c>
      <c r="Q144">
        <v>2</v>
      </c>
      <c r="R144">
        <v>2</v>
      </c>
      <c r="S144">
        <v>2</v>
      </c>
    </row>
    <row r="145" spans="1:19">
      <c r="A145" s="895" t="s">
        <v>182</v>
      </c>
      <c r="B145" s="895">
        <v>2016</v>
      </c>
      <c r="C145" s="895" t="s">
        <v>98</v>
      </c>
      <c r="D145" s="217">
        <v>29.630118045700002</v>
      </c>
      <c r="E145" s="217">
        <v>217.37747615489999</v>
      </c>
      <c r="F145" s="217">
        <v>37.4982767833</v>
      </c>
      <c r="G145" s="217">
        <f t="shared" si="16"/>
        <v>0.85287624910953286</v>
      </c>
      <c r="H145" s="217">
        <f t="shared" si="17"/>
        <v>0.14712375089046714</v>
      </c>
      <c r="I145" s="946">
        <f t="shared" si="18"/>
        <v>192.10665221541069</v>
      </c>
      <c r="J145" s="946">
        <f t="shared" si="19"/>
        <v>33.138982677089295</v>
      </c>
      <c r="K145" s="217">
        <f t="shared" si="20"/>
        <v>172.89598699386963</v>
      </c>
      <c r="L145" s="217">
        <f t="shared" si="21"/>
        <v>211.31731743695178</v>
      </c>
      <c r="M145" s="217">
        <f t="shared" si="22"/>
        <v>38.311977872982936</v>
      </c>
      <c r="N145" s="217">
        <f t="shared" si="23"/>
        <v>45.251280845565439</v>
      </c>
      <c r="O145">
        <v>1</v>
      </c>
      <c r="P145">
        <v>1</v>
      </c>
      <c r="Q145">
        <v>2</v>
      </c>
      <c r="R145">
        <v>2</v>
      </c>
      <c r="S145">
        <v>2</v>
      </c>
    </row>
    <row r="146" spans="1:19">
      <c r="A146" s="895" t="s">
        <v>182</v>
      </c>
      <c r="B146" s="895">
        <v>2016</v>
      </c>
      <c r="C146" s="895" t="s">
        <v>95</v>
      </c>
      <c r="D146" s="217">
        <v>42.122840641099998</v>
      </c>
      <c r="E146" s="217">
        <v>289.55312184339999</v>
      </c>
      <c r="F146" s="217">
        <v>74.257375948900005</v>
      </c>
      <c r="G146" s="217">
        <f t="shared" si="16"/>
        <v>0.79588995809765317</v>
      </c>
      <c r="H146" s="217">
        <f t="shared" si="17"/>
        <v>0.20411004190234683</v>
      </c>
      <c r="I146" s="946">
        <f t="shared" si="18"/>
        <v>256.02797597060078</v>
      </c>
      <c r="J146" s="946">
        <f t="shared" si="19"/>
        <v>65.659681180599208</v>
      </c>
      <c r="K146" s="217">
        <f t="shared" si="20"/>
        <v>230.42517837354072</v>
      </c>
      <c r="L146" s="217">
        <f t="shared" si="21"/>
        <v>281.63077356766087</v>
      </c>
      <c r="M146" s="217">
        <f t="shared" si="22"/>
        <v>75.90915741289075</v>
      </c>
      <c r="N146" s="217">
        <f t="shared" si="23"/>
        <v>89.658294652108225</v>
      </c>
      <c r="O146">
        <v>1</v>
      </c>
      <c r="P146">
        <v>1</v>
      </c>
      <c r="Q146">
        <v>2</v>
      </c>
      <c r="R146">
        <v>2</v>
      </c>
      <c r="S146">
        <v>2</v>
      </c>
    </row>
    <row r="147" spans="1:19">
      <c r="A147" s="895" t="s">
        <v>182</v>
      </c>
      <c r="B147" s="895">
        <v>2016</v>
      </c>
      <c r="C147" s="895" t="s">
        <v>91</v>
      </c>
      <c r="D147" s="217">
        <v>196.34086768533001</v>
      </c>
      <c r="E147" s="217">
        <v>1520.3302555887601</v>
      </c>
      <c r="F147" s="217">
        <v>241.14873276618999</v>
      </c>
      <c r="G147" s="217">
        <f t="shared" si="16"/>
        <v>0.8630987174071264</v>
      </c>
      <c r="H147" s="217">
        <f t="shared" si="17"/>
        <v>0.1369012825928736</v>
      </c>
      <c r="I147" s="946">
        <f t="shared" si="18"/>
        <v>1350.8687045149495</v>
      </c>
      <c r="J147" s="946">
        <f t="shared" si="19"/>
        <v>214.26941615467064</v>
      </c>
      <c r="K147" s="217">
        <f t="shared" si="20"/>
        <v>1215.7818340634547</v>
      </c>
      <c r="L147" s="217">
        <f t="shared" si="21"/>
        <v>1485.9555749664446</v>
      </c>
      <c r="M147" s="217">
        <f t="shared" si="22"/>
        <v>247.71687201641475</v>
      </c>
      <c r="N147" s="217">
        <f t="shared" si="23"/>
        <v>292.58488775920279</v>
      </c>
      <c r="O147">
        <v>1</v>
      </c>
      <c r="P147">
        <v>1</v>
      </c>
      <c r="Q147">
        <v>2</v>
      </c>
      <c r="R147">
        <v>2</v>
      </c>
      <c r="S147">
        <v>2</v>
      </c>
    </row>
    <row r="148" spans="1:19">
      <c r="A148" s="895" t="s">
        <v>182</v>
      </c>
      <c r="B148" s="895">
        <v>2016</v>
      </c>
      <c r="C148" s="895" t="s">
        <v>93</v>
      </c>
      <c r="D148" s="217">
        <v>38.525073327000001</v>
      </c>
      <c r="E148" s="217">
        <v>184.22361180499999</v>
      </c>
      <c r="F148" s="217">
        <v>78.473458319000002</v>
      </c>
      <c r="G148" s="217">
        <f t="shared" si="16"/>
        <v>0.70127775585027097</v>
      </c>
      <c r="H148" s="217">
        <f t="shared" si="17"/>
        <v>0.29872224414972903</v>
      </c>
      <c r="I148" s="946">
        <f t="shared" si="18"/>
        <v>157.20683483827429</v>
      </c>
      <c r="J148" s="946">
        <f t="shared" si="19"/>
        <v>66.965161958725702</v>
      </c>
      <c r="K148" s="217">
        <f t="shared" si="20"/>
        <v>141.48615135444686</v>
      </c>
      <c r="L148" s="217">
        <f t="shared" si="21"/>
        <v>172.92751832210172</v>
      </c>
      <c r="M148" s="217">
        <f t="shared" si="22"/>
        <v>77.418423740482794</v>
      </c>
      <c r="N148" s="217">
        <f t="shared" si="23"/>
        <v>91.440928654639961</v>
      </c>
      <c r="O148">
        <v>1</v>
      </c>
      <c r="P148">
        <v>1</v>
      </c>
      <c r="Q148">
        <v>2</v>
      </c>
      <c r="R148">
        <v>2</v>
      </c>
      <c r="S148">
        <v>2</v>
      </c>
    </row>
    <row r="149" spans="1:19">
      <c r="A149" s="895" t="s">
        <v>182</v>
      </c>
      <c r="B149" s="895">
        <v>2016</v>
      </c>
      <c r="C149" s="895" t="s">
        <v>90</v>
      </c>
      <c r="D149" s="217">
        <v>23.876596611</v>
      </c>
      <c r="E149" s="217">
        <v>118.13123661900001</v>
      </c>
      <c r="F149" s="217">
        <v>47.143342419</v>
      </c>
      <c r="G149" s="217">
        <f t="shared" si="16"/>
        <v>0.71475744973362909</v>
      </c>
      <c r="H149" s="217">
        <f t="shared" si="17"/>
        <v>0.28524255026637091</v>
      </c>
      <c r="I149" s="946">
        <f t="shared" si="18"/>
        <v>101.06526131700303</v>
      </c>
      <c r="J149" s="946">
        <f t="shared" si="19"/>
        <v>40.332721109996967</v>
      </c>
      <c r="K149" s="217">
        <f t="shared" si="20"/>
        <v>90.958735185302729</v>
      </c>
      <c r="L149" s="217">
        <f t="shared" si="21"/>
        <v>111.17178744870334</v>
      </c>
      <c r="M149" s="217">
        <f t="shared" si="22"/>
        <v>46.628658875267497</v>
      </c>
      <c r="N149" s="217">
        <f t="shared" si="23"/>
        <v>55.074330675700864</v>
      </c>
      <c r="O149">
        <v>1</v>
      </c>
      <c r="P149">
        <v>1</v>
      </c>
      <c r="Q149">
        <v>2</v>
      </c>
      <c r="R149">
        <v>2</v>
      </c>
      <c r="S149">
        <v>2</v>
      </c>
    </row>
    <row r="150" spans="1:19">
      <c r="A150" s="895" t="s">
        <v>182</v>
      </c>
      <c r="B150" s="895">
        <v>2016</v>
      </c>
      <c r="C150" s="895" t="s">
        <v>92</v>
      </c>
      <c r="D150" s="217">
        <v>37.766649496500001</v>
      </c>
      <c r="E150" s="217">
        <v>239.04981456249999</v>
      </c>
      <c r="F150" s="217">
        <v>54.7292061805</v>
      </c>
      <c r="G150" s="217">
        <f t="shared" si="16"/>
        <v>0.81370621345906957</v>
      </c>
      <c r="H150" s="217">
        <f t="shared" si="17"/>
        <v>0.18629378654093043</v>
      </c>
      <c r="I150" s="946">
        <f t="shared" si="18"/>
        <v>208.31885720566709</v>
      </c>
      <c r="J150" s="946">
        <f t="shared" si="19"/>
        <v>47.693514040832895</v>
      </c>
      <c r="K150" s="217">
        <f t="shared" si="20"/>
        <v>187.48697148510038</v>
      </c>
      <c r="L150" s="217">
        <f t="shared" si="21"/>
        <v>229.15074292623382</v>
      </c>
      <c r="M150" s="217">
        <f t="shared" si="22"/>
        <v>55.138471582606918</v>
      </c>
      <c r="N150" s="217">
        <f t="shared" si="23"/>
        <v>65.12549342275733</v>
      </c>
      <c r="O150">
        <v>1</v>
      </c>
      <c r="P150">
        <v>1</v>
      </c>
      <c r="Q150">
        <v>2</v>
      </c>
      <c r="R150">
        <v>2</v>
      </c>
      <c r="S150">
        <v>2</v>
      </c>
    </row>
    <row r="151" spans="1:19">
      <c r="A151" s="895" t="s">
        <v>182</v>
      </c>
      <c r="B151" s="895">
        <v>2017</v>
      </c>
      <c r="C151" s="895" t="s">
        <v>99</v>
      </c>
      <c r="D151" s="217">
        <v>18.9060324943</v>
      </c>
      <c r="E151" s="217">
        <v>146.5451619385</v>
      </c>
      <c r="F151" s="217">
        <v>23.380926272</v>
      </c>
      <c r="G151" s="217">
        <f t="shared" si="16"/>
        <v>0.86240531681611876</v>
      </c>
      <c r="H151" s="217">
        <f t="shared" si="17"/>
        <v>0.13759468318388124</v>
      </c>
      <c r="I151" s="946">
        <f t="shared" si="18"/>
        <v>130.24049899551738</v>
      </c>
      <c r="J151" s="946">
        <f t="shared" si="19"/>
        <v>20.779556720682628</v>
      </c>
      <c r="K151" s="217">
        <f t="shared" si="20"/>
        <v>117.21644909596564</v>
      </c>
      <c r="L151" s="217">
        <f t="shared" si="21"/>
        <v>143.26454889506914</v>
      </c>
      <c r="M151" s="217">
        <f t="shared" si="22"/>
        <v>24.023245524781188</v>
      </c>
      <c r="N151" s="217">
        <f t="shared" si="23"/>
        <v>28.374484702092133</v>
      </c>
      <c r="O151">
        <v>1</v>
      </c>
      <c r="P151">
        <v>1</v>
      </c>
      <c r="Q151">
        <v>2</v>
      </c>
      <c r="R151">
        <v>2</v>
      </c>
      <c r="S151">
        <v>2</v>
      </c>
    </row>
    <row r="152" spans="1:19">
      <c r="A152" s="895" t="s">
        <v>182</v>
      </c>
      <c r="B152" s="895">
        <v>2017</v>
      </c>
      <c r="C152" s="895" t="s">
        <v>98</v>
      </c>
      <c r="D152" s="217">
        <v>32.654663215799999</v>
      </c>
      <c r="E152" s="217">
        <v>229.93263607790001</v>
      </c>
      <c r="F152" s="217">
        <v>36.373490007400001</v>
      </c>
      <c r="G152" s="217">
        <f t="shared" si="16"/>
        <v>0.86341474549575592</v>
      </c>
      <c r="H152" s="217">
        <f t="shared" si="17"/>
        <v>0.13658525450424408</v>
      </c>
      <c r="I152" s="946">
        <f t="shared" si="18"/>
        <v>201.73811834818042</v>
      </c>
      <c r="J152" s="946">
        <f t="shared" si="19"/>
        <v>31.91334452131958</v>
      </c>
      <c r="K152" s="217">
        <f t="shared" si="20"/>
        <v>181.5643065133624</v>
      </c>
      <c r="L152" s="217">
        <f t="shared" si="21"/>
        <v>221.91193018299847</v>
      </c>
      <c r="M152" s="217">
        <f t="shared" si="22"/>
        <v>36.895017601097571</v>
      </c>
      <c r="N152" s="217">
        <f t="shared" si="23"/>
        <v>43.577671943861894</v>
      </c>
      <c r="O152">
        <v>1</v>
      </c>
      <c r="P152">
        <v>1</v>
      </c>
      <c r="Q152">
        <v>2</v>
      </c>
      <c r="R152">
        <v>2</v>
      </c>
      <c r="S152">
        <v>2</v>
      </c>
    </row>
    <row r="153" spans="1:19">
      <c r="A153" s="895" t="s">
        <v>182</v>
      </c>
      <c r="B153" s="895">
        <v>2017</v>
      </c>
      <c r="C153" s="895" t="s">
        <v>95</v>
      </c>
      <c r="D153" s="217">
        <v>46.8114980163</v>
      </c>
      <c r="E153" s="217">
        <v>306.63556069949999</v>
      </c>
      <c r="F153" s="217">
        <v>70.152138165899999</v>
      </c>
      <c r="G153" s="217">
        <f t="shared" si="16"/>
        <v>0.81381521111982891</v>
      </c>
      <c r="H153" s="217">
        <f t="shared" si="17"/>
        <v>0.18618478888017109</v>
      </c>
      <c r="I153" s="946">
        <f t="shared" si="18"/>
        <v>268.53965155852939</v>
      </c>
      <c r="J153" s="946">
        <f t="shared" si="19"/>
        <v>61.436549290570639</v>
      </c>
      <c r="K153" s="217">
        <f t="shared" si="20"/>
        <v>241.68568640267645</v>
      </c>
      <c r="L153" s="217">
        <f t="shared" si="21"/>
        <v>295.39361671438235</v>
      </c>
      <c r="M153" s="217">
        <f t="shared" si="22"/>
        <v>71.026794634828718</v>
      </c>
      <c r="N153" s="217">
        <f t="shared" si="23"/>
        <v>83.891608056274222</v>
      </c>
      <c r="O153">
        <v>1</v>
      </c>
      <c r="P153">
        <v>1</v>
      </c>
      <c r="Q153">
        <v>2</v>
      </c>
      <c r="R153">
        <v>2</v>
      </c>
      <c r="S153">
        <v>2</v>
      </c>
    </row>
    <row r="154" spans="1:19">
      <c r="A154" s="895" t="s">
        <v>182</v>
      </c>
      <c r="B154" s="895">
        <v>2017</v>
      </c>
      <c r="C154" s="895" t="s">
        <v>91</v>
      </c>
      <c r="D154" s="217">
        <v>219.54778047849001</v>
      </c>
      <c r="E154" s="217">
        <v>1591.9410377804099</v>
      </c>
      <c r="F154" s="217">
        <v>232.96342917555</v>
      </c>
      <c r="G154" s="217">
        <f t="shared" si="16"/>
        <v>0.87234212344049678</v>
      </c>
      <c r="H154" s="217">
        <f t="shared" si="17"/>
        <v>0.12765787655950322</v>
      </c>
      <c r="I154" s="946">
        <f t="shared" si="18"/>
        <v>1400.420260761156</v>
      </c>
      <c r="J154" s="946">
        <f t="shared" si="19"/>
        <v>204.93642571631401</v>
      </c>
      <c r="K154" s="217">
        <f t="shared" si="20"/>
        <v>1260.3782346850405</v>
      </c>
      <c r="L154" s="217">
        <f t="shared" si="21"/>
        <v>1540.4622868372717</v>
      </c>
      <c r="M154" s="217">
        <f t="shared" si="22"/>
        <v>236.92700177063065</v>
      </c>
      <c r="N154" s="217">
        <f t="shared" si="23"/>
        <v>279.84068931562683</v>
      </c>
      <c r="O154">
        <v>1</v>
      </c>
      <c r="P154">
        <v>1</v>
      </c>
      <c r="Q154">
        <v>2</v>
      </c>
      <c r="R154">
        <v>2</v>
      </c>
      <c r="S154">
        <v>2</v>
      </c>
    </row>
    <row r="155" spans="1:19">
      <c r="A155" s="895" t="s">
        <v>182</v>
      </c>
      <c r="B155" s="895">
        <v>2017</v>
      </c>
      <c r="C155" s="895" t="s">
        <v>93</v>
      </c>
      <c r="D155" s="217">
        <v>41.290299718</v>
      </c>
      <c r="E155" s="217">
        <v>192.924562872</v>
      </c>
      <c r="F155" s="217">
        <v>81.246074587999999</v>
      </c>
      <c r="G155" s="217">
        <f t="shared" si="16"/>
        <v>0.70366602587101135</v>
      </c>
      <c r="H155" s="217">
        <f t="shared" si="17"/>
        <v>0.29633397412898865</v>
      </c>
      <c r="I155" s="946">
        <f t="shared" si="18"/>
        <v>163.86998176241201</v>
      </c>
      <c r="J155" s="946">
        <f t="shared" si="19"/>
        <v>69.010355979587999</v>
      </c>
      <c r="K155" s="217">
        <f t="shared" si="20"/>
        <v>147.4829835861708</v>
      </c>
      <c r="L155" s="217">
        <f t="shared" si="21"/>
        <v>180.25697993865322</v>
      </c>
      <c r="M155" s="217">
        <f t="shared" si="22"/>
        <v>79.782872548001691</v>
      </c>
      <c r="N155" s="217">
        <f t="shared" si="23"/>
        <v>94.233641090127421</v>
      </c>
      <c r="O155">
        <v>1</v>
      </c>
      <c r="P155">
        <v>1</v>
      </c>
      <c r="Q155">
        <v>2</v>
      </c>
      <c r="R155">
        <v>2</v>
      </c>
      <c r="S155">
        <v>2</v>
      </c>
    </row>
    <row r="156" spans="1:19">
      <c r="A156" s="895" t="s">
        <v>182</v>
      </c>
      <c r="B156" s="895">
        <v>2017</v>
      </c>
      <c r="C156" s="895" t="s">
        <v>90</v>
      </c>
      <c r="D156" s="217">
        <v>25.616429408999998</v>
      </c>
      <c r="E156" s="217">
        <v>123.819789411</v>
      </c>
      <c r="F156" s="217">
        <v>48.797540339999998</v>
      </c>
      <c r="G156" s="217">
        <f t="shared" si="16"/>
        <v>0.71730798749818281</v>
      </c>
      <c r="H156" s="217">
        <f t="shared" si="17"/>
        <v>0.28269201250181719</v>
      </c>
      <c r="I156" s="946">
        <f t="shared" si="18"/>
        <v>105.44491998474095</v>
      </c>
      <c r="J156" s="946">
        <f t="shared" si="19"/>
        <v>41.555980357259052</v>
      </c>
      <c r="K156" s="217">
        <f t="shared" si="20"/>
        <v>94.900427986266862</v>
      </c>
      <c r="L156" s="217">
        <f t="shared" si="21"/>
        <v>115.98941198321505</v>
      </c>
      <c r="M156" s="217">
        <f t="shared" si="22"/>
        <v>48.042868891027197</v>
      </c>
      <c r="N156" s="217">
        <f t="shared" si="23"/>
        <v>56.74469117783724</v>
      </c>
      <c r="O156">
        <v>1</v>
      </c>
      <c r="P156">
        <v>1</v>
      </c>
      <c r="Q156">
        <v>2</v>
      </c>
      <c r="R156">
        <v>2</v>
      </c>
      <c r="S156">
        <v>2</v>
      </c>
    </row>
    <row r="157" spans="1:19">
      <c r="A157" s="895" t="s">
        <v>182</v>
      </c>
      <c r="B157" s="895">
        <v>2017</v>
      </c>
      <c r="C157" s="895" t="s">
        <v>92</v>
      </c>
      <c r="D157" s="217">
        <v>40.789824594499997</v>
      </c>
      <c r="E157" s="217">
        <v>251.82953262149999</v>
      </c>
      <c r="F157" s="217">
        <v>56.795327686</v>
      </c>
      <c r="G157" s="217">
        <f t="shared" si="16"/>
        <v>0.81597293351737221</v>
      </c>
      <c r="H157" s="217">
        <f t="shared" si="17"/>
        <v>0.18402706648262779</v>
      </c>
      <c r="I157" s="946">
        <f t="shared" si="18"/>
        <v>218.54613978946676</v>
      </c>
      <c r="J157" s="946">
        <f t="shared" si="19"/>
        <v>49.288895923533225</v>
      </c>
      <c r="K157" s="217">
        <f t="shared" si="20"/>
        <v>196.69152581052009</v>
      </c>
      <c r="L157" s="217">
        <f t="shared" si="21"/>
        <v>240.40075376841347</v>
      </c>
      <c r="M157" s="217">
        <f t="shared" si="22"/>
        <v>56.982892577196765</v>
      </c>
      <c r="N157" s="217">
        <f t="shared" si="23"/>
        <v>67.303987383584627</v>
      </c>
      <c r="O157">
        <v>1</v>
      </c>
      <c r="P157">
        <v>1</v>
      </c>
      <c r="Q157">
        <v>2</v>
      </c>
      <c r="R157">
        <v>2</v>
      </c>
      <c r="S157">
        <v>2</v>
      </c>
    </row>
    <row r="158" spans="1:19">
      <c r="A158" s="895" t="s">
        <v>182</v>
      </c>
      <c r="B158" s="895">
        <v>2018</v>
      </c>
      <c r="C158" s="895" t="s">
        <v>99</v>
      </c>
      <c r="D158" s="217">
        <v>20.347416963099999</v>
      </c>
      <c r="E158" s="217">
        <v>161.02471470130001</v>
      </c>
      <c r="F158" s="217">
        <v>26.511741207699998</v>
      </c>
      <c r="G158" s="217">
        <f t="shared" si="16"/>
        <v>0.8586315333773582</v>
      </c>
      <c r="H158" s="217">
        <f t="shared" si="17"/>
        <v>0.1413684666226418</v>
      </c>
      <c r="I158" s="946">
        <f t="shared" si="18"/>
        <v>143.55378087400499</v>
      </c>
      <c r="J158" s="946">
        <f t="shared" si="19"/>
        <v>23.63525807189502</v>
      </c>
      <c r="K158" s="217">
        <f t="shared" si="20"/>
        <v>129.1984027866045</v>
      </c>
      <c r="L158" s="217">
        <f t="shared" si="21"/>
        <v>157.9091589614055</v>
      </c>
      <c r="M158" s="217">
        <f t="shared" si="22"/>
        <v>27.324721856917837</v>
      </c>
      <c r="N158" s="217">
        <f t="shared" si="23"/>
        <v>32.273944897172655</v>
      </c>
      <c r="O158">
        <v>1</v>
      </c>
      <c r="P158">
        <v>1</v>
      </c>
      <c r="Q158">
        <v>2</v>
      </c>
      <c r="R158">
        <v>2</v>
      </c>
      <c r="S158">
        <v>2</v>
      </c>
    </row>
    <row r="159" spans="1:19">
      <c r="A159" s="895" t="s">
        <v>182</v>
      </c>
      <c r="B159" s="895">
        <v>2018</v>
      </c>
      <c r="C159" s="895" t="s">
        <v>98</v>
      </c>
      <c r="D159" s="217">
        <v>34.208242668499999</v>
      </c>
      <c r="E159" s="217">
        <v>260.32851968009999</v>
      </c>
      <c r="F159" s="217">
        <v>49.303559529300003</v>
      </c>
      <c r="G159" s="217">
        <f t="shared" si="16"/>
        <v>0.84076727561566167</v>
      </c>
      <c r="H159" s="217">
        <f t="shared" si="17"/>
        <v>0.15923272438433833</v>
      </c>
      <c r="I159" s="946">
        <f t="shared" si="18"/>
        <v>231.56734868810582</v>
      </c>
      <c r="J159" s="946">
        <f t="shared" si="19"/>
        <v>43.856487852794181</v>
      </c>
      <c r="K159" s="217">
        <f t="shared" si="20"/>
        <v>208.41061381929524</v>
      </c>
      <c r="L159" s="217">
        <f t="shared" si="21"/>
        <v>254.72408355691644</v>
      </c>
      <c r="M159" s="217">
        <f t="shared" si="22"/>
        <v>50.702485606615362</v>
      </c>
      <c r="N159" s="217">
        <f t="shared" si="23"/>
        <v>59.886034162990462</v>
      </c>
      <c r="O159">
        <v>1</v>
      </c>
      <c r="P159">
        <v>1</v>
      </c>
      <c r="Q159">
        <v>2</v>
      </c>
      <c r="R159">
        <v>2</v>
      </c>
      <c r="S159">
        <v>2</v>
      </c>
    </row>
    <row r="160" spans="1:19">
      <c r="A160" s="895" t="s">
        <v>182</v>
      </c>
      <c r="B160" s="895">
        <v>2018</v>
      </c>
      <c r="C160" s="895" t="s">
        <v>95</v>
      </c>
      <c r="D160" s="217">
        <v>49.497955679</v>
      </c>
      <c r="E160" s="217">
        <v>342.97569972870002</v>
      </c>
      <c r="F160" s="217">
        <v>78.308205541199996</v>
      </c>
      <c r="G160" s="217">
        <f t="shared" si="16"/>
        <v>0.81412011101864667</v>
      </c>
      <c r="H160" s="217">
        <f t="shared" si="17"/>
        <v>0.18587988898135333</v>
      </c>
      <c r="I160" s="946">
        <f t="shared" si="18"/>
        <v>302.67841855611647</v>
      </c>
      <c r="J160" s="946">
        <f t="shared" si="19"/>
        <v>69.107531034783534</v>
      </c>
      <c r="K160" s="217">
        <f t="shared" si="20"/>
        <v>272.41057670050481</v>
      </c>
      <c r="L160" s="217">
        <f t="shared" si="21"/>
        <v>332.94626041172813</v>
      </c>
      <c r="M160" s="217">
        <f t="shared" si="22"/>
        <v>79.895216629313254</v>
      </c>
      <c r="N160" s="217">
        <f t="shared" si="23"/>
        <v>94.366333627996923</v>
      </c>
      <c r="O160">
        <v>1</v>
      </c>
      <c r="P160">
        <v>1</v>
      </c>
      <c r="Q160">
        <v>2</v>
      </c>
      <c r="R160">
        <v>2</v>
      </c>
      <c r="S160">
        <v>2</v>
      </c>
    </row>
    <row r="161" spans="1:19">
      <c r="A161" s="895" t="s">
        <v>182</v>
      </c>
      <c r="B161" s="895">
        <v>2018</v>
      </c>
      <c r="C161" s="895" t="s">
        <v>91</v>
      </c>
      <c r="D161" s="217">
        <v>229.35419723166001</v>
      </c>
      <c r="E161" s="217">
        <v>1749.8740507436501</v>
      </c>
      <c r="F161" s="217">
        <v>276.59253044265</v>
      </c>
      <c r="G161" s="217">
        <f t="shared" si="16"/>
        <v>0.86350994730900921</v>
      </c>
      <c r="H161" s="217">
        <f t="shared" si="17"/>
        <v>0.13649005269099079</v>
      </c>
      <c r="I161" s="946">
        <f t="shared" si="18"/>
        <v>1551.8244199770393</v>
      </c>
      <c r="J161" s="946">
        <f t="shared" si="19"/>
        <v>245.28796397760084</v>
      </c>
      <c r="K161" s="217">
        <f t="shared" si="20"/>
        <v>1396.6419779793355</v>
      </c>
      <c r="L161" s="217">
        <f t="shared" si="21"/>
        <v>1707.0068619747433</v>
      </c>
      <c r="M161" s="217">
        <f t="shared" si="22"/>
        <v>283.57741515450437</v>
      </c>
      <c r="N161" s="217">
        <f t="shared" si="23"/>
        <v>334.94071481141401</v>
      </c>
      <c r="O161">
        <v>1</v>
      </c>
      <c r="P161">
        <v>1</v>
      </c>
      <c r="Q161">
        <v>2</v>
      </c>
      <c r="R161">
        <v>2</v>
      </c>
      <c r="S161">
        <v>2</v>
      </c>
    </row>
    <row r="162" spans="1:19">
      <c r="A162" s="895" t="s">
        <v>182</v>
      </c>
      <c r="B162" s="895">
        <v>2018</v>
      </c>
      <c r="C162" s="895" t="s">
        <v>93</v>
      </c>
      <c r="D162" s="217">
        <v>41.859534504999999</v>
      </c>
      <c r="E162" s="217">
        <v>203.49220633300001</v>
      </c>
      <c r="F162" s="217">
        <v>79.282362891000005</v>
      </c>
      <c r="G162" s="217">
        <f t="shared" si="16"/>
        <v>0.71962696960844297</v>
      </c>
      <c r="H162" s="217">
        <f t="shared" si="17"/>
        <v>0.28037303039155703</v>
      </c>
      <c r="I162" s="946">
        <f t="shared" si="18"/>
        <v>173.36895636794679</v>
      </c>
      <c r="J162" s="946">
        <f t="shared" si="19"/>
        <v>67.546078351053211</v>
      </c>
      <c r="K162" s="217">
        <f t="shared" si="20"/>
        <v>156.03206073115211</v>
      </c>
      <c r="L162" s="217">
        <f t="shared" si="21"/>
        <v>190.7058520047415</v>
      </c>
      <c r="M162" s="217">
        <f t="shared" si="22"/>
        <v>78.090021181652631</v>
      </c>
      <c r="N162" s="217">
        <f t="shared" si="23"/>
        <v>92.234169988363163</v>
      </c>
      <c r="O162">
        <v>1</v>
      </c>
      <c r="P162">
        <v>1</v>
      </c>
      <c r="Q162">
        <v>2</v>
      </c>
      <c r="R162">
        <v>2</v>
      </c>
      <c r="S162">
        <v>2</v>
      </c>
    </row>
    <row r="163" spans="1:19">
      <c r="A163" s="895" t="s">
        <v>182</v>
      </c>
      <c r="B163" s="895">
        <v>2018</v>
      </c>
      <c r="C163" s="895" t="s">
        <v>90</v>
      </c>
      <c r="D163" s="217">
        <v>26.012163423000001</v>
      </c>
      <c r="E163" s="217">
        <v>131.25836409600001</v>
      </c>
      <c r="F163" s="217">
        <v>48.496302702000001</v>
      </c>
      <c r="G163" s="217">
        <f t="shared" si="16"/>
        <v>0.73020838031149471</v>
      </c>
      <c r="H163" s="217">
        <f t="shared" si="17"/>
        <v>0.26979161968850529</v>
      </c>
      <c r="I163" s="946">
        <f t="shared" si="18"/>
        <v>112.26406437449327</v>
      </c>
      <c r="J163" s="946">
        <f t="shared" si="19"/>
        <v>41.478439000506739</v>
      </c>
      <c r="K163" s="217">
        <f t="shared" si="20"/>
        <v>101.03765793704395</v>
      </c>
      <c r="L163" s="217">
        <f t="shared" si="21"/>
        <v>123.49047081194261</v>
      </c>
      <c r="M163" s="217">
        <f t="shared" si="22"/>
        <v>47.953223328485848</v>
      </c>
      <c r="N163" s="217">
        <f t="shared" si="23"/>
        <v>56.638808455191956</v>
      </c>
      <c r="O163">
        <v>1</v>
      </c>
      <c r="P163">
        <v>1</v>
      </c>
      <c r="Q163">
        <v>2</v>
      </c>
      <c r="R163">
        <v>2</v>
      </c>
      <c r="S163">
        <v>2</v>
      </c>
    </row>
    <row r="164" spans="1:19">
      <c r="A164" s="895" t="s">
        <v>182</v>
      </c>
      <c r="B164" s="895">
        <v>2018</v>
      </c>
      <c r="C164" s="895" t="s">
        <v>92</v>
      </c>
      <c r="D164" s="217">
        <v>41.947802208500001</v>
      </c>
      <c r="E164" s="217">
        <v>274.23873448099999</v>
      </c>
      <c r="F164" s="217">
        <v>67.986951125999994</v>
      </c>
      <c r="G164" s="217">
        <f t="shared" si="16"/>
        <v>0.80133884163191116</v>
      </c>
      <c r="H164" s="217">
        <f t="shared" si="17"/>
        <v>0.19866115836808884</v>
      </c>
      <c r="I164" s="946">
        <f t="shared" si="18"/>
        <v>240.62433125023608</v>
      </c>
      <c r="J164" s="946">
        <f t="shared" si="19"/>
        <v>59.653552148263913</v>
      </c>
      <c r="K164" s="217">
        <f t="shared" si="20"/>
        <v>216.56189812521248</v>
      </c>
      <c r="L164" s="217">
        <f t="shared" si="21"/>
        <v>264.68676437525971</v>
      </c>
      <c r="M164" s="217">
        <f t="shared" si="22"/>
        <v>68.965471638607923</v>
      </c>
      <c r="N164" s="217">
        <f t="shared" si="23"/>
        <v>81.456925458454378</v>
      </c>
      <c r="O164">
        <v>1</v>
      </c>
      <c r="P164">
        <v>1</v>
      </c>
      <c r="Q164">
        <v>2</v>
      </c>
      <c r="R164">
        <v>2</v>
      </c>
      <c r="S164">
        <v>2</v>
      </c>
    </row>
    <row r="165" spans="1:19">
      <c r="A165" s="895" t="s">
        <v>182</v>
      </c>
      <c r="B165" s="895">
        <v>2019</v>
      </c>
      <c r="C165" s="895" t="s">
        <v>99</v>
      </c>
      <c r="D165" s="217">
        <v>20.141551740499999</v>
      </c>
      <c r="E165" s="217">
        <v>155.87614213469999</v>
      </c>
      <c r="F165" s="217">
        <v>26.027143414000001</v>
      </c>
      <c r="G165" s="217">
        <f t="shared" si="16"/>
        <v>0.85691768383682165</v>
      </c>
      <c r="H165" s="217">
        <f t="shared" si="17"/>
        <v>0.14308231616317835</v>
      </c>
      <c r="I165" s="946">
        <f t="shared" si="18"/>
        <v>138.61649026835124</v>
      </c>
      <c r="J165" s="946">
        <f t="shared" si="19"/>
        <v>23.145243539848764</v>
      </c>
      <c r="K165" s="217">
        <f t="shared" si="20"/>
        <v>124.75484124151612</v>
      </c>
      <c r="L165" s="217">
        <f t="shared" si="21"/>
        <v>152.47813929518637</v>
      </c>
      <c r="M165" s="217">
        <f t="shared" si="22"/>
        <v>26.758216056419158</v>
      </c>
      <c r="N165" s="217">
        <f t="shared" si="23"/>
        <v>31.604830053663491</v>
      </c>
      <c r="O165">
        <v>1</v>
      </c>
      <c r="P165">
        <v>1</v>
      </c>
      <c r="Q165">
        <v>2</v>
      </c>
      <c r="R165">
        <v>2</v>
      </c>
      <c r="S165">
        <v>2</v>
      </c>
    </row>
    <row r="166" spans="1:19">
      <c r="A166" s="895" t="s">
        <v>182</v>
      </c>
      <c r="B166" s="895">
        <v>2019</v>
      </c>
      <c r="C166" s="895" t="s">
        <v>98</v>
      </c>
      <c r="D166" s="217">
        <v>33.966450432400002</v>
      </c>
      <c r="E166" s="217">
        <v>256.42796207750001</v>
      </c>
      <c r="F166" s="217">
        <v>43.976029554500002</v>
      </c>
      <c r="G166" s="217">
        <f t="shared" si="16"/>
        <v>0.85361036877175922</v>
      </c>
      <c r="H166" s="217">
        <f t="shared" si="17"/>
        <v>0.14638963122824078</v>
      </c>
      <c r="I166" s="946">
        <f t="shared" si="18"/>
        <v>227.43384779803137</v>
      </c>
      <c r="J166" s="946">
        <f t="shared" si="19"/>
        <v>39.003693401568647</v>
      </c>
      <c r="K166" s="217">
        <f t="shared" si="20"/>
        <v>204.69046301822823</v>
      </c>
      <c r="L166" s="217">
        <f t="shared" si="21"/>
        <v>250.17723257783453</v>
      </c>
      <c r="M166" s="217">
        <f t="shared" si="22"/>
        <v>45.092169941553514</v>
      </c>
      <c r="N166" s="217">
        <f t="shared" si="23"/>
        <v>53.259543339841997</v>
      </c>
      <c r="O166">
        <v>1</v>
      </c>
      <c r="P166">
        <v>1</v>
      </c>
      <c r="Q166">
        <v>2</v>
      </c>
      <c r="R166">
        <v>2</v>
      </c>
      <c r="S166">
        <v>2</v>
      </c>
    </row>
    <row r="167" spans="1:19">
      <c r="A167" s="895" t="s">
        <v>182</v>
      </c>
      <c r="B167" s="895">
        <v>2019</v>
      </c>
      <c r="C167" s="895" t="s">
        <v>95</v>
      </c>
      <c r="D167" s="217">
        <v>50.368933994199999</v>
      </c>
      <c r="E167" s="217">
        <v>335.67807054489998</v>
      </c>
      <c r="F167" s="217">
        <v>70.265732951399997</v>
      </c>
      <c r="G167" s="217">
        <f t="shared" si="16"/>
        <v>0.82690773366604553</v>
      </c>
      <c r="H167" s="217">
        <f t="shared" si="17"/>
        <v>0.17309226633395447</v>
      </c>
      <c r="I167" s="946">
        <f t="shared" si="18"/>
        <v>294.02760948858145</v>
      </c>
      <c r="J167" s="946">
        <f t="shared" si="19"/>
        <v>61.54726001351856</v>
      </c>
      <c r="K167" s="217">
        <f t="shared" si="20"/>
        <v>264.6248485397233</v>
      </c>
      <c r="L167" s="217">
        <f t="shared" si="21"/>
        <v>323.43037043743959</v>
      </c>
      <c r="M167" s="217">
        <f t="shared" si="22"/>
        <v>71.154787301628815</v>
      </c>
      <c r="N167" s="217">
        <f t="shared" si="23"/>
        <v>84.04278354845961</v>
      </c>
      <c r="O167">
        <v>1</v>
      </c>
      <c r="P167">
        <v>1</v>
      </c>
      <c r="Q167">
        <v>2</v>
      </c>
      <c r="R167">
        <v>2</v>
      </c>
      <c r="S167">
        <v>2</v>
      </c>
    </row>
    <row r="168" spans="1:19">
      <c r="A168" s="895" t="s">
        <v>182</v>
      </c>
      <c r="B168" s="895">
        <v>2019</v>
      </c>
      <c r="C168" s="895" t="s">
        <v>91</v>
      </c>
      <c r="D168" s="217">
        <v>235.25872145336001</v>
      </c>
      <c r="E168" s="217">
        <v>1716.2072204301601</v>
      </c>
      <c r="F168" s="217">
        <v>237.83462603605</v>
      </c>
      <c r="G168" s="217">
        <f t="shared" si="16"/>
        <v>0.87828580720205029</v>
      </c>
      <c r="H168" s="217">
        <f t="shared" si="17"/>
        <v>0.12171419279794971</v>
      </c>
      <c r="I168" s="946">
        <f t="shared" si="18"/>
        <v>1509.5828243571734</v>
      </c>
      <c r="J168" s="946">
        <f t="shared" si="19"/>
        <v>209.20030065567659</v>
      </c>
      <c r="K168" s="217">
        <f t="shared" si="20"/>
        <v>1358.6245419214561</v>
      </c>
      <c r="L168" s="217">
        <f t="shared" si="21"/>
        <v>1660.5411067928908</v>
      </c>
      <c r="M168" s="217">
        <f t="shared" si="22"/>
        <v>241.85646758802773</v>
      </c>
      <c r="N168" s="217">
        <f t="shared" si="23"/>
        <v>285.66301054532642</v>
      </c>
      <c r="O168">
        <v>1</v>
      </c>
      <c r="P168">
        <v>1</v>
      </c>
      <c r="Q168">
        <v>2</v>
      </c>
      <c r="R168">
        <v>2</v>
      </c>
      <c r="S168">
        <v>2</v>
      </c>
    </row>
    <row r="169" spans="1:19">
      <c r="A169" s="895" t="s">
        <v>182</v>
      </c>
      <c r="B169" s="895">
        <v>2019</v>
      </c>
      <c r="C169" s="895" t="s">
        <v>93</v>
      </c>
      <c r="D169" s="217">
        <v>40.804138594000001</v>
      </c>
      <c r="E169" s="217">
        <v>201.410971448</v>
      </c>
      <c r="F169" s="217">
        <v>70.057544350000001</v>
      </c>
      <c r="G169" s="217">
        <f t="shared" si="16"/>
        <v>0.74193123595175992</v>
      </c>
      <c r="H169" s="217">
        <f t="shared" si="17"/>
        <v>0.25806876404824008</v>
      </c>
      <c r="I169" s="946">
        <f t="shared" si="18"/>
        <v>171.13710646900668</v>
      </c>
      <c r="J169" s="946">
        <f t="shared" si="19"/>
        <v>59.52727073499333</v>
      </c>
      <c r="K169" s="217">
        <f t="shared" si="20"/>
        <v>154.02339582210601</v>
      </c>
      <c r="L169" s="217">
        <f t="shared" si="21"/>
        <v>188.25081711590735</v>
      </c>
      <c r="M169" s="217">
        <f t="shared" si="22"/>
        <v>68.819477696725798</v>
      </c>
      <c r="N169" s="217">
        <f t="shared" si="23"/>
        <v>81.284488188633404</v>
      </c>
      <c r="O169">
        <v>1</v>
      </c>
      <c r="P169">
        <v>1</v>
      </c>
      <c r="Q169">
        <v>2</v>
      </c>
      <c r="R169">
        <v>2</v>
      </c>
      <c r="S169">
        <v>2</v>
      </c>
    </row>
    <row r="170" spans="1:19">
      <c r="A170" s="895" t="s">
        <v>182</v>
      </c>
      <c r="B170" s="895">
        <v>2019</v>
      </c>
      <c r="C170" s="895" t="s">
        <v>90</v>
      </c>
      <c r="D170" s="217">
        <v>25.378519358999998</v>
      </c>
      <c r="E170" s="217">
        <v>129.74280759600001</v>
      </c>
      <c r="F170" s="217">
        <v>42.659404635000001</v>
      </c>
      <c r="G170" s="217">
        <f t="shared" si="16"/>
        <v>0.75255883272633939</v>
      </c>
      <c r="H170" s="217">
        <f t="shared" si="17"/>
        <v>0.24744116727366061</v>
      </c>
      <c r="I170" s="946">
        <f t="shared" si="18"/>
        <v>110.64397869086815</v>
      </c>
      <c r="J170" s="946">
        <f t="shared" si="19"/>
        <v>36.379714181131845</v>
      </c>
      <c r="K170" s="217">
        <f t="shared" si="20"/>
        <v>99.579580821781335</v>
      </c>
      <c r="L170" s="217">
        <f t="shared" si="21"/>
        <v>121.70837655995497</v>
      </c>
      <c r="M170" s="217">
        <f t="shared" si="22"/>
        <v>42.05858756480653</v>
      </c>
      <c r="N170" s="217">
        <f t="shared" si="23"/>
        <v>49.676499714335542</v>
      </c>
      <c r="O170">
        <v>1</v>
      </c>
      <c r="P170">
        <v>1</v>
      </c>
      <c r="Q170">
        <v>2</v>
      </c>
      <c r="R170">
        <v>2</v>
      </c>
      <c r="S170">
        <v>2</v>
      </c>
    </row>
    <row r="171" spans="1:19">
      <c r="A171" s="895" t="s">
        <v>182</v>
      </c>
      <c r="B171" s="895">
        <v>2019</v>
      </c>
      <c r="C171" s="895" t="s">
        <v>92</v>
      </c>
      <c r="D171" s="217">
        <v>41.308844241499997</v>
      </c>
      <c r="E171" s="217">
        <v>268.35933926199999</v>
      </c>
      <c r="F171" s="217">
        <v>56.187415575499998</v>
      </c>
      <c r="G171" s="217">
        <f t="shared" si="16"/>
        <v>0.82687420306010173</v>
      </c>
      <c r="H171" s="217">
        <f t="shared" si="17"/>
        <v>0.17312579693989827</v>
      </c>
      <c r="I171" s="946">
        <f t="shared" si="18"/>
        <v>234.20212160047581</v>
      </c>
      <c r="J171" s="946">
        <f t="shared" si="19"/>
        <v>49.035788995524186</v>
      </c>
      <c r="K171" s="217">
        <f t="shared" si="20"/>
        <v>210.78190944042822</v>
      </c>
      <c r="L171" s="217">
        <f t="shared" si="21"/>
        <v>257.62233376052342</v>
      </c>
      <c r="M171" s="217">
        <f t="shared" si="22"/>
        <v>56.690275657725515</v>
      </c>
      <c r="N171" s="217">
        <f t="shared" si="23"/>
        <v>66.958369873388278</v>
      </c>
      <c r="O171">
        <v>1</v>
      </c>
      <c r="P171">
        <v>1</v>
      </c>
      <c r="Q171">
        <v>2</v>
      </c>
      <c r="R171">
        <v>2</v>
      </c>
      <c r="S171">
        <v>2</v>
      </c>
    </row>
    <row r="172" spans="1:19">
      <c r="A172" s="895" t="s">
        <v>182</v>
      </c>
      <c r="B172" s="895">
        <v>2020</v>
      </c>
      <c r="C172" s="895" t="s">
        <v>99</v>
      </c>
      <c r="D172" s="217">
        <v>17.842395375500001</v>
      </c>
      <c r="E172" s="217">
        <v>129.21013377310001</v>
      </c>
      <c r="F172" s="217">
        <v>19.924269157000001</v>
      </c>
      <c r="G172" s="217">
        <f t="shared" si="16"/>
        <v>0.86640058386569196</v>
      </c>
      <c r="H172" s="217">
        <f t="shared" si="17"/>
        <v>0.13359941613430804</v>
      </c>
      <c r="I172" s="946">
        <f t="shared" si="18"/>
        <v>113.75147200220428</v>
      </c>
      <c r="J172" s="946">
        <f t="shared" si="19"/>
        <v>17.540535552395724</v>
      </c>
      <c r="K172" s="217">
        <f t="shared" si="20"/>
        <v>102.37632480198386</v>
      </c>
      <c r="L172" s="217">
        <f t="shared" si="21"/>
        <v>125.12661920242472</v>
      </c>
      <c r="M172" s="217">
        <f t="shared" si="22"/>
        <v>20.278613152124699</v>
      </c>
      <c r="N172" s="217">
        <f t="shared" si="23"/>
        <v>23.951601296796365</v>
      </c>
      <c r="O172">
        <v>1</v>
      </c>
      <c r="P172">
        <v>1</v>
      </c>
      <c r="Q172">
        <v>2</v>
      </c>
      <c r="R172">
        <v>2</v>
      </c>
      <c r="S172">
        <v>2</v>
      </c>
    </row>
    <row r="173" spans="1:19">
      <c r="A173" s="895" t="s">
        <v>182</v>
      </c>
      <c r="B173" s="895">
        <v>2020</v>
      </c>
      <c r="C173" s="895" t="s">
        <v>98</v>
      </c>
      <c r="D173" s="217">
        <v>28.350823223999999</v>
      </c>
      <c r="E173" s="217">
        <v>203.5408195755</v>
      </c>
      <c r="F173" s="217">
        <v>34.107281826600001</v>
      </c>
      <c r="G173" s="217">
        <f t="shared" si="16"/>
        <v>0.85647988927590646</v>
      </c>
      <c r="H173" s="217">
        <f t="shared" si="17"/>
        <v>0.14352011072409354</v>
      </c>
      <c r="I173" s="946">
        <f t="shared" si="18"/>
        <v>179.25890963972768</v>
      </c>
      <c r="J173" s="946">
        <f t="shared" si="19"/>
        <v>30.038368538372318</v>
      </c>
      <c r="K173" s="217">
        <f t="shared" si="20"/>
        <v>161.33301867575491</v>
      </c>
      <c r="L173" s="217">
        <f t="shared" si="21"/>
        <v>197.18480060370047</v>
      </c>
      <c r="M173" s="217">
        <f t="shared" si="22"/>
        <v>34.727357867212241</v>
      </c>
      <c r="N173" s="217">
        <f t="shared" si="23"/>
        <v>41.017392239147405</v>
      </c>
      <c r="O173">
        <v>1</v>
      </c>
      <c r="P173">
        <v>1</v>
      </c>
      <c r="Q173">
        <v>2</v>
      </c>
      <c r="R173">
        <v>2</v>
      </c>
      <c r="S173">
        <v>2</v>
      </c>
    </row>
    <row r="174" spans="1:19">
      <c r="A174" s="895" t="s">
        <v>182</v>
      </c>
      <c r="B174" s="895">
        <v>2020</v>
      </c>
      <c r="C174" s="895" t="s">
        <v>95</v>
      </c>
      <c r="D174" s="217">
        <v>42.461037430799998</v>
      </c>
      <c r="E174" s="217">
        <v>272.27944342699999</v>
      </c>
      <c r="F174" s="217">
        <v>58.957623413599997</v>
      </c>
      <c r="G174" s="217">
        <f t="shared" ref="G174:G192" si="24">E174/(E174+F174)</f>
        <v>0.82200777233070965</v>
      </c>
      <c r="H174" s="217">
        <f t="shared" ref="H174:H192" si="25">1-G174</f>
        <v>0.17799222766929035</v>
      </c>
      <c r="I174" s="946">
        <f t="shared" ref="I174:I192" si="26">E174-(D174*G174)</f>
        <v>237.37614063765722</v>
      </c>
      <c r="J174" s="946">
        <f t="shared" ref="J174:J192" si="27">F174-(D174*H174)</f>
        <v>51.399888772142788</v>
      </c>
      <c r="K174" s="217">
        <f t="shared" ref="K174:K192" si="28">I174*$B$5</f>
        <v>213.63852657389151</v>
      </c>
      <c r="L174" s="217">
        <f t="shared" ref="L174:L192" si="29">I174*$B$4</f>
        <v>261.11375470142298</v>
      </c>
      <c r="M174" s="217">
        <f t="shared" ref="M174:M192" si="30">J174*$B$7</f>
        <v>59.423411409474284</v>
      </c>
      <c r="N174" s="217">
        <f t="shared" ref="N174:N192" si="31">J174*$B$6</f>
        <v>70.186548118360989</v>
      </c>
      <c r="O174">
        <v>1</v>
      </c>
      <c r="P174">
        <v>1</v>
      </c>
      <c r="Q174">
        <v>2</v>
      </c>
      <c r="R174">
        <v>2</v>
      </c>
      <c r="S174">
        <v>2</v>
      </c>
    </row>
    <row r="175" spans="1:19">
      <c r="A175" s="895" t="s">
        <v>182</v>
      </c>
      <c r="B175" s="895">
        <v>2020</v>
      </c>
      <c r="C175" s="895" t="s">
        <v>91</v>
      </c>
      <c r="D175" s="217">
        <v>198.22156959789001</v>
      </c>
      <c r="E175" s="217">
        <v>1370.09465270438</v>
      </c>
      <c r="F175" s="217">
        <v>181.17848554395999</v>
      </c>
      <c r="G175" s="217">
        <f t="shared" si="24"/>
        <v>0.88320658620535231</v>
      </c>
      <c r="H175" s="217">
        <f t="shared" si="25"/>
        <v>0.11679341379464769</v>
      </c>
      <c r="I175" s="946">
        <f t="shared" si="26"/>
        <v>1195.0240569075609</v>
      </c>
      <c r="J175" s="946">
        <f t="shared" si="27"/>
        <v>158.02751174288906</v>
      </c>
      <c r="K175" s="217">
        <f t="shared" si="28"/>
        <v>1075.5216512168049</v>
      </c>
      <c r="L175" s="217">
        <f t="shared" si="29"/>
        <v>1314.526462598317</v>
      </c>
      <c r="M175" s="217">
        <f t="shared" si="30"/>
        <v>182.69560632595406</v>
      </c>
      <c r="N175" s="217">
        <f t="shared" si="31"/>
        <v>215.78656728491504</v>
      </c>
      <c r="O175">
        <v>1</v>
      </c>
      <c r="P175">
        <v>1</v>
      </c>
      <c r="Q175">
        <v>2</v>
      </c>
      <c r="R175">
        <v>2</v>
      </c>
      <c r="S175">
        <v>2</v>
      </c>
    </row>
    <row r="176" spans="1:19">
      <c r="A176" s="895" t="s">
        <v>182</v>
      </c>
      <c r="B176" s="895">
        <v>2020</v>
      </c>
      <c r="C176" s="895" t="s">
        <v>93</v>
      </c>
      <c r="D176" s="217">
        <v>33.571129028000001</v>
      </c>
      <c r="E176" s="217">
        <v>162.02162819700001</v>
      </c>
      <c r="F176" s="217">
        <v>55.392531001999998</v>
      </c>
      <c r="G176" s="217">
        <f t="shared" si="24"/>
        <v>0.74522114288196384</v>
      </c>
      <c r="H176" s="217">
        <f t="shared" si="25"/>
        <v>0.25477885711803616</v>
      </c>
      <c r="I176" s="946">
        <f t="shared" si="26"/>
        <v>137.00371305491598</v>
      </c>
      <c r="J176" s="946">
        <f t="shared" si="27"/>
        <v>46.839317116084032</v>
      </c>
      <c r="K176" s="217">
        <f t="shared" si="28"/>
        <v>123.30334174942438</v>
      </c>
      <c r="L176" s="217">
        <f t="shared" si="29"/>
        <v>150.70408436040759</v>
      </c>
      <c r="M176" s="217">
        <f t="shared" si="30"/>
        <v>54.150934517904759</v>
      </c>
      <c r="N176" s="217">
        <f t="shared" si="31"/>
        <v>63.959087522012751</v>
      </c>
      <c r="O176">
        <v>1</v>
      </c>
      <c r="P176">
        <v>1</v>
      </c>
      <c r="Q176">
        <v>2</v>
      </c>
      <c r="R176">
        <v>2</v>
      </c>
      <c r="S176">
        <v>2</v>
      </c>
    </row>
    <row r="177" spans="1:19">
      <c r="A177" s="895" t="s">
        <v>182</v>
      </c>
      <c r="B177" s="895">
        <v>2020</v>
      </c>
      <c r="C177" s="895" t="s">
        <v>90</v>
      </c>
      <c r="D177" s="217">
        <v>20.907747887999999</v>
      </c>
      <c r="E177" s="217">
        <v>104.026860171</v>
      </c>
      <c r="F177" s="217">
        <v>33.661366197</v>
      </c>
      <c r="G177" s="217">
        <f t="shared" si="24"/>
        <v>0.75552473087253591</v>
      </c>
      <c r="H177" s="217">
        <f t="shared" si="25"/>
        <v>0.24447526912746409</v>
      </c>
      <c r="I177" s="946">
        <f t="shared" si="26"/>
        <v>88.23053957476796</v>
      </c>
      <c r="J177" s="946">
        <f t="shared" si="27"/>
        <v>28.549938905232032</v>
      </c>
      <c r="K177" s="217">
        <f t="shared" si="28"/>
        <v>79.407485617291172</v>
      </c>
      <c r="L177" s="217">
        <f t="shared" si="29"/>
        <v>97.053593532244761</v>
      </c>
      <c r="M177" s="217">
        <f t="shared" si="30"/>
        <v>33.006584368338757</v>
      </c>
      <c r="N177" s="217">
        <f t="shared" si="31"/>
        <v>38.984941575094346</v>
      </c>
      <c r="O177">
        <v>1</v>
      </c>
      <c r="P177">
        <v>1</v>
      </c>
      <c r="Q177">
        <v>2</v>
      </c>
      <c r="R177">
        <v>2</v>
      </c>
      <c r="S177">
        <v>2</v>
      </c>
    </row>
    <row r="178" spans="1:19" ht="15.75" thickBot="1">
      <c r="A178" s="895" t="s">
        <v>182</v>
      </c>
      <c r="B178" s="895">
        <v>2020</v>
      </c>
      <c r="C178" s="895" t="s">
        <v>92</v>
      </c>
      <c r="D178" s="217">
        <v>34.482912952</v>
      </c>
      <c r="E178" s="217">
        <v>210.72664741049999</v>
      </c>
      <c r="F178" s="217">
        <v>43.925173088500003</v>
      </c>
      <c r="G178" s="217">
        <f t="shared" si="24"/>
        <v>0.82750889821864637</v>
      </c>
      <c r="H178" s="217">
        <f t="shared" si="25"/>
        <v>0.17249110178135363</v>
      </c>
      <c r="I178" s="946">
        <f t="shared" si="26"/>
        <v>182.19173010622097</v>
      </c>
      <c r="J178" s="946">
        <f t="shared" si="27"/>
        <v>37.977177440779016</v>
      </c>
      <c r="K178" s="217">
        <f t="shared" si="28"/>
        <v>163.97255709559889</v>
      </c>
      <c r="L178" s="217">
        <f t="shared" si="29"/>
        <v>200.41090311684309</v>
      </c>
      <c r="M178" s="217">
        <f t="shared" si="30"/>
        <v>43.905414839284624</v>
      </c>
      <c r="N178" s="217">
        <f t="shared" si="31"/>
        <v>51.85783579538375</v>
      </c>
      <c r="O178">
        <v>1</v>
      </c>
      <c r="P178">
        <v>1</v>
      </c>
      <c r="Q178">
        <v>2</v>
      </c>
      <c r="R178">
        <v>2</v>
      </c>
      <c r="S178">
        <v>2</v>
      </c>
    </row>
    <row r="179" spans="1:19">
      <c r="A179" s="938" t="s">
        <v>182</v>
      </c>
      <c r="B179" s="939">
        <v>2021</v>
      </c>
      <c r="C179" s="939" t="s">
        <v>99</v>
      </c>
      <c r="D179" s="947">
        <v>17.954012751699999</v>
      </c>
      <c r="E179" s="947">
        <v>141.63028156839999</v>
      </c>
      <c r="F179" s="947">
        <v>20.194568222800001</v>
      </c>
      <c r="G179" s="947">
        <f t="shared" si="24"/>
        <v>0.87520724877015654</v>
      </c>
      <c r="H179" s="947">
        <f t="shared" si="25"/>
        <v>0.12479275122984346</v>
      </c>
      <c r="I179" s="948">
        <f t="shared" si="26"/>
        <v>125.91679946360033</v>
      </c>
      <c r="J179" s="948">
        <f t="shared" si="27"/>
        <v>17.954037575899665</v>
      </c>
      <c r="K179" s="947">
        <f t="shared" si="28"/>
        <v>113.3251195172403</v>
      </c>
      <c r="L179" s="947">
        <f t="shared" si="29"/>
        <v>138.50847940996036</v>
      </c>
      <c r="M179" s="947">
        <f t="shared" si="30"/>
        <v>20.756662841497604</v>
      </c>
      <c r="N179" s="947">
        <f t="shared" si="31"/>
        <v>24.516238309890994</v>
      </c>
      <c r="O179" s="940">
        <v>1</v>
      </c>
      <c r="P179" s="940">
        <v>1</v>
      </c>
      <c r="Q179" s="940">
        <v>2</v>
      </c>
      <c r="R179" s="940">
        <v>2</v>
      </c>
      <c r="S179" s="941">
        <v>2</v>
      </c>
    </row>
    <row r="180" spans="1:19">
      <c r="A180" s="440" t="s">
        <v>182</v>
      </c>
      <c r="B180" s="895">
        <v>2021</v>
      </c>
      <c r="C180" s="895" t="s">
        <v>98</v>
      </c>
      <c r="D180" s="217">
        <v>29.811038270000001</v>
      </c>
      <c r="E180" s="217">
        <v>214.1537183181</v>
      </c>
      <c r="F180" s="217">
        <v>36.409650293200002</v>
      </c>
      <c r="G180" s="217">
        <f t="shared" si="24"/>
        <v>0.85468885378180537</v>
      </c>
      <c r="H180" s="217">
        <f t="shared" si="25"/>
        <v>0.14531114621819463</v>
      </c>
      <c r="I180" s="946">
        <f t="shared" si="26"/>
        <v>188.67455618906817</v>
      </c>
      <c r="J180" s="946">
        <f t="shared" si="27"/>
        <v>32.077774152231839</v>
      </c>
      <c r="K180" s="217">
        <f t="shared" si="28"/>
        <v>169.80710057016137</v>
      </c>
      <c r="L180" s="217">
        <f t="shared" si="29"/>
        <v>207.542011807975</v>
      </c>
      <c r="M180" s="217">
        <f t="shared" si="30"/>
        <v>37.085114697395234</v>
      </c>
      <c r="N180" s="217">
        <f t="shared" si="31"/>
        <v>43.802200604872581</v>
      </c>
      <c r="O180">
        <v>1</v>
      </c>
      <c r="P180">
        <v>1</v>
      </c>
      <c r="Q180">
        <v>2</v>
      </c>
      <c r="R180">
        <v>2</v>
      </c>
      <c r="S180" s="942">
        <v>2</v>
      </c>
    </row>
    <row r="181" spans="1:19">
      <c r="A181" s="440" t="s">
        <v>182</v>
      </c>
      <c r="B181" s="895">
        <v>2021</v>
      </c>
      <c r="C181" s="895" t="s">
        <v>95</v>
      </c>
      <c r="D181" s="217">
        <v>43.140427268700002</v>
      </c>
      <c r="E181" s="217">
        <v>297.5329268795</v>
      </c>
      <c r="F181" s="217">
        <v>59.3342488686</v>
      </c>
      <c r="G181" s="217">
        <f t="shared" si="24"/>
        <v>0.83373576248861292</v>
      </c>
      <c r="H181" s="217">
        <f t="shared" si="25"/>
        <v>0.16626423751138708</v>
      </c>
      <c r="I181" s="946">
        <f t="shared" si="26"/>
        <v>261.56520985654583</v>
      </c>
      <c r="J181" s="946">
        <f t="shared" si="27"/>
        <v>52.161538622854145</v>
      </c>
      <c r="K181" s="217">
        <f t="shared" si="28"/>
        <v>235.40868887089127</v>
      </c>
      <c r="L181" s="217">
        <f t="shared" si="29"/>
        <v>287.72173084220043</v>
      </c>
      <c r="M181" s="217">
        <f t="shared" si="30"/>
        <v>60.303954801881687</v>
      </c>
      <c r="N181" s="217">
        <f t="shared" si="31"/>
        <v>71.22658098950734</v>
      </c>
      <c r="O181">
        <v>1</v>
      </c>
      <c r="P181">
        <v>1</v>
      </c>
      <c r="Q181">
        <v>2</v>
      </c>
      <c r="R181">
        <v>2</v>
      </c>
      <c r="S181" s="942">
        <v>2</v>
      </c>
    </row>
    <row r="182" spans="1:19">
      <c r="A182" s="440" t="s">
        <v>182</v>
      </c>
      <c r="B182" s="895">
        <v>2021</v>
      </c>
      <c r="C182" s="895" t="s">
        <v>91</v>
      </c>
      <c r="D182" s="217">
        <v>197.27204129565999</v>
      </c>
      <c r="E182" s="217">
        <v>1467.9581238478199</v>
      </c>
      <c r="F182" s="217">
        <v>202.03430608944001</v>
      </c>
      <c r="G182" s="217">
        <f t="shared" si="24"/>
        <v>0.87902082520396208</v>
      </c>
      <c r="H182" s="217">
        <f t="shared" si="25"/>
        <v>0.12097917479603792</v>
      </c>
      <c r="I182" s="946">
        <f t="shared" si="26"/>
        <v>1294.5518913184387</v>
      </c>
      <c r="J182" s="946">
        <f t="shared" si="27"/>
        <v>178.16849732316115</v>
      </c>
      <c r="K182" s="217">
        <f t="shared" si="28"/>
        <v>1165.0967021865949</v>
      </c>
      <c r="L182" s="217">
        <f t="shared" si="29"/>
        <v>1424.0070804502827</v>
      </c>
      <c r="M182" s="217">
        <f t="shared" si="30"/>
        <v>205.98059975530663</v>
      </c>
      <c r="N182" s="217">
        <f t="shared" si="31"/>
        <v>243.28908309477657</v>
      </c>
      <c r="O182">
        <v>1</v>
      </c>
      <c r="P182">
        <v>1</v>
      </c>
      <c r="Q182">
        <v>2</v>
      </c>
      <c r="R182">
        <v>2</v>
      </c>
      <c r="S182" s="942">
        <v>2</v>
      </c>
    </row>
    <row r="183" spans="1:19">
      <c r="A183" s="440" t="s">
        <v>182</v>
      </c>
      <c r="B183" s="895">
        <v>2021</v>
      </c>
      <c r="C183" s="895" t="s">
        <v>93</v>
      </c>
      <c r="D183" s="217">
        <v>29.856437889999999</v>
      </c>
      <c r="E183" s="217">
        <v>155.636891265</v>
      </c>
      <c r="F183" s="217">
        <v>69.411980231000001</v>
      </c>
      <c r="G183" s="217">
        <f t="shared" si="24"/>
        <v>0.69156930328249289</v>
      </c>
      <c r="H183" s="217">
        <f t="shared" si="25"/>
        <v>0.30843069671750711</v>
      </c>
      <c r="I183" s="946">
        <f t="shared" si="26"/>
        <v>134.98909531491569</v>
      </c>
      <c r="J183" s="946">
        <f t="shared" si="27"/>
        <v>60.203338291084322</v>
      </c>
      <c r="K183" s="217">
        <f t="shared" si="28"/>
        <v>121.49018578342412</v>
      </c>
      <c r="L183" s="217">
        <f t="shared" si="29"/>
        <v>148.48800484640728</v>
      </c>
      <c r="M183" s="217">
        <f t="shared" si="30"/>
        <v>69.601079398322597</v>
      </c>
      <c r="N183" s="217">
        <f t="shared" si="31"/>
        <v>82.207658436475654</v>
      </c>
      <c r="O183">
        <v>1</v>
      </c>
      <c r="P183">
        <v>1</v>
      </c>
      <c r="Q183">
        <v>2</v>
      </c>
      <c r="R183">
        <v>2</v>
      </c>
      <c r="S183" s="942">
        <v>2</v>
      </c>
    </row>
    <row r="184" spans="1:19">
      <c r="A184" s="440" t="s">
        <v>182</v>
      </c>
      <c r="B184" s="895">
        <v>2021</v>
      </c>
      <c r="C184" s="895" t="s">
        <v>90</v>
      </c>
      <c r="D184" s="217">
        <v>18.687069516000001</v>
      </c>
      <c r="E184" s="217">
        <v>100.281630681</v>
      </c>
      <c r="F184" s="217">
        <v>41.945154305999999</v>
      </c>
      <c r="G184" s="217">
        <f t="shared" si="24"/>
        <v>0.70508259530837369</v>
      </c>
      <c r="H184" s="217">
        <f t="shared" si="25"/>
        <v>0.29491740469162631</v>
      </c>
      <c r="I184" s="946">
        <f t="shared" si="26"/>
        <v>87.105703207950725</v>
      </c>
      <c r="J184" s="946">
        <f t="shared" si="27"/>
        <v>36.434012263049276</v>
      </c>
      <c r="K184" s="217">
        <f t="shared" si="28"/>
        <v>78.395132887155654</v>
      </c>
      <c r="L184" s="217">
        <f t="shared" si="29"/>
        <v>95.81627352874581</v>
      </c>
      <c r="M184" s="217">
        <f t="shared" si="30"/>
        <v>42.121361577311269</v>
      </c>
      <c r="N184" s="217">
        <f t="shared" si="31"/>
        <v>49.750643745193791</v>
      </c>
      <c r="O184">
        <v>1</v>
      </c>
      <c r="P184">
        <v>1</v>
      </c>
      <c r="Q184">
        <v>2</v>
      </c>
      <c r="R184">
        <v>2</v>
      </c>
      <c r="S184" s="942">
        <v>2</v>
      </c>
    </row>
    <row r="185" spans="1:19" ht="15.75" thickBot="1">
      <c r="A185" s="943" t="s">
        <v>182</v>
      </c>
      <c r="B185" s="944">
        <v>2021</v>
      </c>
      <c r="C185" s="944" t="s">
        <v>92</v>
      </c>
      <c r="D185" s="949">
        <v>31.522666628</v>
      </c>
      <c r="E185" s="949">
        <v>207.0208849695</v>
      </c>
      <c r="F185" s="949">
        <v>51.459623164</v>
      </c>
      <c r="G185" s="949">
        <f t="shared" si="24"/>
        <v>0.80091487928589911</v>
      </c>
      <c r="H185" s="949">
        <f t="shared" si="25"/>
        <v>0.19908512071410089</v>
      </c>
      <c r="I185" s="950">
        <f t="shared" si="26"/>
        <v>181.77391223236575</v>
      </c>
      <c r="J185" s="950">
        <f t="shared" si="27"/>
        <v>45.183929273134261</v>
      </c>
      <c r="K185" s="949">
        <f t="shared" si="28"/>
        <v>163.59652100912916</v>
      </c>
      <c r="L185" s="949">
        <f t="shared" si="29"/>
        <v>199.95130345560233</v>
      </c>
      <c r="M185" s="949">
        <f t="shared" si="30"/>
        <v>52.237140632670524</v>
      </c>
      <c r="N185" s="949">
        <f t="shared" si="31"/>
        <v>61.698655422464839</v>
      </c>
      <c r="O185" s="504">
        <v>1</v>
      </c>
      <c r="P185" s="504">
        <v>1</v>
      </c>
      <c r="Q185" s="504">
        <v>2</v>
      </c>
      <c r="R185" s="504">
        <v>2</v>
      </c>
      <c r="S185" s="945">
        <v>2</v>
      </c>
    </row>
    <row r="186" spans="1:19">
      <c r="A186" s="895" t="s">
        <v>182</v>
      </c>
      <c r="B186" s="895">
        <v>2022</v>
      </c>
      <c r="C186" s="895" t="s">
        <v>99</v>
      </c>
      <c r="D186" s="217">
        <v>19.947690544499999</v>
      </c>
      <c r="E186" s="217">
        <v>174.44249693149999</v>
      </c>
      <c r="F186" s="217">
        <v>21.639491936999999</v>
      </c>
      <c r="G186" s="217">
        <f t="shared" si="24"/>
        <v>0.88964059339732493</v>
      </c>
      <c r="H186" s="217">
        <f t="shared" si="25"/>
        <v>0.11035940660267507</v>
      </c>
      <c r="I186" s="946">
        <f t="shared" si="26"/>
        <v>156.69622167858481</v>
      </c>
      <c r="J186" s="946">
        <f t="shared" si="27"/>
        <v>19.438076645415187</v>
      </c>
      <c r="K186" s="217">
        <f t="shared" si="28"/>
        <v>141.02659951072633</v>
      </c>
      <c r="L186" s="217">
        <f t="shared" si="29"/>
        <v>172.36584384644331</v>
      </c>
      <c r="M186" s="217">
        <f t="shared" si="30"/>
        <v>22.472360409764502</v>
      </c>
      <c r="N186" s="217">
        <f t="shared" si="31"/>
        <v>26.542693659314441</v>
      </c>
      <c r="O186">
        <v>1</v>
      </c>
      <c r="P186">
        <v>1</v>
      </c>
      <c r="Q186">
        <v>2</v>
      </c>
      <c r="R186">
        <v>2</v>
      </c>
      <c r="S186">
        <v>2</v>
      </c>
    </row>
    <row r="187" spans="1:19">
      <c r="A187" s="895" t="s">
        <v>182</v>
      </c>
      <c r="B187" s="895">
        <v>2022</v>
      </c>
      <c r="C187" s="895" t="s">
        <v>98</v>
      </c>
      <c r="D187" s="217">
        <v>31.7606004873</v>
      </c>
      <c r="E187" s="217">
        <v>268.01597520849998</v>
      </c>
      <c r="F187" s="217">
        <v>39.313695551599999</v>
      </c>
      <c r="G187" s="217">
        <f t="shared" si="24"/>
        <v>0.87207972645671405</v>
      </c>
      <c r="H187" s="217">
        <f t="shared" si="25"/>
        <v>0.12792027354328595</v>
      </c>
      <c r="I187" s="946">
        <f t="shared" si="26"/>
        <v>240.31819942343441</v>
      </c>
      <c r="J187" s="946">
        <f t="shared" si="27"/>
        <v>35.250870849365562</v>
      </c>
      <c r="K187" s="217">
        <f t="shared" si="28"/>
        <v>216.28637948109096</v>
      </c>
      <c r="L187" s="217">
        <f t="shared" si="29"/>
        <v>264.35001936577788</v>
      </c>
      <c r="M187" s="217">
        <f t="shared" si="30"/>
        <v>40.753531788951534</v>
      </c>
      <c r="N187" s="217">
        <f t="shared" si="31"/>
        <v>48.13506414480868</v>
      </c>
      <c r="O187">
        <v>1</v>
      </c>
      <c r="P187">
        <v>1</v>
      </c>
      <c r="Q187">
        <v>2</v>
      </c>
      <c r="R187">
        <v>2</v>
      </c>
      <c r="S187">
        <v>2</v>
      </c>
    </row>
    <row r="188" spans="1:19">
      <c r="A188" s="895" t="s">
        <v>182</v>
      </c>
      <c r="B188" s="895">
        <v>2022</v>
      </c>
      <c r="C188" s="895" t="s">
        <v>95</v>
      </c>
      <c r="D188" s="217">
        <v>47.725220769499998</v>
      </c>
      <c r="E188" s="217">
        <v>365.93415845999999</v>
      </c>
      <c r="F188" s="217">
        <v>57.873759468400003</v>
      </c>
      <c r="G188" s="217">
        <f t="shared" si="24"/>
        <v>0.86344342089857451</v>
      </c>
      <c r="H188" s="217">
        <f t="shared" si="25"/>
        <v>0.13655657910142549</v>
      </c>
      <c r="I188" s="946">
        <f t="shared" si="26"/>
        <v>324.7261305756432</v>
      </c>
      <c r="J188" s="946">
        <f t="shared" si="27"/>
        <v>51.356566583256779</v>
      </c>
      <c r="K188" s="217">
        <f t="shared" si="28"/>
        <v>292.25351751807887</v>
      </c>
      <c r="L188" s="217">
        <f t="shared" si="29"/>
        <v>357.19874363320753</v>
      </c>
      <c r="M188" s="217">
        <f t="shared" si="30"/>
        <v>59.373326626903172</v>
      </c>
      <c r="N188" s="217">
        <f t="shared" si="31"/>
        <v>70.127391669437145</v>
      </c>
      <c r="O188">
        <v>1</v>
      </c>
      <c r="P188">
        <v>1</v>
      </c>
      <c r="Q188">
        <v>2</v>
      </c>
      <c r="R188">
        <v>2</v>
      </c>
      <c r="S188">
        <v>2</v>
      </c>
    </row>
    <row r="189" spans="1:19">
      <c r="A189" s="895" t="s">
        <v>182</v>
      </c>
      <c r="B189" s="895">
        <v>2022</v>
      </c>
      <c r="C189" s="895" t="s">
        <v>91</v>
      </c>
      <c r="D189" s="217">
        <v>207.69363117934</v>
      </c>
      <c r="E189" s="217">
        <v>1801.6032657410601</v>
      </c>
      <c r="F189" s="217">
        <v>198.03461409508</v>
      </c>
      <c r="G189" s="217">
        <f t="shared" si="24"/>
        <v>0.90096476162408567</v>
      </c>
      <c r="H189" s="217">
        <f t="shared" si="25"/>
        <v>9.9035238375914325E-2</v>
      </c>
      <c r="I189" s="946">
        <f t="shared" si="26"/>
        <v>1614.4786228347252</v>
      </c>
      <c r="J189" s="946">
        <f t="shared" si="27"/>
        <v>177.46562582207483</v>
      </c>
      <c r="K189" s="217">
        <f t="shared" si="28"/>
        <v>1453.0307605512528</v>
      </c>
      <c r="L189" s="217">
        <f t="shared" si="29"/>
        <v>1775.9264851181979</v>
      </c>
      <c r="M189" s="217">
        <f t="shared" si="30"/>
        <v>205.16801001290074</v>
      </c>
      <c r="N189" s="217">
        <f t="shared" si="31"/>
        <v>242.32931206004321</v>
      </c>
      <c r="O189">
        <v>1</v>
      </c>
      <c r="P189">
        <v>1</v>
      </c>
      <c r="Q189">
        <v>2</v>
      </c>
      <c r="R189">
        <v>2</v>
      </c>
      <c r="S189">
        <v>2</v>
      </c>
    </row>
    <row r="190" spans="1:19">
      <c r="A190" s="895" t="s">
        <v>182</v>
      </c>
      <c r="B190" s="895">
        <v>2022</v>
      </c>
      <c r="C190" s="895" t="s">
        <v>93</v>
      </c>
      <c r="D190" s="217">
        <v>32.360505861999997</v>
      </c>
      <c r="E190" s="217">
        <v>201.54410579099999</v>
      </c>
      <c r="F190" s="217">
        <v>60.490549707</v>
      </c>
      <c r="G190" s="217">
        <f t="shared" si="24"/>
        <v>0.76915057440765999</v>
      </c>
      <c r="H190" s="217">
        <f t="shared" si="25"/>
        <v>0.23084942559234001</v>
      </c>
      <c r="I190" s="946">
        <f t="shared" si="26"/>
        <v>176.65400411912026</v>
      </c>
      <c r="J190" s="946">
        <f t="shared" si="27"/>
        <v>53.020145516879751</v>
      </c>
      <c r="K190" s="217">
        <f t="shared" si="28"/>
        <v>158.98860370720823</v>
      </c>
      <c r="L190" s="217">
        <f t="shared" si="29"/>
        <v>194.31940453103229</v>
      </c>
      <c r="M190" s="217">
        <f t="shared" si="30"/>
        <v>61.296590232064688</v>
      </c>
      <c r="N190" s="217">
        <f t="shared" si="31"/>
        <v>72.399008703299302</v>
      </c>
      <c r="O190">
        <v>1</v>
      </c>
      <c r="P190">
        <v>1</v>
      </c>
      <c r="Q190">
        <v>2</v>
      </c>
      <c r="R190">
        <v>2</v>
      </c>
      <c r="S190">
        <v>2</v>
      </c>
    </row>
    <row r="191" spans="1:19">
      <c r="A191" s="895" t="s">
        <v>182</v>
      </c>
      <c r="B191" s="895">
        <v>2022</v>
      </c>
      <c r="C191" s="895" t="s">
        <v>90</v>
      </c>
      <c r="D191" s="217">
        <v>20.240468355000001</v>
      </c>
      <c r="E191" s="217">
        <v>129.88248109200001</v>
      </c>
      <c r="F191" s="217">
        <v>36.898316424000001</v>
      </c>
      <c r="G191" s="217">
        <f t="shared" si="24"/>
        <v>0.77876160221346713</v>
      </c>
      <c r="H191" s="217">
        <f t="shared" si="25"/>
        <v>0.22123839778653287</v>
      </c>
      <c r="I191" s="946">
        <f t="shared" si="26"/>
        <v>114.11998152630923</v>
      </c>
      <c r="J191" s="946">
        <f t="shared" si="27"/>
        <v>32.420347634690778</v>
      </c>
      <c r="K191" s="217">
        <f t="shared" si="28"/>
        <v>102.70798337367832</v>
      </c>
      <c r="L191" s="217">
        <f t="shared" si="29"/>
        <v>125.53197967894016</v>
      </c>
      <c r="M191" s="217">
        <f t="shared" si="30"/>
        <v>37.481163900466015</v>
      </c>
      <c r="N191" s="217">
        <f t="shared" si="31"/>
        <v>44.269984695170265</v>
      </c>
      <c r="O191">
        <v>1</v>
      </c>
      <c r="P191">
        <v>1</v>
      </c>
      <c r="Q191">
        <v>2</v>
      </c>
      <c r="R191">
        <v>2</v>
      </c>
      <c r="S191">
        <v>2</v>
      </c>
    </row>
    <row r="192" spans="1:19">
      <c r="A192" s="895" t="s">
        <v>182</v>
      </c>
      <c r="B192" s="895">
        <v>2022</v>
      </c>
      <c r="C192" s="895" t="s">
        <v>92</v>
      </c>
      <c r="D192" s="217">
        <v>33.983690787500002</v>
      </c>
      <c r="E192" s="217">
        <v>268.60700696100002</v>
      </c>
      <c r="F192" s="217">
        <v>49.070206515000002</v>
      </c>
      <c r="G192" s="217">
        <f t="shared" si="24"/>
        <v>0.84553438385436108</v>
      </c>
      <c r="H192" s="217">
        <f t="shared" si="25"/>
        <v>0.15446561614563892</v>
      </c>
      <c r="I192" s="946">
        <f t="shared" si="26"/>
        <v>239.87262790989408</v>
      </c>
      <c r="J192" s="946">
        <f t="shared" si="27"/>
        <v>43.82089477860594</v>
      </c>
      <c r="K192" s="217">
        <f t="shared" si="28"/>
        <v>215.88536511890467</v>
      </c>
      <c r="L192" s="217">
        <f t="shared" si="29"/>
        <v>263.85989070088351</v>
      </c>
      <c r="M192" s="217">
        <f t="shared" si="30"/>
        <v>50.661336453546333</v>
      </c>
      <c r="N192" s="217">
        <f t="shared" si="31"/>
        <v>59.837431820186417</v>
      </c>
      <c r="O192">
        <v>1</v>
      </c>
      <c r="P192">
        <v>1</v>
      </c>
      <c r="Q192">
        <v>2</v>
      </c>
      <c r="R192">
        <v>2</v>
      </c>
      <c r="S192">
        <v>2</v>
      </c>
    </row>
    <row r="194" spans="1:9" s="1119" customFormat="1">
      <c r="A194" s="1109" t="s">
        <v>2255</v>
      </c>
    </row>
    <row r="195" spans="1:9" s="1119" customFormat="1"/>
    <row r="196" spans="1:9">
      <c r="A196" s="895" t="s">
        <v>1026</v>
      </c>
      <c r="B196" s="895" t="s">
        <v>101</v>
      </c>
      <c r="C196" s="895" t="s">
        <v>102</v>
      </c>
      <c r="D196" s="985" t="s">
        <v>2257</v>
      </c>
      <c r="E196" s="910" t="s">
        <v>2258</v>
      </c>
      <c r="F196" s="985" t="s">
        <v>2259</v>
      </c>
      <c r="G196" s="985" t="s">
        <v>2260</v>
      </c>
      <c r="H196" s="910" t="s">
        <v>2261</v>
      </c>
      <c r="I196" s="910" t="s">
        <v>2262</v>
      </c>
    </row>
    <row r="197" spans="1:9">
      <c r="A197" s="895" t="s">
        <v>2256</v>
      </c>
      <c r="B197" s="895">
        <f>B109</f>
        <v>2011</v>
      </c>
      <c r="C197" s="895" t="str">
        <f>C109</f>
        <v>Acryl</v>
      </c>
      <c r="D197" s="986">
        <f>E109</f>
        <v>154.79480139040001</v>
      </c>
      <c r="E197" s="987">
        <f>F20</f>
        <v>14.8801788318715</v>
      </c>
      <c r="F197" s="986">
        <f>D197*$B$7</f>
        <v>178.95826988744147</v>
      </c>
      <c r="G197" s="986">
        <f>D197*$B$6</f>
        <v>211.37230129859122</v>
      </c>
      <c r="H197" s="987">
        <f>E197*$B$7</f>
        <v>17.202974747526643</v>
      </c>
      <c r="I197" s="987">
        <f>E197*$B$6</f>
        <v>20.318884194920535</v>
      </c>
    </row>
    <row r="198" spans="1:9">
      <c r="A198" s="895" t="s">
        <v>2256</v>
      </c>
      <c r="B198" s="895">
        <f t="shared" ref="B198:C262" si="32">B110</f>
        <v>2011</v>
      </c>
      <c r="C198" s="895" t="str">
        <f t="shared" si="32"/>
        <v>OTHER</v>
      </c>
      <c r="D198" s="986">
        <f t="shared" ref="D198:D261" si="33">E110</f>
        <v>255.1626041351</v>
      </c>
      <c r="E198" s="987">
        <f t="shared" ref="E198:E261" si="34">F21</f>
        <v>23.851269135254199</v>
      </c>
      <c r="F198" s="986">
        <f t="shared" ref="F198:F261" si="35">D198*$B$7</f>
        <v>294.99348664058914</v>
      </c>
      <c r="G198" s="986">
        <f t="shared" ref="G198:G261" si="36">D198*$B$6</f>
        <v>348.42453594647907</v>
      </c>
      <c r="H198" s="987">
        <f t="shared" ref="H198:H261" si="37">E198*$B$7</f>
        <v>27.574452247267384</v>
      </c>
      <c r="I198" s="987">
        <f t="shared" ref="I198:I261" si="38">E198*$B$6</f>
        <v>32.568908004189616</v>
      </c>
    </row>
    <row r="199" spans="1:9">
      <c r="A199" s="895" t="s">
        <v>2256</v>
      </c>
      <c r="B199" s="895">
        <f t="shared" si="32"/>
        <v>2011</v>
      </c>
      <c r="C199" s="895" t="str">
        <f t="shared" si="32"/>
        <v>PA</v>
      </c>
      <c r="D199" s="986">
        <f t="shared" si="33"/>
        <v>344.29726214639999</v>
      </c>
      <c r="E199" s="987">
        <f t="shared" si="34"/>
        <v>35.543951156312602</v>
      </c>
      <c r="F199" s="986">
        <f t="shared" si="35"/>
        <v>398.04206476745304</v>
      </c>
      <c r="G199" s="986">
        <f t="shared" si="36"/>
        <v>470.13791146090921</v>
      </c>
      <c r="H199" s="987">
        <f t="shared" si="37"/>
        <v>41.092361931813002</v>
      </c>
      <c r="I199" s="987">
        <f t="shared" si="38"/>
        <v>48.535265303944861</v>
      </c>
    </row>
    <row r="200" spans="1:9">
      <c r="A200" s="895" t="s">
        <v>2256</v>
      </c>
      <c r="B200" s="895">
        <f t="shared" si="32"/>
        <v>2011</v>
      </c>
      <c r="C200" s="895" t="str">
        <f t="shared" si="32"/>
        <v>PET</v>
      </c>
      <c r="D200" s="986">
        <f t="shared" si="33"/>
        <v>1527.61309157287</v>
      </c>
      <c r="E200" s="987">
        <f t="shared" si="34"/>
        <v>162.91352493893899</v>
      </c>
      <c r="F200" s="986">
        <f t="shared" si="35"/>
        <v>1766.0734951673951</v>
      </c>
      <c r="G200" s="986">
        <f t="shared" si="36"/>
        <v>2085.9556765427542</v>
      </c>
      <c r="H200" s="987">
        <f t="shared" si="37"/>
        <v>188.34432618190738</v>
      </c>
      <c r="I200" s="987">
        <f t="shared" si="38"/>
        <v>222.45841830412121</v>
      </c>
    </row>
    <row r="201" spans="1:9">
      <c r="A201" s="895" t="s">
        <v>2256</v>
      </c>
      <c r="B201" s="895">
        <f t="shared" si="32"/>
        <v>2011</v>
      </c>
      <c r="C201" s="895" t="str">
        <f t="shared" si="32"/>
        <v>PUR</v>
      </c>
      <c r="D201" s="986">
        <f t="shared" si="33"/>
        <v>193.656643272</v>
      </c>
      <c r="E201" s="987">
        <f t="shared" si="34"/>
        <v>18.8550660514349</v>
      </c>
      <c r="F201" s="986">
        <f t="shared" si="35"/>
        <v>223.88644528675923</v>
      </c>
      <c r="G201" s="986">
        <f t="shared" si="36"/>
        <v>264.43814638791605</v>
      </c>
      <c r="H201" s="987">
        <f t="shared" si="37"/>
        <v>21.798341862063889</v>
      </c>
      <c r="I201" s="987">
        <f t="shared" si="38"/>
        <v>25.746592693234359</v>
      </c>
    </row>
    <row r="202" spans="1:9">
      <c r="A202" s="895" t="s">
        <v>2256</v>
      </c>
      <c r="B202" s="895">
        <f t="shared" si="32"/>
        <v>2011</v>
      </c>
      <c r="C202" s="895" t="str">
        <f t="shared" si="32"/>
        <v>PVC</v>
      </c>
      <c r="D202" s="986">
        <f t="shared" si="33"/>
        <v>125.237414997</v>
      </c>
      <c r="E202" s="987">
        <f t="shared" si="34"/>
        <v>12.1449342750886</v>
      </c>
      <c r="F202" s="986">
        <f t="shared" si="35"/>
        <v>144.78697547803171</v>
      </c>
      <c r="G202" s="986">
        <f t="shared" si="36"/>
        <v>171.01169017840351</v>
      </c>
      <c r="H202" s="987">
        <f t="shared" si="37"/>
        <v>14.040758515429932</v>
      </c>
      <c r="I202" s="987">
        <f t="shared" si="38"/>
        <v>16.583907752633486</v>
      </c>
    </row>
    <row r="203" spans="1:9">
      <c r="A203" s="895" t="s">
        <v>2256</v>
      </c>
      <c r="B203" s="895">
        <f t="shared" si="32"/>
        <v>2011</v>
      </c>
      <c r="C203" s="895" t="str">
        <f t="shared" si="32"/>
        <v>RUBBER</v>
      </c>
      <c r="D203" s="986">
        <f t="shared" si="33"/>
        <v>265.05502425449998</v>
      </c>
      <c r="E203" s="987">
        <f t="shared" si="34"/>
        <v>25.408375244646098</v>
      </c>
      <c r="F203" s="986">
        <f t="shared" si="35"/>
        <v>306.43011354062747</v>
      </c>
      <c r="G203" s="986">
        <f t="shared" si="36"/>
        <v>361.93263561951977</v>
      </c>
      <c r="H203" s="987">
        <f t="shared" si="37"/>
        <v>29.374622620335359</v>
      </c>
      <c r="I203" s="987">
        <f t="shared" si="38"/>
        <v>34.695136396564251</v>
      </c>
    </row>
    <row r="204" spans="1:9">
      <c r="A204" s="895" t="s">
        <v>2256</v>
      </c>
      <c r="B204" s="895">
        <f t="shared" si="32"/>
        <v>2012</v>
      </c>
      <c r="C204" s="895" t="str">
        <f t="shared" si="32"/>
        <v>Acryl</v>
      </c>
      <c r="D204" s="986">
        <f t="shared" si="33"/>
        <v>118.0618426827</v>
      </c>
      <c r="E204" s="987">
        <f t="shared" si="34"/>
        <v>11.625426204943199</v>
      </c>
      <c r="F204" s="986">
        <f t="shared" si="35"/>
        <v>136.49129632546948</v>
      </c>
      <c r="G204" s="986">
        <f t="shared" si="36"/>
        <v>161.21344618322686</v>
      </c>
      <c r="H204" s="987">
        <f t="shared" si="37"/>
        <v>13.440155235534835</v>
      </c>
      <c r="I204" s="987">
        <f t="shared" si="38"/>
        <v>15.874519482849941</v>
      </c>
    </row>
    <row r="205" spans="1:9">
      <c r="A205" s="895" t="s">
        <v>2256</v>
      </c>
      <c r="B205" s="895">
        <f t="shared" si="32"/>
        <v>2012</v>
      </c>
      <c r="C205" s="895" t="str">
        <f t="shared" si="32"/>
        <v>OTHER</v>
      </c>
      <c r="D205" s="986">
        <f t="shared" si="33"/>
        <v>205.70747125209999</v>
      </c>
      <c r="E205" s="987">
        <f t="shared" si="34"/>
        <v>19.3205172447853</v>
      </c>
      <c r="F205" s="986">
        <f t="shared" si="35"/>
        <v>237.81840751455283</v>
      </c>
      <c r="G205" s="986">
        <f t="shared" si="36"/>
        <v>280.89355199474255</v>
      </c>
      <c r="H205" s="987">
        <f t="shared" si="37"/>
        <v>22.336449986696287</v>
      </c>
      <c r="I205" s="987">
        <f t="shared" si="38"/>
        <v>26.382166297754331</v>
      </c>
    </row>
    <row r="206" spans="1:9">
      <c r="A206" s="895" t="s">
        <v>2256</v>
      </c>
      <c r="B206" s="895">
        <f t="shared" si="32"/>
        <v>2012</v>
      </c>
      <c r="C206" s="895" t="str">
        <f t="shared" si="32"/>
        <v>PA</v>
      </c>
      <c r="D206" s="986">
        <f t="shared" si="33"/>
        <v>255.030635276</v>
      </c>
      <c r="E206" s="987">
        <f t="shared" si="34"/>
        <v>25.704587830354701</v>
      </c>
      <c r="F206" s="986">
        <f t="shared" si="35"/>
        <v>294.84091744258365</v>
      </c>
      <c r="G206" s="986">
        <f t="shared" si="36"/>
        <v>348.24433246937804</v>
      </c>
      <c r="H206" s="987">
        <f t="shared" si="37"/>
        <v>29.717073990673072</v>
      </c>
      <c r="I206" s="987">
        <f t="shared" si="38"/>
        <v>35.099614682349348</v>
      </c>
    </row>
    <row r="207" spans="1:9">
      <c r="A207" s="895" t="s">
        <v>2256</v>
      </c>
      <c r="B207" s="895">
        <f t="shared" si="32"/>
        <v>2012</v>
      </c>
      <c r="C207" s="895" t="str">
        <f t="shared" si="32"/>
        <v>PET</v>
      </c>
      <c r="D207" s="986">
        <f t="shared" si="33"/>
        <v>1330.4608714067499</v>
      </c>
      <c r="E207" s="987">
        <f t="shared" si="34"/>
        <v>148.47090887031601</v>
      </c>
      <c r="F207" s="986">
        <f t="shared" si="35"/>
        <v>1538.1458134333436</v>
      </c>
      <c r="G207" s="986">
        <f t="shared" si="36"/>
        <v>1816.7443199059171</v>
      </c>
      <c r="H207" s="987">
        <f t="shared" si="37"/>
        <v>171.64721774497235</v>
      </c>
      <c r="I207" s="987">
        <f t="shared" si="38"/>
        <v>202.73702606241653</v>
      </c>
    </row>
    <row r="208" spans="1:9">
      <c r="A208" s="895" t="s">
        <v>2256</v>
      </c>
      <c r="B208" s="895">
        <f t="shared" si="32"/>
        <v>2012</v>
      </c>
      <c r="C208" s="895" t="str">
        <f t="shared" si="32"/>
        <v>PUR</v>
      </c>
      <c r="D208" s="986">
        <f t="shared" si="33"/>
        <v>176.595578993</v>
      </c>
      <c r="E208" s="987">
        <f t="shared" si="34"/>
        <v>16.410014790182998</v>
      </c>
      <c r="F208" s="986">
        <f t="shared" si="35"/>
        <v>204.16214887380733</v>
      </c>
      <c r="G208" s="986">
        <f t="shared" si="36"/>
        <v>241.14126311494152</v>
      </c>
      <c r="H208" s="987">
        <f t="shared" si="37"/>
        <v>18.971618098930566</v>
      </c>
      <c r="I208" s="987">
        <f t="shared" si="38"/>
        <v>22.407875195994887</v>
      </c>
    </row>
    <row r="209" spans="1:9">
      <c r="A209" s="895" t="s">
        <v>2256</v>
      </c>
      <c r="B209" s="895">
        <f t="shared" si="32"/>
        <v>2012</v>
      </c>
      <c r="C209" s="895" t="str">
        <f t="shared" si="32"/>
        <v>PVC</v>
      </c>
      <c r="D209" s="986">
        <f t="shared" si="33"/>
        <v>113.572964328</v>
      </c>
      <c r="E209" s="987">
        <f t="shared" si="34"/>
        <v>10.5582348725285</v>
      </c>
      <c r="F209" s="986">
        <f t="shared" si="35"/>
        <v>131.30170405960081</v>
      </c>
      <c r="G209" s="986">
        <f t="shared" si="36"/>
        <v>155.083882789884</v>
      </c>
      <c r="H209" s="987">
        <f t="shared" si="37"/>
        <v>12.206375336130201</v>
      </c>
      <c r="I209" s="987">
        <f t="shared" si="38"/>
        <v>14.417269718437668</v>
      </c>
    </row>
    <row r="210" spans="1:9">
      <c r="A210" s="895" t="s">
        <v>2256</v>
      </c>
      <c r="B210" s="895">
        <f t="shared" si="32"/>
        <v>2012</v>
      </c>
      <c r="C210" s="895" t="str">
        <f t="shared" si="32"/>
        <v>RUBBER</v>
      </c>
      <c r="D210" s="986">
        <f t="shared" si="33"/>
        <v>233.94698833300001</v>
      </c>
      <c r="E210" s="987">
        <f t="shared" si="34"/>
        <v>22.085493438562899</v>
      </c>
      <c r="F210" s="986">
        <f t="shared" si="35"/>
        <v>270.46611321178136</v>
      </c>
      <c r="G210" s="986">
        <f t="shared" si="36"/>
        <v>319.45461256871153</v>
      </c>
      <c r="H210" s="987">
        <f t="shared" si="37"/>
        <v>25.533038964322571</v>
      </c>
      <c r="I210" s="987">
        <f t="shared" si="38"/>
        <v>30.157741290357642</v>
      </c>
    </row>
    <row r="211" spans="1:9">
      <c r="A211" s="895" t="s">
        <v>2256</v>
      </c>
      <c r="B211" s="895">
        <f t="shared" si="32"/>
        <v>2013</v>
      </c>
      <c r="C211" s="895" t="str">
        <f t="shared" si="32"/>
        <v>Acryl</v>
      </c>
      <c r="D211" s="986">
        <f t="shared" si="33"/>
        <v>124.4614760927</v>
      </c>
      <c r="E211" s="987">
        <f t="shared" si="34"/>
        <v>13.7550504380403</v>
      </c>
      <c r="F211" s="986">
        <f t="shared" si="35"/>
        <v>143.88991251077047</v>
      </c>
      <c r="G211" s="986">
        <f t="shared" si="36"/>
        <v>169.95214560458186</v>
      </c>
      <c r="H211" s="987">
        <f t="shared" si="37"/>
        <v>15.902213811418392</v>
      </c>
      <c r="I211" s="987">
        <f t="shared" si="38"/>
        <v>18.782521373144032</v>
      </c>
    </row>
    <row r="212" spans="1:9">
      <c r="A212" s="895" t="s">
        <v>2256</v>
      </c>
      <c r="B212" s="895">
        <f t="shared" si="32"/>
        <v>2013</v>
      </c>
      <c r="C212" s="895" t="str">
        <f t="shared" si="32"/>
        <v>OTHER</v>
      </c>
      <c r="D212" s="986">
        <f t="shared" si="33"/>
        <v>214.31800184240001</v>
      </c>
      <c r="E212" s="987">
        <f t="shared" si="34"/>
        <v>23.156980851996298</v>
      </c>
      <c r="F212" s="986">
        <f t="shared" si="35"/>
        <v>247.77304192999867</v>
      </c>
      <c r="G212" s="986">
        <f t="shared" si="36"/>
        <v>292.65123151579724</v>
      </c>
      <c r="H212" s="987">
        <f t="shared" si="37"/>
        <v>26.771785562992925</v>
      </c>
      <c r="I212" s="987">
        <f t="shared" si="38"/>
        <v>31.62085735340095</v>
      </c>
    </row>
    <row r="213" spans="1:9">
      <c r="A213" s="895" t="s">
        <v>2256</v>
      </c>
      <c r="B213" s="895">
        <f t="shared" si="32"/>
        <v>2013</v>
      </c>
      <c r="C213" s="895" t="str">
        <f t="shared" si="32"/>
        <v>PA</v>
      </c>
      <c r="D213" s="986">
        <f t="shared" si="33"/>
        <v>266.12033419490001</v>
      </c>
      <c r="E213" s="987">
        <f t="shared" si="34"/>
        <v>29.860490801140699</v>
      </c>
      <c r="F213" s="986">
        <f t="shared" si="35"/>
        <v>307.66171836272395</v>
      </c>
      <c r="G213" s="986">
        <f t="shared" si="36"/>
        <v>363.38731634313598</v>
      </c>
      <c r="H213" s="987">
        <f t="shared" si="37"/>
        <v>34.521713415198768</v>
      </c>
      <c r="I213" s="987">
        <f t="shared" si="38"/>
        <v>40.774500188957632</v>
      </c>
    </row>
    <row r="214" spans="1:9">
      <c r="A214" s="895" t="s">
        <v>2256</v>
      </c>
      <c r="B214" s="895">
        <f t="shared" si="32"/>
        <v>2013</v>
      </c>
      <c r="C214" s="895" t="str">
        <f t="shared" si="32"/>
        <v>PET</v>
      </c>
      <c r="D214" s="986">
        <f t="shared" si="33"/>
        <v>1399.78778448765</v>
      </c>
      <c r="E214" s="987">
        <f t="shared" si="34"/>
        <v>172.81298180344101</v>
      </c>
      <c r="F214" s="986">
        <f t="shared" si="35"/>
        <v>1618.2946576461723</v>
      </c>
      <c r="G214" s="986">
        <f t="shared" si="36"/>
        <v>1911.4102197178863</v>
      </c>
      <c r="H214" s="987">
        <f t="shared" si="37"/>
        <v>199.78908826295816</v>
      </c>
      <c r="I214" s="987">
        <f t="shared" si="38"/>
        <v>235.97612665259871</v>
      </c>
    </row>
    <row r="215" spans="1:9">
      <c r="A215" s="895" t="s">
        <v>2256</v>
      </c>
      <c r="B215" s="895">
        <f t="shared" si="32"/>
        <v>2013</v>
      </c>
      <c r="C215" s="895" t="str">
        <f t="shared" si="32"/>
        <v>PUR</v>
      </c>
      <c r="D215" s="986">
        <f t="shared" si="33"/>
        <v>182.33374791899999</v>
      </c>
      <c r="E215" s="987">
        <f t="shared" si="34"/>
        <v>17.789246278749701</v>
      </c>
      <c r="F215" s="986">
        <f t="shared" si="35"/>
        <v>210.7960459691559</v>
      </c>
      <c r="G215" s="986">
        <f t="shared" si="36"/>
        <v>248.97673278339451</v>
      </c>
      <c r="H215" s="987">
        <f t="shared" si="37"/>
        <v>20.56614762286253</v>
      </c>
      <c r="I215" s="987">
        <f t="shared" si="38"/>
        <v>24.29121579363272</v>
      </c>
    </row>
    <row r="216" spans="1:9">
      <c r="A216" s="895" t="s">
        <v>2256</v>
      </c>
      <c r="B216" s="895">
        <f t="shared" si="32"/>
        <v>2013</v>
      </c>
      <c r="C216" s="895" t="str">
        <f t="shared" si="32"/>
        <v>PVC</v>
      </c>
      <c r="D216" s="986">
        <f t="shared" si="33"/>
        <v>117.311127615</v>
      </c>
      <c r="E216" s="987">
        <f t="shared" si="34"/>
        <v>11.524375417044</v>
      </c>
      <c r="F216" s="986">
        <f t="shared" si="35"/>
        <v>135.62339463570152</v>
      </c>
      <c r="G216" s="986">
        <f t="shared" si="36"/>
        <v>160.18834475828251</v>
      </c>
      <c r="H216" s="987">
        <f t="shared" si="37"/>
        <v>13.32333041964457</v>
      </c>
      <c r="I216" s="987">
        <f t="shared" si="38"/>
        <v>15.736534631973583</v>
      </c>
    </row>
    <row r="217" spans="1:9">
      <c r="A217" s="895" t="s">
        <v>2256</v>
      </c>
      <c r="B217" s="895">
        <f t="shared" si="32"/>
        <v>2013</v>
      </c>
      <c r="C217" s="895" t="str">
        <f t="shared" si="32"/>
        <v>RUBBER</v>
      </c>
      <c r="D217" s="986">
        <f t="shared" si="33"/>
        <v>242.25254767050001</v>
      </c>
      <c r="E217" s="987">
        <f t="shared" si="34"/>
        <v>25.210982943530801</v>
      </c>
      <c r="F217" s="986">
        <f t="shared" si="35"/>
        <v>280.0681703618651</v>
      </c>
      <c r="G217" s="986">
        <f t="shared" si="36"/>
        <v>330.79585384406778</v>
      </c>
      <c r="H217" s="987">
        <f t="shared" si="37"/>
        <v>29.146417381015961</v>
      </c>
      <c r="I217" s="987">
        <f t="shared" si="38"/>
        <v>34.425597209391313</v>
      </c>
    </row>
    <row r="218" spans="1:9">
      <c r="A218" s="895" t="s">
        <v>2256</v>
      </c>
      <c r="B218" s="895">
        <f t="shared" si="32"/>
        <v>2014</v>
      </c>
      <c r="C218" s="895" t="str">
        <f t="shared" si="32"/>
        <v>Acryl</v>
      </c>
      <c r="D218" s="986">
        <f t="shared" si="33"/>
        <v>140.0694470263</v>
      </c>
      <c r="E218" s="987">
        <f t="shared" si="34"/>
        <v>17.677083196868502</v>
      </c>
      <c r="F218" s="986">
        <f t="shared" si="35"/>
        <v>161.93428770710545</v>
      </c>
      <c r="G218" s="986">
        <f t="shared" si="36"/>
        <v>191.26482991441267</v>
      </c>
      <c r="H218" s="987">
        <f t="shared" si="37"/>
        <v>20.436475883899679</v>
      </c>
      <c r="I218" s="987">
        <f t="shared" si="38"/>
        <v>24.138057105323941</v>
      </c>
    </row>
    <row r="219" spans="1:9">
      <c r="A219" s="895" t="s">
        <v>2256</v>
      </c>
      <c r="B219" s="895">
        <f t="shared" si="32"/>
        <v>2014</v>
      </c>
      <c r="C219" s="895" t="str">
        <f t="shared" si="32"/>
        <v>OTHER</v>
      </c>
      <c r="D219" s="986">
        <f t="shared" si="33"/>
        <v>235.51658726989999</v>
      </c>
      <c r="E219" s="987">
        <f t="shared" si="34"/>
        <v>27.8264395436805</v>
      </c>
      <c r="F219" s="986">
        <f t="shared" si="35"/>
        <v>272.28072654273143</v>
      </c>
      <c r="G219" s="986">
        <f t="shared" si="36"/>
        <v>321.59789991704849</v>
      </c>
      <c r="H219" s="987">
        <f t="shared" si="37"/>
        <v>32.170146756449029</v>
      </c>
      <c r="I219" s="987">
        <f t="shared" si="38"/>
        <v>37.997003196895726</v>
      </c>
    </row>
    <row r="220" spans="1:9">
      <c r="A220" s="895" t="s">
        <v>2256</v>
      </c>
      <c r="B220" s="895">
        <f t="shared" si="32"/>
        <v>2014</v>
      </c>
      <c r="C220" s="895" t="str">
        <f t="shared" si="32"/>
        <v>PA</v>
      </c>
      <c r="D220" s="986">
        <f t="shared" si="33"/>
        <v>292.05010803020002</v>
      </c>
      <c r="E220" s="987">
        <f t="shared" si="34"/>
        <v>37.394253262157598</v>
      </c>
      <c r="F220" s="986">
        <f t="shared" si="35"/>
        <v>337.63912989371426</v>
      </c>
      <c r="G220" s="986">
        <f t="shared" si="36"/>
        <v>398.79442251523818</v>
      </c>
      <c r="H220" s="987">
        <f t="shared" si="37"/>
        <v>43.231496196380405</v>
      </c>
      <c r="I220" s="987">
        <f t="shared" si="38"/>
        <v>51.061852829476209</v>
      </c>
    </row>
    <row r="221" spans="1:9">
      <c r="A221" s="895" t="s">
        <v>2256</v>
      </c>
      <c r="B221" s="895">
        <f t="shared" si="32"/>
        <v>2014</v>
      </c>
      <c r="C221" s="895" t="str">
        <f t="shared" si="32"/>
        <v>PET</v>
      </c>
      <c r="D221" s="986">
        <f t="shared" si="33"/>
        <v>1531.91367594435</v>
      </c>
      <c r="E221" s="987">
        <f t="shared" si="34"/>
        <v>212.348269514663</v>
      </c>
      <c r="F221" s="986">
        <f t="shared" si="35"/>
        <v>1771.0454007592632</v>
      </c>
      <c r="G221" s="986">
        <f t="shared" si="36"/>
        <v>2091.8281245020103</v>
      </c>
      <c r="H221" s="987">
        <f t="shared" si="37"/>
        <v>245.49583438590193</v>
      </c>
      <c r="I221" s="987">
        <f t="shared" si="38"/>
        <v>289.96156202227235</v>
      </c>
    </row>
    <row r="222" spans="1:9">
      <c r="A222" s="895" t="s">
        <v>2256</v>
      </c>
      <c r="B222" s="895">
        <f t="shared" si="32"/>
        <v>2014</v>
      </c>
      <c r="C222" s="895" t="str">
        <f t="shared" si="32"/>
        <v>PUR</v>
      </c>
      <c r="D222" s="986">
        <f t="shared" si="33"/>
        <v>196.34233849200001</v>
      </c>
      <c r="E222" s="987">
        <f t="shared" si="34"/>
        <v>19.173431068615901</v>
      </c>
      <c r="F222" s="986">
        <f t="shared" si="35"/>
        <v>226.99137753060123</v>
      </c>
      <c r="G222" s="986">
        <f t="shared" si="36"/>
        <v>268.10546321082603</v>
      </c>
      <c r="H222" s="987">
        <f t="shared" si="37"/>
        <v>22.166403658426844</v>
      </c>
      <c r="I222" s="987">
        <f t="shared" si="38"/>
        <v>26.181320124195015</v>
      </c>
    </row>
    <row r="223" spans="1:9">
      <c r="A223" s="895" t="s">
        <v>2256</v>
      </c>
      <c r="B223" s="895">
        <f t="shared" si="32"/>
        <v>2014</v>
      </c>
      <c r="C223" s="895" t="str">
        <f t="shared" si="32"/>
        <v>PVC</v>
      </c>
      <c r="D223" s="986">
        <f t="shared" si="33"/>
        <v>126.433927422</v>
      </c>
      <c r="E223" s="987">
        <f t="shared" si="34"/>
        <v>12.482892006419601</v>
      </c>
      <c r="F223" s="986">
        <f t="shared" si="35"/>
        <v>146.17026349257421</v>
      </c>
      <c r="G223" s="986">
        <f t="shared" si="36"/>
        <v>172.64552789474101</v>
      </c>
      <c r="H223" s="987">
        <f t="shared" si="37"/>
        <v>14.431471448621702</v>
      </c>
      <c r="I223" s="987">
        <f t="shared" si="38"/>
        <v>17.045389034765968</v>
      </c>
    </row>
    <row r="224" spans="1:9">
      <c r="A224" s="895" t="s">
        <v>2256</v>
      </c>
      <c r="B224" s="895">
        <f t="shared" si="32"/>
        <v>2014</v>
      </c>
      <c r="C224" s="895" t="str">
        <f t="shared" si="32"/>
        <v>RUBBER</v>
      </c>
      <c r="D224" s="986">
        <f t="shared" si="33"/>
        <v>261.371151387</v>
      </c>
      <c r="E224" s="987">
        <f t="shared" si="34"/>
        <v>28.0803557440804</v>
      </c>
      <c r="F224" s="986">
        <f t="shared" si="35"/>
        <v>302.17118811851071</v>
      </c>
      <c r="G224" s="986">
        <f t="shared" si="36"/>
        <v>356.90230721894852</v>
      </c>
      <c r="H224" s="987">
        <f t="shared" si="37"/>
        <v>32.463699275731351</v>
      </c>
      <c r="I224" s="987">
        <f t="shared" si="38"/>
        <v>38.343725768541788</v>
      </c>
    </row>
    <row r="225" spans="1:9">
      <c r="A225" s="895" t="s">
        <v>2256</v>
      </c>
      <c r="B225" s="895">
        <f t="shared" si="32"/>
        <v>2015</v>
      </c>
      <c r="C225" s="895" t="str">
        <f t="shared" si="32"/>
        <v>Acryl</v>
      </c>
      <c r="D225" s="986">
        <f t="shared" si="33"/>
        <v>131.80811861710001</v>
      </c>
      <c r="E225" s="987">
        <f t="shared" si="34"/>
        <v>15.481102009685401</v>
      </c>
      <c r="F225" s="986">
        <f t="shared" si="35"/>
        <v>152.38336593322933</v>
      </c>
      <c r="G225" s="986">
        <f t="shared" si="36"/>
        <v>179.98398597165007</v>
      </c>
      <c r="H225" s="987">
        <f t="shared" si="37"/>
        <v>17.897702033397294</v>
      </c>
      <c r="I225" s="987">
        <f t="shared" si="38"/>
        <v>21.139444794225419</v>
      </c>
    </row>
    <row r="226" spans="1:9">
      <c r="A226" s="895" t="s">
        <v>2256</v>
      </c>
      <c r="B226" s="895">
        <f t="shared" si="32"/>
        <v>2015</v>
      </c>
      <c r="C226" s="895" t="str">
        <f t="shared" si="32"/>
        <v>OTHER</v>
      </c>
      <c r="D226" s="986">
        <f t="shared" si="33"/>
        <v>215.6857742048</v>
      </c>
      <c r="E226" s="987">
        <f t="shared" si="34"/>
        <v>25.374029893816999</v>
      </c>
      <c r="F226" s="986">
        <f t="shared" si="35"/>
        <v>249.35432355816931</v>
      </c>
      <c r="G226" s="986">
        <f t="shared" si="36"/>
        <v>294.51892467665442</v>
      </c>
      <c r="H226" s="987">
        <f t="shared" si="37"/>
        <v>29.334915960241837</v>
      </c>
      <c r="I226" s="987">
        <f t="shared" si="38"/>
        <v>34.648237820007118</v>
      </c>
    </row>
    <row r="227" spans="1:9">
      <c r="A227" s="895" t="s">
        <v>2256</v>
      </c>
      <c r="B227" s="895">
        <f t="shared" si="32"/>
        <v>2015</v>
      </c>
      <c r="C227" s="895" t="str">
        <f t="shared" si="32"/>
        <v>PA</v>
      </c>
      <c r="D227" s="986">
        <f t="shared" si="33"/>
        <v>277.7586190669</v>
      </c>
      <c r="E227" s="987">
        <f t="shared" si="34"/>
        <v>34.434036741141703</v>
      </c>
      <c r="F227" s="986">
        <f t="shared" si="35"/>
        <v>321.11673950324314</v>
      </c>
      <c r="G227" s="986">
        <f t="shared" si="36"/>
        <v>379.27939433585198</v>
      </c>
      <c r="H227" s="987">
        <f t="shared" si="37"/>
        <v>39.809189876433926</v>
      </c>
      <c r="I227" s="987">
        <f t="shared" si="38"/>
        <v>47.019677170028999</v>
      </c>
    </row>
    <row r="228" spans="1:9">
      <c r="A228" s="895" t="s">
        <v>2256</v>
      </c>
      <c r="B228" s="895">
        <f t="shared" si="32"/>
        <v>2015</v>
      </c>
      <c r="C228" s="895" t="str">
        <f t="shared" si="32"/>
        <v>PET</v>
      </c>
      <c r="D228" s="986">
        <f t="shared" si="33"/>
        <v>1466.51177983406</v>
      </c>
      <c r="E228" s="987">
        <f t="shared" si="34"/>
        <v>194.630004709031</v>
      </c>
      <c r="F228" s="986">
        <f t="shared" si="35"/>
        <v>1695.4342686661569</v>
      </c>
      <c r="G228" s="986">
        <f t="shared" si="36"/>
        <v>2002.5218353634091</v>
      </c>
      <c r="H228" s="987">
        <f t="shared" si="37"/>
        <v>225.01174844411076</v>
      </c>
      <c r="I228" s="987">
        <f t="shared" si="38"/>
        <v>265.76727143018184</v>
      </c>
    </row>
    <row r="229" spans="1:9">
      <c r="A229" s="895" t="s">
        <v>2256</v>
      </c>
      <c r="B229" s="895">
        <f t="shared" si="32"/>
        <v>2015</v>
      </c>
      <c r="C229" s="895" t="str">
        <f t="shared" si="32"/>
        <v>PUR</v>
      </c>
      <c r="D229" s="986">
        <f t="shared" si="33"/>
        <v>186.75439187800001</v>
      </c>
      <c r="E229" s="987">
        <f t="shared" si="34"/>
        <v>18.440981303609199</v>
      </c>
      <c r="F229" s="986">
        <f t="shared" si="35"/>
        <v>215.90675245015584</v>
      </c>
      <c r="G229" s="986">
        <f t="shared" si="36"/>
        <v>255.01312210940904</v>
      </c>
      <c r="H229" s="987">
        <f t="shared" si="37"/>
        <v>21.319618485102598</v>
      </c>
      <c r="I229" s="987">
        <f t="shared" si="38"/>
        <v>25.181159970078365</v>
      </c>
    </row>
    <row r="230" spans="1:9">
      <c r="A230" s="895" t="s">
        <v>2256</v>
      </c>
      <c r="B230" s="895">
        <f t="shared" si="32"/>
        <v>2015</v>
      </c>
      <c r="C230" s="895" t="str">
        <f t="shared" si="32"/>
        <v>PVC</v>
      </c>
      <c r="D230" s="986">
        <f t="shared" si="33"/>
        <v>119.73085285800001</v>
      </c>
      <c r="E230" s="987">
        <f t="shared" si="34"/>
        <v>11.9501231675938</v>
      </c>
      <c r="F230" s="986">
        <f t="shared" si="35"/>
        <v>138.42083898913381</v>
      </c>
      <c r="G230" s="986">
        <f t="shared" si="36"/>
        <v>163.49247957759903</v>
      </c>
      <c r="H230" s="987">
        <f t="shared" si="37"/>
        <v>13.815537394055193</v>
      </c>
      <c r="I230" s="987">
        <f t="shared" si="38"/>
        <v>16.317893185349334</v>
      </c>
    </row>
    <row r="231" spans="1:9">
      <c r="A231" s="895" t="s">
        <v>2256</v>
      </c>
      <c r="B231" s="895">
        <f>B143</f>
        <v>2015</v>
      </c>
      <c r="C231" s="895" t="str">
        <f>C143</f>
        <v>RUBBER</v>
      </c>
      <c r="D231" s="986">
        <f t="shared" si="33"/>
        <v>241.73989508299999</v>
      </c>
      <c r="E231" s="987">
        <f t="shared" si="34"/>
        <v>26.298167476505</v>
      </c>
      <c r="F231" s="986">
        <f t="shared" si="35"/>
        <v>279.4754927054563</v>
      </c>
      <c r="G231" s="986">
        <f t="shared" si="36"/>
        <v>330.09582673583651</v>
      </c>
      <c r="H231" s="987">
        <f t="shared" si="37"/>
        <v>30.403311419587435</v>
      </c>
      <c r="I231" s="987">
        <f t="shared" si="38"/>
        <v>35.91014768916758</v>
      </c>
    </row>
    <row r="232" spans="1:9">
      <c r="A232" s="895" t="s">
        <v>2256</v>
      </c>
      <c r="B232" s="895">
        <f t="shared" si="32"/>
        <v>2016</v>
      </c>
      <c r="C232" s="895" t="str">
        <f t="shared" si="32"/>
        <v>Acryl</v>
      </c>
      <c r="D232" s="986">
        <f t="shared" si="33"/>
        <v>137.58729524930001</v>
      </c>
      <c r="E232" s="987">
        <f t="shared" si="34"/>
        <v>16.501961649937101</v>
      </c>
      <c r="F232" s="986">
        <f t="shared" si="35"/>
        <v>159.06467203771575</v>
      </c>
      <c r="G232" s="986">
        <f t="shared" si="36"/>
        <v>187.87545166291918</v>
      </c>
      <c r="H232" s="987">
        <f t="shared" si="37"/>
        <v>19.077917863492285</v>
      </c>
      <c r="I232" s="987">
        <f t="shared" si="38"/>
        <v>22.533428632989114</v>
      </c>
    </row>
    <row r="233" spans="1:9">
      <c r="A233" s="895" t="s">
        <v>2256</v>
      </c>
      <c r="B233" s="895">
        <f t="shared" si="32"/>
        <v>2016</v>
      </c>
      <c r="C233" s="895" t="str">
        <f t="shared" si="32"/>
        <v>OTHER</v>
      </c>
      <c r="D233" s="986">
        <f t="shared" si="33"/>
        <v>217.37747615489999</v>
      </c>
      <c r="E233" s="987">
        <f t="shared" si="34"/>
        <v>28.171670334563501</v>
      </c>
      <c r="F233" s="986">
        <f t="shared" si="35"/>
        <v>251.31010018267992</v>
      </c>
      <c r="G233" s="986">
        <f t="shared" si="36"/>
        <v>296.828943689516</v>
      </c>
      <c r="H233" s="987">
        <f t="shared" si="37"/>
        <v>32.569268073788869</v>
      </c>
      <c r="I233" s="987">
        <f t="shared" si="38"/>
        <v>38.468415841846465</v>
      </c>
    </row>
    <row r="234" spans="1:9">
      <c r="A234" s="895" t="s">
        <v>2256</v>
      </c>
      <c r="B234" s="895">
        <f t="shared" si="32"/>
        <v>2016</v>
      </c>
      <c r="C234" s="895" t="str">
        <f t="shared" si="32"/>
        <v>PA</v>
      </c>
      <c r="D234" s="986">
        <f t="shared" si="33"/>
        <v>289.55312184339999</v>
      </c>
      <c r="E234" s="987">
        <f t="shared" si="34"/>
        <v>39.275965265018201</v>
      </c>
      <c r="F234" s="986">
        <f t="shared" si="35"/>
        <v>334.75236416315477</v>
      </c>
      <c r="G234" s="986">
        <f t="shared" si="36"/>
        <v>395.38478787716275</v>
      </c>
      <c r="H234" s="987">
        <f t="shared" si="37"/>
        <v>45.406943442887545</v>
      </c>
      <c r="I234" s="987">
        <f t="shared" si="38"/>
        <v>53.631330569382357</v>
      </c>
    </row>
    <row r="235" spans="1:9">
      <c r="A235" s="895" t="s">
        <v>2256</v>
      </c>
      <c r="B235" s="895">
        <f t="shared" si="32"/>
        <v>2016</v>
      </c>
      <c r="C235" s="895" t="str">
        <f t="shared" si="32"/>
        <v>PET</v>
      </c>
      <c r="D235" s="986">
        <f t="shared" si="33"/>
        <v>1520.3302555887601</v>
      </c>
      <c r="E235" s="987">
        <f t="shared" si="34"/>
        <v>217.60483039074199</v>
      </c>
      <c r="F235" s="986">
        <f t="shared" si="35"/>
        <v>1757.6538084861656</v>
      </c>
      <c r="G235" s="986">
        <f t="shared" si="36"/>
        <v>2076.010964006452</v>
      </c>
      <c r="H235" s="987">
        <f t="shared" si="37"/>
        <v>251.57294441473684</v>
      </c>
      <c r="I235" s="987">
        <f t="shared" si="38"/>
        <v>297.13939589855823</v>
      </c>
    </row>
    <row r="236" spans="1:9">
      <c r="A236" s="895" t="s">
        <v>2256</v>
      </c>
      <c r="B236" s="895">
        <f t="shared" si="32"/>
        <v>2016</v>
      </c>
      <c r="C236" s="895" t="str">
        <f t="shared" si="32"/>
        <v>PUR</v>
      </c>
      <c r="D236" s="986">
        <f t="shared" si="33"/>
        <v>184.22361180499999</v>
      </c>
      <c r="E236" s="987">
        <f t="shared" si="34"/>
        <v>20.214756594564999</v>
      </c>
      <c r="F236" s="986">
        <f t="shared" si="35"/>
        <v>212.98091760776052</v>
      </c>
      <c r="G236" s="986">
        <f t="shared" si="36"/>
        <v>251.55734191972752</v>
      </c>
      <c r="H236" s="987">
        <f t="shared" si="37"/>
        <v>23.370280098976597</v>
      </c>
      <c r="I236" s="987">
        <f t="shared" si="38"/>
        <v>27.603250129878511</v>
      </c>
    </row>
    <row r="237" spans="1:9">
      <c r="A237" s="895" t="s">
        <v>2256</v>
      </c>
      <c r="B237" s="895">
        <f t="shared" si="32"/>
        <v>2016</v>
      </c>
      <c r="C237" s="895" t="str">
        <f t="shared" si="32"/>
        <v>PVC</v>
      </c>
      <c r="D237" s="986">
        <f t="shared" si="33"/>
        <v>118.13123661900001</v>
      </c>
      <c r="E237" s="987">
        <f t="shared" si="34"/>
        <v>13.063414063748001</v>
      </c>
      <c r="F237" s="986">
        <f t="shared" si="35"/>
        <v>136.57152265522592</v>
      </c>
      <c r="G237" s="986">
        <f t="shared" si="36"/>
        <v>161.30820360324452</v>
      </c>
      <c r="H237" s="987">
        <f t="shared" si="37"/>
        <v>15.102612999099065</v>
      </c>
      <c r="I237" s="987">
        <f t="shared" si="38"/>
        <v>17.838091904047896</v>
      </c>
    </row>
    <row r="238" spans="1:9">
      <c r="A238" s="895" t="s">
        <v>2256</v>
      </c>
      <c r="B238" s="895">
        <f t="shared" si="32"/>
        <v>2016</v>
      </c>
      <c r="C238" s="895" t="str">
        <f t="shared" si="32"/>
        <v>RUBBER</v>
      </c>
      <c r="D238" s="986">
        <f t="shared" si="33"/>
        <v>239.04981456249999</v>
      </c>
      <c r="E238" s="987">
        <f t="shared" si="34"/>
        <v>28.1643669523482</v>
      </c>
      <c r="F238" s="986">
        <f t="shared" si="35"/>
        <v>276.36549061570628</v>
      </c>
      <c r="G238" s="986">
        <f t="shared" si="36"/>
        <v>326.42252178509375</v>
      </c>
      <c r="H238" s="987">
        <f t="shared" si="37"/>
        <v>32.560824633609755</v>
      </c>
      <c r="I238" s="987">
        <f t="shared" si="38"/>
        <v>38.458443073431468</v>
      </c>
    </row>
    <row r="239" spans="1:9">
      <c r="A239" s="895" t="s">
        <v>2256</v>
      </c>
      <c r="B239" s="895">
        <f t="shared" si="32"/>
        <v>2017</v>
      </c>
      <c r="C239" s="895" t="str">
        <f t="shared" si="32"/>
        <v>Acryl</v>
      </c>
      <c r="D239" s="986">
        <f t="shared" si="33"/>
        <v>146.5451619385</v>
      </c>
      <c r="E239" s="987">
        <f t="shared" si="34"/>
        <v>17.034923070113798</v>
      </c>
      <c r="F239" s="986">
        <f t="shared" si="35"/>
        <v>169.42086171709988</v>
      </c>
      <c r="G239" s="986">
        <f t="shared" si="36"/>
        <v>200.10741862702179</v>
      </c>
      <c r="H239" s="987">
        <f t="shared" si="37"/>
        <v>19.694074561358565</v>
      </c>
      <c r="I239" s="987">
        <f t="shared" si="38"/>
        <v>23.261187452240396</v>
      </c>
    </row>
    <row r="240" spans="1:9">
      <c r="A240" s="895" t="s">
        <v>2256</v>
      </c>
      <c r="B240" s="895">
        <f t="shared" si="32"/>
        <v>2017</v>
      </c>
      <c r="C240" s="895" t="str">
        <f t="shared" si="32"/>
        <v>OTHER</v>
      </c>
      <c r="D240" s="986">
        <f t="shared" si="33"/>
        <v>229.93263607790001</v>
      </c>
      <c r="E240" s="987">
        <f t="shared" si="34"/>
        <v>28.3359051149178</v>
      </c>
      <c r="F240" s="986">
        <f t="shared" si="35"/>
        <v>265.82512056966021</v>
      </c>
      <c r="G240" s="986">
        <f t="shared" si="36"/>
        <v>313.97301456437253</v>
      </c>
      <c r="H240" s="987">
        <f t="shared" si="37"/>
        <v>32.75913990335647</v>
      </c>
      <c r="I240" s="987">
        <f t="shared" si="38"/>
        <v>38.692678434420259</v>
      </c>
    </row>
    <row r="241" spans="1:9">
      <c r="A241" s="895" t="s">
        <v>2256</v>
      </c>
      <c r="B241" s="895">
        <f t="shared" si="32"/>
        <v>2017</v>
      </c>
      <c r="C241" s="895" t="str">
        <f t="shared" si="32"/>
        <v>PA</v>
      </c>
      <c r="D241" s="986">
        <f t="shared" si="33"/>
        <v>306.63556069949999</v>
      </c>
      <c r="E241" s="987">
        <f t="shared" si="34"/>
        <v>39.039347985469597</v>
      </c>
      <c r="F241" s="986">
        <f t="shared" si="35"/>
        <v>354.50137172469198</v>
      </c>
      <c r="G241" s="986">
        <f t="shared" si="36"/>
        <v>418.71085813516726</v>
      </c>
      <c r="H241" s="987">
        <f t="shared" si="37"/>
        <v>45.133390206001408</v>
      </c>
      <c r="I241" s="987">
        <f t="shared" si="38"/>
        <v>53.308229674158738</v>
      </c>
    </row>
    <row r="242" spans="1:9">
      <c r="A242" s="895" t="s">
        <v>2256</v>
      </c>
      <c r="B242" s="895">
        <f t="shared" si="32"/>
        <v>2017</v>
      </c>
      <c r="C242" s="895" t="str">
        <f t="shared" si="32"/>
        <v>PET</v>
      </c>
      <c r="D242" s="986">
        <f t="shared" si="33"/>
        <v>1591.9410377804099</v>
      </c>
      <c r="E242" s="987">
        <f t="shared" si="34"/>
        <v>208.10389072913401</v>
      </c>
      <c r="F242" s="986">
        <f t="shared" si="35"/>
        <v>1840.4430337779322</v>
      </c>
      <c r="G242" s="986">
        <f t="shared" si="36"/>
        <v>2173.7954870891499</v>
      </c>
      <c r="H242" s="987">
        <f t="shared" si="37"/>
        <v>240.58890807195186</v>
      </c>
      <c r="I242" s="987">
        <f t="shared" si="38"/>
        <v>284.1658627906325</v>
      </c>
    </row>
    <row r="243" spans="1:9">
      <c r="A243" s="895" t="s">
        <v>2256</v>
      </c>
      <c r="B243" s="895">
        <f t="shared" si="32"/>
        <v>2017</v>
      </c>
      <c r="C243" s="895" t="str">
        <f t="shared" si="32"/>
        <v>PUR</v>
      </c>
      <c r="D243" s="986">
        <f t="shared" si="33"/>
        <v>192.924562872</v>
      </c>
      <c r="E243" s="987">
        <f t="shared" si="34"/>
        <v>20.151662381040602</v>
      </c>
      <c r="F243" s="986">
        <f t="shared" si="35"/>
        <v>223.04008713631922</v>
      </c>
      <c r="G243" s="986">
        <f t="shared" si="36"/>
        <v>263.43849060171601</v>
      </c>
      <c r="H243" s="987">
        <f t="shared" si="37"/>
        <v>23.29733687872104</v>
      </c>
      <c r="I243" s="987">
        <f t="shared" si="38"/>
        <v>27.517094981310944</v>
      </c>
    </row>
    <row r="244" spans="1:9">
      <c r="A244" s="895" t="s">
        <v>2256</v>
      </c>
      <c r="B244" s="895">
        <f t="shared" si="32"/>
        <v>2017</v>
      </c>
      <c r="C244" s="895" t="str">
        <f t="shared" si="32"/>
        <v>PVC</v>
      </c>
      <c r="D244" s="986">
        <f t="shared" si="33"/>
        <v>123.819789411</v>
      </c>
      <c r="E244" s="987">
        <f t="shared" si="34"/>
        <v>13.021409575016399</v>
      </c>
      <c r="F244" s="986">
        <f t="shared" si="35"/>
        <v>143.14805853805711</v>
      </c>
      <c r="G244" s="986">
        <f t="shared" si="36"/>
        <v>169.07592244072052</v>
      </c>
      <c r="H244" s="987">
        <f t="shared" si="37"/>
        <v>15.054051609676462</v>
      </c>
      <c r="I244" s="987">
        <f t="shared" si="38"/>
        <v>17.780734774684895</v>
      </c>
    </row>
    <row r="245" spans="1:9">
      <c r="A245" s="895" t="s">
        <v>2256</v>
      </c>
      <c r="B245" s="895">
        <f t="shared" si="32"/>
        <v>2017</v>
      </c>
      <c r="C245" s="895" t="str">
        <f t="shared" si="32"/>
        <v>RUBBER</v>
      </c>
      <c r="D245" s="986">
        <f t="shared" si="33"/>
        <v>251.82953262149999</v>
      </c>
      <c r="E245" s="987">
        <f t="shared" si="34"/>
        <v>27.853160043057901</v>
      </c>
      <c r="F245" s="986">
        <f t="shared" si="35"/>
        <v>291.14012266371617</v>
      </c>
      <c r="G245" s="986">
        <f t="shared" si="36"/>
        <v>343.87322679465831</v>
      </c>
      <c r="H245" s="987">
        <f t="shared" si="37"/>
        <v>32.201038325779244</v>
      </c>
      <c r="I245" s="987">
        <f t="shared" si="38"/>
        <v>38.03349003879557</v>
      </c>
    </row>
    <row r="246" spans="1:9">
      <c r="A246" s="895" t="s">
        <v>2256</v>
      </c>
      <c r="B246" s="895">
        <f t="shared" si="32"/>
        <v>2018</v>
      </c>
      <c r="C246" s="895" t="str">
        <f t="shared" si="32"/>
        <v>Acryl</v>
      </c>
      <c r="D246" s="986">
        <f t="shared" si="33"/>
        <v>161.02471470130001</v>
      </c>
      <c r="E246" s="987">
        <f t="shared" si="34"/>
        <v>18.794389385617201</v>
      </c>
      <c r="F246" s="986">
        <f t="shared" si="35"/>
        <v>186.16067266617296</v>
      </c>
      <c r="G246" s="986">
        <f t="shared" si="36"/>
        <v>219.87924792462519</v>
      </c>
      <c r="H246" s="987">
        <f t="shared" si="37"/>
        <v>21.728193568712047</v>
      </c>
      <c r="I246" s="987">
        <f t="shared" si="38"/>
        <v>25.66373870606029</v>
      </c>
    </row>
    <row r="247" spans="1:9">
      <c r="A247" s="895" t="s">
        <v>2256</v>
      </c>
      <c r="B247" s="895">
        <f t="shared" si="32"/>
        <v>2018</v>
      </c>
      <c r="C247" s="895" t="str">
        <f t="shared" si="32"/>
        <v>OTHER</v>
      </c>
      <c r="D247" s="986">
        <f t="shared" si="33"/>
        <v>260.32851968009999</v>
      </c>
      <c r="E247" s="987">
        <f t="shared" si="34"/>
        <v>30.629017057775901</v>
      </c>
      <c r="F247" s="986">
        <f t="shared" si="35"/>
        <v>300.96580160216365</v>
      </c>
      <c r="G247" s="986">
        <f t="shared" si="36"/>
        <v>355.47859362317655</v>
      </c>
      <c r="H247" s="987">
        <f t="shared" si="37"/>
        <v>35.410206620494719</v>
      </c>
      <c r="I247" s="987">
        <f t="shared" si="38"/>
        <v>41.823922792392999</v>
      </c>
    </row>
    <row r="248" spans="1:9">
      <c r="A248" s="895" t="s">
        <v>2256</v>
      </c>
      <c r="B248" s="895">
        <f t="shared" si="32"/>
        <v>2018</v>
      </c>
      <c r="C248" s="895" t="str">
        <f t="shared" si="32"/>
        <v>PA</v>
      </c>
      <c r="D248" s="986">
        <f t="shared" si="33"/>
        <v>342.97569972870002</v>
      </c>
      <c r="E248" s="987">
        <f t="shared" si="34"/>
        <v>43.979649269488597</v>
      </c>
      <c r="F248" s="986">
        <f t="shared" si="35"/>
        <v>396.51420645635017</v>
      </c>
      <c r="G248" s="986">
        <f t="shared" si="36"/>
        <v>468.33331797953991</v>
      </c>
      <c r="H248" s="987">
        <f t="shared" si="37"/>
        <v>50.844872520455773</v>
      </c>
      <c r="I248" s="987">
        <f t="shared" si="38"/>
        <v>60.054211077486684</v>
      </c>
    </row>
    <row r="249" spans="1:9">
      <c r="A249" s="895" t="s">
        <v>2256</v>
      </c>
      <c r="B249" s="895">
        <f t="shared" si="32"/>
        <v>2018</v>
      </c>
      <c r="C249" s="895" t="str">
        <f t="shared" si="32"/>
        <v>PET</v>
      </c>
      <c r="D249" s="986">
        <f t="shared" si="33"/>
        <v>1749.8740507436501</v>
      </c>
      <c r="E249" s="987">
        <f t="shared" si="34"/>
        <v>231.43261374930901</v>
      </c>
      <c r="F249" s="986">
        <f t="shared" si="35"/>
        <v>2023.0293900647341</v>
      </c>
      <c r="G249" s="986">
        <f t="shared" si="36"/>
        <v>2389.4530162904543</v>
      </c>
      <c r="H249" s="987">
        <f t="shared" si="37"/>
        <v>267.55924475557617</v>
      </c>
      <c r="I249" s="987">
        <f t="shared" si="38"/>
        <v>316.0212340746815</v>
      </c>
    </row>
    <row r="250" spans="1:9">
      <c r="A250" s="895" t="s">
        <v>2256</v>
      </c>
      <c r="B250" s="895">
        <f t="shared" si="32"/>
        <v>2018</v>
      </c>
      <c r="C250" s="895" t="str">
        <f t="shared" si="32"/>
        <v>PUR</v>
      </c>
      <c r="D250" s="986">
        <f t="shared" si="33"/>
        <v>203.49220633300001</v>
      </c>
      <c r="E250" s="987">
        <f t="shared" si="34"/>
        <v>21.463345414797299</v>
      </c>
      <c r="F250" s="986">
        <f t="shared" si="35"/>
        <v>235.25733974158135</v>
      </c>
      <c r="G250" s="986">
        <f t="shared" si="36"/>
        <v>277.86860774771156</v>
      </c>
      <c r="H250" s="987">
        <f t="shared" si="37"/>
        <v>24.813773634047159</v>
      </c>
      <c r="I250" s="987">
        <f t="shared" si="38"/>
        <v>29.308198163905715</v>
      </c>
    </row>
    <row r="251" spans="1:9">
      <c r="A251" s="895" t="s">
        <v>2256</v>
      </c>
      <c r="B251" s="895">
        <f t="shared" si="32"/>
        <v>2018</v>
      </c>
      <c r="C251" s="895" t="str">
        <f t="shared" si="32"/>
        <v>PVC</v>
      </c>
      <c r="D251" s="986">
        <f t="shared" si="33"/>
        <v>131.25836409600001</v>
      </c>
      <c r="E251" s="987">
        <f t="shared" si="34"/>
        <v>13.8619566586035</v>
      </c>
      <c r="F251" s="986">
        <f t="shared" si="35"/>
        <v>151.74779473138562</v>
      </c>
      <c r="G251" s="986">
        <f t="shared" si="36"/>
        <v>179.23329617308804</v>
      </c>
      <c r="H251" s="987">
        <f t="shared" si="37"/>
        <v>16.025808093011509</v>
      </c>
      <c r="I251" s="987">
        <f t="shared" si="38"/>
        <v>18.928501817323081</v>
      </c>
    </row>
    <row r="252" spans="1:9">
      <c r="A252" s="895" t="s">
        <v>2256</v>
      </c>
      <c r="B252" s="895">
        <f t="shared" si="32"/>
        <v>2018</v>
      </c>
      <c r="C252" s="895" t="str">
        <f t="shared" si="32"/>
        <v>RUBBER</v>
      </c>
      <c r="D252" s="986">
        <f t="shared" si="33"/>
        <v>274.23873448099999</v>
      </c>
      <c r="E252" s="987">
        <f t="shared" si="34"/>
        <v>29.433377644618599</v>
      </c>
      <c r="F252" s="986">
        <f t="shared" si="35"/>
        <v>317.04740093348414</v>
      </c>
      <c r="G252" s="986">
        <f t="shared" si="36"/>
        <v>374.47299193380553</v>
      </c>
      <c r="H252" s="987">
        <f t="shared" si="37"/>
        <v>34.027927894943566</v>
      </c>
      <c r="I252" s="987">
        <f t="shared" si="38"/>
        <v>40.191277173726704</v>
      </c>
    </row>
    <row r="253" spans="1:9">
      <c r="A253" s="895" t="s">
        <v>2256</v>
      </c>
      <c r="B253" s="895">
        <f t="shared" si="32"/>
        <v>2019</v>
      </c>
      <c r="C253" s="895" t="str">
        <f t="shared" si="32"/>
        <v>Acryl</v>
      </c>
      <c r="D253" s="986">
        <f t="shared" si="33"/>
        <v>155.87614213469999</v>
      </c>
      <c r="E253" s="987">
        <f t="shared" si="34"/>
        <v>17.548546315115999</v>
      </c>
      <c r="F253" s="986">
        <f t="shared" si="35"/>
        <v>180.20840792192666</v>
      </c>
      <c r="G253" s="986">
        <f t="shared" si="36"/>
        <v>212.84887208493285</v>
      </c>
      <c r="H253" s="987">
        <f t="shared" si="37"/>
        <v>20.287874394905607</v>
      </c>
      <c r="I253" s="987">
        <f t="shared" si="38"/>
        <v>23.9625399932909</v>
      </c>
    </row>
    <row r="254" spans="1:9">
      <c r="A254" s="895" t="s">
        <v>2256</v>
      </c>
      <c r="B254" s="895">
        <f t="shared" si="32"/>
        <v>2019</v>
      </c>
      <c r="C254" s="895" t="str">
        <f t="shared" si="32"/>
        <v>OTHER</v>
      </c>
      <c r="D254" s="986">
        <f t="shared" si="33"/>
        <v>256.42796207750001</v>
      </c>
      <c r="E254" s="987">
        <f t="shared" si="34"/>
        <v>29.5260500174269</v>
      </c>
      <c r="F254" s="986">
        <f t="shared" si="35"/>
        <v>296.4563669577978</v>
      </c>
      <c r="G254" s="986">
        <f t="shared" si="36"/>
        <v>350.15238221682631</v>
      </c>
      <c r="H254" s="987">
        <f t="shared" si="37"/>
        <v>34.135066425147244</v>
      </c>
      <c r="I254" s="987">
        <f t="shared" si="38"/>
        <v>40.317821298796439</v>
      </c>
    </row>
    <row r="255" spans="1:9">
      <c r="A255" s="895" t="s">
        <v>2256</v>
      </c>
      <c r="B255" s="895">
        <f t="shared" si="32"/>
        <v>2019</v>
      </c>
      <c r="C255" s="895" t="str">
        <f t="shared" si="32"/>
        <v>PA</v>
      </c>
      <c r="D255" s="986">
        <f t="shared" si="33"/>
        <v>335.67807054489998</v>
      </c>
      <c r="E255" s="987">
        <f t="shared" si="34"/>
        <v>42.516774695422299</v>
      </c>
      <c r="F255" s="986">
        <f t="shared" si="35"/>
        <v>388.0774173569589</v>
      </c>
      <c r="G255" s="986">
        <f t="shared" si="36"/>
        <v>458.36840532906098</v>
      </c>
      <c r="H255" s="987">
        <f t="shared" si="37"/>
        <v>49.153643225377728</v>
      </c>
      <c r="I255" s="987">
        <f t="shared" si="38"/>
        <v>58.056655846599156</v>
      </c>
    </row>
    <row r="256" spans="1:9">
      <c r="A256" s="895" t="s">
        <v>2256</v>
      </c>
      <c r="B256" s="895">
        <f t="shared" si="32"/>
        <v>2019</v>
      </c>
      <c r="C256" s="895" t="str">
        <f t="shared" si="32"/>
        <v>PET</v>
      </c>
      <c r="D256" s="986">
        <f t="shared" si="33"/>
        <v>1716.2072204301601</v>
      </c>
      <c r="E256" s="987">
        <f t="shared" si="34"/>
        <v>222.749108674057</v>
      </c>
      <c r="F256" s="986">
        <f t="shared" si="35"/>
        <v>1984.1071675393082</v>
      </c>
      <c r="G256" s="986">
        <f t="shared" si="36"/>
        <v>2343.480959497384</v>
      </c>
      <c r="H256" s="987">
        <f t="shared" si="37"/>
        <v>257.52024453807735</v>
      </c>
      <c r="I256" s="987">
        <f t="shared" si="38"/>
        <v>304.16390789442488</v>
      </c>
    </row>
    <row r="257" spans="1:9">
      <c r="A257" s="895" t="s">
        <v>2256</v>
      </c>
      <c r="B257" s="895">
        <f t="shared" si="32"/>
        <v>2019</v>
      </c>
      <c r="C257" s="895" t="str">
        <f t="shared" si="32"/>
        <v>PUR</v>
      </c>
      <c r="D257" s="986">
        <f t="shared" si="33"/>
        <v>201.410971448</v>
      </c>
      <c r="E257" s="987">
        <f t="shared" si="34"/>
        <v>21.224926079013802</v>
      </c>
      <c r="F257" s="986">
        <f t="shared" si="35"/>
        <v>232.85122409103283</v>
      </c>
      <c r="G257" s="986">
        <f t="shared" si="36"/>
        <v>275.02668151224401</v>
      </c>
      <c r="H257" s="987">
        <f t="shared" si="37"/>
        <v>24.538137039947859</v>
      </c>
      <c r="I257" s="987">
        <f t="shared" si="38"/>
        <v>28.982636560893351</v>
      </c>
    </row>
    <row r="258" spans="1:9">
      <c r="A258" s="895" t="s">
        <v>2256</v>
      </c>
      <c r="B258" s="895">
        <f t="shared" si="32"/>
        <v>2019</v>
      </c>
      <c r="C258" s="895" t="str">
        <f t="shared" si="32"/>
        <v>PVC</v>
      </c>
      <c r="D258" s="986">
        <f t="shared" si="33"/>
        <v>129.74280759600001</v>
      </c>
      <c r="E258" s="987">
        <f t="shared" si="34"/>
        <v>13.663754943070501</v>
      </c>
      <c r="F258" s="986">
        <f t="shared" si="35"/>
        <v>149.99565986173562</v>
      </c>
      <c r="G258" s="986">
        <f t="shared" si="36"/>
        <v>177.16380377233804</v>
      </c>
      <c r="H258" s="987">
        <f t="shared" si="37"/>
        <v>15.796667089683808</v>
      </c>
      <c r="I258" s="987">
        <f t="shared" si="38"/>
        <v>18.65785737476277</v>
      </c>
    </row>
    <row r="259" spans="1:9">
      <c r="A259" s="895" t="s">
        <v>2256</v>
      </c>
      <c r="B259" s="895">
        <f t="shared" si="32"/>
        <v>2019</v>
      </c>
      <c r="C259" s="895" t="str">
        <f t="shared" si="32"/>
        <v>RUBBER</v>
      </c>
      <c r="D259" s="986">
        <f t="shared" si="33"/>
        <v>268.35933926199999</v>
      </c>
      <c r="E259" s="987">
        <f t="shared" si="34"/>
        <v>28.3987451692789</v>
      </c>
      <c r="F259" s="986">
        <f t="shared" si="35"/>
        <v>310.25023212079822</v>
      </c>
      <c r="G259" s="986">
        <f t="shared" si="36"/>
        <v>366.44467776226105</v>
      </c>
      <c r="H259" s="987">
        <f t="shared" si="37"/>
        <v>32.831789290203339</v>
      </c>
      <c r="I259" s="987">
        <f t="shared" si="38"/>
        <v>38.77848652865034</v>
      </c>
    </row>
    <row r="260" spans="1:9">
      <c r="A260" s="895" t="s">
        <v>2256</v>
      </c>
      <c r="B260" s="895">
        <f t="shared" si="32"/>
        <v>2020</v>
      </c>
      <c r="C260" s="895" t="str">
        <f t="shared" si="32"/>
        <v>Acryl</v>
      </c>
      <c r="D260" s="986">
        <f t="shared" si="33"/>
        <v>129.21013377310001</v>
      </c>
      <c r="E260" s="987">
        <f t="shared" si="34"/>
        <v>12.133247722920601</v>
      </c>
      <c r="F260" s="986">
        <f t="shared" si="35"/>
        <v>149.37983565508094</v>
      </c>
      <c r="G260" s="986">
        <f t="shared" si="36"/>
        <v>176.43643766716809</v>
      </c>
      <c r="H260" s="987">
        <f t="shared" si="37"/>
        <v>14.027247692468508</v>
      </c>
      <c r="I260" s="987">
        <f t="shared" si="38"/>
        <v>16.567949765648081</v>
      </c>
    </row>
    <row r="261" spans="1:9">
      <c r="A261" s="895" t="s">
        <v>2256</v>
      </c>
      <c r="B261" s="895">
        <f t="shared" si="32"/>
        <v>2020</v>
      </c>
      <c r="C261" s="895" t="str">
        <f t="shared" si="32"/>
        <v>OTHER</v>
      </c>
      <c r="D261" s="986">
        <f t="shared" si="33"/>
        <v>203.5408195755</v>
      </c>
      <c r="E261" s="987">
        <f t="shared" si="34"/>
        <v>20.1686001252917</v>
      </c>
      <c r="F261" s="986">
        <f t="shared" si="35"/>
        <v>235.31354151123557</v>
      </c>
      <c r="G261" s="986">
        <f t="shared" si="36"/>
        <v>277.93498913034529</v>
      </c>
      <c r="H261" s="987">
        <f t="shared" si="37"/>
        <v>23.316918604849736</v>
      </c>
      <c r="I261" s="987">
        <f t="shared" si="38"/>
        <v>27.54022347108582</v>
      </c>
    </row>
    <row r="262" spans="1:9">
      <c r="A262" s="895" t="s">
        <v>2256</v>
      </c>
      <c r="B262" s="895">
        <f t="shared" si="32"/>
        <v>2020</v>
      </c>
      <c r="C262" s="895" t="str">
        <f t="shared" si="32"/>
        <v>PA</v>
      </c>
      <c r="D262" s="986">
        <f t="shared" ref="D262:D280" si="39">E174</f>
        <v>272.27944342699999</v>
      </c>
      <c r="E262" s="987">
        <f t="shared" ref="E262:E280" si="40">F85</f>
        <v>27.473770125662401</v>
      </c>
      <c r="F262" s="986">
        <f t="shared" ref="F262:F280" si="41">D262*$B$7</f>
        <v>314.78226454595472</v>
      </c>
      <c r="G262" s="986">
        <f t="shared" ref="G262:G280" si="42">D262*$B$6</f>
        <v>371.79757999956854</v>
      </c>
      <c r="H262" s="987">
        <f t="shared" ref="H262:H280" si="43">E262*$B$7</f>
        <v>31.762425642278306</v>
      </c>
      <c r="I262" s="987">
        <f t="shared" ref="I262:I280" si="44">E262*$B$6</f>
        <v>37.515433106592013</v>
      </c>
    </row>
    <row r="263" spans="1:9">
      <c r="A263" s="895" t="s">
        <v>2256</v>
      </c>
      <c r="B263" s="895">
        <f t="shared" ref="B263:C280" si="45">B175</f>
        <v>2020</v>
      </c>
      <c r="C263" s="895" t="str">
        <f t="shared" si="45"/>
        <v>PET</v>
      </c>
      <c r="D263" s="986">
        <f t="shared" si="39"/>
        <v>1370.09465270438</v>
      </c>
      <c r="E263" s="987">
        <f t="shared" si="40"/>
        <v>143.989004993847</v>
      </c>
      <c r="F263" s="986">
        <f t="shared" si="41"/>
        <v>1583.9664279915339</v>
      </c>
      <c r="G263" s="986">
        <f t="shared" si="42"/>
        <v>1870.864248267831</v>
      </c>
      <c r="H263" s="987">
        <f t="shared" si="43"/>
        <v>166.46568867338655</v>
      </c>
      <c r="I263" s="987">
        <f t="shared" si="44"/>
        <v>196.61698631909812</v>
      </c>
    </row>
    <row r="264" spans="1:9">
      <c r="A264" s="895" t="s">
        <v>2256</v>
      </c>
      <c r="B264" s="895">
        <f t="shared" si="45"/>
        <v>2020</v>
      </c>
      <c r="C264" s="895" t="str">
        <f t="shared" si="45"/>
        <v>PUR</v>
      </c>
      <c r="D264" s="986">
        <f t="shared" si="39"/>
        <v>162.02162819700001</v>
      </c>
      <c r="E264" s="987">
        <f t="shared" si="40"/>
        <v>17.326536179932798</v>
      </c>
      <c r="F264" s="986">
        <f t="shared" si="41"/>
        <v>187.31320435855173</v>
      </c>
      <c r="G264" s="986">
        <f t="shared" si="42"/>
        <v>221.24053330300353</v>
      </c>
      <c r="H264" s="987">
        <f t="shared" si="43"/>
        <v>20.031208477620311</v>
      </c>
      <c r="I264" s="987">
        <f t="shared" si="44"/>
        <v>23.659385153698238</v>
      </c>
    </row>
    <row r="265" spans="1:9">
      <c r="A265" s="895" t="s">
        <v>2256</v>
      </c>
      <c r="B265" s="895">
        <f t="shared" si="45"/>
        <v>2020</v>
      </c>
      <c r="C265" s="895" t="str">
        <f t="shared" si="45"/>
        <v>PVC</v>
      </c>
      <c r="D265" s="986">
        <f t="shared" si="39"/>
        <v>104.026860171</v>
      </c>
      <c r="E265" s="987">
        <f t="shared" si="40"/>
        <v>11.0681982872122</v>
      </c>
      <c r="F265" s="986">
        <f t="shared" si="41"/>
        <v>120.26545304369311</v>
      </c>
      <c r="G265" s="986">
        <f t="shared" si="42"/>
        <v>142.04867756350052</v>
      </c>
      <c r="H265" s="987">
        <f t="shared" si="43"/>
        <v>12.795944039846026</v>
      </c>
      <c r="I265" s="987">
        <f t="shared" si="44"/>
        <v>15.113624761188261</v>
      </c>
    </row>
    <row r="266" spans="1:9">
      <c r="A266" s="895" t="s">
        <v>2256</v>
      </c>
      <c r="B266" s="895">
        <f t="shared" si="45"/>
        <v>2020</v>
      </c>
      <c r="C266" s="895" t="str">
        <f t="shared" si="45"/>
        <v>RUBBER</v>
      </c>
      <c r="D266" s="986">
        <f t="shared" si="39"/>
        <v>210.72664741049999</v>
      </c>
      <c r="E266" s="987">
        <f t="shared" si="40"/>
        <v>21.841717486867498</v>
      </c>
      <c r="F266" s="986">
        <f t="shared" si="41"/>
        <v>243.62107707127907</v>
      </c>
      <c r="G266" s="986">
        <f t="shared" si="42"/>
        <v>287.74723703903777</v>
      </c>
      <c r="H266" s="987">
        <f t="shared" si="43"/>
        <v>25.251209586567519</v>
      </c>
      <c r="I266" s="987">
        <f t="shared" si="44"/>
        <v>29.824865228317574</v>
      </c>
    </row>
    <row r="267" spans="1:9">
      <c r="A267" s="895" t="s">
        <v>2256</v>
      </c>
      <c r="B267" s="895">
        <f t="shared" si="45"/>
        <v>2021</v>
      </c>
      <c r="C267" s="895" t="str">
        <f t="shared" si="45"/>
        <v>Acryl</v>
      </c>
      <c r="D267" s="986">
        <f t="shared" si="39"/>
        <v>141.63028156839999</v>
      </c>
      <c r="E267" s="987">
        <f t="shared" si="40"/>
        <v>14.4143000217622</v>
      </c>
      <c r="F267" s="986">
        <f t="shared" si="41"/>
        <v>163.73876852122726</v>
      </c>
      <c r="G267" s="986">
        <f t="shared" si="42"/>
        <v>193.39614948165021</v>
      </c>
      <c r="H267" s="987">
        <f t="shared" si="43"/>
        <v>16.664372255159282</v>
      </c>
      <c r="I267" s="987">
        <f t="shared" si="44"/>
        <v>19.682726679716286</v>
      </c>
    </row>
    <row r="268" spans="1:9">
      <c r="A268" s="895" t="s">
        <v>2256</v>
      </c>
      <c r="B268" s="895">
        <f t="shared" si="45"/>
        <v>2021</v>
      </c>
      <c r="C268" s="895" t="str">
        <f t="shared" si="45"/>
        <v>OTHER</v>
      </c>
      <c r="D268" s="986">
        <f t="shared" si="39"/>
        <v>214.1537183181</v>
      </c>
      <c r="E268" s="987">
        <f t="shared" si="40"/>
        <v>22.4567839392042</v>
      </c>
      <c r="F268" s="986">
        <f t="shared" si="41"/>
        <v>247.58311374755544</v>
      </c>
      <c r="G268" s="986">
        <f t="shared" si="42"/>
        <v>292.42690236336557</v>
      </c>
      <c r="H268" s="987">
        <f t="shared" si="43"/>
        <v>25.962287912113979</v>
      </c>
      <c r="I268" s="987">
        <f t="shared" si="44"/>
        <v>30.664738468983341</v>
      </c>
    </row>
    <row r="269" spans="1:9">
      <c r="A269" s="895" t="s">
        <v>2256</v>
      </c>
      <c r="B269" s="895">
        <f t="shared" si="45"/>
        <v>2021</v>
      </c>
      <c r="C269" s="895" t="str">
        <f t="shared" si="45"/>
        <v>PA</v>
      </c>
      <c r="D269" s="986">
        <f t="shared" si="39"/>
        <v>297.5329268795</v>
      </c>
      <c r="E269" s="987">
        <f t="shared" si="40"/>
        <v>32.316900891449698</v>
      </c>
      <c r="F269" s="986">
        <f t="shared" si="41"/>
        <v>343.97781676539</v>
      </c>
      <c r="G269" s="986">
        <f t="shared" si="42"/>
        <v>406.28121165395731</v>
      </c>
      <c r="H269" s="987">
        <f t="shared" si="43"/>
        <v>37.361569120604997</v>
      </c>
      <c r="I269" s="987">
        <f t="shared" si="44"/>
        <v>44.128728167274566</v>
      </c>
    </row>
    <row r="270" spans="1:9">
      <c r="A270" s="895" t="s">
        <v>2256</v>
      </c>
      <c r="B270" s="895">
        <f t="shared" si="45"/>
        <v>2021</v>
      </c>
      <c r="C270" s="895" t="str">
        <f t="shared" si="45"/>
        <v>PET</v>
      </c>
      <c r="D270" s="986">
        <f t="shared" si="39"/>
        <v>1467.9581238478199</v>
      </c>
      <c r="E270" s="987">
        <f t="shared" si="40"/>
        <v>164.946937963653</v>
      </c>
      <c r="F270" s="986">
        <f t="shared" si="41"/>
        <v>1697.1063869804648</v>
      </c>
      <c r="G270" s="986">
        <f t="shared" si="42"/>
        <v>2004.4968181141983</v>
      </c>
      <c r="H270" s="987">
        <f t="shared" si="43"/>
        <v>190.69515497977926</v>
      </c>
      <c r="I270" s="987">
        <f t="shared" si="44"/>
        <v>225.23504378936821</v>
      </c>
    </row>
    <row r="271" spans="1:9">
      <c r="A271" s="895" t="s">
        <v>2256</v>
      </c>
      <c r="B271" s="895">
        <f t="shared" si="45"/>
        <v>2021</v>
      </c>
      <c r="C271" s="895" t="str">
        <f t="shared" si="45"/>
        <v>PUR</v>
      </c>
      <c r="D271" s="986">
        <f t="shared" si="39"/>
        <v>155.636891265</v>
      </c>
      <c r="E271" s="987">
        <f t="shared" si="40"/>
        <v>17.791036659961499</v>
      </c>
      <c r="F271" s="986">
        <f t="shared" si="41"/>
        <v>179.93180999146654</v>
      </c>
      <c r="G271" s="986">
        <f t="shared" si="42"/>
        <v>212.52217502235752</v>
      </c>
      <c r="H271" s="987">
        <f t="shared" si="43"/>
        <v>20.568217482581492</v>
      </c>
      <c r="I271" s="987">
        <f t="shared" si="44"/>
        <v>24.293660559177429</v>
      </c>
    </row>
    <row r="272" spans="1:9">
      <c r="A272" s="895" t="s">
        <v>2256</v>
      </c>
      <c r="B272" s="895">
        <f t="shared" si="45"/>
        <v>2021</v>
      </c>
      <c r="C272" s="895" t="str">
        <f t="shared" si="45"/>
        <v>PVC</v>
      </c>
      <c r="D272" s="986">
        <f t="shared" si="39"/>
        <v>100.281630681</v>
      </c>
      <c r="E272" s="987">
        <f t="shared" si="40"/>
        <v>11.4147234290638</v>
      </c>
      <c r="F272" s="986">
        <f t="shared" si="41"/>
        <v>115.93559323030411</v>
      </c>
      <c r="G272" s="986">
        <f t="shared" si="42"/>
        <v>136.9345666949055</v>
      </c>
      <c r="H272" s="987">
        <f t="shared" si="43"/>
        <v>13.19656175634066</v>
      </c>
      <c r="I272" s="987">
        <f t="shared" si="44"/>
        <v>15.58680484238662</v>
      </c>
    </row>
    <row r="273" spans="1:11">
      <c r="A273" s="895" t="s">
        <v>2256</v>
      </c>
      <c r="B273" s="895">
        <f t="shared" si="45"/>
        <v>2021</v>
      </c>
      <c r="C273" s="895" t="str">
        <f t="shared" si="45"/>
        <v>RUBBER</v>
      </c>
      <c r="D273" s="986">
        <f t="shared" si="39"/>
        <v>207.0208849695</v>
      </c>
      <c r="E273" s="987">
        <f t="shared" si="40"/>
        <v>23.2568550885082</v>
      </c>
      <c r="F273" s="986">
        <f t="shared" si="41"/>
        <v>239.33684511323898</v>
      </c>
      <c r="G273" s="986">
        <f t="shared" si="42"/>
        <v>282.68701842585227</v>
      </c>
      <c r="H273" s="987">
        <f t="shared" si="43"/>
        <v>26.887250167824334</v>
      </c>
      <c r="I273" s="987">
        <f t="shared" si="44"/>
        <v>31.75723562335795</v>
      </c>
    </row>
    <row r="274" spans="1:11">
      <c r="A274" s="895" t="s">
        <v>2256</v>
      </c>
      <c r="B274" s="895">
        <f t="shared" si="45"/>
        <v>2022</v>
      </c>
      <c r="C274" s="895" t="str">
        <f t="shared" si="45"/>
        <v>Acryl</v>
      </c>
      <c r="D274" s="986">
        <f t="shared" si="39"/>
        <v>174.44249693149999</v>
      </c>
      <c r="E274" s="987">
        <f t="shared" si="40"/>
        <v>20.511336788906601</v>
      </c>
      <c r="F274" s="986">
        <f t="shared" si="41"/>
        <v>201.67297070250717</v>
      </c>
      <c r="G274" s="986">
        <f t="shared" si="42"/>
        <v>238.20122955996325</v>
      </c>
      <c r="H274" s="987">
        <f t="shared" si="43"/>
        <v>23.713156461654922</v>
      </c>
      <c r="I274" s="987">
        <f t="shared" si="44"/>
        <v>28.008230385251967</v>
      </c>
    </row>
    <row r="275" spans="1:11">
      <c r="A275" s="895" t="s">
        <v>2256</v>
      </c>
      <c r="B275" s="895">
        <f t="shared" si="45"/>
        <v>2022</v>
      </c>
      <c r="C275" s="895" t="str">
        <f t="shared" si="45"/>
        <v>OTHER</v>
      </c>
      <c r="D275" s="986">
        <f t="shared" si="39"/>
        <v>268.01597520849998</v>
      </c>
      <c r="E275" s="987">
        <f t="shared" si="40"/>
        <v>31.583377896244301</v>
      </c>
      <c r="F275" s="986">
        <f t="shared" si="41"/>
        <v>309.85326893854688</v>
      </c>
      <c r="G275" s="986">
        <f t="shared" si="42"/>
        <v>365.97581414720679</v>
      </c>
      <c r="H275" s="987">
        <f t="shared" si="43"/>
        <v>36.513543185848043</v>
      </c>
      <c r="I275" s="987">
        <f t="shared" si="44"/>
        <v>43.127102517321596</v>
      </c>
    </row>
    <row r="276" spans="1:11">
      <c r="A276" s="895" t="s">
        <v>2256</v>
      </c>
      <c r="B276" s="895">
        <f t="shared" si="45"/>
        <v>2022</v>
      </c>
      <c r="C276" s="895" t="str">
        <f t="shared" si="45"/>
        <v>PA</v>
      </c>
      <c r="D276" s="986">
        <f t="shared" si="39"/>
        <v>365.93415845999999</v>
      </c>
      <c r="E276" s="987">
        <f t="shared" si="40"/>
        <v>46.393903377643802</v>
      </c>
      <c r="F276" s="986">
        <f t="shared" si="41"/>
        <v>423.05648059560605</v>
      </c>
      <c r="G276" s="986">
        <f t="shared" si="42"/>
        <v>499.68309337713004</v>
      </c>
      <c r="H276" s="987">
        <f t="shared" si="43"/>
        <v>53.635991694894003</v>
      </c>
      <c r="I276" s="987">
        <f t="shared" si="44"/>
        <v>63.350875062172619</v>
      </c>
    </row>
    <row r="277" spans="1:11">
      <c r="A277" s="895" t="s">
        <v>2256</v>
      </c>
      <c r="B277" s="895">
        <f t="shared" si="45"/>
        <v>2022</v>
      </c>
      <c r="C277" s="895" t="str">
        <f t="shared" si="45"/>
        <v>PET</v>
      </c>
      <c r="D277" s="986">
        <f t="shared" si="39"/>
        <v>1801.6032657410601</v>
      </c>
      <c r="E277" s="987">
        <f t="shared" si="40"/>
        <v>228.069816277661</v>
      </c>
      <c r="F277" s="986">
        <f t="shared" si="41"/>
        <v>2082.8335355232398</v>
      </c>
      <c r="G277" s="986">
        <f t="shared" si="42"/>
        <v>2460.089259369418</v>
      </c>
      <c r="H277" s="987">
        <f t="shared" si="43"/>
        <v>263.67151459860389</v>
      </c>
      <c r="I277" s="987">
        <f t="shared" si="44"/>
        <v>311.42933412714615</v>
      </c>
    </row>
    <row r="278" spans="1:11">
      <c r="A278" s="895" t="s">
        <v>2256</v>
      </c>
      <c r="B278" s="895">
        <f t="shared" si="45"/>
        <v>2022</v>
      </c>
      <c r="C278" s="895" t="str">
        <f t="shared" si="45"/>
        <v>PUR</v>
      </c>
      <c r="D278" s="986">
        <f t="shared" si="39"/>
        <v>201.54410579099999</v>
      </c>
      <c r="E278" s="987">
        <f t="shared" si="40"/>
        <v>24.1177245992648</v>
      </c>
      <c r="F278" s="986">
        <f t="shared" si="41"/>
        <v>233.0051407049751</v>
      </c>
      <c r="G278" s="986">
        <f t="shared" si="42"/>
        <v>275.20847645761052</v>
      </c>
      <c r="H278" s="987">
        <f t="shared" si="43"/>
        <v>27.88250140921004</v>
      </c>
      <c r="I278" s="987">
        <f t="shared" si="44"/>
        <v>32.932752940296091</v>
      </c>
    </row>
    <row r="279" spans="1:11">
      <c r="A279" s="895" t="s">
        <v>2256</v>
      </c>
      <c r="B279" s="895">
        <f t="shared" si="45"/>
        <v>2022</v>
      </c>
      <c r="C279" s="895" t="str">
        <f t="shared" si="45"/>
        <v>PVC</v>
      </c>
      <c r="D279" s="986">
        <f t="shared" si="39"/>
        <v>129.88248109200001</v>
      </c>
      <c r="E279" s="987">
        <f t="shared" si="40"/>
        <v>15.464860752548701</v>
      </c>
      <c r="F279" s="986">
        <f t="shared" si="41"/>
        <v>150.15713639046123</v>
      </c>
      <c r="G279" s="986">
        <f t="shared" si="42"/>
        <v>177.35452793112603</v>
      </c>
      <c r="H279" s="987">
        <f t="shared" si="43"/>
        <v>17.878925516021553</v>
      </c>
      <c r="I279" s="987">
        <f t="shared" si="44"/>
        <v>21.117267357605254</v>
      </c>
    </row>
    <row r="280" spans="1:11">
      <c r="A280" s="895" t="s">
        <v>2256</v>
      </c>
      <c r="B280" s="895">
        <f t="shared" si="45"/>
        <v>2022</v>
      </c>
      <c r="C280" s="895" t="str">
        <f t="shared" si="45"/>
        <v>RUBBER</v>
      </c>
      <c r="D280" s="986">
        <f t="shared" si="39"/>
        <v>268.60700696100002</v>
      </c>
      <c r="E280" s="987">
        <f t="shared" si="40"/>
        <v>31.2542334961277</v>
      </c>
      <c r="F280" s="986">
        <f t="shared" si="41"/>
        <v>310.53656074761216</v>
      </c>
      <c r="G280" s="986">
        <f t="shared" si="42"/>
        <v>366.78286800524558</v>
      </c>
      <c r="H280" s="987">
        <f t="shared" si="43"/>
        <v>36.13301934487324</v>
      </c>
      <c r="I280" s="987">
        <f t="shared" si="44"/>
        <v>42.67765583896238</v>
      </c>
    </row>
    <row r="282" spans="1:11" s="1118" customFormat="1">
      <c r="A282" s="1115" t="s">
        <v>2170</v>
      </c>
    </row>
    <row r="283" spans="1:11" s="1118" customFormat="1" ht="15.75" thickBot="1"/>
    <row r="284" spans="1:11">
      <c r="A284" s="65" t="s">
        <v>100</v>
      </c>
      <c r="B284" s="65" t="s">
        <v>101</v>
      </c>
      <c r="C284" s="108" t="s">
        <v>102</v>
      </c>
      <c r="D284" s="809" t="s">
        <v>103</v>
      </c>
      <c r="E284" s="108" t="s">
        <v>104</v>
      </c>
      <c r="F284" s="111" t="s">
        <v>105</v>
      </c>
      <c r="G284" s="112" t="s">
        <v>65</v>
      </c>
      <c r="H284" s="112" t="s">
        <v>67</v>
      </c>
      <c r="I284" s="112" t="s">
        <v>73</v>
      </c>
      <c r="J284" s="113" t="s">
        <v>79</v>
      </c>
      <c r="K284" s="422" t="s">
        <v>106</v>
      </c>
    </row>
    <row r="285" spans="1:11">
      <c r="A285" t="s">
        <v>2169</v>
      </c>
      <c r="B285">
        <v>2011</v>
      </c>
      <c r="C285" t="s">
        <v>92</v>
      </c>
      <c r="D285" s="217">
        <f>M115*(1-$B$9)</f>
        <v>54.941331438956276</v>
      </c>
      <c r="E285" s="7" t="s">
        <v>2044</v>
      </c>
      <c r="F285">
        <f t="shared" ref="F285:F308" si="46">O109</f>
        <v>1</v>
      </c>
      <c r="G285">
        <f t="shared" ref="G285:G308" si="47">P109</f>
        <v>1</v>
      </c>
      <c r="H285">
        <f t="shared" ref="H285:H308" si="48">Q109</f>
        <v>2</v>
      </c>
      <c r="I285">
        <f t="shared" ref="I285:I308" si="49">R109</f>
        <v>2</v>
      </c>
      <c r="J285">
        <f t="shared" ref="J285:J308" si="50">S109</f>
        <v>2</v>
      </c>
    </row>
    <row r="286" spans="1:11">
      <c r="A286" t="s">
        <v>2169</v>
      </c>
      <c r="B286">
        <v>2012</v>
      </c>
      <c r="C286" t="s">
        <v>92</v>
      </c>
      <c r="D286" s="217">
        <f>M122*(1-$B$9)</f>
        <v>51.456396464780305</v>
      </c>
      <c r="E286" s="7" t="s">
        <v>2044</v>
      </c>
      <c r="F286">
        <f t="shared" si="46"/>
        <v>1</v>
      </c>
      <c r="G286">
        <f t="shared" si="47"/>
        <v>1</v>
      </c>
      <c r="H286">
        <f t="shared" si="48"/>
        <v>2</v>
      </c>
      <c r="I286">
        <f t="shared" si="49"/>
        <v>2</v>
      </c>
      <c r="J286">
        <f t="shared" si="50"/>
        <v>2</v>
      </c>
    </row>
    <row r="287" spans="1:11">
      <c r="A287" t="s">
        <v>2169</v>
      </c>
      <c r="B287">
        <v>2013</v>
      </c>
      <c r="C287" t="s">
        <v>92</v>
      </c>
      <c r="D287" s="217">
        <f>M129*(1-$B$9)</f>
        <v>51.662591418883132</v>
      </c>
      <c r="E287" s="7" t="s">
        <v>2044</v>
      </c>
      <c r="F287">
        <f t="shared" si="46"/>
        <v>1</v>
      </c>
      <c r="G287">
        <f t="shared" si="47"/>
        <v>1</v>
      </c>
      <c r="H287">
        <f t="shared" si="48"/>
        <v>2</v>
      </c>
      <c r="I287">
        <f t="shared" si="49"/>
        <v>2</v>
      </c>
      <c r="J287">
        <f t="shared" si="50"/>
        <v>2</v>
      </c>
    </row>
    <row r="288" spans="1:11">
      <c r="A288" t="s">
        <v>2169</v>
      </c>
      <c r="B288">
        <v>2014</v>
      </c>
      <c r="C288" t="s">
        <v>92</v>
      </c>
      <c r="D288" s="217">
        <f>M136*(1-$B$9)</f>
        <v>56.33000902970948</v>
      </c>
      <c r="E288" s="7" t="s">
        <v>2044</v>
      </c>
      <c r="F288">
        <f t="shared" si="46"/>
        <v>1</v>
      </c>
      <c r="G288">
        <f t="shared" si="47"/>
        <v>1</v>
      </c>
      <c r="H288">
        <f t="shared" si="48"/>
        <v>2</v>
      </c>
      <c r="I288">
        <f t="shared" si="49"/>
        <v>2</v>
      </c>
      <c r="J288">
        <f t="shared" si="50"/>
        <v>2</v>
      </c>
    </row>
    <row r="289" spans="1:10">
      <c r="A289" t="s">
        <v>2169</v>
      </c>
      <c r="B289">
        <v>2015</v>
      </c>
      <c r="C289" t="s">
        <v>92</v>
      </c>
      <c r="D289" s="217">
        <f>M143*(1-$B$9)</f>
        <v>53.287965599667807</v>
      </c>
      <c r="E289" s="7" t="s">
        <v>2044</v>
      </c>
      <c r="F289">
        <f t="shared" si="46"/>
        <v>1</v>
      </c>
      <c r="G289">
        <f t="shared" si="47"/>
        <v>1</v>
      </c>
      <c r="H289">
        <f t="shared" si="48"/>
        <v>2</v>
      </c>
      <c r="I289">
        <f t="shared" si="49"/>
        <v>2</v>
      </c>
      <c r="J289">
        <f t="shared" si="50"/>
        <v>2</v>
      </c>
    </row>
    <row r="290" spans="1:10">
      <c r="A290" t="s">
        <v>2169</v>
      </c>
      <c r="B290">
        <v>2016</v>
      </c>
      <c r="C290" t="s">
        <v>92</v>
      </c>
      <c r="D290" s="217">
        <f>M150*(1-$B$9)</f>
        <v>52.381548003476567</v>
      </c>
      <c r="E290" s="7" t="s">
        <v>2044</v>
      </c>
      <c r="F290">
        <f t="shared" si="46"/>
        <v>1</v>
      </c>
      <c r="G290">
        <f t="shared" si="47"/>
        <v>1</v>
      </c>
      <c r="H290">
        <f t="shared" si="48"/>
        <v>2</v>
      </c>
      <c r="I290">
        <f t="shared" si="49"/>
        <v>2</v>
      </c>
      <c r="J290">
        <f t="shared" si="50"/>
        <v>2</v>
      </c>
    </row>
    <row r="291" spans="1:10">
      <c r="A291" t="s">
        <v>2169</v>
      </c>
      <c r="B291">
        <v>2017</v>
      </c>
      <c r="C291" t="s">
        <v>92</v>
      </c>
      <c r="D291" s="217">
        <f>M157*(1-$B$9)</f>
        <v>54.133747948336925</v>
      </c>
      <c r="E291" s="7" t="s">
        <v>2044</v>
      </c>
      <c r="F291">
        <f t="shared" si="46"/>
        <v>1</v>
      </c>
      <c r="G291">
        <f t="shared" si="47"/>
        <v>1</v>
      </c>
      <c r="H291">
        <f t="shared" si="48"/>
        <v>2</v>
      </c>
      <c r="I291">
        <f t="shared" si="49"/>
        <v>2</v>
      </c>
      <c r="J291">
        <f t="shared" si="50"/>
        <v>2</v>
      </c>
    </row>
    <row r="292" spans="1:10">
      <c r="A292" t="s">
        <v>2169</v>
      </c>
      <c r="B292">
        <v>2018</v>
      </c>
      <c r="C292" t="s">
        <v>92</v>
      </c>
      <c r="D292" s="217">
        <f>M164*(1-$B$9)</f>
        <v>65.517198056677529</v>
      </c>
      <c r="E292" s="7" t="s">
        <v>2044</v>
      </c>
      <c r="F292">
        <f t="shared" si="46"/>
        <v>1</v>
      </c>
      <c r="G292">
        <f t="shared" si="47"/>
        <v>1</v>
      </c>
      <c r="H292">
        <f t="shared" si="48"/>
        <v>2</v>
      </c>
      <c r="I292">
        <f t="shared" si="49"/>
        <v>2</v>
      </c>
      <c r="J292">
        <f t="shared" si="50"/>
        <v>2</v>
      </c>
    </row>
    <row r="293" spans="1:10">
      <c r="A293" t="s">
        <v>2169</v>
      </c>
      <c r="B293">
        <v>2019</v>
      </c>
      <c r="C293" t="s">
        <v>92</v>
      </c>
      <c r="D293" s="217">
        <f>M171*(1-$B$9)</f>
        <v>53.855761874839239</v>
      </c>
      <c r="E293" s="7" t="s">
        <v>2044</v>
      </c>
      <c r="F293">
        <f t="shared" si="46"/>
        <v>1</v>
      </c>
      <c r="G293">
        <f t="shared" si="47"/>
        <v>1</v>
      </c>
      <c r="H293">
        <f t="shared" si="48"/>
        <v>2</v>
      </c>
      <c r="I293">
        <f t="shared" si="49"/>
        <v>2</v>
      </c>
      <c r="J293">
        <f t="shared" si="50"/>
        <v>2</v>
      </c>
    </row>
    <row r="294" spans="1:10">
      <c r="A294" t="s">
        <v>2169</v>
      </c>
      <c r="B294">
        <v>2020</v>
      </c>
      <c r="C294" t="s">
        <v>92</v>
      </c>
      <c r="D294" s="217">
        <f>M178*(1-$B$9)</f>
        <v>41.710144097320388</v>
      </c>
      <c r="E294" s="7" t="s">
        <v>2044</v>
      </c>
      <c r="F294">
        <f t="shared" si="46"/>
        <v>1</v>
      </c>
      <c r="G294">
        <f t="shared" si="47"/>
        <v>1</v>
      </c>
      <c r="H294">
        <f t="shared" si="48"/>
        <v>2</v>
      </c>
      <c r="I294">
        <f t="shared" si="49"/>
        <v>2</v>
      </c>
      <c r="J294">
        <f t="shared" si="50"/>
        <v>2</v>
      </c>
    </row>
    <row r="295" spans="1:10">
      <c r="A295" t="s">
        <v>2169</v>
      </c>
      <c r="B295">
        <v>2021</v>
      </c>
      <c r="C295" t="s">
        <v>92</v>
      </c>
      <c r="D295" s="217">
        <f>M185*(1-$B$9)</f>
        <v>49.625283601036998</v>
      </c>
      <c r="E295" s="7" t="s">
        <v>2044</v>
      </c>
      <c r="F295">
        <f t="shared" si="46"/>
        <v>1</v>
      </c>
      <c r="G295">
        <f t="shared" si="47"/>
        <v>1</v>
      </c>
      <c r="H295">
        <f t="shared" si="48"/>
        <v>2</v>
      </c>
      <c r="I295">
        <f t="shared" si="49"/>
        <v>2</v>
      </c>
      <c r="J295">
        <f t="shared" si="50"/>
        <v>2</v>
      </c>
    </row>
    <row r="296" spans="1:10">
      <c r="A296" t="s">
        <v>2169</v>
      </c>
      <c r="B296">
        <v>2022</v>
      </c>
      <c r="C296" t="s">
        <v>92</v>
      </c>
      <c r="D296" s="217">
        <f>M192*(1-$B$9)</f>
        <v>48.128269630869013</v>
      </c>
      <c r="E296" s="7" t="s">
        <v>2044</v>
      </c>
      <c r="F296">
        <f t="shared" si="46"/>
        <v>1</v>
      </c>
      <c r="G296">
        <f t="shared" si="47"/>
        <v>1</v>
      </c>
      <c r="H296">
        <f t="shared" si="48"/>
        <v>2</v>
      </c>
      <c r="I296">
        <f t="shared" si="49"/>
        <v>2</v>
      </c>
      <c r="J296">
        <f t="shared" si="50"/>
        <v>2</v>
      </c>
    </row>
    <row r="297" spans="1:10">
      <c r="A297" t="s">
        <v>2169</v>
      </c>
      <c r="B297">
        <v>2011</v>
      </c>
      <c r="C297" t="s">
        <v>92</v>
      </c>
      <c r="D297" s="217">
        <f>N115*(1-$B$9)</f>
        <v>64.892646033989095</v>
      </c>
      <c r="E297" t="s">
        <v>2045</v>
      </c>
      <c r="F297">
        <f t="shared" si="46"/>
        <v>1</v>
      </c>
      <c r="G297">
        <f t="shared" si="47"/>
        <v>1</v>
      </c>
      <c r="H297">
        <f t="shared" si="48"/>
        <v>2</v>
      </c>
      <c r="I297">
        <f t="shared" si="49"/>
        <v>2</v>
      </c>
      <c r="J297">
        <f t="shared" si="50"/>
        <v>2</v>
      </c>
    </row>
    <row r="298" spans="1:10">
      <c r="A298" t="s">
        <v>2169</v>
      </c>
      <c r="B298">
        <v>2012</v>
      </c>
      <c r="C298" t="s">
        <v>92</v>
      </c>
      <c r="D298" s="217">
        <f>N122*(1-$B$9)</f>
        <v>60.77649803015094</v>
      </c>
      <c r="E298" t="s">
        <v>2045</v>
      </c>
      <c r="F298">
        <f t="shared" si="46"/>
        <v>1</v>
      </c>
      <c r="G298">
        <f t="shared" si="47"/>
        <v>1</v>
      </c>
      <c r="H298">
        <f t="shared" si="48"/>
        <v>2</v>
      </c>
      <c r="I298">
        <f t="shared" si="49"/>
        <v>2</v>
      </c>
      <c r="J298">
        <f t="shared" si="50"/>
        <v>2</v>
      </c>
    </row>
    <row r="299" spans="1:10">
      <c r="A299" t="s">
        <v>2169</v>
      </c>
      <c r="B299">
        <v>2013</v>
      </c>
      <c r="C299" t="s">
        <v>92</v>
      </c>
      <c r="D299" s="217">
        <f>N129*(1-$B$9)</f>
        <v>61.020040292781694</v>
      </c>
      <c r="E299" t="s">
        <v>2045</v>
      </c>
      <c r="F299">
        <f t="shared" si="46"/>
        <v>1</v>
      </c>
      <c r="G299">
        <f t="shared" si="47"/>
        <v>1</v>
      </c>
      <c r="H299">
        <f t="shared" si="48"/>
        <v>2</v>
      </c>
      <c r="I299">
        <f t="shared" si="49"/>
        <v>2</v>
      </c>
      <c r="J299">
        <f t="shared" si="50"/>
        <v>2</v>
      </c>
    </row>
    <row r="300" spans="1:10">
      <c r="A300" t="s">
        <v>2169</v>
      </c>
      <c r="B300">
        <v>2014</v>
      </c>
      <c r="C300" t="s">
        <v>92</v>
      </c>
      <c r="D300" s="217">
        <f>N136*(1-$B$9)</f>
        <v>66.532849519996788</v>
      </c>
      <c r="E300" t="s">
        <v>2045</v>
      </c>
      <c r="F300">
        <f t="shared" si="46"/>
        <v>1</v>
      </c>
      <c r="G300">
        <f t="shared" si="47"/>
        <v>1</v>
      </c>
      <c r="H300">
        <f t="shared" si="48"/>
        <v>2</v>
      </c>
      <c r="I300">
        <f t="shared" si="49"/>
        <v>2</v>
      </c>
      <c r="J300">
        <f t="shared" si="50"/>
        <v>2</v>
      </c>
    </row>
    <row r="301" spans="1:10">
      <c r="A301" t="s">
        <v>2169</v>
      </c>
      <c r="B301">
        <v>2015</v>
      </c>
      <c r="C301" t="s">
        <v>92</v>
      </c>
      <c r="D301" s="217">
        <f>N143*(1-$B$9)</f>
        <v>62.939812322763082</v>
      </c>
      <c r="E301" t="s">
        <v>2045</v>
      </c>
      <c r="F301">
        <f t="shared" si="46"/>
        <v>1</v>
      </c>
      <c r="G301">
        <f t="shared" si="47"/>
        <v>1</v>
      </c>
      <c r="H301">
        <f t="shared" si="48"/>
        <v>2</v>
      </c>
      <c r="I301">
        <f t="shared" si="49"/>
        <v>2</v>
      </c>
      <c r="J301">
        <f t="shared" si="50"/>
        <v>2</v>
      </c>
    </row>
    <row r="302" spans="1:10">
      <c r="A302" t="s">
        <v>2169</v>
      </c>
      <c r="B302">
        <v>2016</v>
      </c>
      <c r="C302" t="s">
        <v>92</v>
      </c>
      <c r="D302" s="217">
        <f>N150*(1-$B$9)</f>
        <v>61.869218751619464</v>
      </c>
      <c r="E302" t="s">
        <v>2045</v>
      </c>
      <c r="F302">
        <f t="shared" si="46"/>
        <v>1</v>
      </c>
      <c r="G302">
        <f t="shared" si="47"/>
        <v>1</v>
      </c>
      <c r="H302">
        <f t="shared" si="48"/>
        <v>2</v>
      </c>
      <c r="I302">
        <f t="shared" si="49"/>
        <v>2</v>
      </c>
      <c r="J302">
        <f t="shared" si="50"/>
        <v>2</v>
      </c>
    </row>
    <row r="303" spans="1:10">
      <c r="A303" t="s">
        <v>2169</v>
      </c>
      <c r="B303">
        <v>2017</v>
      </c>
      <c r="C303" t="s">
        <v>92</v>
      </c>
      <c r="D303" s="217">
        <f>N157*(1-$B$9)</f>
        <v>63.93878801440539</v>
      </c>
      <c r="E303" t="s">
        <v>2045</v>
      </c>
      <c r="F303">
        <f t="shared" si="46"/>
        <v>1</v>
      </c>
      <c r="G303">
        <f t="shared" si="47"/>
        <v>1</v>
      </c>
      <c r="H303">
        <f t="shared" si="48"/>
        <v>2</v>
      </c>
      <c r="I303">
        <f t="shared" si="49"/>
        <v>2</v>
      </c>
      <c r="J303">
        <f t="shared" si="50"/>
        <v>2</v>
      </c>
    </row>
    <row r="304" spans="1:10">
      <c r="A304" t="s">
        <v>2169</v>
      </c>
      <c r="B304">
        <v>2018</v>
      </c>
      <c r="C304" t="s">
        <v>92</v>
      </c>
      <c r="D304" s="217">
        <f>N164*(1-$B$9)</f>
        <v>77.384079185531661</v>
      </c>
      <c r="E304" t="s">
        <v>2045</v>
      </c>
      <c r="F304">
        <f t="shared" si="46"/>
        <v>1</v>
      </c>
      <c r="G304">
        <f t="shared" si="47"/>
        <v>1</v>
      </c>
      <c r="H304">
        <f t="shared" si="48"/>
        <v>2</v>
      </c>
      <c r="I304">
        <f t="shared" si="49"/>
        <v>2</v>
      </c>
      <c r="J304">
        <f t="shared" si="50"/>
        <v>2</v>
      </c>
    </row>
    <row r="305" spans="1:10">
      <c r="A305" t="s">
        <v>2169</v>
      </c>
      <c r="B305">
        <v>2019</v>
      </c>
      <c r="C305" t="s">
        <v>92</v>
      </c>
      <c r="D305" s="217">
        <f>N171*(1-$B$9)</f>
        <v>63.61045137971886</v>
      </c>
      <c r="E305" t="s">
        <v>2045</v>
      </c>
      <c r="F305">
        <f t="shared" si="46"/>
        <v>1</v>
      </c>
      <c r="G305">
        <f t="shared" si="47"/>
        <v>1</v>
      </c>
      <c r="H305">
        <f t="shared" si="48"/>
        <v>2</v>
      </c>
      <c r="I305">
        <f t="shared" si="49"/>
        <v>2</v>
      </c>
      <c r="J305">
        <f t="shared" si="50"/>
        <v>2</v>
      </c>
    </row>
    <row r="306" spans="1:10">
      <c r="A306" t="s">
        <v>2169</v>
      </c>
      <c r="B306">
        <v>2020</v>
      </c>
      <c r="C306" t="s">
        <v>92</v>
      </c>
      <c r="D306" s="217">
        <f>N178*(1-$B$9)</f>
        <v>49.264944005614559</v>
      </c>
      <c r="E306" t="s">
        <v>2045</v>
      </c>
      <c r="F306">
        <f t="shared" si="46"/>
        <v>1</v>
      </c>
      <c r="G306">
        <f t="shared" si="47"/>
        <v>1</v>
      </c>
      <c r="H306">
        <f t="shared" si="48"/>
        <v>2</v>
      </c>
      <c r="I306">
        <f t="shared" si="49"/>
        <v>2</v>
      </c>
      <c r="J306">
        <f t="shared" si="50"/>
        <v>2</v>
      </c>
    </row>
    <row r="307" spans="1:10">
      <c r="A307" t="s">
        <v>2169</v>
      </c>
      <c r="B307">
        <v>2021</v>
      </c>
      <c r="C307" t="s">
        <v>92</v>
      </c>
      <c r="D307" s="217">
        <f>N185*(1-$B$9)</f>
        <v>58.613722651341597</v>
      </c>
      <c r="E307" t="s">
        <v>2045</v>
      </c>
      <c r="F307">
        <f t="shared" si="46"/>
        <v>1</v>
      </c>
      <c r="G307">
        <f t="shared" si="47"/>
        <v>1</v>
      </c>
      <c r="H307">
        <f t="shared" si="48"/>
        <v>2</v>
      </c>
      <c r="I307">
        <f t="shared" si="49"/>
        <v>2</v>
      </c>
      <c r="J307">
        <f t="shared" si="50"/>
        <v>2</v>
      </c>
    </row>
    <row r="308" spans="1:10">
      <c r="A308" t="s">
        <v>2169</v>
      </c>
      <c r="B308">
        <v>2022</v>
      </c>
      <c r="C308" t="s">
        <v>92</v>
      </c>
      <c r="D308" s="217">
        <f>N192*(1-$B$9)</f>
        <v>56.845560229177096</v>
      </c>
      <c r="E308" t="s">
        <v>2045</v>
      </c>
      <c r="F308">
        <f t="shared" si="46"/>
        <v>1</v>
      </c>
      <c r="G308">
        <f t="shared" si="47"/>
        <v>1</v>
      </c>
      <c r="H308">
        <f t="shared" si="48"/>
        <v>2</v>
      </c>
      <c r="I308">
        <f t="shared" si="49"/>
        <v>2</v>
      </c>
      <c r="J308">
        <f t="shared" si="50"/>
        <v>2</v>
      </c>
    </row>
    <row r="309" spans="1:10">
      <c r="A309" t="s">
        <v>2168</v>
      </c>
      <c r="B309">
        <v>2011</v>
      </c>
      <c r="C309" t="s">
        <v>99</v>
      </c>
      <c r="D309" s="217">
        <f>M109*(1-$B$9)</f>
        <v>31.323856063769544</v>
      </c>
      <c r="E309" s="7" t="s">
        <v>2044</v>
      </c>
      <c r="F309">
        <f t="shared" ref="F309:F332" si="51">O109</f>
        <v>1</v>
      </c>
      <c r="G309">
        <f t="shared" ref="G309:G332" si="52">P109</f>
        <v>1</v>
      </c>
      <c r="H309">
        <f t="shared" ref="H309:H332" si="53">Q109</f>
        <v>2</v>
      </c>
      <c r="I309">
        <f t="shared" ref="I309:I332" si="54">R109</f>
        <v>2</v>
      </c>
      <c r="J309">
        <f t="shared" ref="J309:J332" si="55">S109</f>
        <v>2</v>
      </c>
    </row>
    <row r="310" spans="1:10">
      <c r="A310" t="s">
        <v>2168</v>
      </c>
      <c r="B310">
        <v>2012</v>
      </c>
      <c r="C310" t="s">
        <v>99</v>
      </c>
      <c r="D310">
        <f>M116*(1-$B$9)</f>
        <v>28.939700715961639</v>
      </c>
      <c r="E310" s="7" t="s">
        <v>2044</v>
      </c>
      <c r="F310">
        <f t="shared" si="51"/>
        <v>1</v>
      </c>
      <c r="G310">
        <f t="shared" si="52"/>
        <v>1</v>
      </c>
      <c r="H310">
        <f t="shared" si="53"/>
        <v>2</v>
      </c>
      <c r="I310">
        <f t="shared" si="54"/>
        <v>2</v>
      </c>
      <c r="J310">
        <f t="shared" si="55"/>
        <v>2</v>
      </c>
    </row>
    <row r="311" spans="1:10">
      <c r="A311" t="s">
        <v>2168</v>
      </c>
      <c r="B311">
        <v>2013</v>
      </c>
      <c r="C311" t="s">
        <v>99</v>
      </c>
      <c r="D311">
        <f>M123*(1-$B$9)</f>
        <v>27.53375528380252</v>
      </c>
      <c r="E311" s="7" t="s">
        <v>2044</v>
      </c>
      <c r="F311">
        <f t="shared" si="51"/>
        <v>1</v>
      </c>
      <c r="G311">
        <f t="shared" si="52"/>
        <v>1</v>
      </c>
      <c r="H311">
        <f t="shared" si="53"/>
        <v>2</v>
      </c>
      <c r="I311">
        <f t="shared" si="54"/>
        <v>2</v>
      </c>
      <c r="J311">
        <f t="shared" si="55"/>
        <v>2</v>
      </c>
    </row>
    <row r="312" spans="1:10">
      <c r="A312" t="s">
        <v>2168</v>
      </c>
      <c r="B312">
        <v>2014</v>
      </c>
      <c r="C312" t="s">
        <v>99</v>
      </c>
      <c r="D312">
        <f>M130*(1-$B$9)</f>
        <v>26.834825608984801</v>
      </c>
      <c r="E312" s="7" t="s">
        <v>2044</v>
      </c>
      <c r="F312">
        <f t="shared" si="51"/>
        <v>1</v>
      </c>
      <c r="G312">
        <f t="shared" si="52"/>
        <v>1</v>
      </c>
      <c r="H312">
        <f t="shared" si="53"/>
        <v>2</v>
      </c>
      <c r="I312">
        <f t="shared" si="54"/>
        <v>2</v>
      </c>
      <c r="J312">
        <f t="shared" si="55"/>
        <v>2</v>
      </c>
    </row>
    <row r="313" spans="1:10">
      <c r="A313" t="s">
        <v>2168</v>
      </c>
      <c r="B313">
        <v>2015</v>
      </c>
      <c r="C313" t="s">
        <v>99</v>
      </c>
      <c r="D313">
        <f>M137*(1-$B$9)</f>
        <v>24.139952862753976</v>
      </c>
      <c r="E313" s="7" t="s">
        <v>2044</v>
      </c>
      <c r="F313">
        <f t="shared" si="51"/>
        <v>1</v>
      </c>
      <c r="G313">
        <f t="shared" si="52"/>
        <v>1</v>
      </c>
      <c r="H313">
        <f t="shared" si="53"/>
        <v>2</v>
      </c>
      <c r="I313">
        <f t="shared" si="54"/>
        <v>2</v>
      </c>
      <c r="J313">
        <f t="shared" si="55"/>
        <v>2</v>
      </c>
    </row>
    <row r="314" spans="1:10">
      <c r="A314" t="s">
        <v>2168</v>
      </c>
      <c r="B314">
        <v>2016</v>
      </c>
      <c r="C314" t="s">
        <v>99</v>
      </c>
      <c r="D314">
        <f>M144*(1-$B$9)</f>
        <v>27.520387156055381</v>
      </c>
      <c r="E314" s="7" t="s">
        <v>2044</v>
      </c>
      <c r="F314">
        <f t="shared" si="51"/>
        <v>1</v>
      </c>
      <c r="G314">
        <f t="shared" si="52"/>
        <v>1</v>
      </c>
      <c r="H314">
        <f t="shared" si="53"/>
        <v>2</v>
      </c>
      <c r="I314">
        <f t="shared" si="54"/>
        <v>2</v>
      </c>
      <c r="J314">
        <f t="shared" si="55"/>
        <v>2</v>
      </c>
    </row>
    <row r="315" spans="1:10">
      <c r="A315" t="s">
        <v>2168</v>
      </c>
      <c r="B315">
        <v>2017</v>
      </c>
      <c r="C315" t="s">
        <v>99</v>
      </c>
      <c r="D315">
        <f>M151*(1-$B$9)</f>
        <v>22.822083248542128</v>
      </c>
      <c r="E315" s="7" t="s">
        <v>2044</v>
      </c>
      <c r="F315">
        <f t="shared" si="51"/>
        <v>1</v>
      </c>
      <c r="G315">
        <f t="shared" si="52"/>
        <v>1</v>
      </c>
      <c r="H315">
        <f t="shared" si="53"/>
        <v>2</v>
      </c>
      <c r="I315">
        <f t="shared" si="54"/>
        <v>2</v>
      </c>
      <c r="J315">
        <f t="shared" si="55"/>
        <v>2</v>
      </c>
    </row>
    <row r="316" spans="1:10">
      <c r="A316" t="s">
        <v>2168</v>
      </c>
      <c r="B316">
        <v>2018</v>
      </c>
      <c r="C316" t="s">
        <v>99</v>
      </c>
      <c r="D316">
        <f>M158*(1-$B$9)</f>
        <v>25.958485764071945</v>
      </c>
      <c r="E316" s="7" t="s">
        <v>2044</v>
      </c>
      <c r="F316">
        <f t="shared" si="51"/>
        <v>1</v>
      </c>
      <c r="G316">
        <f t="shared" si="52"/>
        <v>1</v>
      </c>
      <c r="H316">
        <f t="shared" si="53"/>
        <v>2</v>
      </c>
      <c r="I316">
        <f t="shared" si="54"/>
        <v>2</v>
      </c>
      <c r="J316">
        <f t="shared" si="55"/>
        <v>2</v>
      </c>
    </row>
    <row r="317" spans="1:10">
      <c r="A317" t="s">
        <v>2168</v>
      </c>
      <c r="B317">
        <v>2019</v>
      </c>
      <c r="C317" t="s">
        <v>99</v>
      </c>
      <c r="D317">
        <f>M165*(1-$B$9)</f>
        <v>25.420305253598197</v>
      </c>
      <c r="E317" s="7" t="s">
        <v>2044</v>
      </c>
      <c r="F317">
        <f t="shared" si="51"/>
        <v>1</v>
      </c>
      <c r="G317">
        <f t="shared" si="52"/>
        <v>1</v>
      </c>
      <c r="H317">
        <f t="shared" si="53"/>
        <v>2</v>
      </c>
      <c r="I317">
        <f t="shared" si="54"/>
        <v>2</v>
      </c>
      <c r="J317">
        <f t="shared" si="55"/>
        <v>2</v>
      </c>
    </row>
    <row r="318" spans="1:10">
      <c r="A318" t="s">
        <v>2168</v>
      </c>
      <c r="B318">
        <v>2020</v>
      </c>
      <c r="C318" t="s">
        <v>99</v>
      </c>
      <c r="D318">
        <f>M172*(1-$B$9)</f>
        <v>19.264682494518464</v>
      </c>
      <c r="E318" s="7" t="s">
        <v>2044</v>
      </c>
      <c r="F318">
        <f t="shared" si="51"/>
        <v>1</v>
      </c>
      <c r="G318">
        <f t="shared" si="52"/>
        <v>1</v>
      </c>
      <c r="H318">
        <f t="shared" si="53"/>
        <v>2</v>
      </c>
      <c r="I318">
        <f t="shared" si="54"/>
        <v>2</v>
      </c>
      <c r="J318">
        <f t="shared" si="55"/>
        <v>2</v>
      </c>
    </row>
    <row r="319" spans="1:10">
      <c r="A319" t="s">
        <v>2168</v>
      </c>
      <c r="B319">
        <v>2021</v>
      </c>
      <c r="C319" t="s">
        <v>99</v>
      </c>
      <c r="D319">
        <f>M179*(1-$B$9)</f>
        <v>19.718829699422724</v>
      </c>
      <c r="E319" s="7" t="s">
        <v>2044</v>
      </c>
      <c r="F319">
        <f t="shared" si="51"/>
        <v>1</v>
      </c>
      <c r="G319">
        <f t="shared" si="52"/>
        <v>1</v>
      </c>
      <c r="H319">
        <f t="shared" si="53"/>
        <v>2</v>
      </c>
      <c r="I319">
        <f t="shared" si="54"/>
        <v>2</v>
      </c>
      <c r="J319">
        <f t="shared" si="55"/>
        <v>2</v>
      </c>
    </row>
    <row r="320" spans="1:10">
      <c r="A320" t="s">
        <v>2168</v>
      </c>
      <c r="B320">
        <v>2022</v>
      </c>
      <c r="C320" t="s">
        <v>99</v>
      </c>
      <c r="D320">
        <f>M186*(1-$B$9)</f>
        <v>21.348742389276275</v>
      </c>
      <c r="E320" s="7" t="s">
        <v>2044</v>
      </c>
      <c r="F320">
        <f t="shared" si="51"/>
        <v>1</v>
      </c>
      <c r="G320">
        <f t="shared" si="52"/>
        <v>1</v>
      </c>
      <c r="H320">
        <f t="shared" si="53"/>
        <v>2</v>
      </c>
      <c r="I320">
        <f t="shared" si="54"/>
        <v>2</v>
      </c>
      <c r="J320">
        <f t="shared" si="55"/>
        <v>2</v>
      </c>
    </row>
    <row r="321" spans="1:30">
      <c r="A321" t="s">
        <v>2168</v>
      </c>
      <c r="B321">
        <v>2011</v>
      </c>
      <c r="C321" t="s">
        <v>99</v>
      </c>
      <c r="D321">
        <f>N109*(1-$B$9)</f>
        <v>36.997427086824068</v>
      </c>
      <c r="E321" t="s">
        <v>2045</v>
      </c>
      <c r="F321">
        <f t="shared" si="51"/>
        <v>1</v>
      </c>
      <c r="G321">
        <f t="shared" si="52"/>
        <v>1</v>
      </c>
      <c r="H321">
        <f t="shared" si="53"/>
        <v>2</v>
      </c>
      <c r="I321">
        <f t="shared" si="54"/>
        <v>2</v>
      </c>
      <c r="J321">
        <f t="shared" si="55"/>
        <v>2</v>
      </c>
    </row>
    <row r="322" spans="1:30">
      <c r="A322" t="s">
        <v>2168</v>
      </c>
      <c r="B322">
        <v>2012</v>
      </c>
      <c r="C322" t="s">
        <v>99</v>
      </c>
      <c r="D322">
        <f>N116*(1-$B$9)</f>
        <v>34.181438740286843</v>
      </c>
      <c r="E322" t="s">
        <v>2045</v>
      </c>
      <c r="F322">
        <f t="shared" si="51"/>
        <v>1</v>
      </c>
      <c r="G322">
        <f t="shared" si="52"/>
        <v>1</v>
      </c>
      <c r="H322">
        <f t="shared" si="53"/>
        <v>2</v>
      </c>
      <c r="I322">
        <f t="shared" si="54"/>
        <v>2</v>
      </c>
      <c r="J322">
        <f t="shared" si="55"/>
        <v>2</v>
      </c>
    </row>
    <row r="323" spans="1:30">
      <c r="A323" t="s">
        <v>2168</v>
      </c>
      <c r="B323">
        <v>2013</v>
      </c>
      <c r="C323" t="s">
        <v>99</v>
      </c>
      <c r="D323">
        <f>N123*(1-$B$9)</f>
        <v>32.520839754374492</v>
      </c>
      <c r="E323" t="s">
        <v>2045</v>
      </c>
      <c r="F323">
        <f t="shared" si="51"/>
        <v>1</v>
      </c>
      <c r="G323">
        <f t="shared" si="52"/>
        <v>1</v>
      </c>
      <c r="H323">
        <f t="shared" si="53"/>
        <v>2</v>
      </c>
      <c r="I323">
        <f t="shared" si="54"/>
        <v>2</v>
      </c>
      <c r="J323">
        <f t="shared" si="55"/>
        <v>2</v>
      </c>
    </row>
    <row r="324" spans="1:30">
      <c r="A324" t="s">
        <v>2168</v>
      </c>
      <c r="B324">
        <v>2014</v>
      </c>
      <c r="C324" t="s">
        <v>99</v>
      </c>
      <c r="D324">
        <f>N130*(1-$B$9)</f>
        <v>31.69531560338098</v>
      </c>
      <c r="E324" t="s">
        <v>2045</v>
      </c>
      <c r="F324">
        <f t="shared" si="51"/>
        <v>1</v>
      </c>
      <c r="G324">
        <f t="shared" si="52"/>
        <v>1</v>
      </c>
      <c r="H324">
        <f t="shared" si="53"/>
        <v>2</v>
      </c>
      <c r="I324">
        <f t="shared" si="54"/>
        <v>2</v>
      </c>
      <c r="J324">
        <f t="shared" si="55"/>
        <v>2</v>
      </c>
    </row>
    <row r="325" spans="1:30">
      <c r="A325" t="s">
        <v>2168</v>
      </c>
      <c r="B325">
        <v>2015</v>
      </c>
      <c r="C325" t="s">
        <v>99</v>
      </c>
      <c r="D325">
        <f>N137*(1-$B$9)</f>
        <v>28.512330796722217</v>
      </c>
      <c r="E325" t="s">
        <v>2045</v>
      </c>
      <c r="F325">
        <f t="shared" si="51"/>
        <v>1</v>
      </c>
      <c r="G325">
        <f t="shared" si="52"/>
        <v>1</v>
      </c>
      <c r="H325">
        <f t="shared" si="53"/>
        <v>2</v>
      </c>
      <c r="I325">
        <f t="shared" si="54"/>
        <v>2</v>
      </c>
      <c r="J325">
        <f t="shared" si="55"/>
        <v>2</v>
      </c>
    </row>
    <row r="326" spans="1:30">
      <c r="A326" t="s">
        <v>2168</v>
      </c>
      <c r="B326">
        <v>2016</v>
      </c>
      <c r="C326" t="s">
        <v>99</v>
      </c>
      <c r="D326">
        <f>N144*(1-$B$9)</f>
        <v>32.505050308445313</v>
      </c>
      <c r="E326" t="s">
        <v>2045</v>
      </c>
      <c r="F326">
        <f t="shared" si="51"/>
        <v>1</v>
      </c>
      <c r="G326">
        <f t="shared" si="52"/>
        <v>1</v>
      </c>
      <c r="H326">
        <f t="shared" si="53"/>
        <v>2</v>
      </c>
      <c r="I326">
        <f t="shared" si="54"/>
        <v>2</v>
      </c>
      <c r="J326">
        <f t="shared" si="55"/>
        <v>2</v>
      </c>
    </row>
    <row r="327" spans="1:30">
      <c r="A327" t="s">
        <v>2168</v>
      </c>
      <c r="B327">
        <v>2017</v>
      </c>
      <c r="C327" t="s">
        <v>99</v>
      </c>
      <c r="D327">
        <f>N151*(1-$B$9)</f>
        <v>26.955760466987524</v>
      </c>
      <c r="E327" t="s">
        <v>2045</v>
      </c>
      <c r="F327">
        <f t="shared" si="51"/>
        <v>1</v>
      </c>
      <c r="G327">
        <f t="shared" si="52"/>
        <v>1</v>
      </c>
      <c r="H327">
        <f t="shared" si="53"/>
        <v>2</v>
      </c>
      <c r="I327">
        <f t="shared" si="54"/>
        <v>2</v>
      </c>
      <c r="J327">
        <f t="shared" si="55"/>
        <v>2</v>
      </c>
    </row>
    <row r="328" spans="1:30">
      <c r="A328" t="s">
        <v>2168</v>
      </c>
      <c r="B328">
        <v>2018</v>
      </c>
      <c r="C328" t="s">
        <v>99</v>
      </c>
      <c r="D328">
        <f>N158*(1-$B$9)</f>
        <v>30.66024765231402</v>
      </c>
      <c r="E328" t="s">
        <v>2045</v>
      </c>
      <c r="F328">
        <f t="shared" si="51"/>
        <v>1</v>
      </c>
      <c r="G328">
        <f t="shared" si="52"/>
        <v>1</v>
      </c>
      <c r="H328">
        <f t="shared" si="53"/>
        <v>2</v>
      </c>
      <c r="I328">
        <f t="shared" si="54"/>
        <v>2</v>
      </c>
      <c r="J328">
        <f t="shared" si="55"/>
        <v>2</v>
      </c>
    </row>
    <row r="329" spans="1:30">
      <c r="A329" t="s">
        <v>2168</v>
      </c>
      <c r="B329">
        <v>2019</v>
      </c>
      <c r="C329" t="s">
        <v>99</v>
      </c>
      <c r="D329">
        <f>N165*(1-$B$9)</f>
        <v>30.024588550980315</v>
      </c>
      <c r="E329" t="s">
        <v>2045</v>
      </c>
      <c r="F329">
        <f t="shared" si="51"/>
        <v>1</v>
      </c>
      <c r="G329">
        <f t="shared" si="52"/>
        <v>1</v>
      </c>
      <c r="H329">
        <f t="shared" si="53"/>
        <v>2</v>
      </c>
      <c r="I329">
        <f t="shared" si="54"/>
        <v>2</v>
      </c>
      <c r="J329">
        <f t="shared" si="55"/>
        <v>2</v>
      </c>
    </row>
    <row r="330" spans="1:30">
      <c r="A330" t="s">
        <v>2168</v>
      </c>
      <c r="B330">
        <v>2020</v>
      </c>
      <c r="C330" t="s">
        <v>99</v>
      </c>
      <c r="D330">
        <f>N172*(1-$B$9)</f>
        <v>22.754021231956546</v>
      </c>
      <c r="E330" t="s">
        <v>2045</v>
      </c>
      <c r="F330">
        <f t="shared" si="51"/>
        <v>1</v>
      </c>
      <c r="G330">
        <f t="shared" si="52"/>
        <v>1</v>
      </c>
      <c r="H330">
        <f t="shared" si="53"/>
        <v>2</v>
      </c>
      <c r="I330">
        <f t="shared" si="54"/>
        <v>2</v>
      </c>
      <c r="J330">
        <f t="shared" si="55"/>
        <v>2</v>
      </c>
    </row>
    <row r="331" spans="1:30">
      <c r="A331" t="s">
        <v>2168</v>
      </c>
      <c r="B331">
        <v>2021</v>
      </c>
      <c r="C331" t="s">
        <v>99</v>
      </c>
      <c r="D331">
        <f>N179*(1-$B$9)</f>
        <v>23.290426394396444</v>
      </c>
      <c r="E331" t="s">
        <v>2045</v>
      </c>
      <c r="F331">
        <f t="shared" si="51"/>
        <v>1</v>
      </c>
      <c r="G331">
        <f t="shared" si="52"/>
        <v>1</v>
      </c>
      <c r="H331">
        <f t="shared" si="53"/>
        <v>2</v>
      </c>
      <c r="I331">
        <f t="shared" si="54"/>
        <v>2</v>
      </c>
      <c r="J331">
        <f t="shared" si="55"/>
        <v>2</v>
      </c>
    </row>
    <row r="332" spans="1:30">
      <c r="A332" t="s">
        <v>2168</v>
      </c>
      <c r="B332">
        <v>2022</v>
      </c>
      <c r="C332" t="s">
        <v>99</v>
      </c>
      <c r="D332">
        <f>N186*(1-$B$9)</f>
        <v>25.215558976348717</v>
      </c>
      <c r="E332" t="s">
        <v>2045</v>
      </c>
      <c r="F332">
        <f t="shared" si="51"/>
        <v>1</v>
      </c>
      <c r="G332">
        <f t="shared" si="52"/>
        <v>1</v>
      </c>
      <c r="H332">
        <f t="shared" si="53"/>
        <v>2</v>
      </c>
      <c r="I332">
        <f t="shared" si="54"/>
        <v>2</v>
      </c>
      <c r="J332">
        <f t="shared" si="55"/>
        <v>2</v>
      </c>
    </row>
    <row r="334" spans="1:30" s="1117" customFormat="1">
      <c r="A334" s="1109" t="s">
        <v>2171</v>
      </c>
    </row>
    <row r="335" spans="1:30" s="1117" customFormat="1" ht="15.75" thickBot="1"/>
    <row r="336" spans="1:30" ht="15.7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4" t="s">
        <v>527</v>
      </c>
      <c r="Q336" s="108" t="s">
        <v>102</v>
      </c>
      <c r="R336" s="644" t="s">
        <v>528</v>
      </c>
      <c r="S336" s="644" t="s">
        <v>245</v>
      </c>
      <c r="T336" s="644" t="s">
        <v>529</v>
      </c>
      <c r="U336" s="644" t="s">
        <v>530</v>
      </c>
      <c r="V336" s="644" t="s">
        <v>531</v>
      </c>
      <c r="W336" s="110" t="s">
        <v>104</v>
      </c>
      <c r="X336" s="45" t="s">
        <v>105</v>
      </c>
      <c r="Y336" s="46" t="s">
        <v>65</v>
      </c>
      <c r="Z336" s="46" t="s">
        <v>67</v>
      </c>
      <c r="AA336" s="46" t="s">
        <v>73</v>
      </c>
      <c r="AB336" s="47" t="s">
        <v>79</v>
      </c>
      <c r="AC336" s="50" t="s">
        <v>106</v>
      </c>
      <c r="AD336" s="49" t="s">
        <v>123</v>
      </c>
    </row>
    <row r="337" spans="1:30">
      <c r="A337" t="s">
        <v>256</v>
      </c>
      <c r="B337" t="s">
        <v>2163</v>
      </c>
      <c r="C337" t="s">
        <v>182</v>
      </c>
      <c r="D337" t="str">
        <f>C180</f>
        <v>OTHER</v>
      </c>
      <c r="E337">
        <f>M180/T349</f>
        <v>3.389864231937407E-3</v>
      </c>
      <c r="F337">
        <v>2</v>
      </c>
      <c r="G337" s="7" t="s">
        <v>2044</v>
      </c>
      <c r="I337">
        <f t="shared" ref="I337:M341" si="56">O180</f>
        <v>1</v>
      </c>
      <c r="J337">
        <f t="shared" si="56"/>
        <v>1</v>
      </c>
      <c r="K337">
        <f t="shared" si="56"/>
        <v>2</v>
      </c>
      <c r="L337">
        <f t="shared" si="56"/>
        <v>2</v>
      </c>
      <c r="M337">
        <f t="shared" si="56"/>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2163</v>
      </c>
      <c r="C338" t="s">
        <v>182</v>
      </c>
      <c r="D338" t="str">
        <f>C181</f>
        <v>PA</v>
      </c>
      <c r="E338">
        <f>M181/T347</f>
        <v>3.3558127324363765E-2</v>
      </c>
      <c r="F338">
        <v>2</v>
      </c>
      <c r="G338" s="7" t="s">
        <v>2044</v>
      </c>
      <c r="I338">
        <f t="shared" si="56"/>
        <v>1</v>
      </c>
      <c r="J338">
        <f t="shared" si="56"/>
        <v>1</v>
      </c>
      <c r="K338">
        <f t="shared" si="56"/>
        <v>2</v>
      </c>
      <c r="L338">
        <f t="shared" si="56"/>
        <v>2</v>
      </c>
      <c r="M338">
        <f t="shared" si="56"/>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2163</v>
      </c>
      <c r="C339" t="s">
        <v>182</v>
      </c>
      <c r="D339" t="str">
        <f>C182</f>
        <v>PET</v>
      </c>
      <c r="E339">
        <f>M182/T343</f>
        <v>6.5245676197436375E-2</v>
      </c>
      <c r="F339">
        <v>2</v>
      </c>
      <c r="G339" s="7" t="s">
        <v>2044</v>
      </c>
      <c r="I339">
        <f t="shared" si="56"/>
        <v>1</v>
      </c>
      <c r="J339">
        <f t="shared" si="56"/>
        <v>1</v>
      </c>
      <c r="K339">
        <f t="shared" si="56"/>
        <v>2</v>
      </c>
      <c r="L339">
        <f t="shared" si="56"/>
        <v>2</v>
      </c>
      <c r="M339">
        <f t="shared" si="56"/>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2163</v>
      </c>
      <c r="C340" t="s">
        <v>182</v>
      </c>
      <c r="D340" t="str">
        <f>C183</f>
        <v>PUR</v>
      </c>
      <c r="E340">
        <f>M183/T348</f>
        <v>2.2222566857701978E-2</v>
      </c>
      <c r="F340">
        <v>2</v>
      </c>
      <c r="G340" s="7" t="s">
        <v>2044</v>
      </c>
      <c r="I340">
        <f t="shared" si="56"/>
        <v>1</v>
      </c>
      <c r="J340">
        <f t="shared" si="56"/>
        <v>1</v>
      </c>
      <c r="K340">
        <f t="shared" si="56"/>
        <v>2</v>
      </c>
      <c r="L340">
        <f t="shared" si="56"/>
        <v>2</v>
      </c>
      <c r="M340">
        <f t="shared" si="56"/>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2163</v>
      </c>
      <c r="C341" t="s">
        <v>182</v>
      </c>
      <c r="D341" t="str">
        <f>C184</f>
        <v>PVC</v>
      </c>
      <c r="E341">
        <f>M184/T342</f>
        <v>6.0053267147578086E-3</v>
      </c>
      <c r="F341">
        <v>2</v>
      </c>
      <c r="G341" s="7" t="s">
        <v>2044</v>
      </c>
      <c r="I341">
        <f t="shared" si="56"/>
        <v>1</v>
      </c>
      <c r="J341">
        <f t="shared" si="56"/>
        <v>1</v>
      </c>
      <c r="K341">
        <f t="shared" si="56"/>
        <v>2</v>
      </c>
      <c r="L341">
        <f t="shared" si="56"/>
        <v>2</v>
      </c>
      <c r="M341">
        <f t="shared" si="56"/>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2163</v>
      </c>
      <c r="C342" t="s">
        <v>182</v>
      </c>
      <c r="D342" t="str">
        <f>C180</f>
        <v>OTHER</v>
      </c>
      <c r="E342">
        <f>N180/T349</f>
        <v>4.0038574593119361E-3</v>
      </c>
      <c r="F342">
        <v>2</v>
      </c>
      <c r="G342" t="s">
        <v>2045</v>
      </c>
      <c r="I342">
        <f t="shared" ref="I342:M346" si="57">O187</f>
        <v>1</v>
      </c>
      <c r="J342">
        <f t="shared" si="57"/>
        <v>1</v>
      </c>
      <c r="K342">
        <f t="shared" si="57"/>
        <v>2</v>
      </c>
      <c r="L342">
        <f t="shared" si="57"/>
        <v>2</v>
      </c>
      <c r="M342">
        <f t="shared" si="57"/>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2163</v>
      </c>
      <c r="C343" t="s">
        <v>182</v>
      </c>
      <c r="D343" t="str">
        <f>C181</f>
        <v>PA</v>
      </c>
      <c r="E343">
        <f>N181/T347</f>
        <v>3.96363834109668E-2</v>
      </c>
      <c r="F343">
        <v>2</v>
      </c>
      <c r="G343" t="s">
        <v>2045</v>
      </c>
      <c r="I343">
        <f t="shared" si="57"/>
        <v>1</v>
      </c>
      <c r="J343">
        <f t="shared" si="57"/>
        <v>1</v>
      </c>
      <c r="K343">
        <f t="shared" si="57"/>
        <v>2</v>
      </c>
      <c r="L343">
        <f t="shared" si="57"/>
        <v>2</v>
      </c>
      <c r="M343">
        <f t="shared" si="57"/>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2163</v>
      </c>
      <c r="C344" t="s">
        <v>182</v>
      </c>
      <c r="D344" t="str">
        <f>C182</f>
        <v>PET</v>
      </c>
      <c r="E344">
        <f>N182/T343</f>
        <v>7.7063377603666952E-2</v>
      </c>
      <c r="F344">
        <v>2</v>
      </c>
      <c r="G344" t="s">
        <v>2045</v>
      </c>
      <c r="I344">
        <f t="shared" si="57"/>
        <v>1</v>
      </c>
      <c r="J344">
        <f t="shared" si="57"/>
        <v>1</v>
      </c>
      <c r="K344">
        <f t="shared" si="57"/>
        <v>2</v>
      </c>
      <c r="L344">
        <f t="shared" si="57"/>
        <v>2</v>
      </c>
      <c r="M344">
        <f t="shared" si="57"/>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2163</v>
      </c>
      <c r="C345" t="s">
        <v>182</v>
      </c>
      <c r="D345" t="str">
        <f>C183</f>
        <v>PUR</v>
      </c>
      <c r="E345">
        <f>N183/T348</f>
        <v>2.6247655950343441E-2</v>
      </c>
      <c r="F345">
        <v>2</v>
      </c>
      <c r="G345" t="s">
        <v>2045</v>
      </c>
      <c r="I345">
        <f t="shared" si="57"/>
        <v>1</v>
      </c>
      <c r="J345">
        <f t="shared" si="57"/>
        <v>1</v>
      </c>
      <c r="K345">
        <f t="shared" si="57"/>
        <v>2</v>
      </c>
      <c r="L345">
        <f t="shared" si="57"/>
        <v>2</v>
      </c>
      <c r="M345">
        <f t="shared" si="57"/>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2163</v>
      </c>
      <c r="C346" t="s">
        <v>182</v>
      </c>
      <c r="D346" t="str">
        <f>C184</f>
        <v>PVC</v>
      </c>
      <c r="E346">
        <f>N184/T342</f>
        <v>7.0930487232953796E-3</v>
      </c>
      <c r="F346">
        <v>2</v>
      </c>
      <c r="G346" t="s">
        <v>2045</v>
      </c>
      <c r="I346">
        <f t="shared" si="57"/>
        <v>1</v>
      </c>
      <c r="J346">
        <f t="shared" si="57"/>
        <v>1</v>
      </c>
      <c r="K346">
        <f t="shared" si="57"/>
        <v>2</v>
      </c>
      <c r="L346">
        <f t="shared" si="57"/>
        <v>2</v>
      </c>
      <c r="M346">
        <f t="shared" si="57"/>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c r="O348">
        <v>2021</v>
      </c>
      <c r="P348">
        <v>3554</v>
      </c>
      <c r="Q348" t="s">
        <v>93</v>
      </c>
      <c r="R348">
        <v>72</v>
      </c>
      <c r="S348">
        <v>494</v>
      </c>
      <c r="T348">
        <v>3132</v>
      </c>
      <c r="U348">
        <v>0.13623827909542199</v>
      </c>
      <c r="V348">
        <v>0.86376172090457803</v>
      </c>
      <c r="W348" t="s">
        <v>126</v>
      </c>
      <c r="X348">
        <v>1</v>
      </c>
      <c r="Y348">
        <v>1</v>
      </c>
      <c r="Z348">
        <v>1</v>
      </c>
      <c r="AA348">
        <v>2</v>
      </c>
      <c r="AB348">
        <v>2</v>
      </c>
      <c r="AC348">
        <v>0.35859414261160716</v>
      </c>
      <c r="AD348" t="s">
        <v>111</v>
      </c>
    </row>
    <row r="349" spans="1:30">
      <c r="O349">
        <v>2021</v>
      </c>
      <c r="P349">
        <v>15065</v>
      </c>
      <c r="Q349" t="s">
        <v>98</v>
      </c>
      <c r="R349">
        <v>1687</v>
      </c>
      <c r="S349">
        <v>5812</v>
      </c>
      <c r="T349">
        <v>10940</v>
      </c>
      <c r="U349">
        <v>0.34694364851957982</v>
      </c>
      <c r="V349">
        <v>0.65305635148042018</v>
      </c>
      <c r="W349" t="s">
        <v>126</v>
      </c>
      <c r="X349">
        <v>1</v>
      </c>
      <c r="Y349">
        <v>1</v>
      </c>
      <c r="Z349">
        <v>1</v>
      </c>
      <c r="AA349">
        <v>2</v>
      </c>
      <c r="AB349">
        <v>2</v>
      </c>
      <c r="AC349">
        <v>0.35859414261160716</v>
      </c>
      <c r="AD349" t="s">
        <v>111</v>
      </c>
    </row>
    <row r="350" spans="1:30" s="1115" customFormat="1">
      <c r="A350" s="1115" t="s">
        <v>2053</v>
      </c>
    </row>
    <row r="351" spans="1:30" s="1115" customFormat="1" ht="15.75" thickBot="1"/>
    <row r="352" spans="1:30">
      <c r="A352" s="65" t="s">
        <v>129</v>
      </c>
      <c r="B352" s="107" t="s">
        <v>130</v>
      </c>
      <c r="C352" s="108" t="s">
        <v>131</v>
      </c>
      <c r="D352" s="109" t="s">
        <v>102</v>
      </c>
      <c r="E352" s="226" t="s">
        <v>132</v>
      </c>
      <c r="F352" s="108" t="s">
        <v>133</v>
      </c>
      <c r="G352" s="110" t="s">
        <v>104</v>
      </c>
      <c r="H352" s="111" t="s">
        <v>134</v>
      </c>
      <c r="I352" s="112" t="s">
        <v>135</v>
      </c>
      <c r="J352" s="112" t="s">
        <v>65</v>
      </c>
      <c r="K352" s="112" t="s">
        <v>67</v>
      </c>
      <c r="L352" s="112" t="s">
        <v>73</v>
      </c>
      <c r="M352" s="113" t="s">
        <v>79</v>
      </c>
    </row>
    <row r="353" spans="1:13">
      <c r="A353" t="s">
        <v>108</v>
      </c>
      <c r="B353" t="s">
        <v>2054</v>
      </c>
      <c r="C353" t="s">
        <v>180</v>
      </c>
      <c r="D353" t="s">
        <v>99</v>
      </c>
      <c r="E353" s="217">
        <v>0.178803439613825</v>
      </c>
      <c r="F353">
        <v>1</v>
      </c>
      <c r="G353" t="s">
        <v>2055</v>
      </c>
      <c r="H353">
        <v>2</v>
      </c>
      <c r="I353" t="s">
        <v>249</v>
      </c>
      <c r="J353">
        <v>2</v>
      </c>
      <c r="K353">
        <v>1</v>
      </c>
      <c r="L353">
        <v>2</v>
      </c>
      <c r="M353">
        <v>3</v>
      </c>
    </row>
    <row r="354" spans="1:13">
      <c r="A354" t="s">
        <v>108</v>
      </c>
      <c r="B354" t="s">
        <v>2054</v>
      </c>
      <c r="C354" t="s">
        <v>180</v>
      </c>
      <c r="D354" t="s">
        <v>98</v>
      </c>
      <c r="E354" s="217">
        <v>0</v>
      </c>
      <c r="F354">
        <v>1</v>
      </c>
      <c r="G354" t="s">
        <v>2055</v>
      </c>
      <c r="H354">
        <v>2</v>
      </c>
      <c r="I354" t="s">
        <v>249</v>
      </c>
      <c r="J354">
        <v>2</v>
      </c>
      <c r="K354">
        <v>1</v>
      </c>
      <c r="L354">
        <v>2</v>
      </c>
      <c r="M354">
        <v>3</v>
      </c>
    </row>
    <row r="355" spans="1:13">
      <c r="A355" t="s">
        <v>108</v>
      </c>
      <c r="B355" t="s">
        <v>2054</v>
      </c>
      <c r="C355" t="s">
        <v>180</v>
      </c>
      <c r="D355" t="s">
        <v>95</v>
      </c>
      <c r="E355" s="217">
        <v>1.91808665264462E-2</v>
      </c>
      <c r="F355">
        <v>1</v>
      </c>
      <c r="G355" t="s">
        <v>2055</v>
      </c>
      <c r="H355">
        <v>2</v>
      </c>
      <c r="I355" t="s">
        <v>249</v>
      </c>
      <c r="J355">
        <v>2</v>
      </c>
      <c r="K355">
        <v>1</v>
      </c>
      <c r="L355">
        <v>2</v>
      </c>
      <c r="M355">
        <v>3</v>
      </c>
    </row>
    <row r="356" spans="1:13">
      <c r="A356" t="s">
        <v>108</v>
      </c>
      <c r="B356" t="s">
        <v>2054</v>
      </c>
      <c r="C356" t="s">
        <v>180</v>
      </c>
      <c r="D356" t="s">
        <v>91</v>
      </c>
      <c r="E356" s="217">
        <v>3.08402494327908E-2</v>
      </c>
      <c r="F356">
        <v>1</v>
      </c>
      <c r="G356" t="s">
        <v>2055</v>
      </c>
      <c r="H356">
        <v>2</v>
      </c>
      <c r="I356" t="s">
        <v>249</v>
      </c>
      <c r="J356">
        <v>2</v>
      </c>
      <c r="K356">
        <v>1</v>
      </c>
      <c r="L356">
        <v>2</v>
      </c>
      <c r="M356">
        <v>3</v>
      </c>
    </row>
    <row r="357" spans="1:13">
      <c r="A357" t="s">
        <v>108</v>
      </c>
      <c r="B357" t="s">
        <v>2056</v>
      </c>
      <c r="C357" t="s">
        <v>180</v>
      </c>
      <c r="D357" t="s">
        <v>98</v>
      </c>
      <c r="E357" s="217">
        <v>0</v>
      </c>
      <c r="F357">
        <v>1</v>
      </c>
      <c r="G357" t="s">
        <v>2055</v>
      </c>
      <c r="H357">
        <v>2</v>
      </c>
      <c r="I357" t="s">
        <v>249</v>
      </c>
      <c r="J357">
        <v>2</v>
      </c>
      <c r="K357">
        <v>1</v>
      </c>
      <c r="L357">
        <v>2</v>
      </c>
      <c r="M357">
        <v>3</v>
      </c>
    </row>
    <row r="358" spans="1:13">
      <c r="A358" t="s">
        <v>108</v>
      </c>
      <c r="B358" t="s">
        <v>2056</v>
      </c>
      <c r="C358" t="s">
        <v>180</v>
      </c>
      <c r="D358" t="s">
        <v>95</v>
      </c>
      <c r="E358" s="217">
        <v>3.6350165820171899E-2</v>
      </c>
      <c r="F358">
        <v>1</v>
      </c>
      <c r="G358" t="s">
        <v>2055</v>
      </c>
      <c r="H358">
        <v>2</v>
      </c>
      <c r="I358" t="s">
        <v>249</v>
      </c>
      <c r="J358">
        <v>2</v>
      </c>
      <c r="K358">
        <v>1</v>
      </c>
      <c r="L358">
        <v>2</v>
      </c>
      <c r="M358">
        <v>3</v>
      </c>
    </row>
    <row r="359" spans="1:13">
      <c r="A359" t="s">
        <v>108</v>
      </c>
      <c r="B359" t="s">
        <v>2056</v>
      </c>
      <c r="C359" t="s">
        <v>180</v>
      </c>
      <c r="D359" t="s">
        <v>91</v>
      </c>
      <c r="E359" s="217">
        <v>3.8578329863190999E-2</v>
      </c>
      <c r="F359">
        <v>1</v>
      </c>
      <c r="G359" t="s">
        <v>2055</v>
      </c>
      <c r="H359">
        <v>2</v>
      </c>
      <c r="I359" t="s">
        <v>249</v>
      </c>
      <c r="J359">
        <v>2</v>
      </c>
      <c r="K359">
        <v>1</v>
      </c>
      <c r="L359">
        <v>2</v>
      </c>
      <c r="M359">
        <v>3</v>
      </c>
    </row>
    <row r="360" spans="1:13">
      <c r="A360" t="s">
        <v>108</v>
      </c>
      <c r="B360" t="s">
        <v>2056</v>
      </c>
      <c r="C360" t="s">
        <v>180</v>
      </c>
      <c r="D360" t="s">
        <v>93</v>
      </c>
      <c r="E360" s="217">
        <v>0.498308676791128</v>
      </c>
      <c r="F360">
        <v>1</v>
      </c>
      <c r="G360" t="s">
        <v>2055</v>
      </c>
      <c r="H360">
        <v>2</v>
      </c>
      <c r="I360" t="s">
        <v>249</v>
      </c>
      <c r="J360">
        <v>2</v>
      </c>
      <c r="K360">
        <v>1</v>
      </c>
      <c r="L360">
        <v>2</v>
      </c>
      <c r="M360">
        <v>3</v>
      </c>
    </row>
    <row r="361" spans="1:13">
      <c r="A361" t="s">
        <v>108</v>
      </c>
      <c r="B361" t="s">
        <v>2056</v>
      </c>
      <c r="C361" t="s">
        <v>180</v>
      </c>
      <c r="D361" t="s">
        <v>90</v>
      </c>
      <c r="E361" s="217">
        <v>0.45898524269309898</v>
      </c>
      <c r="F361">
        <v>1</v>
      </c>
      <c r="G361" t="s">
        <v>2055</v>
      </c>
      <c r="H361">
        <v>2</v>
      </c>
      <c r="I361" t="s">
        <v>249</v>
      </c>
      <c r="J361">
        <v>2</v>
      </c>
      <c r="K361">
        <v>1</v>
      </c>
      <c r="L361">
        <v>2</v>
      </c>
      <c r="M361">
        <v>3</v>
      </c>
    </row>
    <row r="362" spans="1:13">
      <c r="A362" t="s">
        <v>108</v>
      </c>
      <c r="B362" t="s">
        <v>2056</v>
      </c>
      <c r="C362" t="s">
        <v>180</v>
      </c>
      <c r="D362" t="s">
        <v>92</v>
      </c>
      <c r="E362" s="217">
        <v>0.193743560355818</v>
      </c>
      <c r="F362">
        <v>1</v>
      </c>
      <c r="G362" t="s">
        <v>2055</v>
      </c>
      <c r="H362">
        <v>2</v>
      </c>
      <c r="I362" t="s">
        <v>249</v>
      </c>
      <c r="J362">
        <v>2</v>
      </c>
      <c r="K362">
        <v>1</v>
      </c>
      <c r="L362">
        <v>2</v>
      </c>
      <c r="M362">
        <v>3</v>
      </c>
    </row>
    <row r="363" spans="1:13">
      <c r="A363" t="s">
        <v>108</v>
      </c>
      <c r="B363" t="s">
        <v>2057</v>
      </c>
      <c r="C363" t="s">
        <v>180</v>
      </c>
      <c r="D363" t="s">
        <v>98</v>
      </c>
      <c r="E363" s="217">
        <v>0.27182748545887297</v>
      </c>
      <c r="F363">
        <v>1</v>
      </c>
      <c r="G363" t="s">
        <v>2055</v>
      </c>
      <c r="H363">
        <v>2</v>
      </c>
      <c r="I363" t="s">
        <v>249</v>
      </c>
      <c r="J363">
        <v>2</v>
      </c>
      <c r="K363">
        <v>1</v>
      </c>
      <c r="L363">
        <v>2</v>
      </c>
      <c r="M363">
        <v>3</v>
      </c>
    </row>
    <row r="364" spans="1:13">
      <c r="A364" t="s">
        <v>108</v>
      </c>
      <c r="B364" t="s">
        <v>2057</v>
      </c>
      <c r="C364" t="s">
        <v>180</v>
      </c>
      <c r="D364" t="s">
        <v>95</v>
      </c>
      <c r="E364" s="217">
        <v>7.85221061171269E-2</v>
      </c>
      <c r="F364">
        <v>1</v>
      </c>
      <c r="G364" t="s">
        <v>2055</v>
      </c>
      <c r="H364">
        <v>2</v>
      </c>
      <c r="I364" t="s">
        <v>249</v>
      </c>
      <c r="J364">
        <v>2</v>
      </c>
      <c r="K364">
        <v>1</v>
      </c>
      <c r="L364">
        <v>2</v>
      </c>
      <c r="M364">
        <v>3</v>
      </c>
    </row>
    <row r="365" spans="1:13">
      <c r="A365" t="s">
        <v>108</v>
      </c>
      <c r="B365" t="s">
        <v>2057</v>
      </c>
      <c r="C365" t="s">
        <v>180</v>
      </c>
      <c r="D365" t="s">
        <v>91</v>
      </c>
      <c r="E365" s="217">
        <v>0.16111489938070001</v>
      </c>
      <c r="F365">
        <v>1</v>
      </c>
      <c r="G365" t="s">
        <v>2055</v>
      </c>
      <c r="H365">
        <v>2</v>
      </c>
      <c r="I365" t="s">
        <v>249</v>
      </c>
      <c r="J365">
        <v>2</v>
      </c>
      <c r="K365">
        <v>1</v>
      </c>
      <c r="L365">
        <v>2</v>
      </c>
      <c r="M365">
        <v>3</v>
      </c>
    </row>
    <row r="366" spans="1:13">
      <c r="A366" t="s">
        <v>108</v>
      </c>
      <c r="B366" t="s">
        <v>2057</v>
      </c>
      <c r="C366" t="s">
        <v>180</v>
      </c>
      <c r="D366" t="s">
        <v>93</v>
      </c>
      <c r="E366" s="217">
        <v>0.403659576736695</v>
      </c>
      <c r="F366">
        <v>1</v>
      </c>
      <c r="G366" t="s">
        <v>2055</v>
      </c>
      <c r="H366">
        <v>2</v>
      </c>
      <c r="I366" t="s">
        <v>249</v>
      </c>
      <c r="J366">
        <v>2</v>
      </c>
      <c r="K366">
        <v>1</v>
      </c>
      <c r="L366">
        <v>2</v>
      </c>
      <c r="M366">
        <v>3</v>
      </c>
    </row>
    <row r="367" spans="1:13">
      <c r="A367" t="s">
        <v>108</v>
      </c>
      <c r="B367" t="s">
        <v>2057</v>
      </c>
      <c r="C367" t="s">
        <v>180</v>
      </c>
      <c r="D367" t="s">
        <v>90</v>
      </c>
      <c r="E367" s="217">
        <v>0.42492030094842498</v>
      </c>
      <c r="F367">
        <v>1</v>
      </c>
      <c r="G367" t="s">
        <v>2055</v>
      </c>
      <c r="H367">
        <v>2</v>
      </c>
      <c r="I367" t="s">
        <v>249</v>
      </c>
      <c r="J367">
        <v>2</v>
      </c>
      <c r="K367">
        <v>1</v>
      </c>
      <c r="L367">
        <v>2</v>
      </c>
      <c r="M367">
        <v>3</v>
      </c>
    </row>
    <row r="368" spans="1:13">
      <c r="A368" t="s">
        <v>108</v>
      </c>
      <c r="B368" t="s">
        <v>2057</v>
      </c>
      <c r="C368" t="s">
        <v>180</v>
      </c>
      <c r="D368" t="s">
        <v>92</v>
      </c>
      <c r="E368" s="217">
        <v>0.60875160214096102</v>
      </c>
      <c r="F368">
        <v>1</v>
      </c>
      <c r="G368" t="s">
        <v>2055</v>
      </c>
      <c r="H368">
        <v>2</v>
      </c>
      <c r="I368" t="s">
        <v>249</v>
      </c>
      <c r="J368">
        <v>2</v>
      </c>
      <c r="K368">
        <v>1</v>
      </c>
      <c r="L368">
        <v>2</v>
      </c>
      <c r="M368">
        <v>3</v>
      </c>
    </row>
    <row r="369" spans="1:13">
      <c r="A369" t="s">
        <v>108</v>
      </c>
      <c r="B369" t="s">
        <v>2185</v>
      </c>
      <c r="C369" t="s">
        <v>180</v>
      </c>
      <c r="D369" t="s">
        <v>99</v>
      </c>
      <c r="E369" s="217">
        <v>0</v>
      </c>
      <c r="F369">
        <v>1</v>
      </c>
      <c r="G369" t="s">
        <v>2055</v>
      </c>
      <c r="H369">
        <v>2</v>
      </c>
      <c r="I369" t="s">
        <v>249</v>
      </c>
      <c r="J369">
        <v>2</v>
      </c>
      <c r="K369">
        <v>1</v>
      </c>
      <c r="L369">
        <v>2</v>
      </c>
      <c r="M369">
        <v>3</v>
      </c>
    </row>
    <row r="370" spans="1:13">
      <c r="A370" t="s">
        <v>108</v>
      </c>
      <c r="B370" t="s">
        <v>2185</v>
      </c>
      <c r="C370" t="s">
        <v>180</v>
      </c>
      <c r="D370" t="s">
        <v>98</v>
      </c>
      <c r="E370" s="217">
        <v>0</v>
      </c>
      <c r="F370">
        <v>1</v>
      </c>
      <c r="G370" t="s">
        <v>2055</v>
      </c>
      <c r="H370">
        <v>2</v>
      </c>
      <c r="I370" t="s">
        <v>249</v>
      </c>
      <c r="J370">
        <v>2</v>
      </c>
      <c r="K370">
        <v>1</v>
      </c>
      <c r="L370">
        <v>2</v>
      </c>
      <c r="M370">
        <v>3</v>
      </c>
    </row>
    <row r="371" spans="1:13">
      <c r="A371" t="s">
        <v>108</v>
      </c>
      <c r="B371" t="s">
        <v>2185</v>
      </c>
      <c r="C371" t="s">
        <v>180</v>
      </c>
      <c r="D371" t="s">
        <v>95</v>
      </c>
      <c r="E371" s="217">
        <v>2.6768924468610299E-2</v>
      </c>
      <c r="F371">
        <v>1</v>
      </c>
      <c r="G371" t="s">
        <v>2055</v>
      </c>
      <c r="H371">
        <v>2</v>
      </c>
      <c r="I371" t="s">
        <v>249</v>
      </c>
      <c r="J371">
        <v>2</v>
      </c>
      <c r="K371">
        <v>1</v>
      </c>
      <c r="L371">
        <v>2</v>
      </c>
      <c r="M371">
        <v>3</v>
      </c>
    </row>
    <row r="372" spans="1:13">
      <c r="A372" t="s">
        <v>108</v>
      </c>
      <c r="B372" t="s">
        <v>2185</v>
      </c>
      <c r="C372" t="s">
        <v>180</v>
      </c>
      <c r="D372" t="s">
        <v>91</v>
      </c>
      <c r="E372" s="217">
        <v>3.7642965218586497E-2</v>
      </c>
      <c r="F372">
        <v>1</v>
      </c>
      <c r="G372" t="s">
        <v>2055</v>
      </c>
      <c r="H372">
        <v>2</v>
      </c>
      <c r="I372" t="s">
        <v>249</v>
      </c>
      <c r="J372">
        <v>2</v>
      </c>
      <c r="K372">
        <v>1</v>
      </c>
      <c r="L372">
        <v>2</v>
      </c>
      <c r="M372">
        <v>3</v>
      </c>
    </row>
    <row r="373" spans="1:13">
      <c r="A373" t="s">
        <v>108</v>
      </c>
      <c r="B373" t="s">
        <v>2186</v>
      </c>
      <c r="C373" t="s">
        <v>180</v>
      </c>
      <c r="D373" t="s">
        <v>99</v>
      </c>
      <c r="E373" s="217">
        <v>0.54133729510796103</v>
      </c>
      <c r="F373">
        <v>1</v>
      </c>
      <c r="G373" t="s">
        <v>2055</v>
      </c>
      <c r="H373">
        <v>2</v>
      </c>
      <c r="I373" t="s">
        <v>249</v>
      </c>
      <c r="J373">
        <v>2</v>
      </c>
      <c r="K373">
        <v>1</v>
      </c>
      <c r="L373">
        <v>2</v>
      </c>
      <c r="M373">
        <v>3</v>
      </c>
    </row>
    <row r="374" spans="1:13">
      <c r="A374" t="s">
        <v>108</v>
      </c>
      <c r="B374" t="s">
        <v>2186</v>
      </c>
      <c r="C374" t="s">
        <v>180</v>
      </c>
      <c r="D374" t="s">
        <v>98</v>
      </c>
      <c r="E374" s="217">
        <v>5.6392942598084E-2</v>
      </c>
      <c r="F374">
        <v>1</v>
      </c>
      <c r="G374" t="s">
        <v>2055</v>
      </c>
      <c r="H374">
        <v>2</v>
      </c>
      <c r="I374" t="s">
        <v>249</v>
      </c>
      <c r="J374">
        <v>2</v>
      </c>
      <c r="K374">
        <v>1</v>
      </c>
      <c r="L374">
        <v>2</v>
      </c>
      <c r="M374">
        <v>3</v>
      </c>
    </row>
    <row r="375" spans="1:13">
      <c r="A375" t="s">
        <v>108</v>
      </c>
      <c r="B375" t="s">
        <v>2186</v>
      </c>
      <c r="C375" t="s">
        <v>180</v>
      </c>
      <c r="D375" t="s">
        <v>95</v>
      </c>
      <c r="E375" s="217">
        <v>0.316751637003654</v>
      </c>
      <c r="F375">
        <v>1</v>
      </c>
      <c r="G375" t="s">
        <v>2055</v>
      </c>
      <c r="H375">
        <v>2</v>
      </c>
      <c r="I375" t="s">
        <v>249</v>
      </c>
      <c r="J375">
        <v>2</v>
      </c>
      <c r="K375">
        <v>1</v>
      </c>
      <c r="L375">
        <v>2</v>
      </c>
      <c r="M375">
        <v>3</v>
      </c>
    </row>
    <row r="376" spans="1:13">
      <c r="A376" t="s">
        <v>108</v>
      </c>
      <c r="B376" t="s">
        <v>2186</v>
      </c>
      <c r="C376" t="s">
        <v>180</v>
      </c>
      <c r="D376" t="s">
        <v>91</v>
      </c>
      <c r="E376" s="217">
        <v>0.177496509266894</v>
      </c>
      <c r="F376">
        <v>1</v>
      </c>
      <c r="G376" t="s">
        <v>2055</v>
      </c>
      <c r="H376">
        <v>2</v>
      </c>
      <c r="I376" t="s">
        <v>249</v>
      </c>
      <c r="J376">
        <v>2</v>
      </c>
      <c r="K376">
        <v>1</v>
      </c>
      <c r="L376">
        <v>2</v>
      </c>
      <c r="M376">
        <v>3</v>
      </c>
    </row>
    <row r="377" spans="1:13">
      <c r="A377" t="s">
        <v>108</v>
      </c>
      <c r="B377" t="s">
        <v>2187</v>
      </c>
      <c r="C377" t="s">
        <v>180</v>
      </c>
      <c r="D377" t="s">
        <v>99</v>
      </c>
      <c r="E377" s="217">
        <v>8.7360882099383006E-3</v>
      </c>
      <c r="F377">
        <v>1</v>
      </c>
      <c r="G377" t="s">
        <v>2055</v>
      </c>
      <c r="H377">
        <v>2</v>
      </c>
      <c r="I377" t="s">
        <v>249</v>
      </c>
      <c r="J377">
        <v>2</v>
      </c>
      <c r="K377">
        <v>1</v>
      </c>
      <c r="L377">
        <v>2</v>
      </c>
      <c r="M377">
        <v>3</v>
      </c>
    </row>
    <row r="378" spans="1:13">
      <c r="A378" t="s">
        <v>108</v>
      </c>
      <c r="B378" t="s">
        <v>2187</v>
      </c>
      <c r="C378" t="s">
        <v>180</v>
      </c>
      <c r="D378" t="s">
        <v>98</v>
      </c>
      <c r="E378" s="217">
        <v>7.1505338716285304E-3</v>
      </c>
      <c r="F378">
        <v>1</v>
      </c>
      <c r="G378" t="s">
        <v>2055</v>
      </c>
      <c r="H378">
        <v>2</v>
      </c>
      <c r="I378" t="s">
        <v>249</v>
      </c>
      <c r="J378">
        <v>2</v>
      </c>
      <c r="K378">
        <v>1</v>
      </c>
      <c r="L378">
        <v>2</v>
      </c>
      <c r="M378">
        <v>3</v>
      </c>
    </row>
    <row r="379" spans="1:13">
      <c r="A379" t="s">
        <v>108</v>
      </c>
      <c r="B379" t="s">
        <v>2187</v>
      </c>
      <c r="C379" t="s">
        <v>180</v>
      </c>
      <c r="D379" t="s">
        <v>95</v>
      </c>
      <c r="E379" s="217">
        <v>1.6600952614077898E-2</v>
      </c>
      <c r="F379">
        <v>1</v>
      </c>
      <c r="G379" t="s">
        <v>2055</v>
      </c>
      <c r="H379">
        <v>2</v>
      </c>
      <c r="I379" t="s">
        <v>249</v>
      </c>
      <c r="J379">
        <v>2</v>
      </c>
      <c r="K379">
        <v>1</v>
      </c>
      <c r="L379">
        <v>2</v>
      </c>
      <c r="M379">
        <v>3</v>
      </c>
    </row>
    <row r="380" spans="1:13">
      <c r="A380" t="s">
        <v>108</v>
      </c>
      <c r="B380" t="s">
        <v>2187</v>
      </c>
      <c r="C380" t="s">
        <v>180</v>
      </c>
      <c r="D380" t="s">
        <v>91</v>
      </c>
      <c r="E380" s="217">
        <v>2.3642950478169398E-3</v>
      </c>
      <c r="F380">
        <v>1</v>
      </c>
      <c r="G380" t="s">
        <v>2055</v>
      </c>
      <c r="H380">
        <v>2</v>
      </c>
      <c r="I380" t="s">
        <v>249</v>
      </c>
      <c r="J380">
        <v>2</v>
      </c>
      <c r="K380">
        <v>1</v>
      </c>
      <c r="L380">
        <v>2</v>
      </c>
      <c r="M380">
        <v>3</v>
      </c>
    </row>
    <row r="381" spans="1:13">
      <c r="A381" t="s">
        <v>108</v>
      </c>
      <c r="B381" t="s">
        <v>2058</v>
      </c>
      <c r="C381" t="s">
        <v>180</v>
      </c>
      <c r="D381" t="s">
        <v>98</v>
      </c>
      <c r="E381" s="217">
        <v>0.29706901814013198</v>
      </c>
      <c r="F381">
        <v>1</v>
      </c>
      <c r="G381" t="s">
        <v>2055</v>
      </c>
      <c r="H381">
        <v>2</v>
      </c>
      <c r="I381" t="s">
        <v>249</v>
      </c>
      <c r="J381">
        <v>2</v>
      </c>
      <c r="K381">
        <v>1</v>
      </c>
      <c r="L381">
        <v>2</v>
      </c>
      <c r="M381">
        <v>3</v>
      </c>
    </row>
    <row r="382" spans="1:13">
      <c r="A382" t="s">
        <v>108</v>
      </c>
      <c r="B382" t="s">
        <v>2058</v>
      </c>
      <c r="C382" t="s">
        <v>180</v>
      </c>
      <c r="D382" t="s">
        <v>95</v>
      </c>
      <c r="E382" s="217">
        <v>0</v>
      </c>
      <c r="F382">
        <v>1</v>
      </c>
      <c r="G382" t="s">
        <v>2055</v>
      </c>
      <c r="H382">
        <v>2</v>
      </c>
      <c r="I382" t="s">
        <v>249</v>
      </c>
      <c r="J382">
        <v>2</v>
      </c>
      <c r="K382">
        <v>1</v>
      </c>
      <c r="L382">
        <v>2</v>
      </c>
      <c r="M382">
        <v>3</v>
      </c>
    </row>
    <row r="383" spans="1:13">
      <c r="A383" t="s">
        <v>108</v>
      </c>
      <c r="B383" t="s">
        <v>2058</v>
      </c>
      <c r="C383" t="s">
        <v>180</v>
      </c>
      <c r="D383" t="s">
        <v>91</v>
      </c>
      <c r="E383" s="217">
        <v>4.55368476843149E-3</v>
      </c>
      <c r="F383">
        <v>1</v>
      </c>
      <c r="G383" t="s">
        <v>2055</v>
      </c>
      <c r="H383">
        <v>2</v>
      </c>
      <c r="I383" t="s">
        <v>249</v>
      </c>
      <c r="J383">
        <v>2</v>
      </c>
      <c r="K383">
        <v>1</v>
      </c>
      <c r="L383">
        <v>2</v>
      </c>
      <c r="M383">
        <v>3</v>
      </c>
    </row>
    <row r="384" spans="1:13">
      <c r="A384" t="s">
        <v>108</v>
      </c>
      <c r="B384" t="s">
        <v>2058</v>
      </c>
      <c r="C384" t="s">
        <v>180</v>
      </c>
      <c r="D384" t="s">
        <v>93</v>
      </c>
      <c r="E384" s="217">
        <v>9.8031746472176898E-2</v>
      </c>
      <c r="F384">
        <v>1</v>
      </c>
      <c r="G384" t="s">
        <v>2055</v>
      </c>
      <c r="H384">
        <v>2</v>
      </c>
      <c r="I384" t="s">
        <v>249</v>
      </c>
      <c r="J384">
        <v>2</v>
      </c>
      <c r="K384">
        <v>1</v>
      </c>
      <c r="L384">
        <v>2</v>
      </c>
      <c r="M384">
        <v>3</v>
      </c>
    </row>
    <row r="385" spans="1:13">
      <c r="A385" t="s">
        <v>108</v>
      </c>
      <c r="B385" t="s">
        <v>2058</v>
      </c>
      <c r="C385" t="s">
        <v>180</v>
      </c>
      <c r="D385" t="s">
        <v>90</v>
      </c>
      <c r="E385" s="217">
        <v>0.116094456358476</v>
      </c>
      <c r="F385">
        <v>1</v>
      </c>
      <c r="G385" t="s">
        <v>2055</v>
      </c>
      <c r="H385">
        <v>2</v>
      </c>
      <c r="I385" t="s">
        <v>249</v>
      </c>
      <c r="J385">
        <v>2</v>
      </c>
      <c r="K385">
        <v>1</v>
      </c>
      <c r="L385">
        <v>2</v>
      </c>
      <c r="M385">
        <v>3</v>
      </c>
    </row>
    <row r="386" spans="1:13">
      <c r="A386" t="s">
        <v>108</v>
      </c>
      <c r="B386" t="s">
        <v>2058</v>
      </c>
      <c r="C386" t="s">
        <v>180</v>
      </c>
      <c r="D386" t="s">
        <v>92</v>
      </c>
      <c r="E386" s="217">
        <v>0.19750483750322201</v>
      </c>
      <c r="F386">
        <v>1</v>
      </c>
      <c r="G386" t="s">
        <v>2055</v>
      </c>
      <c r="H386">
        <v>2</v>
      </c>
      <c r="I386" t="s">
        <v>249</v>
      </c>
      <c r="J386">
        <v>2</v>
      </c>
      <c r="K386">
        <v>1</v>
      </c>
      <c r="L386">
        <v>2</v>
      </c>
      <c r="M386">
        <v>3</v>
      </c>
    </row>
    <row r="387" spans="1:13">
      <c r="A387" t="s">
        <v>108</v>
      </c>
      <c r="B387" t="s">
        <v>2188</v>
      </c>
      <c r="C387" t="s">
        <v>180</v>
      </c>
      <c r="D387" t="s">
        <v>99</v>
      </c>
      <c r="E387" s="217">
        <v>0</v>
      </c>
      <c r="F387">
        <v>1</v>
      </c>
      <c r="G387" t="s">
        <v>2055</v>
      </c>
      <c r="H387">
        <v>2</v>
      </c>
      <c r="I387" t="s">
        <v>249</v>
      </c>
      <c r="J387">
        <v>2</v>
      </c>
      <c r="K387">
        <v>1</v>
      </c>
      <c r="L387">
        <v>2</v>
      </c>
      <c r="M387">
        <v>3</v>
      </c>
    </row>
    <row r="388" spans="1:13">
      <c r="A388" t="s">
        <v>108</v>
      </c>
      <c r="B388" t="s">
        <v>2188</v>
      </c>
      <c r="C388" t="s">
        <v>180</v>
      </c>
      <c r="D388" t="s">
        <v>98</v>
      </c>
      <c r="E388" s="217">
        <v>0.24244671248286101</v>
      </c>
      <c r="F388">
        <v>1</v>
      </c>
      <c r="G388" t="s">
        <v>2055</v>
      </c>
      <c r="H388">
        <v>2</v>
      </c>
      <c r="I388" t="s">
        <v>249</v>
      </c>
      <c r="J388">
        <v>2</v>
      </c>
      <c r="K388">
        <v>1</v>
      </c>
      <c r="L388">
        <v>2</v>
      </c>
      <c r="M388">
        <v>3</v>
      </c>
    </row>
    <row r="389" spans="1:13">
      <c r="A389" t="s">
        <v>108</v>
      </c>
      <c r="B389" t="s">
        <v>2188</v>
      </c>
      <c r="C389" t="s">
        <v>180</v>
      </c>
      <c r="D389" t="s">
        <v>95</v>
      </c>
      <c r="E389" s="217">
        <v>0.28597607786863399</v>
      </c>
      <c r="F389">
        <v>1</v>
      </c>
      <c r="G389" t="s">
        <v>2055</v>
      </c>
      <c r="H389">
        <v>2</v>
      </c>
      <c r="I389" t="s">
        <v>249</v>
      </c>
      <c r="J389">
        <v>2</v>
      </c>
      <c r="K389">
        <v>1</v>
      </c>
      <c r="L389">
        <v>2</v>
      </c>
      <c r="M389">
        <v>3</v>
      </c>
    </row>
    <row r="390" spans="1:13">
      <c r="A390" t="s">
        <v>108</v>
      </c>
      <c r="B390" t="s">
        <v>2188</v>
      </c>
      <c r="C390" t="s">
        <v>180</v>
      </c>
      <c r="D390" t="s">
        <v>91</v>
      </c>
      <c r="E390" s="217">
        <v>0.29396686796317101</v>
      </c>
      <c r="F390">
        <v>1</v>
      </c>
      <c r="G390" t="s">
        <v>2055</v>
      </c>
      <c r="H390">
        <v>2</v>
      </c>
      <c r="I390" t="s">
        <v>249</v>
      </c>
      <c r="J390">
        <v>2</v>
      </c>
      <c r="K390">
        <v>1</v>
      </c>
      <c r="L390">
        <v>2</v>
      </c>
      <c r="M390">
        <v>3</v>
      </c>
    </row>
    <row r="391" spans="1:13">
      <c r="A391" t="s">
        <v>108</v>
      </c>
      <c r="B391" t="s">
        <v>2189</v>
      </c>
      <c r="C391" t="s">
        <v>180</v>
      </c>
      <c r="D391" t="s">
        <v>99</v>
      </c>
      <c r="E391" s="217">
        <v>0</v>
      </c>
      <c r="F391">
        <v>1</v>
      </c>
      <c r="G391" t="s">
        <v>2055</v>
      </c>
      <c r="H391">
        <v>2</v>
      </c>
      <c r="I391" t="s">
        <v>249</v>
      </c>
      <c r="J391">
        <v>2</v>
      </c>
      <c r="K391">
        <v>1</v>
      </c>
      <c r="L391">
        <v>2</v>
      </c>
      <c r="M391">
        <v>3</v>
      </c>
    </row>
    <row r="392" spans="1:13">
      <c r="A392" t="s">
        <v>108</v>
      </c>
      <c r="B392" t="s">
        <v>2189</v>
      </c>
      <c r="C392" t="s">
        <v>180</v>
      </c>
      <c r="D392" t="s">
        <v>98</v>
      </c>
      <c r="E392" s="217">
        <v>0</v>
      </c>
      <c r="F392">
        <v>1</v>
      </c>
      <c r="G392" t="s">
        <v>2055</v>
      </c>
      <c r="H392">
        <v>2</v>
      </c>
      <c r="I392" t="s">
        <v>249</v>
      </c>
      <c r="J392">
        <v>2</v>
      </c>
      <c r="K392">
        <v>1</v>
      </c>
      <c r="L392">
        <v>2</v>
      </c>
      <c r="M392">
        <v>3</v>
      </c>
    </row>
    <row r="393" spans="1:13">
      <c r="A393" t="s">
        <v>108</v>
      </c>
      <c r="B393" t="s">
        <v>2189</v>
      </c>
      <c r="C393" t="s">
        <v>180</v>
      </c>
      <c r="D393" t="s">
        <v>95</v>
      </c>
      <c r="E393" s="217">
        <v>0</v>
      </c>
      <c r="F393">
        <v>1</v>
      </c>
      <c r="G393" t="s">
        <v>2055</v>
      </c>
      <c r="H393">
        <v>2</v>
      </c>
      <c r="I393" t="s">
        <v>249</v>
      </c>
      <c r="J393">
        <v>2</v>
      </c>
      <c r="K393">
        <v>1</v>
      </c>
      <c r="L393">
        <v>2</v>
      </c>
      <c r="M393">
        <v>3</v>
      </c>
    </row>
    <row r="394" spans="1:13">
      <c r="A394" t="s">
        <v>108</v>
      </c>
      <c r="B394" t="s">
        <v>2189</v>
      </c>
      <c r="C394" t="s">
        <v>180</v>
      </c>
      <c r="D394" t="s">
        <v>91</v>
      </c>
      <c r="E394" s="217">
        <v>3.5289348959709699E-2</v>
      </c>
      <c r="F394">
        <v>1</v>
      </c>
      <c r="G394" t="s">
        <v>2055</v>
      </c>
      <c r="H394">
        <v>2</v>
      </c>
      <c r="I394" t="s">
        <v>249</v>
      </c>
      <c r="J394">
        <v>2</v>
      </c>
      <c r="K394">
        <v>1</v>
      </c>
      <c r="L394">
        <v>2</v>
      </c>
      <c r="M394">
        <v>3</v>
      </c>
    </row>
    <row r="395" spans="1:13">
      <c r="A395" t="s">
        <v>108</v>
      </c>
      <c r="B395" t="s">
        <v>2190</v>
      </c>
      <c r="C395" t="s">
        <v>180</v>
      </c>
      <c r="D395" t="s">
        <v>99</v>
      </c>
      <c r="E395" s="217">
        <v>0.27112317706827499</v>
      </c>
      <c r="F395">
        <v>1</v>
      </c>
      <c r="G395" t="s">
        <v>2055</v>
      </c>
      <c r="H395">
        <v>2</v>
      </c>
      <c r="I395" t="s">
        <v>249</v>
      </c>
      <c r="J395">
        <v>2</v>
      </c>
      <c r="K395">
        <v>1</v>
      </c>
      <c r="L395">
        <v>2</v>
      </c>
      <c r="M395">
        <v>3</v>
      </c>
    </row>
    <row r="396" spans="1:13">
      <c r="A396" t="s">
        <v>108</v>
      </c>
      <c r="B396" t="s">
        <v>2190</v>
      </c>
      <c r="C396" t="s">
        <v>180</v>
      </c>
      <c r="D396" t="s">
        <v>98</v>
      </c>
      <c r="E396" s="217">
        <v>0</v>
      </c>
      <c r="F396">
        <v>1</v>
      </c>
      <c r="G396" t="s">
        <v>2055</v>
      </c>
      <c r="H396">
        <v>2</v>
      </c>
      <c r="I396" t="s">
        <v>249</v>
      </c>
      <c r="J396">
        <v>2</v>
      </c>
      <c r="K396">
        <v>1</v>
      </c>
      <c r="L396">
        <v>2</v>
      </c>
      <c r="M396">
        <v>3</v>
      </c>
    </row>
    <row r="397" spans="1:13">
      <c r="A397" t="s">
        <v>108</v>
      </c>
      <c r="B397" t="s">
        <v>2190</v>
      </c>
      <c r="C397" t="s">
        <v>180</v>
      </c>
      <c r="D397" t="s">
        <v>95</v>
      </c>
      <c r="E397" s="217">
        <v>4.6534921098200503E-2</v>
      </c>
      <c r="F397">
        <v>1</v>
      </c>
      <c r="G397" t="s">
        <v>2055</v>
      </c>
      <c r="H397">
        <v>2</v>
      </c>
      <c r="I397" t="s">
        <v>249</v>
      </c>
      <c r="J397">
        <v>2</v>
      </c>
      <c r="K397">
        <v>1</v>
      </c>
      <c r="L397">
        <v>2</v>
      </c>
      <c r="M397">
        <v>3</v>
      </c>
    </row>
    <row r="398" spans="1:13">
      <c r="A398" t="s">
        <v>108</v>
      </c>
      <c r="B398" t="s">
        <v>2190</v>
      </c>
      <c r="C398" t="s">
        <v>180</v>
      </c>
      <c r="D398" t="s">
        <v>91</v>
      </c>
      <c r="E398" s="217">
        <v>0.12692557252900899</v>
      </c>
      <c r="F398">
        <v>1</v>
      </c>
      <c r="G398" t="s">
        <v>2055</v>
      </c>
      <c r="H398">
        <v>2</v>
      </c>
      <c r="I398" t="s">
        <v>249</v>
      </c>
      <c r="J398">
        <v>2</v>
      </c>
      <c r="K398">
        <v>1</v>
      </c>
      <c r="L398">
        <v>2</v>
      </c>
      <c r="M398">
        <v>3</v>
      </c>
    </row>
    <row r="399" spans="1:13">
      <c r="A399" t="s">
        <v>108</v>
      </c>
      <c r="B399" t="s">
        <v>2059</v>
      </c>
      <c r="C399" t="s">
        <v>180</v>
      </c>
      <c r="D399" t="s">
        <v>99</v>
      </c>
      <c r="E399" s="217">
        <v>0</v>
      </c>
      <c r="F399">
        <v>1</v>
      </c>
      <c r="G399" t="s">
        <v>2055</v>
      </c>
      <c r="H399">
        <v>2</v>
      </c>
      <c r="I399" t="s">
        <v>249</v>
      </c>
      <c r="J399">
        <v>2</v>
      </c>
      <c r="K399">
        <v>1</v>
      </c>
      <c r="L399">
        <v>2</v>
      </c>
      <c r="M399">
        <v>3</v>
      </c>
    </row>
    <row r="400" spans="1:13">
      <c r="A400" t="s">
        <v>108</v>
      </c>
      <c r="B400" t="s">
        <v>2059</v>
      </c>
      <c r="C400" t="s">
        <v>180</v>
      </c>
      <c r="D400" t="s">
        <v>98</v>
      </c>
      <c r="E400" s="217">
        <v>1.0791935569565101E-2</v>
      </c>
      <c r="F400">
        <v>1</v>
      </c>
      <c r="G400" t="s">
        <v>2055</v>
      </c>
      <c r="H400">
        <v>2</v>
      </c>
      <c r="I400" t="s">
        <v>249</v>
      </c>
      <c r="J400">
        <v>2</v>
      </c>
      <c r="K400">
        <v>1</v>
      </c>
      <c r="L400">
        <v>2</v>
      </c>
      <c r="M400">
        <v>3</v>
      </c>
    </row>
    <row r="401" spans="1:13">
      <c r="A401" t="s">
        <v>108</v>
      </c>
      <c r="B401" t="s">
        <v>2059</v>
      </c>
      <c r="C401" t="s">
        <v>180</v>
      </c>
      <c r="D401" t="s">
        <v>95</v>
      </c>
      <c r="E401" s="217">
        <v>4.1219466628532E-2</v>
      </c>
      <c r="F401">
        <v>1</v>
      </c>
      <c r="G401" t="s">
        <v>2055</v>
      </c>
      <c r="H401">
        <v>2</v>
      </c>
      <c r="I401" t="s">
        <v>249</v>
      </c>
      <c r="J401">
        <v>2</v>
      </c>
      <c r="K401">
        <v>1</v>
      </c>
      <c r="L401">
        <v>2</v>
      </c>
      <c r="M401">
        <v>3</v>
      </c>
    </row>
    <row r="402" spans="1:13">
      <c r="A402" t="s">
        <v>108</v>
      </c>
      <c r="B402" t="s">
        <v>2059</v>
      </c>
      <c r="C402" t="s">
        <v>180</v>
      </c>
      <c r="D402" t="s">
        <v>91</v>
      </c>
      <c r="E402" s="217">
        <v>6.7935128176699004E-3</v>
      </c>
      <c r="F402">
        <v>1</v>
      </c>
      <c r="G402" t="s">
        <v>2055</v>
      </c>
      <c r="H402">
        <v>2</v>
      </c>
      <c r="I402" t="s">
        <v>249</v>
      </c>
      <c r="J402">
        <v>2</v>
      </c>
      <c r="K402">
        <v>1</v>
      </c>
      <c r="L402">
        <v>2</v>
      </c>
      <c r="M402">
        <v>3</v>
      </c>
    </row>
    <row r="403" spans="1:13">
      <c r="A403" t="s">
        <v>108</v>
      </c>
      <c r="B403" t="s">
        <v>2060</v>
      </c>
      <c r="C403" t="s">
        <v>180</v>
      </c>
      <c r="D403" t="s">
        <v>99</v>
      </c>
      <c r="E403" s="217">
        <v>0</v>
      </c>
      <c r="F403">
        <v>1</v>
      </c>
      <c r="G403" t="s">
        <v>2055</v>
      </c>
      <c r="H403">
        <v>2</v>
      </c>
      <c r="I403" t="s">
        <v>249</v>
      </c>
      <c r="J403">
        <v>2</v>
      </c>
      <c r="K403">
        <v>1</v>
      </c>
      <c r="L403">
        <v>2</v>
      </c>
      <c r="M403">
        <v>3</v>
      </c>
    </row>
    <row r="404" spans="1:13">
      <c r="A404" t="s">
        <v>108</v>
      </c>
      <c r="B404" t="s">
        <v>2060</v>
      </c>
      <c r="C404" t="s">
        <v>180</v>
      </c>
      <c r="D404" t="s">
        <v>98</v>
      </c>
      <c r="E404" s="217">
        <v>0</v>
      </c>
      <c r="F404">
        <v>1</v>
      </c>
      <c r="G404" t="s">
        <v>2055</v>
      </c>
      <c r="H404">
        <v>2</v>
      </c>
      <c r="I404" t="s">
        <v>249</v>
      </c>
      <c r="J404">
        <v>2</v>
      </c>
      <c r="K404">
        <v>1</v>
      </c>
      <c r="L404">
        <v>2</v>
      </c>
      <c r="M404">
        <v>3</v>
      </c>
    </row>
    <row r="405" spans="1:13">
      <c r="A405" t="s">
        <v>108</v>
      </c>
      <c r="B405" t="s">
        <v>2060</v>
      </c>
      <c r="C405" t="s">
        <v>180</v>
      </c>
      <c r="D405" t="s">
        <v>95</v>
      </c>
      <c r="E405" s="217">
        <v>0</v>
      </c>
      <c r="F405">
        <v>1</v>
      </c>
      <c r="G405" t="s">
        <v>2055</v>
      </c>
      <c r="H405">
        <v>2</v>
      </c>
      <c r="I405" t="s">
        <v>249</v>
      </c>
      <c r="J405">
        <v>2</v>
      </c>
      <c r="K405">
        <v>1</v>
      </c>
      <c r="L405">
        <v>2</v>
      </c>
      <c r="M405">
        <v>3</v>
      </c>
    </row>
    <row r="406" spans="1:13">
      <c r="A406" t="s">
        <v>108</v>
      </c>
      <c r="B406" t="s">
        <v>2060</v>
      </c>
      <c r="C406" t="s">
        <v>180</v>
      </c>
      <c r="D406" t="s">
        <v>91</v>
      </c>
      <c r="E406" s="217">
        <v>7.2517450647606799E-2</v>
      </c>
      <c r="F406">
        <v>1</v>
      </c>
      <c r="G406" t="s">
        <v>2055</v>
      </c>
      <c r="H406">
        <v>2</v>
      </c>
      <c r="I406" t="s">
        <v>249</v>
      </c>
      <c r="J406">
        <v>2</v>
      </c>
      <c r="K406">
        <v>1</v>
      </c>
      <c r="L406">
        <v>2</v>
      </c>
      <c r="M406">
        <v>3</v>
      </c>
    </row>
    <row r="407" spans="1:13">
      <c r="A407" t="s">
        <v>108</v>
      </c>
      <c r="B407" t="s">
        <v>2061</v>
      </c>
      <c r="C407" t="s">
        <v>180</v>
      </c>
      <c r="D407" t="s">
        <v>99</v>
      </c>
      <c r="E407" s="217">
        <v>0</v>
      </c>
      <c r="F407">
        <v>1</v>
      </c>
      <c r="G407" t="s">
        <v>2055</v>
      </c>
      <c r="H407">
        <v>2</v>
      </c>
      <c r="I407" t="s">
        <v>249</v>
      </c>
      <c r="J407">
        <v>2</v>
      </c>
      <c r="K407">
        <v>1</v>
      </c>
      <c r="L407">
        <v>2</v>
      </c>
      <c r="M407">
        <v>3</v>
      </c>
    </row>
    <row r="408" spans="1:13">
      <c r="A408" t="s">
        <v>108</v>
      </c>
      <c r="B408" t="s">
        <v>2061</v>
      </c>
      <c r="C408" t="s">
        <v>180</v>
      </c>
      <c r="D408" t="s">
        <v>98</v>
      </c>
      <c r="E408" s="217">
        <v>0.11432137187885601</v>
      </c>
      <c r="F408">
        <v>1</v>
      </c>
      <c r="G408" t="s">
        <v>2055</v>
      </c>
      <c r="H408">
        <v>2</v>
      </c>
      <c r="I408" t="s">
        <v>249</v>
      </c>
      <c r="J408">
        <v>2</v>
      </c>
      <c r="K408">
        <v>1</v>
      </c>
      <c r="L408">
        <v>2</v>
      </c>
      <c r="M408">
        <v>3</v>
      </c>
    </row>
    <row r="409" spans="1:13">
      <c r="A409" t="s">
        <v>108</v>
      </c>
      <c r="B409" t="s">
        <v>2061</v>
      </c>
      <c r="C409" t="s">
        <v>180</v>
      </c>
      <c r="D409" t="s">
        <v>95</v>
      </c>
      <c r="E409" s="217">
        <v>0.13209488185454599</v>
      </c>
      <c r="F409">
        <v>1</v>
      </c>
      <c r="G409" t="s">
        <v>2055</v>
      </c>
      <c r="H409">
        <v>2</v>
      </c>
      <c r="I409" t="s">
        <v>249</v>
      </c>
      <c r="J409">
        <v>2</v>
      </c>
      <c r="K409">
        <v>1</v>
      </c>
      <c r="L409">
        <v>2</v>
      </c>
      <c r="M409">
        <v>3</v>
      </c>
    </row>
    <row r="410" spans="1:13">
      <c r="A410" t="s">
        <v>108</v>
      </c>
      <c r="B410" t="s">
        <v>2061</v>
      </c>
      <c r="C410" t="s">
        <v>180</v>
      </c>
      <c r="D410" t="s">
        <v>91</v>
      </c>
      <c r="E410" s="217">
        <v>1.1916314104423099E-2</v>
      </c>
      <c r="F410">
        <v>1</v>
      </c>
      <c r="G410" t="s">
        <v>2055</v>
      </c>
      <c r="H410">
        <v>2</v>
      </c>
      <c r="I410" t="s">
        <v>249</v>
      </c>
      <c r="J410">
        <v>2</v>
      </c>
      <c r="K410">
        <v>1</v>
      </c>
      <c r="L410">
        <v>2</v>
      </c>
      <c r="M410">
        <v>3</v>
      </c>
    </row>
    <row r="412" spans="1:13" s="1109" customFormat="1">
      <c r="A412" s="1109" t="s">
        <v>2074</v>
      </c>
    </row>
    <row r="413" spans="1:13" s="1109" customFormat="1"/>
    <row r="414" spans="1:13">
      <c r="A414" t="s">
        <v>129</v>
      </c>
      <c r="B414" t="s">
        <v>130</v>
      </c>
      <c r="C414" t="s">
        <v>131</v>
      </c>
      <c r="D414" t="s">
        <v>102</v>
      </c>
      <c r="E414" t="s">
        <v>132</v>
      </c>
      <c r="F414" t="s">
        <v>133</v>
      </c>
      <c r="G414" t="s">
        <v>104</v>
      </c>
      <c r="H414" t="s">
        <v>134</v>
      </c>
      <c r="I414" t="s">
        <v>135</v>
      </c>
      <c r="J414" t="s">
        <v>65</v>
      </c>
      <c r="K414" t="s">
        <v>67</v>
      </c>
      <c r="L414" t="s">
        <v>73</v>
      </c>
      <c r="M414" t="s">
        <v>79</v>
      </c>
    </row>
    <row r="415" spans="1:13">
      <c r="A415" t="s">
        <v>108</v>
      </c>
      <c r="B415" t="s">
        <v>2054</v>
      </c>
      <c r="C415" t="s">
        <v>182</v>
      </c>
      <c r="D415" t="s">
        <v>99</v>
      </c>
      <c r="E415" s="217">
        <v>0.20473868095515499</v>
      </c>
      <c r="F415">
        <v>1</v>
      </c>
      <c r="G415" t="s">
        <v>2055</v>
      </c>
      <c r="H415" t="s">
        <v>249</v>
      </c>
      <c r="I415">
        <v>1</v>
      </c>
      <c r="J415">
        <v>2</v>
      </c>
      <c r="K415">
        <v>1</v>
      </c>
      <c r="L415">
        <v>2</v>
      </c>
      <c r="M415">
        <v>3</v>
      </c>
    </row>
    <row r="416" spans="1:13">
      <c r="A416" t="s">
        <v>108</v>
      </c>
      <c r="B416" t="s">
        <v>2054</v>
      </c>
      <c r="C416" t="s">
        <v>182</v>
      </c>
      <c r="D416" t="s">
        <v>98</v>
      </c>
      <c r="E416" s="217">
        <v>0</v>
      </c>
      <c r="F416">
        <v>1</v>
      </c>
      <c r="G416" t="s">
        <v>2055</v>
      </c>
      <c r="H416" t="s">
        <v>249</v>
      </c>
      <c r="I416">
        <v>1</v>
      </c>
      <c r="J416">
        <v>2</v>
      </c>
      <c r="K416">
        <v>1</v>
      </c>
      <c r="L416">
        <v>2</v>
      </c>
      <c r="M416">
        <v>3</v>
      </c>
    </row>
    <row r="417" spans="1:13">
      <c r="A417" t="s">
        <v>108</v>
      </c>
      <c r="B417" t="s">
        <v>2054</v>
      </c>
      <c r="C417" t="s">
        <v>182</v>
      </c>
      <c r="D417" t="s">
        <v>95</v>
      </c>
      <c r="E417" s="217">
        <v>2.3681463973251202E-2</v>
      </c>
      <c r="F417">
        <v>1</v>
      </c>
      <c r="G417" t="s">
        <v>2055</v>
      </c>
      <c r="H417" t="s">
        <v>249</v>
      </c>
      <c r="I417">
        <v>1</v>
      </c>
      <c r="J417">
        <v>2</v>
      </c>
      <c r="K417">
        <v>1</v>
      </c>
      <c r="L417">
        <v>2</v>
      </c>
      <c r="M417">
        <v>3</v>
      </c>
    </row>
    <row r="418" spans="1:13">
      <c r="A418" t="s">
        <v>108</v>
      </c>
      <c r="B418" t="s">
        <v>2054</v>
      </c>
      <c r="C418" t="s">
        <v>182</v>
      </c>
      <c r="D418" t="s">
        <v>91</v>
      </c>
      <c r="E418" s="217">
        <v>3.8019718326065099E-2</v>
      </c>
      <c r="F418">
        <v>1</v>
      </c>
      <c r="G418" t="s">
        <v>2055</v>
      </c>
      <c r="H418" t="s">
        <v>249</v>
      </c>
      <c r="I418">
        <v>1</v>
      </c>
      <c r="J418">
        <v>2</v>
      </c>
      <c r="K418">
        <v>1</v>
      </c>
      <c r="L418">
        <v>2</v>
      </c>
      <c r="M418">
        <v>3</v>
      </c>
    </row>
    <row r="419" spans="1:13">
      <c r="A419" t="s">
        <v>108</v>
      </c>
      <c r="B419" t="s">
        <v>2056</v>
      </c>
      <c r="C419" t="s">
        <v>182</v>
      </c>
      <c r="D419" t="s">
        <v>98</v>
      </c>
      <c r="E419" s="217">
        <v>0</v>
      </c>
      <c r="F419">
        <v>1</v>
      </c>
      <c r="G419" t="s">
        <v>2055</v>
      </c>
      <c r="H419" t="s">
        <v>249</v>
      </c>
      <c r="I419">
        <v>1</v>
      </c>
      <c r="J419">
        <v>2</v>
      </c>
      <c r="K419">
        <v>1</v>
      </c>
      <c r="L419">
        <v>2</v>
      </c>
      <c r="M419">
        <v>3</v>
      </c>
    </row>
    <row r="420" spans="1:13">
      <c r="A420" t="s">
        <v>108</v>
      </c>
      <c r="B420" t="s">
        <v>2056</v>
      </c>
      <c r="C420" t="s">
        <v>182</v>
      </c>
      <c r="D420" t="s">
        <v>95</v>
      </c>
      <c r="E420" s="217">
        <v>3.7359578080546699E-2</v>
      </c>
      <c r="F420">
        <v>1</v>
      </c>
      <c r="G420" t="s">
        <v>2055</v>
      </c>
      <c r="H420" t="s">
        <v>249</v>
      </c>
      <c r="I420">
        <v>1</v>
      </c>
      <c r="J420">
        <v>2</v>
      </c>
      <c r="K420">
        <v>1</v>
      </c>
      <c r="L420">
        <v>2</v>
      </c>
      <c r="M420">
        <v>3</v>
      </c>
    </row>
    <row r="421" spans="1:13">
      <c r="A421" t="s">
        <v>108</v>
      </c>
      <c r="B421" t="s">
        <v>2056</v>
      </c>
      <c r="C421" t="s">
        <v>182</v>
      </c>
      <c r="D421" t="s">
        <v>91</v>
      </c>
      <c r="E421" s="217">
        <v>3.9590380740080401E-2</v>
      </c>
      <c r="F421">
        <v>1</v>
      </c>
      <c r="G421" t="s">
        <v>2055</v>
      </c>
      <c r="H421" t="s">
        <v>249</v>
      </c>
      <c r="I421">
        <v>1</v>
      </c>
      <c r="J421">
        <v>2</v>
      </c>
      <c r="K421">
        <v>1</v>
      </c>
      <c r="L421">
        <v>2</v>
      </c>
      <c r="M421">
        <v>3</v>
      </c>
    </row>
    <row r="422" spans="1:13">
      <c r="A422" t="s">
        <v>108</v>
      </c>
      <c r="B422" t="s">
        <v>2056</v>
      </c>
      <c r="C422" t="s">
        <v>182</v>
      </c>
      <c r="D422" t="s">
        <v>93</v>
      </c>
      <c r="E422" s="217">
        <v>0.48339514392578797</v>
      </c>
      <c r="F422">
        <v>1</v>
      </c>
      <c r="G422" t="s">
        <v>2055</v>
      </c>
      <c r="H422" t="s">
        <v>249</v>
      </c>
      <c r="I422">
        <v>1</v>
      </c>
      <c r="J422">
        <v>2</v>
      </c>
      <c r="K422">
        <v>1</v>
      </c>
      <c r="L422">
        <v>2</v>
      </c>
      <c r="M422">
        <v>3</v>
      </c>
    </row>
    <row r="423" spans="1:13">
      <c r="A423" t="s">
        <v>108</v>
      </c>
      <c r="B423" t="s">
        <v>2056</v>
      </c>
      <c r="C423" t="s">
        <v>182</v>
      </c>
      <c r="D423" t="s">
        <v>90</v>
      </c>
      <c r="E423" s="217">
        <v>0.44302860064517702</v>
      </c>
      <c r="F423">
        <v>1</v>
      </c>
      <c r="G423" t="s">
        <v>2055</v>
      </c>
      <c r="H423" t="s">
        <v>249</v>
      </c>
      <c r="I423">
        <v>1</v>
      </c>
      <c r="J423">
        <v>2</v>
      </c>
      <c r="K423">
        <v>1</v>
      </c>
      <c r="L423">
        <v>2</v>
      </c>
      <c r="M423">
        <v>3</v>
      </c>
    </row>
    <row r="424" spans="1:13">
      <c r="A424" t="s">
        <v>108</v>
      </c>
      <c r="B424" t="s">
        <v>2056</v>
      </c>
      <c r="C424" t="s">
        <v>182</v>
      </c>
      <c r="D424" t="s">
        <v>92</v>
      </c>
      <c r="E424" s="217">
        <v>0.18274958314372799</v>
      </c>
      <c r="F424">
        <v>1</v>
      </c>
      <c r="G424" t="s">
        <v>2055</v>
      </c>
      <c r="H424" t="s">
        <v>249</v>
      </c>
      <c r="I424">
        <v>1</v>
      </c>
      <c r="J424">
        <v>2</v>
      </c>
      <c r="K424">
        <v>1</v>
      </c>
      <c r="L424">
        <v>2</v>
      </c>
      <c r="M424">
        <v>3</v>
      </c>
    </row>
    <row r="425" spans="1:13">
      <c r="A425" t="s">
        <v>108</v>
      </c>
      <c r="B425" t="s">
        <v>2057</v>
      </c>
      <c r="C425" t="s">
        <v>182</v>
      </c>
      <c r="D425" t="s">
        <v>98</v>
      </c>
      <c r="E425" s="217">
        <v>0.26221150695503298</v>
      </c>
      <c r="F425">
        <v>1</v>
      </c>
      <c r="G425" t="s">
        <v>2055</v>
      </c>
      <c r="H425" t="s">
        <v>249</v>
      </c>
      <c r="I425">
        <v>1</v>
      </c>
      <c r="J425">
        <v>2</v>
      </c>
      <c r="K425">
        <v>1</v>
      </c>
      <c r="L425">
        <v>2</v>
      </c>
      <c r="M425">
        <v>3</v>
      </c>
    </row>
    <row r="426" spans="1:13">
      <c r="A426" t="s">
        <v>108</v>
      </c>
      <c r="B426" t="s">
        <v>2057</v>
      </c>
      <c r="C426" t="s">
        <v>182</v>
      </c>
      <c r="D426" t="s">
        <v>95</v>
      </c>
      <c r="E426" s="217">
        <v>8.1491138548843198E-2</v>
      </c>
      <c r="F426">
        <v>1</v>
      </c>
      <c r="G426" t="s">
        <v>2055</v>
      </c>
      <c r="H426" t="s">
        <v>249</v>
      </c>
      <c r="I426">
        <v>1</v>
      </c>
      <c r="J426">
        <v>2</v>
      </c>
      <c r="K426">
        <v>1</v>
      </c>
      <c r="L426">
        <v>2</v>
      </c>
      <c r="M426">
        <v>3</v>
      </c>
    </row>
    <row r="427" spans="1:13">
      <c r="A427" t="s">
        <v>108</v>
      </c>
      <c r="B427" t="s">
        <v>2057</v>
      </c>
      <c r="C427" t="s">
        <v>182</v>
      </c>
      <c r="D427" t="s">
        <v>91</v>
      </c>
      <c r="E427" s="217">
        <v>0.16695707975953999</v>
      </c>
      <c r="F427">
        <v>1</v>
      </c>
      <c r="G427" t="s">
        <v>2055</v>
      </c>
      <c r="H427" t="s">
        <v>249</v>
      </c>
      <c r="I427">
        <v>1</v>
      </c>
      <c r="J427">
        <v>2</v>
      </c>
      <c r="K427">
        <v>1</v>
      </c>
      <c r="L427">
        <v>2</v>
      </c>
      <c r="M427">
        <v>3</v>
      </c>
    </row>
    <row r="428" spans="1:13">
      <c r="A428" t="s">
        <v>108</v>
      </c>
      <c r="B428" t="s">
        <v>2057</v>
      </c>
      <c r="C428" t="s">
        <v>182</v>
      </c>
      <c r="D428" t="s">
        <v>93</v>
      </c>
      <c r="E428" s="217">
        <v>0.395404833292331</v>
      </c>
      <c r="F428">
        <v>1</v>
      </c>
      <c r="G428" t="s">
        <v>2055</v>
      </c>
      <c r="H428" t="s">
        <v>249</v>
      </c>
      <c r="I428">
        <v>1</v>
      </c>
      <c r="J428">
        <v>2</v>
      </c>
      <c r="K428">
        <v>1</v>
      </c>
      <c r="L428">
        <v>2</v>
      </c>
      <c r="M428">
        <v>3</v>
      </c>
    </row>
    <row r="429" spans="1:13">
      <c r="A429" t="s">
        <v>108</v>
      </c>
      <c r="B429" t="s">
        <v>2057</v>
      </c>
      <c r="C429" t="s">
        <v>182</v>
      </c>
      <c r="D429" t="s">
        <v>90</v>
      </c>
      <c r="E429" s="217">
        <v>0.41415546960298899</v>
      </c>
      <c r="F429">
        <v>1</v>
      </c>
      <c r="G429" t="s">
        <v>2055</v>
      </c>
      <c r="H429" t="s">
        <v>249</v>
      </c>
      <c r="I429">
        <v>1</v>
      </c>
      <c r="J429">
        <v>2</v>
      </c>
      <c r="K429">
        <v>1</v>
      </c>
      <c r="L429">
        <v>2</v>
      </c>
      <c r="M429">
        <v>3</v>
      </c>
    </row>
    <row r="430" spans="1:13">
      <c r="A430" t="s">
        <v>108</v>
      </c>
      <c r="B430" t="s">
        <v>2057</v>
      </c>
      <c r="C430" t="s">
        <v>182</v>
      </c>
      <c r="D430" t="s">
        <v>92</v>
      </c>
      <c r="E430" s="217">
        <v>0.57981856287566402</v>
      </c>
      <c r="F430">
        <v>1</v>
      </c>
      <c r="G430" t="s">
        <v>2055</v>
      </c>
      <c r="H430" t="s">
        <v>249</v>
      </c>
      <c r="I430">
        <v>1</v>
      </c>
      <c r="J430">
        <v>2</v>
      </c>
      <c r="K430">
        <v>1</v>
      </c>
      <c r="L430">
        <v>2</v>
      </c>
      <c r="M430">
        <v>3</v>
      </c>
    </row>
    <row r="431" spans="1:13">
      <c r="A431" t="s">
        <v>108</v>
      </c>
      <c r="B431" t="s">
        <v>2185</v>
      </c>
      <c r="C431" t="s">
        <v>182</v>
      </c>
      <c r="D431" t="s">
        <v>99</v>
      </c>
      <c r="E431" s="217">
        <v>0</v>
      </c>
      <c r="F431">
        <v>1</v>
      </c>
      <c r="G431" t="s">
        <v>2055</v>
      </c>
      <c r="H431" t="s">
        <v>249</v>
      </c>
      <c r="I431">
        <v>1</v>
      </c>
      <c r="J431">
        <v>2</v>
      </c>
      <c r="K431">
        <v>1</v>
      </c>
      <c r="L431">
        <v>2</v>
      </c>
      <c r="M431">
        <v>3</v>
      </c>
    </row>
    <row r="432" spans="1:13">
      <c r="A432" t="s">
        <v>108</v>
      </c>
      <c r="B432" t="s">
        <v>2185</v>
      </c>
      <c r="C432" t="s">
        <v>182</v>
      </c>
      <c r="D432" t="s">
        <v>98</v>
      </c>
      <c r="E432" s="217">
        <v>0</v>
      </c>
      <c r="F432">
        <v>1</v>
      </c>
      <c r="G432" t="s">
        <v>2055</v>
      </c>
      <c r="H432" t="s">
        <v>249</v>
      </c>
      <c r="I432">
        <v>1</v>
      </c>
      <c r="J432">
        <v>2</v>
      </c>
      <c r="K432">
        <v>1</v>
      </c>
      <c r="L432">
        <v>2</v>
      </c>
      <c r="M432">
        <v>3</v>
      </c>
    </row>
    <row r="433" spans="1:13">
      <c r="A433" t="s">
        <v>108</v>
      </c>
      <c r="B433" t="s">
        <v>2185</v>
      </c>
      <c r="C433" t="s">
        <v>182</v>
      </c>
      <c r="D433" t="s">
        <v>95</v>
      </c>
      <c r="E433" s="217">
        <v>2.66840978650866E-2</v>
      </c>
      <c r="F433">
        <v>1</v>
      </c>
      <c r="G433" t="s">
        <v>2055</v>
      </c>
      <c r="H433" t="s">
        <v>249</v>
      </c>
      <c r="I433">
        <v>1</v>
      </c>
      <c r="J433">
        <v>2</v>
      </c>
      <c r="K433">
        <v>1</v>
      </c>
      <c r="L433">
        <v>2</v>
      </c>
      <c r="M433">
        <v>3</v>
      </c>
    </row>
    <row r="434" spans="1:13">
      <c r="A434" t="s">
        <v>108</v>
      </c>
      <c r="B434" t="s">
        <v>2185</v>
      </c>
      <c r="C434" t="s">
        <v>182</v>
      </c>
      <c r="D434" t="s">
        <v>91</v>
      </c>
      <c r="E434" s="217">
        <v>3.7467621001403197E-2</v>
      </c>
      <c r="F434">
        <v>1</v>
      </c>
      <c r="G434" t="s">
        <v>2055</v>
      </c>
      <c r="H434" t="s">
        <v>249</v>
      </c>
      <c r="I434">
        <v>1</v>
      </c>
      <c r="J434">
        <v>2</v>
      </c>
      <c r="K434">
        <v>1</v>
      </c>
      <c r="L434">
        <v>2</v>
      </c>
      <c r="M434">
        <v>3</v>
      </c>
    </row>
    <row r="435" spans="1:13">
      <c r="A435" t="s">
        <v>108</v>
      </c>
      <c r="B435" t="s">
        <v>2186</v>
      </c>
      <c r="C435" t="s">
        <v>182</v>
      </c>
      <c r="D435" t="s">
        <v>99</v>
      </c>
      <c r="E435" s="217">
        <v>0.51736573665128205</v>
      </c>
      <c r="F435">
        <v>1</v>
      </c>
      <c r="G435" t="s">
        <v>2055</v>
      </c>
      <c r="H435" t="s">
        <v>249</v>
      </c>
      <c r="I435">
        <v>1</v>
      </c>
      <c r="J435">
        <v>2</v>
      </c>
      <c r="K435">
        <v>1</v>
      </c>
      <c r="L435">
        <v>2</v>
      </c>
      <c r="M435">
        <v>3</v>
      </c>
    </row>
    <row r="436" spans="1:13">
      <c r="A436" t="s">
        <v>108</v>
      </c>
      <c r="B436" t="s">
        <v>2186</v>
      </c>
      <c r="C436" t="s">
        <v>182</v>
      </c>
      <c r="D436" t="s">
        <v>98</v>
      </c>
      <c r="E436" s="217">
        <v>5.4014541765341199E-2</v>
      </c>
      <c r="F436">
        <v>1</v>
      </c>
      <c r="G436" t="s">
        <v>2055</v>
      </c>
      <c r="H436" t="s">
        <v>249</v>
      </c>
      <c r="I436">
        <v>1</v>
      </c>
      <c r="J436">
        <v>2</v>
      </c>
      <c r="K436">
        <v>1</v>
      </c>
      <c r="L436">
        <v>2</v>
      </c>
      <c r="M436">
        <v>3</v>
      </c>
    </row>
    <row r="437" spans="1:13">
      <c r="A437" t="s">
        <v>108</v>
      </c>
      <c r="B437" t="s">
        <v>2186</v>
      </c>
      <c r="C437" t="s">
        <v>182</v>
      </c>
      <c r="D437" t="s">
        <v>95</v>
      </c>
      <c r="E437" s="217">
        <v>0.32641106648312102</v>
      </c>
      <c r="F437">
        <v>1</v>
      </c>
      <c r="G437" t="s">
        <v>2055</v>
      </c>
      <c r="H437" t="s">
        <v>249</v>
      </c>
      <c r="I437">
        <v>1</v>
      </c>
      <c r="J437">
        <v>2</v>
      </c>
      <c r="K437">
        <v>1</v>
      </c>
      <c r="L437">
        <v>2</v>
      </c>
      <c r="M437">
        <v>3</v>
      </c>
    </row>
    <row r="438" spans="1:13">
      <c r="A438" t="s">
        <v>108</v>
      </c>
      <c r="B438" t="s">
        <v>2186</v>
      </c>
      <c r="C438" t="s">
        <v>182</v>
      </c>
      <c r="D438" t="s">
        <v>91</v>
      </c>
      <c r="E438" s="217">
        <v>0.18263605280568401</v>
      </c>
      <c r="F438">
        <v>1</v>
      </c>
      <c r="G438" t="s">
        <v>2055</v>
      </c>
      <c r="H438" t="s">
        <v>249</v>
      </c>
      <c r="I438">
        <v>1</v>
      </c>
      <c r="J438">
        <v>2</v>
      </c>
      <c r="K438">
        <v>1</v>
      </c>
      <c r="L438">
        <v>2</v>
      </c>
      <c r="M438">
        <v>3</v>
      </c>
    </row>
    <row r="439" spans="1:13">
      <c r="A439" t="s">
        <v>108</v>
      </c>
      <c r="B439" t="s">
        <v>2187</v>
      </c>
      <c r="C439" t="s">
        <v>182</v>
      </c>
      <c r="D439" t="s">
        <v>99</v>
      </c>
      <c r="E439" s="217">
        <v>2.4568018849149401E-2</v>
      </c>
      <c r="F439">
        <v>1</v>
      </c>
      <c r="G439" t="s">
        <v>2055</v>
      </c>
      <c r="H439" t="s">
        <v>249</v>
      </c>
      <c r="I439">
        <v>1</v>
      </c>
      <c r="J439">
        <v>2</v>
      </c>
      <c r="K439">
        <v>1</v>
      </c>
      <c r="L439">
        <v>2</v>
      </c>
      <c r="M439">
        <v>3</v>
      </c>
    </row>
    <row r="440" spans="1:13">
      <c r="A440" t="s">
        <v>108</v>
      </c>
      <c r="B440" t="s">
        <v>2187</v>
      </c>
      <c r="C440" t="s">
        <v>182</v>
      </c>
      <c r="D440" t="s">
        <v>98</v>
      </c>
      <c r="E440" s="217">
        <v>2.0153376516434E-2</v>
      </c>
      <c r="F440">
        <v>1</v>
      </c>
      <c r="G440" t="s">
        <v>2055</v>
      </c>
      <c r="H440" t="s">
        <v>249</v>
      </c>
      <c r="I440">
        <v>1</v>
      </c>
      <c r="J440">
        <v>2</v>
      </c>
      <c r="K440">
        <v>1</v>
      </c>
      <c r="L440">
        <v>2</v>
      </c>
      <c r="M440">
        <v>3</v>
      </c>
    </row>
    <row r="441" spans="1:13">
      <c r="A441" t="s">
        <v>108</v>
      </c>
      <c r="B441" t="s">
        <v>2187</v>
      </c>
      <c r="C441" t="s">
        <v>182</v>
      </c>
      <c r="D441" t="s">
        <v>95</v>
      </c>
      <c r="E441" s="217">
        <v>5.0338750051631298E-2</v>
      </c>
      <c r="F441">
        <v>1</v>
      </c>
      <c r="G441" t="s">
        <v>2055</v>
      </c>
      <c r="H441" t="s">
        <v>249</v>
      </c>
      <c r="I441">
        <v>1</v>
      </c>
      <c r="J441">
        <v>2</v>
      </c>
      <c r="K441">
        <v>1</v>
      </c>
      <c r="L441">
        <v>2</v>
      </c>
      <c r="M441">
        <v>3</v>
      </c>
    </row>
    <row r="442" spans="1:13">
      <c r="A442" t="s">
        <v>108</v>
      </c>
      <c r="B442" t="s">
        <v>2187</v>
      </c>
      <c r="C442" t="s">
        <v>182</v>
      </c>
      <c r="D442" t="s">
        <v>91</v>
      </c>
      <c r="E442" s="217">
        <v>7.1584958870518096E-3</v>
      </c>
      <c r="F442">
        <v>1</v>
      </c>
      <c r="G442" t="s">
        <v>2055</v>
      </c>
      <c r="H442" t="s">
        <v>249</v>
      </c>
      <c r="I442">
        <v>1</v>
      </c>
      <c r="J442">
        <v>2</v>
      </c>
      <c r="K442">
        <v>1</v>
      </c>
      <c r="L442">
        <v>2</v>
      </c>
      <c r="M442">
        <v>3</v>
      </c>
    </row>
    <row r="443" spans="1:13">
      <c r="A443" t="s">
        <v>108</v>
      </c>
      <c r="B443" t="s">
        <v>2058</v>
      </c>
      <c r="C443" t="s">
        <v>182</v>
      </c>
      <c r="D443" t="s">
        <v>98</v>
      </c>
      <c r="E443" s="217">
        <v>0.36168041140019702</v>
      </c>
      <c r="F443">
        <v>1</v>
      </c>
      <c r="G443" t="s">
        <v>2055</v>
      </c>
      <c r="H443" t="s">
        <v>249</v>
      </c>
      <c r="I443">
        <v>1</v>
      </c>
      <c r="J443">
        <v>2</v>
      </c>
      <c r="K443">
        <v>1</v>
      </c>
      <c r="L443">
        <v>2</v>
      </c>
      <c r="M443">
        <v>3</v>
      </c>
    </row>
    <row r="444" spans="1:13">
      <c r="A444" t="s">
        <v>108</v>
      </c>
      <c r="B444" t="s">
        <v>2058</v>
      </c>
      <c r="C444" t="s">
        <v>182</v>
      </c>
      <c r="D444" t="s">
        <v>95</v>
      </c>
      <c r="E444" s="217">
        <v>0</v>
      </c>
      <c r="F444">
        <v>1</v>
      </c>
      <c r="G444" t="s">
        <v>2055</v>
      </c>
      <c r="H444" t="s">
        <v>249</v>
      </c>
      <c r="I444">
        <v>1</v>
      </c>
      <c r="J444">
        <v>2</v>
      </c>
      <c r="K444">
        <v>1</v>
      </c>
      <c r="L444">
        <v>2</v>
      </c>
      <c r="M444">
        <v>3</v>
      </c>
    </row>
    <row r="445" spans="1:13">
      <c r="A445" t="s">
        <v>108</v>
      </c>
      <c r="B445" t="s">
        <v>2058</v>
      </c>
      <c r="C445" t="s">
        <v>182</v>
      </c>
      <c r="D445" t="s">
        <v>91</v>
      </c>
      <c r="E445" s="217">
        <v>5.9558170262187298E-3</v>
      </c>
      <c r="F445">
        <v>1</v>
      </c>
      <c r="G445" t="s">
        <v>2055</v>
      </c>
      <c r="H445" t="s">
        <v>249</v>
      </c>
      <c r="I445">
        <v>1</v>
      </c>
      <c r="J445">
        <v>2</v>
      </c>
      <c r="K445">
        <v>1</v>
      </c>
      <c r="L445">
        <v>2</v>
      </c>
      <c r="M445">
        <v>3</v>
      </c>
    </row>
    <row r="446" spans="1:13">
      <c r="A446" t="s">
        <v>108</v>
      </c>
      <c r="B446" t="s">
        <v>2058</v>
      </c>
      <c r="C446" t="s">
        <v>182</v>
      </c>
      <c r="D446" t="s">
        <v>93</v>
      </c>
      <c r="E446" s="217">
        <v>0.12120002278188099</v>
      </c>
      <c r="F446">
        <v>1</v>
      </c>
      <c r="G446" t="s">
        <v>2055</v>
      </c>
      <c r="H446" t="s">
        <v>249</v>
      </c>
      <c r="I446">
        <v>1</v>
      </c>
      <c r="J446">
        <v>2</v>
      </c>
      <c r="K446">
        <v>1</v>
      </c>
      <c r="L446">
        <v>2</v>
      </c>
      <c r="M446">
        <v>3</v>
      </c>
    </row>
    <row r="447" spans="1:13">
      <c r="A447" t="s">
        <v>108</v>
      </c>
      <c r="B447" t="s">
        <v>2058</v>
      </c>
      <c r="C447" t="s">
        <v>182</v>
      </c>
      <c r="D447" t="s">
        <v>90</v>
      </c>
      <c r="E447" s="217">
        <v>0.14281592975183499</v>
      </c>
      <c r="F447">
        <v>1</v>
      </c>
      <c r="G447" t="s">
        <v>2055</v>
      </c>
      <c r="H447" t="s">
        <v>249</v>
      </c>
      <c r="I447">
        <v>1</v>
      </c>
      <c r="J447">
        <v>2</v>
      </c>
      <c r="K447">
        <v>1</v>
      </c>
      <c r="L447">
        <v>2</v>
      </c>
      <c r="M447">
        <v>3</v>
      </c>
    </row>
    <row r="448" spans="1:13">
      <c r="A448" t="s">
        <v>108</v>
      </c>
      <c r="B448" t="s">
        <v>2058</v>
      </c>
      <c r="C448" t="s">
        <v>182</v>
      </c>
      <c r="D448" t="s">
        <v>92</v>
      </c>
      <c r="E448" s="217">
        <v>0.23743185398060801</v>
      </c>
      <c r="F448">
        <v>1</v>
      </c>
      <c r="G448" t="s">
        <v>2055</v>
      </c>
      <c r="H448" t="s">
        <v>249</v>
      </c>
      <c r="I448">
        <v>1</v>
      </c>
      <c r="J448">
        <v>2</v>
      </c>
      <c r="K448">
        <v>1</v>
      </c>
      <c r="L448">
        <v>2</v>
      </c>
      <c r="M448">
        <v>3</v>
      </c>
    </row>
    <row r="449" spans="1:13">
      <c r="A449" t="s">
        <v>108</v>
      </c>
      <c r="B449" t="s">
        <v>2188</v>
      </c>
      <c r="C449" t="s">
        <v>182</v>
      </c>
      <c r="D449" t="s">
        <v>99</v>
      </c>
      <c r="E449" s="217">
        <v>0</v>
      </c>
      <c r="F449">
        <v>1</v>
      </c>
      <c r="G449" t="s">
        <v>2055</v>
      </c>
      <c r="H449" t="s">
        <v>249</v>
      </c>
      <c r="I449">
        <v>1</v>
      </c>
      <c r="J449">
        <v>2</v>
      </c>
      <c r="K449">
        <v>1</v>
      </c>
      <c r="L449">
        <v>2</v>
      </c>
      <c r="M449">
        <v>3</v>
      </c>
    </row>
    <row r="450" spans="1:13">
      <c r="A450" t="s">
        <v>108</v>
      </c>
      <c r="B450" t="s">
        <v>2188</v>
      </c>
      <c r="C450" t="s">
        <v>182</v>
      </c>
      <c r="D450" t="s">
        <v>98</v>
      </c>
      <c r="E450" s="217">
        <v>0.204823445098268</v>
      </c>
      <c r="F450">
        <v>1</v>
      </c>
      <c r="G450" t="s">
        <v>2055</v>
      </c>
      <c r="H450" t="s">
        <v>249</v>
      </c>
      <c r="I450">
        <v>1</v>
      </c>
      <c r="J450">
        <v>2</v>
      </c>
      <c r="K450">
        <v>1</v>
      </c>
      <c r="L450">
        <v>2</v>
      </c>
      <c r="M450">
        <v>3</v>
      </c>
    </row>
    <row r="451" spans="1:13">
      <c r="A451" t="s">
        <v>108</v>
      </c>
      <c r="B451" t="s">
        <v>2188</v>
      </c>
      <c r="C451" t="s">
        <v>182</v>
      </c>
      <c r="D451" t="s">
        <v>95</v>
      </c>
      <c r="E451" s="217">
        <v>0.259928044629197</v>
      </c>
      <c r="F451">
        <v>1</v>
      </c>
      <c r="G451" t="s">
        <v>2055</v>
      </c>
      <c r="H451" t="s">
        <v>249</v>
      </c>
      <c r="I451">
        <v>1</v>
      </c>
      <c r="J451">
        <v>2</v>
      </c>
      <c r="K451">
        <v>1</v>
      </c>
      <c r="L451">
        <v>2</v>
      </c>
      <c r="M451">
        <v>3</v>
      </c>
    </row>
    <row r="452" spans="1:13">
      <c r="A452" t="s">
        <v>108</v>
      </c>
      <c r="B452" t="s">
        <v>2188</v>
      </c>
      <c r="C452" t="s">
        <v>182</v>
      </c>
      <c r="D452" t="s">
        <v>91</v>
      </c>
      <c r="E452" s="217">
        <v>0.26679181959488901</v>
      </c>
      <c r="F452">
        <v>1</v>
      </c>
      <c r="G452" t="s">
        <v>2055</v>
      </c>
      <c r="H452" t="s">
        <v>249</v>
      </c>
      <c r="I452">
        <v>1</v>
      </c>
      <c r="J452">
        <v>2</v>
      </c>
      <c r="K452">
        <v>1</v>
      </c>
      <c r="L452">
        <v>2</v>
      </c>
      <c r="M452">
        <v>3</v>
      </c>
    </row>
    <row r="453" spans="1:13">
      <c r="A453" t="s">
        <v>108</v>
      </c>
      <c r="B453" t="s">
        <v>2189</v>
      </c>
      <c r="C453" t="s">
        <v>182</v>
      </c>
      <c r="D453" t="s">
        <v>99</v>
      </c>
      <c r="E453" s="217">
        <v>0</v>
      </c>
      <c r="F453">
        <v>1</v>
      </c>
      <c r="G453" t="s">
        <v>2055</v>
      </c>
      <c r="H453" t="s">
        <v>249</v>
      </c>
      <c r="I453">
        <v>1</v>
      </c>
      <c r="J453">
        <v>2</v>
      </c>
      <c r="K453">
        <v>1</v>
      </c>
      <c r="L453">
        <v>2</v>
      </c>
      <c r="M453">
        <v>3</v>
      </c>
    </row>
    <row r="454" spans="1:13">
      <c r="A454" t="s">
        <v>108</v>
      </c>
      <c r="B454" t="s">
        <v>2189</v>
      </c>
      <c r="C454" t="s">
        <v>182</v>
      </c>
      <c r="D454" t="s">
        <v>98</v>
      </c>
      <c r="E454" s="217">
        <v>0</v>
      </c>
      <c r="F454">
        <v>1</v>
      </c>
      <c r="G454" t="s">
        <v>2055</v>
      </c>
      <c r="H454" t="s">
        <v>249</v>
      </c>
      <c r="I454">
        <v>1</v>
      </c>
      <c r="J454">
        <v>2</v>
      </c>
      <c r="K454">
        <v>1</v>
      </c>
      <c r="L454">
        <v>2</v>
      </c>
      <c r="M454">
        <v>3</v>
      </c>
    </row>
    <row r="455" spans="1:13">
      <c r="A455" t="s">
        <v>108</v>
      </c>
      <c r="B455" t="s">
        <v>2189</v>
      </c>
      <c r="C455" t="s">
        <v>182</v>
      </c>
      <c r="D455" t="s">
        <v>95</v>
      </c>
      <c r="E455" s="217">
        <v>0</v>
      </c>
      <c r="F455">
        <v>1</v>
      </c>
      <c r="G455" t="s">
        <v>2055</v>
      </c>
      <c r="H455" t="s">
        <v>249</v>
      </c>
      <c r="I455">
        <v>1</v>
      </c>
      <c r="J455">
        <v>2</v>
      </c>
      <c r="K455">
        <v>1</v>
      </c>
      <c r="L455">
        <v>2</v>
      </c>
      <c r="M455">
        <v>3</v>
      </c>
    </row>
    <row r="456" spans="1:13">
      <c r="A456" t="s">
        <v>108</v>
      </c>
      <c r="B456" t="s">
        <v>2189</v>
      </c>
      <c r="C456" t="s">
        <v>182</v>
      </c>
      <c r="D456" t="s">
        <v>91</v>
      </c>
      <c r="E456" s="217">
        <v>4.0651954860777703E-2</v>
      </c>
      <c r="F456">
        <v>1</v>
      </c>
      <c r="G456" t="s">
        <v>2055</v>
      </c>
      <c r="H456" t="s">
        <v>249</v>
      </c>
      <c r="I456">
        <v>1</v>
      </c>
      <c r="J456">
        <v>2</v>
      </c>
      <c r="K456">
        <v>1</v>
      </c>
      <c r="L456">
        <v>2</v>
      </c>
      <c r="M456">
        <v>3</v>
      </c>
    </row>
    <row r="457" spans="1:13">
      <c r="A457" t="s">
        <v>108</v>
      </c>
      <c r="B457" t="s">
        <v>2190</v>
      </c>
      <c r="C457" t="s">
        <v>182</v>
      </c>
      <c r="D457" t="s">
        <v>99</v>
      </c>
      <c r="E457" s="217">
        <v>0.25332756354441399</v>
      </c>
      <c r="F457">
        <v>1</v>
      </c>
      <c r="G457" t="s">
        <v>2055</v>
      </c>
      <c r="H457" t="s">
        <v>249</v>
      </c>
      <c r="I457">
        <v>1</v>
      </c>
      <c r="J457">
        <v>2</v>
      </c>
      <c r="K457">
        <v>1</v>
      </c>
      <c r="L457">
        <v>2</v>
      </c>
      <c r="M457">
        <v>3</v>
      </c>
    </row>
    <row r="458" spans="1:13">
      <c r="A458" t="s">
        <v>108</v>
      </c>
      <c r="B458" t="s">
        <v>2190</v>
      </c>
      <c r="C458" t="s">
        <v>182</v>
      </c>
      <c r="D458" t="s">
        <v>98</v>
      </c>
      <c r="E458" s="217">
        <v>0</v>
      </c>
      <c r="F458">
        <v>1</v>
      </c>
      <c r="G458" t="s">
        <v>2055</v>
      </c>
      <c r="H458" t="s">
        <v>249</v>
      </c>
      <c r="I458">
        <v>1</v>
      </c>
      <c r="J458">
        <v>2</v>
      </c>
      <c r="K458">
        <v>1</v>
      </c>
      <c r="L458">
        <v>2</v>
      </c>
      <c r="M458">
        <v>3</v>
      </c>
    </row>
    <row r="459" spans="1:13">
      <c r="A459" t="s">
        <v>108</v>
      </c>
      <c r="B459" t="s">
        <v>2190</v>
      </c>
      <c r="C459" t="s">
        <v>182</v>
      </c>
      <c r="D459" t="s">
        <v>95</v>
      </c>
      <c r="E459" s="217">
        <v>4.6882533708010599E-2</v>
      </c>
      <c r="F459">
        <v>1</v>
      </c>
      <c r="G459" t="s">
        <v>2055</v>
      </c>
      <c r="H459" t="s">
        <v>249</v>
      </c>
      <c r="I459">
        <v>1</v>
      </c>
      <c r="J459">
        <v>2</v>
      </c>
      <c r="K459">
        <v>1</v>
      </c>
      <c r="L459">
        <v>2</v>
      </c>
      <c r="M459">
        <v>3</v>
      </c>
    </row>
    <row r="460" spans="1:13">
      <c r="A460" t="s">
        <v>108</v>
      </c>
      <c r="B460" t="s">
        <v>2190</v>
      </c>
      <c r="C460" t="s">
        <v>182</v>
      </c>
      <c r="D460" t="s">
        <v>91</v>
      </c>
      <c r="E460" s="217">
        <v>0.12768265754458599</v>
      </c>
      <c r="F460">
        <v>1</v>
      </c>
      <c r="G460" t="s">
        <v>2055</v>
      </c>
      <c r="H460" t="s">
        <v>249</v>
      </c>
      <c r="I460">
        <v>1</v>
      </c>
      <c r="J460">
        <v>2</v>
      </c>
      <c r="K460">
        <v>1</v>
      </c>
      <c r="L460">
        <v>2</v>
      </c>
      <c r="M460">
        <v>3</v>
      </c>
    </row>
    <row r="461" spans="1:13">
      <c r="A461" t="s">
        <v>108</v>
      </c>
      <c r="B461" t="s">
        <v>2059</v>
      </c>
      <c r="C461" t="s">
        <v>182</v>
      </c>
      <c r="D461" t="s">
        <v>99</v>
      </c>
      <c r="E461" s="217">
        <v>0</v>
      </c>
      <c r="F461">
        <v>1</v>
      </c>
      <c r="G461" t="s">
        <v>2055</v>
      </c>
      <c r="H461" t="s">
        <v>249</v>
      </c>
      <c r="I461">
        <v>1</v>
      </c>
      <c r="J461">
        <v>2</v>
      </c>
      <c r="K461">
        <v>1</v>
      </c>
      <c r="L461">
        <v>2</v>
      </c>
      <c r="M461">
        <v>3</v>
      </c>
    </row>
    <row r="462" spans="1:13">
      <c r="A462" t="s">
        <v>108</v>
      </c>
      <c r="B462" t="s">
        <v>2059</v>
      </c>
      <c r="C462" t="s">
        <v>182</v>
      </c>
      <c r="D462" t="s">
        <v>98</v>
      </c>
      <c r="E462" s="217">
        <v>9.2438734554126604E-3</v>
      </c>
      <c r="F462">
        <v>1</v>
      </c>
      <c r="G462" t="s">
        <v>2055</v>
      </c>
      <c r="H462" t="s">
        <v>249</v>
      </c>
      <c r="I462">
        <v>1</v>
      </c>
      <c r="J462">
        <v>2</v>
      </c>
      <c r="K462">
        <v>1</v>
      </c>
      <c r="L462">
        <v>2</v>
      </c>
      <c r="M462">
        <v>3</v>
      </c>
    </row>
    <row r="463" spans="1:13">
      <c r="A463" t="s">
        <v>108</v>
      </c>
      <c r="B463" t="s">
        <v>2059</v>
      </c>
      <c r="C463" t="s">
        <v>182</v>
      </c>
      <c r="D463" t="s">
        <v>95</v>
      </c>
      <c r="E463" s="217">
        <v>3.7985433111043902E-2</v>
      </c>
      <c r="F463">
        <v>1</v>
      </c>
      <c r="G463" t="s">
        <v>2055</v>
      </c>
      <c r="H463" t="s">
        <v>249</v>
      </c>
      <c r="I463">
        <v>1</v>
      </c>
      <c r="J463">
        <v>2</v>
      </c>
      <c r="K463">
        <v>1</v>
      </c>
      <c r="L463">
        <v>2</v>
      </c>
      <c r="M463">
        <v>3</v>
      </c>
    </row>
    <row r="464" spans="1:13">
      <c r="A464" t="s">
        <v>108</v>
      </c>
      <c r="B464" t="s">
        <v>2059</v>
      </c>
      <c r="C464" t="s">
        <v>182</v>
      </c>
      <c r="D464" t="s">
        <v>91</v>
      </c>
      <c r="E464" s="217">
        <v>6.25114832174729E-3</v>
      </c>
      <c r="F464">
        <v>1</v>
      </c>
      <c r="G464" t="s">
        <v>2055</v>
      </c>
      <c r="H464" t="s">
        <v>249</v>
      </c>
      <c r="I464">
        <v>1</v>
      </c>
      <c r="J464">
        <v>2</v>
      </c>
      <c r="K464">
        <v>1</v>
      </c>
      <c r="L464">
        <v>2</v>
      </c>
      <c r="M464">
        <v>3</v>
      </c>
    </row>
    <row r="465" spans="1:15">
      <c r="A465" t="s">
        <v>108</v>
      </c>
      <c r="B465" t="s">
        <v>2060</v>
      </c>
      <c r="C465" t="s">
        <v>182</v>
      </c>
      <c r="D465" t="s">
        <v>99</v>
      </c>
      <c r="E465" s="217">
        <v>0</v>
      </c>
      <c r="F465">
        <v>1</v>
      </c>
      <c r="G465" t="s">
        <v>2055</v>
      </c>
      <c r="H465" t="s">
        <v>249</v>
      </c>
      <c r="I465">
        <v>1</v>
      </c>
      <c r="J465">
        <v>2</v>
      </c>
      <c r="K465">
        <v>1</v>
      </c>
      <c r="L465">
        <v>2</v>
      </c>
      <c r="M465">
        <v>3</v>
      </c>
    </row>
    <row r="466" spans="1:15">
      <c r="A466" t="s">
        <v>108</v>
      </c>
      <c r="B466" t="s">
        <v>2060</v>
      </c>
      <c r="C466" t="s">
        <v>182</v>
      </c>
      <c r="D466" t="s">
        <v>98</v>
      </c>
      <c r="E466" s="217">
        <v>0</v>
      </c>
      <c r="F466">
        <v>1</v>
      </c>
      <c r="G466" t="s">
        <v>2055</v>
      </c>
      <c r="H466" t="s">
        <v>249</v>
      </c>
      <c r="I466">
        <v>1</v>
      </c>
      <c r="J466">
        <v>2</v>
      </c>
      <c r="K466">
        <v>1</v>
      </c>
      <c r="L466">
        <v>2</v>
      </c>
      <c r="M466">
        <v>3</v>
      </c>
    </row>
    <row r="467" spans="1:15">
      <c r="A467" t="s">
        <v>108</v>
      </c>
      <c r="B467" t="s">
        <v>2060</v>
      </c>
      <c r="C467" t="s">
        <v>182</v>
      </c>
      <c r="D467" t="s">
        <v>95</v>
      </c>
      <c r="E467" s="217">
        <v>0</v>
      </c>
      <c r="F467">
        <v>1</v>
      </c>
      <c r="G467" t="s">
        <v>2055</v>
      </c>
      <c r="H467" t="s">
        <v>249</v>
      </c>
      <c r="I467">
        <v>1</v>
      </c>
      <c r="J467">
        <v>2</v>
      </c>
      <c r="K467">
        <v>1</v>
      </c>
      <c r="L467">
        <v>2</v>
      </c>
      <c r="M467">
        <v>3</v>
      </c>
    </row>
    <row r="468" spans="1:15">
      <c r="A468" t="s">
        <v>108</v>
      </c>
      <c r="B468" t="s">
        <v>2060</v>
      </c>
      <c r="C468" t="s">
        <v>182</v>
      </c>
      <c r="D468" t="s">
        <v>91</v>
      </c>
      <c r="E468" s="217">
        <v>7.0997597165259593E-2</v>
      </c>
      <c r="F468">
        <v>1</v>
      </c>
      <c r="G468" t="s">
        <v>2055</v>
      </c>
      <c r="H468" t="s">
        <v>249</v>
      </c>
      <c r="I468">
        <v>1</v>
      </c>
      <c r="J468">
        <v>2</v>
      </c>
      <c r="K468">
        <v>1</v>
      </c>
      <c r="L468">
        <v>2</v>
      </c>
      <c r="M468">
        <v>3</v>
      </c>
    </row>
    <row r="469" spans="1:15">
      <c r="A469" t="s">
        <v>108</v>
      </c>
      <c r="B469" t="s">
        <v>2061</v>
      </c>
      <c r="C469" t="s">
        <v>182</v>
      </c>
      <c r="D469" t="s">
        <v>99</v>
      </c>
      <c r="E469" s="217">
        <v>0</v>
      </c>
      <c r="F469">
        <v>1</v>
      </c>
      <c r="G469" t="s">
        <v>2055</v>
      </c>
      <c r="H469" t="s">
        <v>249</v>
      </c>
      <c r="I469">
        <v>1</v>
      </c>
      <c r="J469">
        <v>2</v>
      </c>
      <c r="K469">
        <v>1</v>
      </c>
      <c r="L469">
        <v>2</v>
      </c>
      <c r="M469">
        <v>3</v>
      </c>
    </row>
    <row r="470" spans="1:15">
      <c r="A470" t="s">
        <v>108</v>
      </c>
      <c r="B470" t="s">
        <v>2061</v>
      </c>
      <c r="C470" t="s">
        <v>182</v>
      </c>
      <c r="D470" t="s">
        <v>98</v>
      </c>
      <c r="E470" s="217">
        <v>8.7872844809314496E-2</v>
      </c>
      <c r="F470">
        <v>1</v>
      </c>
      <c r="G470" t="s">
        <v>2055</v>
      </c>
      <c r="H470" t="s">
        <v>249</v>
      </c>
      <c r="I470">
        <v>1</v>
      </c>
      <c r="J470">
        <v>2</v>
      </c>
      <c r="K470">
        <v>1</v>
      </c>
      <c r="L470">
        <v>2</v>
      </c>
      <c r="M470">
        <v>3</v>
      </c>
    </row>
    <row r="471" spans="1:15">
      <c r="A471" t="s">
        <v>108</v>
      </c>
      <c r="B471" t="s">
        <v>2061</v>
      </c>
      <c r="C471" t="s">
        <v>182</v>
      </c>
      <c r="D471" t="s">
        <v>95</v>
      </c>
      <c r="E471" s="217">
        <v>0.10923789354926899</v>
      </c>
      <c r="F471">
        <v>1</v>
      </c>
      <c r="G471" t="s">
        <v>2055</v>
      </c>
      <c r="H471" t="s">
        <v>249</v>
      </c>
      <c r="I471">
        <v>1</v>
      </c>
      <c r="J471">
        <v>2</v>
      </c>
      <c r="K471">
        <v>1</v>
      </c>
      <c r="L471">
        <v>2</v>
      </c>
      <c r="M471">
        <v>3</v>
      </c>
    </row>
    <row r="472" spans="1:15">
      <c r="A472" t="s">
        <v>108</v>
      </c>
      <c r="B472" t="s">
        <v>2061</v>
      </c>
      <c r="C472" t="s">
        <v>182</v>
      </c>
      <c r="D472" t="s">
        <v>91</v>
      </c>
      <c r="E472" s="217">
        <v>9.8396569666965496E-3</v>
      </c>
      <c r="F472">
        <v>1</v>
      </c>
      <c r="G472" t="s">
        <v>2055</v>
      </c>
      <c r="H472" t="s">
        <v>249</v>
      </c>
      <c r="I472">
        <v>1</v>
      </c>
      <c r="J472">
        <v>2</v>
      </c>
      <c r="K472">
        <v>1</v>
      </c>
      <c r="L472">
        <v>2</v>
      </c>
      <c r="M472">
        <v>3</v>
      </c>
    </row>
    <row r="474" spans="1:15" s="937" customFormat="1">
      <c r="A474" s="409" t="s">
        <v>2162</v>
      </c>
    </row>
    <row r="475" spans="1:15">
      <c r="A475" t="s">
        <v>2043</v>
      </c>
      <c r="B475" t="s">
        <v>108</v>
      </c>
      <c r="C475" t="s">
        <v>139</v>
      </c>
      <c r="D475" t="s">
        <v>139</v>
      </c>
      <c r="E475" s="217">
        <v>1</v>
      </c>
      <c r="F475">
        <v>1</v>
      </c>
      <c r="G475" t="s">
        <v>157</v>
      </c>
      <c r="I475">
        <v>0</v>
      </c>
      <c r="J475">
        <v>0</v>
      </c>
      <c r="K475">
        <v>0</v>
      </c>
      <c r="L475">
        <v>0</v>
      </c>
      <c r="M475">
        <v>0</v>
      </c>
      <c r="N475" t="s">
        <v>249</v>
      </c>
      <c r="O475" t="s">
        <v>249</v>
      </c>
    </row>
    <row r="476" spans="1:15">
      <c r="A476" t="s">
        <v>2046</v>
      </c>
      <c r="B476" t="s">
        <v>108</v>
      </c>
      <c r="C476" t="s">
        <v>139</v>
      </c>
      <c r="D476" t="s">
        <v>139</v>
      </c>
      <c r="E476" s="217">
        <v>1</v>
      </c>
      <c r="F476">
        <v>1</v>
      </c>
      <c r="G476" t="s">
        <v>157</v>
      </c>
      <c r="I476">
        <v>0</v>
      </c>
      <c r="J476">
        <v>0</v>
      </c>
      <c r="K476">
        <v>0</v>
      </c>
      <c r="L476">
        <v>0</v>
      </c>
      <c r="M476">
        <v>0</v>
      </c>
      <c r="N476" t="s">
        <v>249</v>
      </c>
      <c r="O476" t="s">
        <v>249</v>
      </c>
    </row>
    <row r="477" spans="1:15">
      <c r="A477" t="s">
        <v>2163</v>
      </c>
      <c r="B477" t="s">
        <v>108</v>
      </c>
      <c r="C477" t="s">
        <v>139</v>
      </c>
      <c r="D477" t="s">
        <v>139</v>
      </c>
      <c r="E477" s="217" t="s">
        <v>150</v>
      </c>
      <c r="F477">
        <v>1</v>
      </c>
    </row>
    <row r="478" spans="1:15">
      <c r="A478" t="s">
        <v>2163</v>
      </c>
      <c r="B478" t="s">
        <v>417</v>
      </c>
      <c r="C478" t="s">
        <v>139</v>
      </c>
      <c r="D478" t="s">
        <v>139</v>
      </c>
      <c r="E478" s="217">
        <f>B11+B12+B13+B14</f>
        <v>0.21550000000000002</v>
      </c>
      <c r="F478">
        <v>2</v>
      </c>
      <c r="G478" t="s">
        <v>2164</v>
      </c>
      <c r="H478">
        <v>2</v>
      </c>
      <c r="I478">
        <v>2</v>
      </c>
      <c r="J478">
        <v>2</v>
      </c>
      <c r="K478">
        <v>3</v>
      </c>
      <c r="L478">
        <v>2</v>
      </c>
      <c r="M478">
        <v>1</v>
      </c>
    </row>
    <row r="479" spans="1:15">
      <c r="A479" t="s">
        <v>2163</v>
      </c>
      <c r="B479" t="s">
        <v>417</v>
      </c>
      <c r="C479" t="s">
        <v>139</v>
      </c>
      <c r="D479" t="s">
        <v>139</v>
      </c>
      <c r="E479" s="217">
        <f>B10+B12+B13+B14</f>
        <v>0.20610000000000001</v>
      </c>
      <c r="F479">
        <v>2</v>
      </c>
      <c r="G479" t="s">
        <v>2165</v>
      </c>
      <c r="H479">
        <v>2</v>
      </c>
      <c r="I479">
        <v>2</v>
      </c>
      <c r="J479">
        <v>2</v>
      </c>
      <c r="K479">
        <v>3</v>
      </c>
      <c r="L479">
        <v>2</v>
      </c>
      <c r="M479">
        <v>1</v>
      </c>
    </row>
    <row r="480" spans="1:15">
      <c r="A480" t="s">
        <v>2169</v>
      </c>
      <c r="B480" t="s">
        <v>2163</v>
      </c>
      <c r="C480" t="s">
        <v>139</v>
      </c>
      <c r="D480" t="s">
        <v>139</v>
      </c>
      <c r="E480" s="217">
        <v>1</v>
      </c>
      <c r="F480">
        <v>1</v>
      </c>
      <c r="G480" t="s">
        <v>157</v>
      </c>
      <c r="I480">
        <v>0</v>
      </c>
      <c r="J480">
        <v>0</v>
      </c>
      <c r="K480">
        <v>0</v>
      </c>
      <c r="L480">
        <v>0</v>
      </c>
      <c r="M480">
        <v>0</v>
      </c>
    </row>
    <row r="481" spans="1:13">
      <c r="A481" t="s">
        <v>2168</v>
      </c>
      <c r="B481" t="s">
        <v>2163</v>
      </c>
      <c r="C481" t="s">
        <v>139</v>
      </c>
      <c r="D481" t="s">
        <v>139</v>
      </c>
      <c r="E481" s="217">
        <v>1</v>
      </c>
      <c r="F481">
        <v>1</v>
      </c>
      <c r="G481" t="s">
        <v>157</v>
      </c>
      <c r="I481">
        <v>0</v>
      </c>
      <c r="J481">
        <v>0</v>
      </c>
      <c r="K481">
        <v>0</v>
      </c>
      <c r="L481">
        <v>0</v>
      </c>
      <c r="M481">
        <v>0</v>
      </c>
    </row>
    <row r="482" spans="1:13" s="1109" customFormat="1">
      <c r="A482" s="1109" t="s">
        <v>2062</v>
      </c>
    </row>
    <row r="483" spans="1:13" s="1109" customFormat="1">
      <c r="A483" s="1116"/>
      <c r="B483" s="1116"/>
      <c r="C483" s="1116"/>
      <c r="D483" s="1116"/>
      <c r="E483" s="1116"/>
      <c r="F483" s="1116"/>
      <c r="G483" s="1116"/>
      <c r="H483" s="1116"/>
      <c r="I483" s="1116"/>
      <c r="J483" s="1116"/>
      <c r="K483" s="1116"/>
      <c r="L483" s="1116"/>
      <c r="M483" s="1116"/>
    </row>
    <row r="484" spans="1:13" s="906" customFormat="1">
      <c r="A484" s="906" t="s">
        <v>2081</v>
      </c>
      <c r="E484" s="906">
        <v>0.98</v>
      </c>
      <c r="G484" s="906" t="s">
        <v>2084</v>
      </c>
    </row>
    <row r="485" spans="1:13" s="906" customFormat="1">
      <c r="A485" s="906" t="s">
        <v>2082</v>
      </c>
      <c r="E485" s="906">
        <f>1-E484</f>
        <v>2.0000000000000018E-2</v>
      </c>
      <c r="G485" s="906" t="s">
        <v>2084</v>
      </c>
    </row>
    <row r="486" spans="1:13" s="906" customFormat="1">
      <c r="A486" s="906" t="s">
        <v>2083</v>
      </c>
      <c r="E486" s="906">
        <v>0.05</v>
      </c>
      <c r="G486" s="906" t="s">
        <v>157</v>
      </c>
    </row>
    <row r="487" spans="1:13" s="906" customFormat="1"/>
    <row r="488" spans="1:13" s="906" customFormat="1">
      <c r="A488" s="906" t="s">
        <v>2091</v>
      </c>
      <c r="E488" s="906">
        <v>29</v>
      </c>
      <c r="G488" s="906" t="s">
        <v>2092</v>
      </c>
    </row>
    <row r="489" spans="1:13" s="906" customFormat="1">
      <c r="A489" s="906" t="s">
        <v>2093</v>
      </c>
      <c r="E489" s="906">
        <v>3.5177500000000008E-4</v>
      </c>
      <c r="G489" s="906" t="s">
        <v>2092</v>
      </c>
    </row>
    <row r="490" spans="1:13" s="906" customFormat="1">
      <c r="A490" s="906" t="s">
        <v>2094</v>
      </c>
      <c r="E490" s="906">
        <f>E489/10</f>
        <v>3.5177500000000007E-5</v>
      </c>
    </row>
    <row r="491" spans="1:13" s="906" customFormat="1"/>
    <row r="492" spans="1:13" s="906" customFormat="1">
      <c r="A492" s="906" t="s">
        <v>2095</v>
      </c>
      <c r="E492" s="906">
        <f>E488</f>
        <v>29</v>
      </c>
      <c r="G492" s="906" t="s">
        <v>2092</v>
      </c>
    </row>
    <row r="493" spans="1:13" s="906" customFormat="1"/>
    <row r="494" spans="1:13" s="906" customFormat="1">
      <c r="A494" s="906" t="s">
        <v>2096</v>
      </c>
      <c r="E494" s="509">
        <v>0.34</v>
      </c>
      <c r="G494" s="906" t="s">
        <v>2108</v>
      </c>
    </row>
    <row r="495" spans="1:13" s="906" customFormat="1">
      <c r="A495" s="906" t="s">
        <v>2097</v>
      </c>
      <c r="E495" s="509">
        <v>0.34</v>
      </c>
      <c r="G495" s="906" t="s">
        <v>2108</v>
      </c>
    </row>
    <row r="496" spans="1:13" s="906" customFormat="1">
      <c r="A496" s="906" t="s">
        <v>2098</v>
      </c>
      <c r="E496" s="509">
        <v>0.06</v>
      </c>
      <c r="G496" s="906" t="s">
        <v>2108</v>
      </c>
    </row>
    <row r="497" spans="1:13" s="906" customFormat="1">
      <c r="A497" s="906" t="s">
        <v>2099</v>
      </c>
      <c r="E497" s="509">
        <v>0.1</v>
      </c>
      <c r="G497" s="906" t="s">
        <v>2108</v>
      </c>
    </row>
    <row r="498" spans="1:13" s="906" customFormat="1">
      <c r="A498" s="906" t="s">
        <v>2100</v>
      </c>
      <c r="E498" s="509">
        <v>0.13</v>
      </c>
      <c r="G498" s="906" t="s">
        <v>2108</v>
      </c>
    </row>
    <row r="499" spans="1:13" s="906" customFormat="1">
      <c r="A499" s="906" t="s">
        <v>2101</v>
      </c>
      <c r="E499" s="509">
        <v>0.03</v>
      </c>
      <c r="G499" s="906" t="s">
        <v>2108</v>
      </c>
    </row>
    <row r="500" spans="1:13" s="906" customFormat="1">
      <c r="A500" s="906" t="s">
        <v>2102</v>
      </c>
      <c r="E500" s="906">
        <f>E502/10</f>
        <v>4.5500000000000005E-6</v>
      </c>
      <c r="G500" s="906" t="s">
        <v>2110</v>
      </c>
    </row>
    <row r="501" spans="1:13" s="906" customFormat="1">
      <c r="A501" s="906" t="s">
        <v>2103</v>
      </c>
      <c r="E501" s="906">
        <f>E502/10</f>
        <v>4.5500000000000005E-6</v>
      </c>
      <c r="G501" s="906" t="s">
        <v>2110</v>
      </c>
      <c r="I501" s="906">
        <f>($E$512-F508)/F508</f>
        <v>0.99967218908897626</v>
      </c>
    </row>
    <row r="502" spans="1:13" s="906" customFormat="1">
      <c r="A502" s="906" t="s">
        <v>2104</v>
      </c>
      <c r="E502" s="906">
        <v>4.5500000000000001E-5</v>
      </c>
      <c r="G502" s="906" t="s">
        <v>2109</v>
      </c>
      <c r="I502" s="906">
        <f>($E$512-F509)/F509</f>
        <v>-0.80003278109110232</v>
      </c>
    </row>
    <row r="503" spans="1:13" s="906" customFormat="1">
      <c r="A503" s="906" t="s">
        <v>2105</v>
      </c>
      <c r="E503" s="906">
        <v>4.5500000000000001E-5</v>
      </c>
      <c r="G503" s="906" t="s">
        <v>2109</v>
      </c>
      <c r="I503" s="906">
        <f>($E$512-F510)/F510</f>
        <v>-0.67814708046209937</v>
      </c>
    </row>
    <row r="504" spans="1:13" s="906" customFormat="1">
      <c r="A504" s="906" t="s">
        <v>2106</v>
      </c>
      <c r="E504" s="906">
        <v>4.5500000000000001E-5</v>
      </c>
      <c r="G504" s="906" t="s">
        <v>2109</v>
      </c>
    </row>
    <row r="505" spans="1:13" s="906" customFormat="1">
      <c r="A505" s="906" t="s">
        <v>2107</v>
      </c>
      <c r="E505" s="906">
        <v>4.5500000000000001E-5</v>
      </c>
      <c r="G505" s="906" t="s">
        <v>2109</v>
      </c>
    </row>
    <row r="506" spans="1:13" s="906" customFormat="1"/>
    <row r="507" spans="1:13" s="906" customFormat="1">
      <c r="A507" s="964"/>
      <c r="B507" s="964" t="s">
        <v>2178</v>
      </c>
      <c r="C507" s="964" t="s">
        <v>2179</v>
      </c>
      <c r="D507" s="964" t="s">
        <v>2184</v>
      </c>
      <c r="E507" s="964" t="s">
        <v>2288</v>
      </c>
      <c r="F507" s="964" t="s">
        <v>2287</v>
      </c>
      <c r="G507" s="964" t="s">
        <v>2286</v>
      </c>
      <c r="H507" s="964" t="s">
        <v>2289</v>
      </c>
      <c r="I507" s="964"/>
      <c r="J507" s="964"/>
      <c r="K507" s="964"/>
      <c r="L507" s="964"/>
    </row>
    <row r="508" spans="1:13" s="906" customFormat="1">
      <c r="A508" s="964" t="s">
        <v>2176</v>
      </c>
      <c r="B508" s="964">
        <v>100</v>
      </c>
      <c r="C508" s="964">
        <f>B508/5700000</f>
        <v>1.7543859649122806E-5</v>
      </c>
      <c r="D508" s="964">
        <f>C508*'Scaling tables'!$Y$25</f>
        <v>310.54354385964911</v>
      </c>
      <c r="E508" s="964">
        <f>107.6*1000</f>
        <v>107600</v>
      </c>
      <c r="F508" s="964">
        <f>D508/E508</f>
        <v>2.8860924150525009E-3</v>
      </c>
      <c r="G508" s="906">
        <f>104*1000</f>
        <v>104000</v>
      </c>
      <c r="H508" s="964">
        <f>D508/G508</f>
        <v>2.9859956140350875E-3</v>
      </c>
      <c r="I508" s="964" t="s">
        <v>2180</v>
      </c>
      <c r="J508" s="964"/>
      <c r="K508" s="964"/>
      <c r="L508" s="964"/>
    </row>
    <row r="509" spans="1:13" s="906" customFormat="1">
      <c r="A509" s="964" t="s">
        <v>2177</v>
      </c>
      <c r="B509" s="964">
        <v>1000</v>
      </c>
      <c r="C509" s="964">
        <f>B509/5700000</f>
        <v>1.7543859649122806E-4</v>
      </c>
      <c r="D509" s="964">
        <f>C509*'Scaling tables'!$Y$25</f>
        <v>3105.4354385964912</v>
      </c>
      <c r="E509" s="964">
        <f>107.6*1000</f>
        <v>107600</v>
      </c>
      <c r="F509" s="964">
        <f>D509/E509</f>
        <v>2.8860924150525012E-2</v>
      </c>
      <c r="G509" s="906">
        <f>104*1000</f>
        <v>104000</v>
      </c>
      <c r="H509" s="964">
        <f>D509/G509</f>
        <v>2.9859956140350877E-2</v>
      </c>
      <c r="I509" s="964" t="s">
        <v>2180</v>
      </c>
      <c r="J509" s="964"/>
      <c r="K509" s="964"/>
      <c r="L509" s="964"/>
    </row>
    <row r="510" spans="1:13" s="906" customFormat="1">
      <c r="A510" s="964" t="s">
        <v>2181</v>
      </c>
      <c r="B510" s="964"/>
      <c r="C510" s="964">
        <f>109/(10^6)</f>
        <v>1.0900000000000001E-4</v>
      </c>
      <c r="D510" s="964">
        <f>C510*'Scaling tables'!$Y$25</f>
        <v>1929.4070380000001</v>
      </c>
      <c r="E510" s="964">
        <f>107.6*1000</f>
        <v>107600</v>
      </c>
      <c r="F510" s="964">
        <f>D510/E510</f>
        <v>1.793129217472119E-2</v>
      </c>
      <c r="G510" s="906">
        <f>104*1000</f>
        <v>104000</v>
      </c>
      <c r="H510" s="964">
        <f>D510/G510</f>
        <v>1.855199075E-2</v>
      </c>
      <c r="I510" s="964" t="s">
        <v>2182</v>
      </c>
      <c r="J510" s="964"/>
      <c r="K510" s="964"/>
      <c r="L510" s="964"/>
    </row>
    <row r="511" spans="1:13" s="906" customFormat="1"/>
    <row r="512" spans="1:13" s="906" customFormat="1">
      <c r="A512" s="906" t="s">
        <v>2237</v>
      </c>
      <c r="B512" s="906" t="s">
        <v>2234</v>
      </c>
      <c r="C512" s="906" t="s">
        <v>139</v>
      </c>
      <c r="D512" s="906" t="s">
        <v>92</v>
      </c>
      <c r="E512" s="906">
        <f>B819</f>
        <v>5.7712387375211246E-3</v>
      </c>
      <c r="G512" s="906" t="s">
        <v>2239</v>
      </c>
      <c r="H512" s="906">
        <v>1</v>
      </c>
      <c r="I512" s="906">
        <v>2</v>
      </c>
      <c r="J512" s="906">
        <v>2</v>
      </c>
      <c r="K512" s="906">
        <v>2</v>
      </c>
      <c r="L512" s="906">
        <v>2</v>
      </c>
      <c r="M512" s="906">
        <v>3</v>
      </c>
    </row>
    <row r="513" spans="1:14" s="906" customFormat="1">
      <c r="A513" s="906" t="s">
        <v>2238</v>
      </c>
      <c r="B513" s="906" t="s">
        <v>2234</v>
      </c>
      <c r="C513" s="906" t="s">
        <v>139</v>
      </c>
      <c r="D513" s="906" t="s">
        <v>92</v>
      </c>
      <c r="E513" s="906">
        <f>B820</f>
        <v>1.1542477475042249E-2</v>
      </c>
      <c r="G513" s="906" t="s">
        <v>2239</v>
      </c>
      <c r="H513" s="906">
        <v>1</v>
      </c>
      <c r="I513" s="906">
        <v>2</v>
      </c>
      <c r="J513" s="906">
        <v>2</v>
      </c>
      <c r="K513" s="906">
        <v>2</v>
      </c>
      <c r="L513" s="906">
        <v>2</v>
      </c>
      <c r="M513" s="906">
        <v>3</v>
      </c>
    </row>
    <row r="514" spans="1:14" s="906" customFormat="1">
      <c r="A514" s="906" t="s">
        <v>2237</v>
      </c>
      <c r="B514" s="906" t="s">
        <v>2234</v>
      </c>
      <c r="C514" s="906" t="s">
        <v>139</v>
      </c>
      <c r="D514" s="906" t="s">
        <v>93</v>
      </c>
      <c r="E514" s="906">
        <f>C819</f>
        <v>2.5413504031689942E-3</v>
      </c>
      <c r="G514" s="906" t="s">
        <v>2239</v>
      </c>
      <c r="H514" s="906">
        <v>1</v>
      </c>
      <c r="I514" s="906">
        <v>2</v>
      </c>
      <c r="J514" s="906">
        <v>2</v>
      </c>
      <c r="K514" s="906">
        <v>2</v>
      </c>
      <c r="L514" s="906">
        <v>2</v>
      </c>
      <c r="M514" s="906">
        <v>3</v>
      </c>
    </row>
    <row r="515" spans="1:14" s="906" customFormat="1">
      <c r="A515" s="906" t="s">
        <v>2238</v>
      </c>
      <c r="B515" s="906" t="s">
        <v>2234</v>
      </c>
      <c r="C515" s="906" t="s">
        <v>139</v>
      </c>
      <c r="D515" s="906" t="s">
        <v>93</v>
      </c>
      <c r="E515" s="906">
        <f>C820</f>
        <v>5.0827008063379885E-3</v>
      </c>
      <c r="G515" s="906" t="s">
        <v>2239</v>
      </c>
      <c r="H515" s="906">
        <v>1</v>
      </c>
      <c r="I515" s="906">
        <v>2</v>
      </c>
      <c r="J515" s="906">
        <v>2</v>
      </c>
      <c r="K515" s="906">
        <v>2</v>
      </c>
      <c r="L515" s="906">
        <v>2</v>
      </c>
      <c r="M515" s="906">
        <v>3</v>
      </c>
    </row>
    <row r="516" spans="1:14" s="906" customFormat="1">
      <c r="A516" s="906" t="s">
        <v>2237</v>
      </c>
      <c r="B516" s="906" t="s">
        <v>2234</v>
      </c>
      <c r="C516" s="906" t="s">
        <v>139</v>
      </c>
      <c r="D516" s="906" t="s">
        <v>98</v>
      </c>
      <c r="E516" s="906">
        <f>D819</f>
        <v>2.6370870403593857E-3</v>
      </c>
      <c r="G516" s="906" t="s">
        <v>2239</v>
      </c>
      <c r="H516" s="906">
        <v>1</v>
      </c>
      <c r="I516" s="906">
        <v>2</v>
      </c>
      <c r="J516" s="906">
        <v>2</v>
      </c>
      <c r="K516" s="906">
        <v>2</v>
      </c>
      <c r="L516" s="906">
        <v>2</v>
      </c>
      <c r="M516" s="906">
        <v>3</v>
      </c>
    </row>
    <row r="517" spans="1:14" s="906" customFormat="1">
      <c r="A517" s="906" t="s">
        <v>2238</v>
      </c>
      <c r="B517" s="906" t="s">
        <v>2234</v>
      </c>
      <c r="C517" s="906" t="s">
        <v>139</v>
      </c>
      <c r="D517" s="906" t="s">
        <v>98</v>
      </c>
      <c r="E517" s="906">
        <f>D820</f>
        <v>5.2741740807187715E-3</v>
      </c>
      <c r="G517" s="906" t="s">
        <v>2239</v>
      </c>
      <c r="H517" s="906">
        <v>1</v>
      </c>
      <c r="I517" s="906">
        <v>2</v>
      </c>
      <c r="J517" s="906">
        <v>2</v>
      </c>
      <c r="K517" s="906">
        <v>2</v>
      </c>
      <c r="L517" s="906">
        <v>2</v>
      </c>
      <c r="M517" s="906">
        <v>3</v>
      </c>
    </row>
    <row r="518" spans="1:14" s="906" customFormat="1">
      <c r="A518" s="906" t="s">
        <v>2237</v>
      </c>
      <c r="B518" s="906" t="s">
        <v>2234</v>
      </c>
      <c r="C518" s="906" t="s">
        <v>139</v>
      </c>
      <c r="D518" s="906" t="s">
        <v>90</v>
      </c>
      <c r="E518" s="906">
        <f>E819</f>
        <v>3.2506855134566658E-3</v>
      </c>
      <c r="G518" s="906" t="s">
        <v>2239</v>
      </c>
      <c r="H518" s="906">
        <v>1</v>
      </c>
      <c r="I518" s="906">
        <v>2</v>
      </c>
      <c r="J518" s="906">
        <v>2</v>
      </c>
      <c r="K518" s="906">
        <v>2</v>
      </c>
      <c r="L518" s="906">
        <v>2</v>
      </c>
      <c r="M518" s="906">
        <v>3</v>
      </c>
    </row>
    <row r="519" spans="1:14" s="906" customFormat="1">
      <c r="A519" s="906" t="s">
        <v>2238</v>
      </c>
      <c r="B519" s="906" t="s">
        <v>2234</v>
      </c>
      <c r="C519" s="906" t="s">
        <v>139</v>
      </c>
      <c r="D519" s="906" t="s">
        <v>90</v>
      </c>
      <c r="E519" s="906">
        <f>E820</f>
        <v>6.5013710269133315E-3</v>
      </c>
      <c r="G519" s="906" t="s">
        <v>2239</v>
      </c>
      <c r="H519" s="906">
        <v>1</v>
      </c>
      <c r="I519" s="906">
        <v>2</v>
      </c>
      <c r="J519" s="906">
        <v>2</v>
      </c>
      <c r="K519" s="906">
        <v>2</v>
      </c>
      <c r="L519" s="906">
        <v>2</v>
      </c>
      <c r="M519" s="906">
        <v>3</v>
      </c>
    </row>
    <row r="520" spans="1:14" s="906" customFormat="1"/>
    <row r="521" spans="1:14" s="906" customFormat="1">
      <c r="A521" s="906" t="s">
        <v>2236</v>
      </c>
      <c r="B521" s="906" t="s">
        <v>2235</v>
      </c>
      <c r="C521" s="906" t="s">
        <v>139</v>
      </c>
      <c r="D521" s="906" t="s">
        <v>95</v>
      </c>
      <c r="E521" s="906">
        <f>E526</f>
        <v>3.0249999999999999E-3</v>
      </c>
      <c r="G521" s="906" t="str">
        <f>G526</f>
        <v>Average loss during wear, Kawecki et al. 2019, SI table 17</v>
      </c>
      <c r="H521" s="906">
        <f>H526</f>
        <v>2</v>
      </c>
      <c r="I521" s="906">
        <f t="shared" ref="I521:L521" si="58">I526</f>
        <v>2</v>
      </c>
      <c r="J521" s="906">
        <f t="shared" si="58"/>
        <v>2</v>
      </c>
      <c r="K521" s="906">
        <f t="shared" si="58"/>
        <v>2</v>
      </c>
      <c r="L521" s="906">
        <f t="shared" si="58"/>
        <v>2</v>
      </c>
      <c r="M521" s="906">
        <f>M526</f>
        <v>2</v>
      </c>
    </row>
    <row r="522" spans="1:14" s="906" customFormat="1">
      <c r="A522" s="906" t="s">
        <v>2236</v>
      </c>
      <c r="B522" s="906" t="s">
        <v>2235</v>
      </c>
      <c r="C522" s="906" t="s">
        <v>139</v>
      </c>
      <c r="D522" s="906" t="s">
        <v>91</v>
      </c>
      <c r="E522" s="906">
        <f>E526</f>
        <v>3.0249999999999999E-3</v>
      </c>
      <c r="G522" s="906" t="str">
        <f>G526</f>
        <v>Average loss during wear, Kawecki et al. 2019, SI table 17</v>
      </c>
      <c r="H522" s="906">
        <f>H526</f>
        <v>2</v>
      </c>
      <c r="I522" s="906">
        <f t="shared" ref="I522:M522" si="59">I526</f>
        <v>2</v>
      </c>
      <c r="J522" s="906">
        <f t="shared" si="59"/>
        <v>2</v>
      </c>
      <c r="K522" s="906">
        <f t="shared" si="59"/>
        <v>2</v>
      </c>
      <c r="L522" s="906">
        <f t="shared" si="59"/>
        <v>2</v>
      </c>
      <c r="M522" s="906">
        <f t="shared" si="59"/>
        <v>2</v>
      </c>
    </row>
    <row r="523" spans="1:14" s="906" customFormat="1"/>
    <row r="524" spans="1:14" s="906" customFormat="1">
      <c r="A524" s="906" t="s">
        <v>2241</v>
      </c>
      <c r="B524" s="906" t="str">
        <f>'Textile waste collection'!B19</f>
        <v>Footwear waste collection</v>
      </c>
      <c r="C524" s="906" t="str">
        <f>'Textile waste collection'!C19</f>
        <v>any</v>
      </c>
      <c r="D524" s="906" t="str">
        <f>'Textile waste collection'!D19</f>
        <v>any</v>
      </c>
      <c r="E524" s="906">
        <f>'Textile waste collection'!E19</f>
        <v>0.25</v>
      </c>
      <c r="F524" s="906">
        <f>'Textile waste collection'!F19</f>
        <v>2</v>
      </c>
      <c r="G524" s="906" t="str">
        <f>'Textile waste collection'!G19</f>
        <v>(de Waart et al., 2023)</v>
      </c>
      <c r="H524" s="906">
        <f>'Textile waste collection'!H19</f>
        <v>2</v>
      </c>
      <c r="I524" s="906">
        <f>'Textile waste collection'!I19</f>
        <v>2</v>
      </c>
      <c r="J524" s="906">
        <f>'Textile waste collection'!J19</f>
        <v>2</v>
      </c>
      <c r="K524" s="906">
        <f>'Textile waste collection'!K19</f>
        <v>3</v>
      </c>
      <c r="L524" s="906">
        <f>'Textile waste collection'!L19</f>
        <v>2</v>
      </c>
      <c r="M524" s="906">
        <f>'Textile waste collection'!M19</f>
        <v>2</v>
      </c>
    </row>
    <row r="525" spans="1:14" s="906" customFormat="1">
      <c r="E525" s="957"/>
    </row>
    <row r="526" spans="1:14" s="906" customFormat="1">
      <c r="A526" s="906" t="s">
        <v>108</v>
      </c>
      <c r="B526" s="906" t="s">
        <v>2183</v>
      </c>
      <c r="C526" s="906" t="s">
        <v>139</v>
      </c>
      <c r="D526" s="906" t="s">
        <v>139</v>
      </c>
      <c r="E526" s="906">
        <v>3.0249999999999999E-3</v>
      </c>
      <c r="G526" s="906" t="s">
        <v>2065</v>
      </c>
      <c r="H526" s="29">
        <v>2</v>
      </c>
      <c r="I526" s="9">
        <v>2</v>
      </c>
      <c r="J526" s="9">
        <v>2</v>
      </c>
      <c r="K526" s="9">
        <v>2</v>
      </c>
      <c r="L526" s="9">
        <v>2</v>
      </c>
      <c r="M526" s="9">
        <v>2</v>
      </c>
      <c r="N526" s="906" t="s">
        <v>2175</v>
      </c>
    </row>
    <row r="527" spans="1:14" s="906" customFormat="1">
      <c r="A527" s="906" t="s">
        <v>108</v>
      </c>
      <c r="B527" s="906" t="s">
        <v>2063</v>
      </c>
      <c r="C527" s="906" t="s">
        <v>139</v>
      </c>
      <c r="D527" s="906" t="s">
        <v>139</v>
      </c>
      <c r="E527" s="906">
        <f>(E488*E489*(E484))+(E488*E490*E485)</f>
        <v>1.0017848450000002E-2</v>
      </c>
      <c r="G527" s="906" t="s">
        <v>2066</v>
      </c>
      <c r="H527" s="29">
        <v>2</v>
      </c>
      <c r="I527" s="9">
        <v>2</v>
      </c>
      <c r="J527" s="9">
        <v>2</v>
      </c>
      <c r="K527" s="9">
        <v>2</v>
      </c>
      <c r="L527" s="9">
        <v>2</v>
      </c>
      <c r="M527" s="9">
        <v>2</v>
      </c>
    </row>
    <row r="528" spans="1:14" s="906" customFormat="1">
      <c r="A528" s="906" t="s">
        <v>108</v>
      </c>
      <c r="B528" s="906" t="s">
        <v>2064</v>
      </c>
      <c r="C528" s="906" t="s">
        <v>139</v>
      </c>
      <c r="D528" s="906" t="s">
        <v>139</v>
      </c>
      <c r="E528" s="906">
        <f>(E492*E494*E500)+(E492*E495*E501)+(E492*E496*E502)+(E492*E497*E503)+(E492*E498*E504)+(E492*E499*E505)</f>
        <v>5.1196599999999998E-4</v>
      </c>
      <c r="G528" s="906" t="s">
        <v>2067</v>
      </c>
      <c r="H528" s="29">
        <v>2</v>
      </c>
      <c r="I528" s="9">
        <v>2</v>
      </c>
      <c r="J528" s="9">
        <v>2</v>
      </c>
      <c r="K528" s="9">
        <v>2</v>
      </c>
      <c r="L528" s="9">
        <v>2</v>
      </c>
      <c r="M528" s="9">
        <v>2</v>
      </c>
    </row>
    <row r="529" spans="1:13" s="906" customFormat="1"/>
    <row r="530" spans="1:13" s="906" customFormat="1">
      <c r="A530" s="906" t="s">
        <v>194</v>
      </c>
      <c r="B530" s="906" t="str">
        <f>'Textile waste collection'!B15</f>
        <v>Clothing waste collection</v>
      </c>
      <c r="C530" s="906" t="str">
        <f>'Textile waste collection'!C15</f>
        <v>any</v>
      </c>
      <c r="D530" s="906" t="str">
        <f>'Textile waste collection'!D15</f>
        <v>any</v>
      </c>
      <c r="E530" s="906">
        <f>'Textile waste collection'!E15</f>
        <v>0.50465116279069766</v>
      </c>
      <c r="F530" s="906">
        <f>'Textile waste collection'!F15</f>
        <v>2</v>
      </c>
      <c r="G530" s="906" t="str">
        <f>'Textile waste collection'!G15</f>
        <v>Massabalans textiel, 2022</v>
      </c>
      <c r="H530" s="906">
        <f>'Textile waste collection'!H15</f>
        <v>1</v>
      </c>
      <c r="I530" s="906">
        <f>'Textile waste collection'!I15</f>
        <v>2</v>
      </c>
      <c r="J530" s="906">
        <f>'Textile waste collection'!J15</f>
        <v>2</v>
      </c>
      <c r="K530" s="906">
        <f>'Textile waste collection'!K15</f>
        <v>1</v>
      </c>
      <c r="L530" s="906">
        <f>'Textile waste collection'!L15</f>
        <v>2</v>
      </c>
      <c r="M530" s="906">
        <f>'Textile waste collection'!M15</f>
        <v>2</v>
      </c>
    </row>
    <row r="531" spans="1:13" s="906" customFormat="1">
      <c r="A531" s="906" t="s">
        <v>194</v>
      </c>
      <c r="B531" s="906" t="s">
        <v>223</v>
      </c>
      <c r="C531" s="906" t="s">
        <v>139</v>
      </c>
      <c r="D531" s="906" t="s">
        <v>139</v>
      </c>
      <c r="E531" s="906" t="s">
        <v>150</v>
      </c>
      <c r="H531" s="29"/>
      <c r="I531" s="9"/>
      <c r="J531" s="9"/>
      <c r="K531" s="9"/>
      <c r="L531" s="9"/>
      <c r="M531" s="9"/>
    </row>
    <row r="532" spans="1:13" s="906" customFormat="1">
      <c r="A532" s="906" t="s">
        <v>194</v>
      </c>
      <c r="B532" s="906" t="s">
        <v>204</v>
      </c>
      <c r="C532" s="906" t="s">
        <v>139</v>
      </c>
      <c r="D532" s="906" t="s">
        <v>139</v>
      </c>
      <c r="E532" s="906">
        <v>2.7E-4</v>
      </c>
      <c r="G532" s="906" t="s">
        <v>43</v>
      </c>
      <c r="H532" s="29">
        <v>2</v>
      </c>
      <c r="I532" s="9">
        <v>2</v>
      </c>
      <c r="J532" s="9">
        <v>2</v>
      </c>
      <c r="K532" s="9">
        <v>3</v>
      </c>
      <c r="L532" s="9">
        <v>3</v>
      </c>
      <c r="M532" s="9">
        <v>3</v>
      </c>
    </row>
    <row r="533" spans="1:13" s="906" customFormat="1"/>
    <row r="534" spans="1:13" s="906" customFormat="1">
      <c r="A534" s="906" t="s">
        <v>108</v>
      </c>
      <c r="B534" s="906" t="s">
        <v>196</v>
      </c>
      <c r="C534" s="906" t="s">
        <v>139</v>
      </c>
      <c r="D534" s="906" t="s">
        <v>139</v>
      </c>
      <c r="E534" s="906">
        <f>SUM(E526:E528)</f>
        <v>1.3554814450000001E-2</v>
      </c>
      <c r="G534" s="906" t="s">
        <v>2068</v>
      </c>
    </row>
    <row r="535" spans="1:13" s="906" customFormat="1">
      <c r="A535" s="906" t="s">
        <v>108</v>
      </c>
      <c r="B535" s="906" t="s">
        <v>194</v>
      </c>
      <c r="C535" s="906" t="s">
        <v>139</v>
      </c>
      <c r="D535" s="906" t="s">
        <v>139</v>
      </c>
      <c r="E535" s="906">
        <f>1-E534</f>
        <v>0.98644518555000005</v>
      </c>
      <c r="G535" s="906" t="s">
        <v>2069</v>
      </c>
    </row>
    <row r="536" spans="1:13" s="906" customFormat="1">
      <c r="B536" s="906" t="s">
        <v>2073</v>
      </c>
      <c r="C536" s="906" t="s">
        <v>139</v>
      </c>
      <c r="D536" s="906" t="s">
        <v>139</v>
      </c>
      <c r="E536" s="906">
        <f>1-E526</f>
        <v>0.99697499999999994</v>
      </c>
    </row>
    <row r="537" spans="1:13" s="906" customFormat="1"/>
    <row r="538" spans="1:13" s="906" customFormat="1">
      <c r="A538" s="906" t="s">
        <v>2117</v>
      </c>
      <c r="C538" s="906" t="s">
        <v>139</v>
      </c>
      <c r="D538" s="906" t="s">
        <v>139</v>
      </c>
      <c r="E538" s="906">
        <v>0.25</v>
      </c>
      <c r="G538" s="906" t="s">
        <v>2118</v>
      </c>
    </row>
    <row r="539" spans="1:13" s="906" customFormat="1">
      <c r="A539" s="906" t="s">
        <v>2117</v>
      </c>
      <c r="C539" s="906" t="s">
        <v>139</v>
      </c>
      <c r="D539" s="906" t="s">
        <v>139</v>
      </c>
      <c r="E539" s="906">
        <v>0.89</v>
      </c>
      <c r="G539" s="906" t="s">
        <v>2119</v>
      </c>
    </row>
    <row r="540" spans="1:13" s="906" customFormat="1"/>
    <row r="541" spans="1:13" s="907" customFormat="1">
      <c r="A541" s="908" t="s">
        <v>2070</v>
      </c>
    </row>
    <row r="542" spans="1:13" s="1053" customFormat="1">
      <c r="A542" s="1053" t="s">
        <v>2071</v>
      </c>
      <c r="B542" s="1053" t="s">
        <v>2076</v>
      </c>
      <c r="C542" s="1053" t="s">
        <v>139</v>
      </c>
      <c r="D542" s="1053" t="s">
        <v>139</v>
      </c>
      <c r="E542" s="1053">
        <f>E526</f>
        <v>3.0249999999999999E-3</v>
      </c>
      <c r="F542" s="1053">
        <v>3</v>
      </c>
      <c r="G542" s="1053" t="str">
        <f t="shared" ref="G542:M544" si="60">G526</f>
        <v>Average loss during wear, Kawecki et al. 2019, SI table 17</v>
      </c>
      <c r="H542" s="1053">
        <f t="shared" si="60"/>
        <v>2</v>
      </c>
      <c r="I542" s="1053">
        <f t="shared" si="60"/>
        <v>2</v>
      </c>
      <c r="J542" s="1053">
        <f t="shared" si="60"/>
        <v>2</v>
      </c>
      <c r="K542" s="1053">
        <f t="shared" si="60"/>
        <v>2</v>
      </c>
      <c r="L542" s="1053">
        <f t="shared" si="60"/>
        <v>2</v>
      </c>
      <c r="M542" s="1053">
        <f t="shared" si="60"/>
        <v>2</v>
      </c>
    </row>
    <row r="543" spans="1:13" s="1053" customFormat="1">
      <c r="A543" s="1053" t="s">
        <v>2071</v>
      </c>
      <c r="B543" s="1053" t="s">
        <v>2075</v>
      </c>
      <c r="C543" s="1053" t="s">
        <v>139</v>
      </c>
      <c r="D543" s="1053" t="s">
        <v>139</v>
      </c>
      <c r="E543" s="1053">
        <f>E527</f>
        <v>1.0017848450000002E-2</v>
      </c>
      <c r="F543" s="1053">
        <v>3</v>
      </c>
      <c r="G543" s="1053" t="str">
        <f t="shared" si="60"/>
        <v>Computed from available data from Kawecki et al. (2019) and CBS (2022)</v>
      </c>
      <c r="H543" s="1053">
        <f t="shared" si="60"/>
        <v>2</v>
      </c>
      <c r="I543" s="1053">
        <f t="shared" si="60"/>
        <v>2</v>
      </c>
      <c r="J543" s="1053">
        <f t="shared" si="60"/>
        <v>2</v>
      </c>
      <c r="K543" s="1053">
        <f t="shared" si="60"/>
        <v>2</v>
      </c>
      <c r="L543" s="1053">
        <f t="shared" si="60"/>
        <v>2</v>
      </c>
      <c r="M543" s="1053">
        <f t="shared" si="60"/>
        <v>2</v>
      </c>
    </row>
    <row r="544" spans="1:13" s="1053" customFormat="1">
      <c r="A544" s="1053" t="s">
        <v>2071</v>
      </c>
      <c r="B544" s="1053" t="s">
        <v>2077</v>
      </c>
      <c r="C544" s="1053" t="s">
        <v>139</v>
      </c>
      <c r="D544" s="1053" t="s">
        <v>139</v>
      </c>
      <c r="E544" s="1053">
        <f>E528</f>
        <v>5.1196599999999998E-4</v>
      </c>
      <c r="F544" s="1053">
        <v>3</v>
      </c>
      <c r="G544" s="1053" t="str">
        <f t="shared" si="60"/>
        <v>Computed from available data from Kawecki et al. (2019)</v>
      </c>
      <c r="H544" s="1053">
        <f t="shared" si="60"/>
        <v>2</v>
      </c>
      <c r="I544" s="1053">
        <f t="shared" si="60"/>
        <v>2</v>
      </c>
      <c r="J544" s="1053">
        <f t="shared" si="60"/>
        <v>2</v>
      </c>
      <c r="K544" s="1053">
        <f t="shared" si="60"/>
        <v>2</v>
      </c>
      <c r="L544" s="1053">
        <f t="shared" si="60"/>
        <v>2</v>
      </c>
      <c r="M544" s="1053">
        <f t="shared" si="60"/>
        <v>2</v>
      </c>
    </row>
    <row r="545" spans="1:14" s="1053" customFormat="1">
      <c r="A545" s="1053" t="s">
        <v>2071</v>
      </c>
      <c r="B545" s="1053" t="s">
        <v>2264</v>
      </c>
      <c r="C545" s="1053" t="s">
        <v>139</v>
      </c>
      <c r="D545" s="1053" t="s">
        <v>139</v>
      </c>
      <c r="E545" s="1053">
        <f>E535*E530</f>
        <v>0.49781070991709303</v>
      </c>
      <c r="F545" s="1053">
        <v>2</v>
      </c>
      <c r="G545" s="1053" t="str">
        <f t="shared" ref="G545:M545" si="61">G530</f>
        <v>Massabalans textiel, 2022</v>
      </c>
      <c r="H545" s="1053">
        <f t="shared" si="61"/>
        <v>1</v>
      </c>
      <c r="I545" s="1053">
        <f t="shared" si="61"/>
        <v>2</v>
      </c>
      <c r="J545" s="1053">
        <f t="shared" si="61"/>
        <v>2</v>
      </c>
      <c r="K545" s="1053">
        <f t="shared" si="61"/>
        <v>1</v>
      </c>
      <c r="L545" s="1053">
        <f t="shared" si="61"/>
        <v>2</v>
      </c>
      <c r="M545" s="1053">
        <f t="shared" si="61"/>
        <v>2</v>
      </c>
    </row>
    <row r="546" spans="1:14" s="1053" customFormat="1">
      <c r="A546" s="1053" t="s">
        <v>2071</v>
      </c>
      <c r="B546" s="1053" t="s">
        <v>223</v>
      </c>
      <c r="C546" s="1053" t="s">
        <v>139</v>
      </c>
      <c r="D546" s="1053" t="s">
        <v>139</v>
      </c>
      <c r="E546" s="1053" t="s">
        <v>150</v>
      </c>
      <c r="F546" s="1053">
        <v>1</v>
      </c>
    </row>
    <row r="547" spans="1:14" s="1053" customFormat="1">
      <c r="A547" s="1053" t="s">
        <v>2071</v>
      </c>
      <c r="B547" s="1053" t="s">
        <v>204</v>
      </c>
      <c r="C547" s="1053" t="s">
        <v>139</v>
      </c>
      <c r="D547" s="1053" t="s">
        <v>139</v>
      </c>
      <c r="E547" s="1053">
        <f>E535*E532</f>
        <v>2.663402000985E-4</v>
      </c>
      <c r="F547" s="1053">
        <v>2</v>
      </c>
      <c r="G547" s="1053" t="str">
        <f t="shared" ref="G547:M547" si="62">G532</f>
        <v>Kawecki &amp; Nowack (2019)</v>
      </c>
      <c r="H547" s="1053">
        <f t="shared" si="62"/>
        <v>2</v>
      </c>
      <c r="I547" s="1053">
        <f t="shared" si="62"/>
        <v>2</v>
      </c>
      <c r="J547" s="1053">
        <f t="shared" si="62"/>
        <v>2</v>
      </c>
      <c r="K547" s="1053">
        <f t="shared" si="62"/>
        <v>3</v>
      </c>
      <c r="L547" s="1053">
        <f t="shared" si="62"/>
        <v>3</v>
      </c>
      <c r="M547" s="1053">
        <f t="shared" si="62"/>
        <v>3</v>
      </c>
    </row>
    <row r="548" spans="1:14" s="906" customFormat="1" ht="15.75" thickBot="1">
      <c r="A548" s="1042"/>
      <c r="B548" s="1042"/>
      <c r="C548" s="1042"/>
      <c r="D548" s="1042"/>
      <c r="E548" s="1042"/>
      <c r="F548" s="1042"/>
      <c r="G548" s="1042"/>
      <c r="H548" s="1042"/>
      <c r="I548" s="1042"/>
      <c r="J548" s="1042"/>
      <c r="K548" s="1042"/>
      <c r="L548" s="1042"/>
      <c r="M548" s="1042"/>
    </row>
    <row r="549" spans="1:14" s="906" customFormat="1">
      <c r="A549" s="1043" t="s">
        <v>2290</v>
      </c>
      <c r="B549" s="1044"/>
      <c r="C549" s="1044"/>
      <c r="D549" s="1044"/>
      <c r="E549" s="1044"/>
      <c r="F549" s="1044"/>
      <c r="G549" s="1044"/>
      <c r="H549" s="1044"/>
      <c r="I549" s="1044"/>
      <c r="J549" s="1044"/>
      <c r="K549" s="1044"/>
      <c r="L549" s="1044"/>
      <c r="M549" s="1045"/>
      <c r="N549" s="1041"/>
    </row>
    <row r="550" spans="1:14" s="906" customFormat="1">
      <c r="A550" s="1046" t="s">
        <v>2071</v>
      </c>
      <c r="B550" s="906" t="s">
        <v>2291</v>
      </c>
      <c r="C550" s="906" t="s">
        <v>139</v>
      </c>
      <c r="D550" s="906" t="s">
        <v>139</v>
      </c>
      <c r="E550" s="1060">
        <f>SUM(E526:E528)</f>
        <v>1.3554814450000001E-2</v>
      </c>
      <c r="F550" s="906">
        <v>2</v>
      </c>
      <c r="G550" s="906" t="s">
        <v>2298</v>
      </c>
      <c r="H550" s="906">
        <v>2</v>
      </c>
      <c r="I550" s="906">
        <v>2</v>
      </c>
      <c r="J550" s="906">
        <v>2</v>
      </c>
      <c r="K550" s="906">
        <v>2</v>
      </c>
      <c r="L550" s="906">
        <v>2</v>
      </c>
      <c r="M550" s="906">
        <v>2</v>
      </c>
      <c r="N550" s="1041"/>
    </row>
    <row r="551" spans="1:14" s="906" customFormat="1">
      <c r="A551" s="1046" t="s">
        <v>2071</v>
      </c>
      <c r="B551" s="906" t="s">
        <v>2292</v>
      </c>
      <c r="C551" s="906" t="s">
        <v>139</v>
      </c>
      <c r="D551" s="906" t="s">
        <v>139</v>
      </c>
      <c r="E551" s="1060" t="s">
        <v>150</v>
      </c>
      <c r="F551" s="906">
        <v>1</v>
      </c>
      <c r="M551" s="1047"/>
      <c r="N551" s="1041"/>
    </row>
    <row r="552" spans="1:14" s="906" customFormat="1">
      <c r="A552" s="1046"/>
      <c r="E552" s="1060"/>
      <c r="M552" s="1047"/>
      <c r="N552" s="1041"/>
    </row>
    <row r="553" spans="1:14" s="906" customFormat="1">
      <c r="A553" s="1046" t="s">
        <v>2291</v>
      </c>
      <c r="B553" s="906" t="s">
        <v>2076</v>
      </c>
      <c r="C553" s="906" t="s">
        <v>139</v>
      </c>
      <c r="D553" s="906" t="s">
        <v>139</v>
      </c>
      <c r="E553" s="1060">
        <f>E526/E550</f>
        <v>0.22316793868026719</v>
      </c>
      <c r="F553" s="906">
        <v>2</v>
      </c>
      <c r="G553" s="906" t="str">
        <f>G526</f>
        <v>Average loss during wear, Kawecki et al. 2019, SI table 17</v>
      </c>
      <c r="H553" s="906">
        <f t="shared" ref="H553:M553" si="63">H526</f>
        <v>2</v>
      </c>
      <c r="I553" s="906">
        <f t="shared" si="63"/>
        <v>2</v>
      </c>
      <c r="J553" s="906">
        <f t="shared" si="63"/>
        <v>2</v>
      </c>
      <c r="K553" s="906">
        <f t="shared" si="63"/>
        <v>2</v>
      </c>
      <c r="L553" s="906">
        <f t="shared" si="63"/>
        <v>2</v>
      </c>
      <c r="M553" s="906">
        <f t="shared" si="63"/>
        <v>2</v>
      </c>
      <c r="N553" s="1041"/>
    </row>
    <row r="554" spans="1:14" s="906" customFormat="1">
      <c r="A554" s="1046" t="s">
        <v>2291</v>
      </c>
      <c r="B554" s="906" t="s">
        <v>2075</v>
      </c>
      <c r="C554" s="906" t="s">
        <v>139</v>
      </c>
      <c r="D554" s="906" t="s">
        <v>139</v>
      </c>
      <c r="E554" s="1060">
        <f>E527/E550</f>
        <v>0.7390620127596067</v>
      </c>
      <c r="F554" s="906">
        <v>2</v>
      </c>
      <c r="G554" s="906" t="str">
        <f t="shared" ref="G554:M555" si="64">G527</f>
        <v>Computed from available data from Kawecki et al. (2019) and CBS (2022)</v>
      </c>
      <c r="H554" s="906">
        <f t="shared" si="64"/>
        <v>2</v>
      </c>
      <c r="I554" s="906">
        <f t="shared" si="64"/>
        <v>2</v>
      </c>
      <c r="J554" s="906">
        <f t="shared" si="64"/>
        <v>2</v>
      </c>
      <c r="K554" s="906">
        <f t="shared" si="64"/>
        <v>2</v>
      </c>
      <c r="L554" s="906">
        <f t="shared" si="64"/>
        <v>2</v>
      </c>
      <c r="M554" s="906">
        <f t="shared" si="64"/>
        <v>2</v>
      </c>
      <c r="N554" s="1041"/>
    </row>
    <row r="555" spans="1:14" s="906" customFormat="1">
      <c r="A555" s="1046" t="s">
        <v>2291</v>
      </c>
      <c r="B555" s="906" t="s">
        <v>2077</v>
      </c>
      <c r="C555" s="906" t="s">
        <v>139</v>
      </c>
      <c r="D555" s="906" t="s">
        <v>139</v>
      </c>
      <c r="E555" s="1060">
        <f>E528/E550</f>
        <v>3.7770048560126175E-2</v>
      </c>
      <c r="F555" s="906">
        <v>2</v>
      </c>
      <c r="G555" s="906" t="str">
        <f t="shared" si="64"/>
        <v>Computed from available data from Kawecki et al. (2019)</v>
      </c>
      <c r="H555" s="906">
        <f t="shared" si="64"/>
        <v>2</v>
      </c>
      <c r="I555" s="906">
        <f t="shared" si="64"/>
        <v>2</v>
      </c>
      <c r="J555" s="906">
        <f t="shared" si="64"/>
        <v>2</v>
      </c>
      <c r="K555" s="906">
        <f t="shared" si="64"/>
        <v>2</v>
      </c>
      <c r="L555" s="906">
        <f t="shared" si="64"/>
        <v>2</v>
      </c>
      <c r="M555" s="906">
        <f t="shared" si="64"/>
        <v>2</v>
      </c>
      <c r="N555" s="1041"/>
    </row>
    <row r="556" spans="1:14" s="906" customFormat="1">
      <c r="A556" s="906" t="s">
        <v>2292</v>
      </c>
      <c r="B556" s="906" t="s">
        <v>2264</v>
      </c>
      <c r="C556" s="906" t="s">
        <v>139</v>
      </c>
      <c r="D556" s="906" t="s">
        <v>139</v>
      </c>
      <c r="E556" s="1060">
        <f t="shared" ref="E556:M556" si="65">E530</f>
        <v>0.50465116279069766</v>
      </c>
      <c r="F556" s="906">
        <f t="shared" si="65"/>
        <v>2</v>
      </c>
      <c r="G556" s="906" t="str">
        <f t="shared" si="65"/>
        <v>Massabalans textiel, 2022</v>
      </c>
      <c r="H556" s="906">
        <f t="shared" si="65"/>
        <v>1</v>
      </c>
      <c r="I556" s="906">
        <f t="shared" si="65"/>
        <v>2</v>
      </c>
      <c r="J556" s="906">
        <f t="shared" si="65"/>
        <v>2</v>
      </c>
      <c r="K556" s="906">
        <f t="shared" si="65"/>
        <v>1</v>
      </c>
      <c r="L556" s="906">
        <f t="shared" si="65"/>
        <v>2</v>
      </c>
      <c r="M556" s="906">
        <f t="shared" si="65"/>
        <v>2</v>
      </c>
      <c r="N556" s="1041"/>
    </row>
    <row r="557" spans="1:14" s="906" customFormat="1">
      <c r="A557" s="906" t="s">
        <v>2292</v>
      </c>
      <c r="B557" s="906" t="s">
        <v>223</v>
      </c>
      <c r="C557" s="906" t="s">
        <v>139</v>
      </c>
      <c r="D557" s="906" t="s">
        <v>139</v>
      </c>
      <c r="E557" s="1060" t="s">
        <v>150</v>
      </c>
      <c r="F557" s="906">
        <v>1</v>
      </c>
      <c r="M557" s="1047"/>
      <c r="N557" s="1041"/>
    </row>
    <row r="558" spans="1:14" s="906" customFormat="1" ht="15.75" thickBot="1">
      <c r="A558" s="906" t="s">
        <v>2292</v>
      </c>
      <c r="B558" s="1048" t="s">
        <v>204</v>
      </c>
      <c r="C558" s="1048" t="s">
        <v>139</v>
      </c>
      <c r="D558" s="1048" t="s">
        <v>139</v>
      </c>
      <c r="E558" s="1061">
        <f t="shared" ref="E558:M558" si="66">E532</f>
        <v>2.7E-4</v>
      </c>
      <c r="F558" s="1048">
        <v>2</v>
      </c>
      <c r="G558" s="1048" t="str">
        <f t="shared" si="66"/>
        <v>Kawecki &amp; Nowack (2019)</v>
      </c>
      <c r="H558" s="1048">
        <f t="shared" si="66"/>
        <v>2</v>
      </c>
      <c r="I558" s="1048">
        <f t="shared" si="66"/>
        <v>2</v>
      </c>
      <c r="J558" s="1048">
        <f t="shared" si="66"/>
        <v>2</v>
      </c>
      <c r="K558" s="1048">
        <f t="shared" si="66"/>
        <v>3</v>
      </c>
      <c r="L558" s="1048">
        <f t="shared" si="66"/>
        <v>3</v>
      </c>
      <c r="M558" s="1048">
        <f t="shared" si="66"/>
        <v>3</v>
      </c>
      <c r="N558" s="1041"/>
    </row>
    <row r="559" spans="1:14" s="906" customFormat="1"/>
    <row r="560" spans="1:14" s="907" customFormat="1">
      <c r="A560" s="1049" t="s">
        <v>2295</v>
      </c>
      <c r="B560" s="1050"/>
      <c r="C560" s="1050"/>
      <c r="D560" s="1050"/>
      <c r="E560" s="1050"/>
      <c r="F560" s="1050"/>
      <c r="G560" s="1050"/>
      <c r="H560" s="1050"/>
      <c r="I560" s="1050"/>
      <c r="J560" s="1050"/>
      <c r="K560" s="1050"/>
      <c r="L560" s="1050"/>
      <c r="M560" s="1050"/>
    </row>
    <row r="561" spans="1:14" s="1053" customFormat="1">
      <c r="A561" s="1053" t="s">
        <v>2071</v>
      </c>
      <c r="B561" s="1053" t="s">
        <v>2076</v>
      </c>
      <c r="C561" s="1053" t="s">
        <v>139</v>
      </c>
      <c r="D561" s="1053" t="s">
        <v>139</v>
      </c>
      <c r="E561" s="1053">
        <f>E526</f>
        <v>3.0249999999999999E-3</v>
      </c>
      <c r="F561" s="1053">
        <v>3</v>
      </c>
      <c r="G561" s="1053">
        <f t="shared" ref="G561:M563" si="67">G546</f>
        <v>0</v>
      </c>
      <c r="H561" s="1053">
        <f t="shared" si="67"/>
        <v>0</v>
      </c>
      <c r="I561" s="1053">
        <f t="shared" si="67"/>
        <v>0</v>
      </c>
      <c r="J561" s="1053">
        <f t="shared" si="67"/>
        <v>0</v>
      </c>
      <c r="K561" s="1053">
        <f t="shared" si="67"/>
        <v>0</v>
      </c>
      <c r="L561" s="1053">
        <f t="shared" si="67"/>
        <v>0</v>
      </c>
      <c r="M561" s="1053">
        <f t="shared" si="67"/>
        <v>0</v>
      </c>
    </row>
    <row r="562" spans="1:14" s="1053" customFormat="1">
      <c r="A562" s="1053" t="s">
        <v>2071</v>
      </c>
      <c r="B562" s="1053" t="s">
        <v>2075</v>
      </c>
      <c r="C562" s="1053" t="s">
        <v>139</v>
      </c>
      <c r="D562" s="1053" t="s">
        <v>139</v>
      </c>
      <c r="E562" s="1053">
        <f>E527/29</f>
        <v>3.4544305000000009E-4</v>
      </c>
      <c r="F562" s="1053">
        <v>3</v>
      </c>
      <c r="G562" s="1053" t="str">
        <f t="shared" si="67"/>
        <v>Kawecki &amp; Nowack (2019)</v>
      </c>
      <c r="H562" s="1053">
        <f t="shared" si="67"/>
        <v>2</v>
      </c>
      <c r="I562" s="1053">
        <f t="shared" si="67"/>
        <v>2</v>
      </c>
      <c r="J562" s="1053">
        <f t="shared" si="67"/>
        <v>2</v>
      </c>
      <c r="K562" s="1053">
        <f t="shared" si="67"/>
        <v>3</v>
      </c>
      <c r="L562" s="1053">
        <f t="shared" si="67"/>
        <v>3</v>
      </c>
      <c r="M562" s="1053">
        <f t="shared" si="67"/>
        <v>3</v>
      </c>
    </row>
    <row r="563" spans="1:14" s="1053" customFormat="1">
      <c r="A563" s="1053" t="s">
        <v>2071</v>
      </c>
      <c r="B563" s="1053" t="s">
        <v>2077</v>
      </c>
      <c r="C563" s="1053" t="s">
        <v>139</v>
      </c>
      <c r="D563" s="1053" t="s">
        <v>139</v>
      </c>
      <c r="E563" s="1053">
        <f>E528/E530</f>
        <v>1.0144948387096773E-3</v>
      </c>
      <c r="F563" s="1053">
        <v>3</v>
      </c>
      <c r="G563" s="1053">
        <f t="shared" si="67"/>
        <v>0</v>
      </c>
      <c r="H563" s="1053">
        <f t="shared" si="67"/>
        <v>0</v>
      </c>
      <c r="I563" s="1053">
        <f t="shared" si="67"/>
        <v>0</v>
      </c>
      <c r="J563" s="1053">
        <f t="shared" si="67"/>
        <v>0</v>
      </c>
      <c r="K563" s="1053">
        <f t="shared" si="67"/>
        <v>0</v>
      </c>
      <c r="L563" s="1053">
        <f t="shared" si="67"/>
        <v>0</v>
      </c>
      <c r="M563" s="1053">
        <f t="shared" si="67"/>
        <v>0</v>
      </c>
    </row>
    <row r="564" spans="1:14" s="1053" customFormat="1">
      <c r="A564" s="1053" t="s">
        <v>2071</v>
      </c>
      <c r="B564" s="1053" t="s">
        <v>2264</v>
      </c>
      <c r="C564" s="1053" t="s">
        <v>139</v>
      </c>
      <c r="D564" s="1053" t="s">
        <v>139</v>
      </c>
      <c r="E564" s="1053">
        <f>E530</f>
        <v>0.50465116279069766</v>
      </c>
      <c r="F564" s="1053">
        <v>2</v>
      </c>
      <c r="G564" s="1053" t="str">
        <f t="shared" ref="G564:M564" si="68">G550</f>
        <v>Computed from wearing, washing, drying TCs</v>
      </c>
      <c r="H564" s="1053">
        <f t="shared" si="68"/>
        <v>2</v>
      </c>
      <c r="I564" s="1053">
        <f t="shared" si="68"/>
        <v>2</v>
      </c>
      <c r="J564" s="1053">
        <f t="shared" si="68"/>
        <v>2</v>
      </c>
      <c r="K564" s="1053">
        <f t="shared" si="68"/>
        <v>2</v>
      </c>
      <c r="L564" s="1053">
        <f t="shared" si="68"/>
        <v>2</v>
      </c>
      <c r="M564" s="1053">
        <f t="shared" si="68"/>
        <v>2</v>
      </c>
    </row>
    <row r="565" spans="1:14" s="1053" customFormat="1">
      <c r="A565" s="1053" t="s">
        <v>2071</v>
      </c>
      <c r="B565" s="1053" t="s">
        <v>223</v>
      </c>
      <c r="C565" s="1053" t="s">
        <v>139</v>
      </c>
      <c r="D565" s="1053" t="s">
        <v>139</v>
      </c>
      <c r="E565" s="1053" t="str">
        <f>E531</f>
        <v>rest</v>
      </c>
      <c r="F565" s="1053">
        <v>1</v>
      </c>
    </row>
    <row r="566" spans="1:14" s="1053" customFormat="1">
      <c r="A566" s="1053" t="s">
        <v>2071</v>
      </c>
      <c r="B566" s="1053" t="s">
        <v>204</v>
      </c>
      <c r="C566" s="1053" t="s">
        <v>139</v>
      </c>
      <c r="D566" s="1053" t="s">
        <v>139</v>
      </c>
      <c r="E566" s="1053">
        <f>E532</f>
        <v>2.7E-4</v>
      </c>
      <c r="F566" s="1053">
        <v>2</v>
      </c>
      <c r="G566" s="1053">
        <f t="shared" ref="G566:M566" si="69">G552</f>
        <v>0</v>
      </c>
      <c r="H566" s="1053">
        <f t="shared" si="69"/>
        <v>0</v>
      </c>
      <c r="I566" s="1053">
        <f t="shared" si="69"/>
        <v>0</v>
      </c>
      <c r="J566" s="1053">
        <f t="shared" si="69"/>
        <v>0</v>
      </c>
      <c r="K566" s="1053">
        <f t="shared" si="69"/>
        <v>0</v>
      </c>
      <c r="L566" s="1053">
        <f t="shared" si="69"/>
        <v>0</v>
      </c>
      <c r="M566" s="1053">
        <f t="shared" si="69"/>
        <v>0</v>
      </c>
    </row>
    <row r="567" spans="1:14" s="906" customFormat="1" ht="15.75" thickBot="1">
      <c r="A567" s="1042"/>
      <c r="B567" s="1042"/>
      <c r="C567" s="1042"/>
      <c r="D567" s="1042"/>
      <c r="E567" s="1042"/>
      <c r="F567" s="1042"/>
      <c r="G567" s="1042"/>
      <c r="H567" s="1042"/>
      <c r="I567" s="1042"/>
      <c r="J567" s="1042"/>
      <c r="K567" s="1042"/>
      <c r="L567" s="1042"/>
      <c r="M567" s="1042"/>
    </row>
    <row r="568" spans="1:14" s="906" customFormat="1">
      <c r="A568" s="1043" t="s">
        <v>2290</v>
      </c>
      <c r="B568" s="1044"/>
      <c r="C568" s="1044"/>
      <c r="D568" s="1044"/>
      <c r="E568" s="1044"/>
      <c r="F568" s="1044"/>
      <c r="G568" s="1044"/>
      <c r="H568" s="1044"/>
      <c r="I568" s="1044"/>
      <c r="J568" s="1044"/>
      <c r="K568" s="1044"/>
      <c r="L568" s="1044"/>
      <c r="M568" s="1045"/>
      <c r="N568" s="1041"/>
    </row>
    <row r="569" spans="1:14" s="906" customFormat="1">
      <c r="A569" s="1046" t="s">
        <v>2071</v>
      </c>
      <c r="B569" s="906" t="s">
        <v>2296</v>
      </c>
      <c r="C569" s="906" t="s">
        <v>139</v>
      </c>
      <c r="D569" s="906" t="s">
        <v>139</v>
      </c>
      <c r="E569" s="1060">
        <f>(E527/E488)+(E528/E492)+E526</f>
        <v>3.3880970499999999E-3</v>
      </c>
      <c r="F569" s="906">
        <v>2</v>
      </c>
      <c r="G569" s="906" t="str">
        <f t="shared" ref="G569:M569" si="70">G550</f>
        <v>Computed from wearing, washing, drying TCs</v>
      </c>
      <c r="H569" s="906">
        <f t="shared" si="70"/>
        <v>2</v>
      </c>
      <c r="I569" s="906">
        <f t="shared" si="70"/>
        <v>2</v>
      </c>
      <c r="J569" s="906">
        <f t="shared" si="70"/>
        <v>2</v>
      </c>
      <c r="K569" s="906">
        <f t="shared" si="70"/>
        <v>2</v>
      </c>
      <c r="L569" s="906">
        <f t="shared" si="70"/>
        <v>2</v>
      </c>
      <c r="M569" s="906">
        <f t="shared" si="70"/>
        <v>2</v>
      </c>
      <c r="N569" s="1041"/>
    </row>
    <row r="570" spans="1:14" s="906" customFormat="1">
      <c r="A570" s="1046" t="s">
        <v>2071</v>
      </c>
      <c r="B570" s="906" t="s">
        <v>2297</v>
      </c>
      <c r="C570" s="906" t="s">
        <v>139</v>
      </c>
      <c r="D570" s="906" t="s">
        <v>139</v>
      </c>
      <c r="E570" s="1060" t="s">
        <v>150</v>
      </c>
      <c r="F570" s="906">
        <v>1</v>
      </c>
      <c r="M570" s="1047"/>
      <c r="N570" s="1041"/>
    </row>
    <row r="571" spans="1:14" s="906" customFormat="1">
      <c r="A571" s="1046"/>
      <c r="E571" s="1060"/>
      <c r="M571" s="1047"/>
      <c r="N571" s="1041"/>
    </row>
    <row r="572" spans="1:14" s="906" customFormat="1">
      <c r="A572" s="906" t="s">
        <v>2296</v>
      </c>
      <c r="B572" s="906" t="s">
        <v>2076</v>
      </c>
      <c r="C572" s="906" t="s">
        <v>139</v>
      </c>
      <c r="D572" s="906" t="s">
        <v>139</v>
      </c>
      <c r="E572" s="1060">
        <f>E526/E569</f>
        <v>0.89283156750188131</v>
      </c>
      <c r="F572" s="906">
        <v>2</v>
      </c>
      <c r="G572" s="906" t="str">
        <f t="shared" ref="G572:M574" si="71">G526</f>
        <v>Average loss during wear, Kawecki et al. 2019, SI table 17</v>
      </c>
      <c r="H572" s="906">
        <f t="shared" si="71"/>
        <v>2</v>
      </c>
      <c r="I572" s="906">
        <f t="shared" si="71"/>
        <v>2</v>
      </c>
      <c r="J572" s="906">
        <f t="shared" si="71"/>
        <v>2</v>
      </c>
      <c r="K572" s="906">
        <f t="shared" si="71"/>
        <v>2</v>
      </c>
      <c r="L572" s="906">
        <f t="shared" si="71"/>
        <v>2</v>
      </c>
      <c r="M572" s="906">
        <f t="shared" si="71"/>
        <v>2</v>
      </c>
      <c r="N572" s="1041"/>
    </row>
    <row r="573" spans="1:14" s="906" customFormat="1">
      <c r="A573" s="906" t="s">
        <v>2296</v>
      </c>
      <c r="B573" s="906" t="s">
        <v>2075</v>
      </c>
      <c r="C573" s="906" t="s">
        <v>139</v>
      </c>
      <c r="D573" s="906" t="s">
        <v>139</v>
      </c>
      <c r="E573" s="1060">
        <f>(E527/E488)/E569</f>
        <v>0.10195783795508458</v>
      </c>
      <c r="F573" s="906">
        <v>2</v>
      </c>
      <c r="G573" s="906" t="str">
        <f t="shared" si="71"/>
        <v>Computed from available data from Kawecki et al. (2019) and CBS (2022)</v>
      </c>
      <c r="H573" s="906">
        <f t="shared" si="71"/>
        <v>2</v>
      </c>
      <c r="I573" s="906">
        <f t="shared" si="71"/>
        <v>2</v>
      </c>
      <c r="J573" s="906">
        <f t="shared" si="71"/>
        <v>2</v>
      </c>
      <c r="K573" s="906">
        <f t="shared" si="71"/>
        <v>2</v>
      </c>
      <c r="L573" s="906">
        <f t="shared" si="71"/>
        <v>2</v>
      </c>
      <c r="M573" s="906">
        <f t="shared" si="71"/>
        <v>2</v>
      </c>
      <c r="N573" s="1041"/>
    </row>
    <row r="574" spans="1:14" s="906" customFormat="1">
      <c r="A574" s="906" t="s">
        <v>2296</v>
      </c>
      <c r="B574" s="906" t="s">
        <v>2077</v>
      </c>
      <c r="C574" s="906" t="s">
        <v>139</v>
      </c>
      <c r="D574" s="906" t="s">
        <v>139</v>
      </c>
      <c r="E574" s="1060">
        <f>(E528/E492)/E569</f>
        <v>5.2105945430341201E-3</v>
      </c>
      <c r="F574" s="906">
        <v>2</v>
      </c>
      <c r="G574" s="906" t="str">
        <f t="shared" si="71"/>
        <v>Computed from available data from Kawecki et al. (2019)</v>
      </c>
      <c r="H574" s="906">
        <f t="shared" si="71"/>
        <v>2</v>
      </c>
      <c r="I574" s="906">
        <f t="shared" si="71"/>
        <v>2</v>
      </c>
      <c r="J574" s="906">
        <f t="shared" si="71"/>
        <v>2</v>
      </c>
      <c r="K574" s="906">
        <f t="shared" si="71"/>
        <v>2</v>
      </c>
      <c r="L574" s="906">
        <f t="shared" si="71"/>
        <v>2</v>
      </c>
      <c r="M574" s="906">
        <f t="shared" si="71"/>
        <v>2</v>
      </c>
      <c r="N574" s="1041"/>
    </row>
    <row r="575" spans="1:14" s="906" customFormat="1">
      <c r="A575" s="906" t="s">
        <v>2297</v>
      </c>
      <c r="B575" s="906" t="s">
        <v>2264</v>
      </c>
      <c r="C575" s="906" t="s">
        <v>139</v>
      </c>
      <c r="D575" s="906" t="s">
        <v>139</v>
      </c>
      <c r="E575" s="1060">
        <f t="shared" ref="E575:M575" si="72">E530</f>
        <v>0.50465116279069766</v>
      </c>
      <c r="F575" s="906">
        <f t="shared" si="72"/>
        <v>2</v>
      </c>
      <c r="G575" s="906" t="str">
        <f t="shared" si="72"/>
        <v>Massabalans textiel, 2022</v>
      </c>
      <c r="H575" s="906">
        <f t="shared" si="72"/>
        <v>1</v>
      </c>
      <c r="I575" s="906">
        <f t="shared" si="72"/>
        <v>2</v>
      </c>
      <c r="J575" s="906">
        <f t="shared" si="72"/>
        <v>2</v>
      </c>
      <c r="K575" s="906">
        <f t="shared" si="72"/>
        <v>1</v>
      </c>
      <c r="L575" s="906">
        <f t="shared" si="72"/>
        <v>2</v>
      </c>
      <c r="M575" s="906">
        <f t="shared" si="72"/>
        <v>2</v>
      </c>
      <c r="N575" s="1041"/>
    </row>
    <row r="576" spans="1:14" s="906" customFormat="1">
      <c r="A576" s="906" t="s">
        <v>2297</v>
      </c>
      <c r="B576" s="906" t="s">
        <v>223</v>
      </c>
      <c r="C576" s="906" t="s">
        <v>139</v>
      </c>
      <c r="D576" s="906" t="s">
        <v>139</v>
      </c>
      <c r="E576" s="1060" t="str">
        <f>E531</f>
        <v>rest</v>
      </c>
      <c r="F576" s="906">
        <v>1</v>
      </c>
      <c r="N576" s="1041"/>
    </row>
    <row r="577" spans="1:14" s="906" customFormat="1" ht="15.75" thickBot="1">
      <c r="A577" s="906" t="s">
        <v>2297</v>
      </c>
      <c r="B577" s="1048" t="s">
        <v>204</v>
      </c>
      <c r="C577" s="1048" t="s">
        <v>139</v>
      </c>
      <c r="D577" s="1048" t="s">
        <v>139</v>
      </c>
      <c r="E577" s="1061">
        <f>E532</f>
        <v>2.7E-4</v>
      </c>
      <c r="F577" s="1048">
        <v>2</v>
      </c>
      <c r="G577" s="1048" t="str">
        <f t="shared" ref="G577:M577" si="73">G532</f>
        <v>Kawecki &amp; Nowack (2019)</v>
      </c>
      <c r="H577" s="1048">
        <f t="shared" si="73"/>
        <v>2</v>
      </c>
      <c r="I577" s="1048">
        <f t="shared" si="73"/>
        <v>2</v>
      </c>
      <c r="J577" s="1048">
        <f t="shared" si="73"/>
        <v>2</v>
      </c>
      <c r="K577" s="1048">
        <f t="shared" si="73"/>
        <v>3</v>
      </c>
      <c r="L577" s="1048">
        <f t="shared" si="73"/>
        <v>3</v>
      </c>
      <c r="M577" s="1048">
        <f t="shared" si="73"/>
        <v>3</v>
      </c>
      <c r="N577" s="1041"/>
    </row>
    <row r="578" spans="1:14" s="906" customFormat="1"/>
    <row r="579" spans="1:14" s="907" customFormat="1" ht="15.75" thickBot="1">
      <c r="A579" s="1049" t="s">
        <v>2072</v>
      </c>
      <c r="B579" s="1050"/>
      <c r="C579" s="1050"/>
      <c r="D579" s="1050"/>
      <c r="E579" s="1050"/>
      <c r="F579" s="1050"/>
      <c r="G579" s="1050"/>
      <c r="H579" s="1050"/>
      <c r="I579" s="1050"/>
      <c r="J579" s="1050"/>
      <c r="K579" s="1050"/>
      <c r="L579" s="1050"/>
      <c r="M579" s="1050"/>
    </row>
    <row r="580" spans="1:14" s="1053" customFormat="1" ht="15.75" customHeight="1">
      <c r="A580" s="1054" t="s">
        <v>2071</v>
      </c>
      <c r="B580" s="1055" t="s">
        <v>2076</v>
      </c>
      <c r="C580" s="1055" t="s">
        <v>139</v>
      </c>
      <c r="D580" s="1055" t="s">
        <v>139</v>
      </c>
      <c r="E580" s="1055">
        <f>E526</f>
        <v>3.0249999999999999E-3</v>
      </c>
      <c r="F580" s="1055">
        <v>3</v>
      </c>
      <c r="G580" s="1055" t="str">
        <f t="shared" ref="G580:M580" si="74">G526</f>
        <v>Average loss during wear, Kawecki et al. 2019, SI table 17</v>
      </c>
      <c r="H580" s="1055">
        <f t="shared" si="74"/>
        <v>2</v>
      </c>
      <c r="I580" s="1055">
        <f t="shared" si="74"/>
        <v>2</v>
      </c>
      <c r="J580" s="1055">
        <f t="shared" si="74"/>
        <v>2</v>
      </c>
      <c r="K580" s="1055">
        <f t="shared" si="74"/>
        <v>2</v>
      </c>
      <c r="L580" s="1055">
        <f t="shared" si="74"/>
        <v>2</v>
      </c>
      <c r="M580" s="1056">
        <f t="shared" si="74"/>
        <v>2</v>
      </c>
      <c r="N580" s="1057"/>
    </row>
    <row r="581" spans="1:14" s="1053" customFormat="1">
      <c r="A581" s="1058" t="s">
        <v>2071</v>
      </c>
      <c r="B581" s="1053" t="s">
        <v>2264</v>
      </c>
      <c r="C581" s="1053" t="s">
        <v>139</v>
      </c>
      <c r="D581" s="1053" t="s">
        <v>139</v>
      </c>
      <c r="E581" s="1053">
        <f>E536*E530</f>
        <v>0.50312459302325574</v>
      </c>
      <c r="F581" s="1053">
        <v>2</v>
      </c>
      <c r="G581" s="1053" t="str">
        <f t="shared" ref="G581:M581" si="75">G530</f>
        <v>Massabalans textiel, 2022</v>
      </c>
      <c r="H581" s="1053">
        <f t="shared" si="75"/>
        <v>1</v>
      </c>
      <c r="I581" s="1053">
        <f t="shared" si="75"/>
        <v>2</v>
      </c>
      <c r="J581" s="1053">
        <f t="shared" si="75"/>
        <v>2</v>
      </c>
      <c r="K581" s="1053">
        <f t="shared" si="75"/>
        <v>1</v>
      </c>
      <c r="L581" s="1053">
        <f t="shared" si="75"/>
        <v>2</v>
      </c>
      <c r="M581" s="1059">
        <f t="shared" si="75"/>
        <v>2</v>
      </c>
      <c r="N581" s="1057"/>
    </row>
    <row r="582" spans="1:14" s="1053" customFormat="1">
      <c r="A582" s="1058" t="s">
        <v>2071</v>
      </c>
      <c r="B582" s="1053" t="s">
        <v>223</v>
      </c>
      <c r="C582" s="1053" t="s">
        <v>139</v>
      </c>
      <c r="D582" s="1053" t="s">
        <v>139</v>
      </c>
      <c r="E582" s="1053" t="s">
        <v>150</v>
      </c>
      <c r="F582" s="1053">
        <v>1</v>
      </c>
      <c r="M582" s="1059"/>
      <c r="N582" s="1057"/>
    </row>
    <row r="583" spans="1:14" s="1053" customFormat="1">
      <c r="A583" s="1058" t="s">
        <v>2071</v>
      </c>
      <c r="B583" s="1053" t="s">
        <v>204</v>
      </c>
      <c r="C583" s="1053" t="s">
        <v>139</v>
      </c>
      <c r="D583" s="1053" t="s">
        <v>139</v>
      </c>
      <c r="E583" s="1053">
        <f>E536*E532</f>
        <v>2.6918324999999996E-4</v>
      </c>
      <c r="F583" s="1053">
        <v>2</v>
      </c>
      <c r="G583" s="1053" t="str">
        <f t="shared" ref="G583:M583" si="76">G532</f>
        <v>Kawecki &amp; Nowack (2019)</v>
      </c>
      <c r="H583" s="1053">
        <f t="shared" si="76"/>
        <v>2</v>
      </c>
      <c r="I583" s="1053">
        <f t="shared" si="76"/>
        <v>2</v>
      </c>
      <c r="J583" s="1053">
        <f t="shared" si="76"/>
        <v>2</v>
      </c>
      <c r="K583" s="1053">
        <f t="shared" si="76"/>
        <v>3</v>
      </c>
      <c r="L583" s="1053">
        <f t="shared" si="76"/>
        <v>3</v>
      </c>
      <c r="M583" s="1059">
        <f t="shared" si="76"/>
        <v>3</v>
      </c>
      <c r="N583" s="1057"/>
    </row>
    <row r="584" spans="1:14" s="906" customFormat="1">
      <c r="A584" s="1046"/>
      <c r="M584" s="1047"/>
      <c r="N584" s="1041"/>
    </row>
    <row r="585" spans="1:14" s="906" customFormat="1">
      <c r="A585" s="1052" t="s">
        <v>2290</v>
      </c>
      <c r="M585" s="1047"/>
      <c r="N585" s="1041"/>
    </row>
    <row r="586" spans="1:14" s="906" customFormat="1">
      <c r="A586" s="1046" t="s">
        <v>2071</v>
      </c>
      <c r="B586" s="906" t="s">
        <v>2293</v>
      </c>
      <c r="C586" s="906" t="s">
        <v>139</v>
      </c>
      <c r="D586" s="906" t="s">
        <v>139</v>
      </c>
      <c r="E586" s="1063">
        <f>E580</f>
        <v>3.0249999999999999E-3</v>
      </c>
      <c r="F586" s="906">
        <v>2</v>
      </c>
      <c r="G586" s="906" t="str">
        <f>G589</f>
        <v>Average loss during wear, Kawecki et al. 2019, SI table 17</v>
      </c>
      <c r="H586" s="906">
        <f t="shared" ref="H586:M586" si="77">H589</f>
        <v>2</v>
      </c>
      <c r="I586" s="906">
        <f t="shared" si="77"/>
        <v>2</v>
      </c>
      <c r="J586" s="906">
        <f t="shared" si="77"/>
        <v>2</v>
      </c>
      <c r="K586" s="906">
        <f t="shared" si="77"/>
        <v>2</v>
      </c>
      <c r="L586" s="906">
        <f t="shared" si="77"/>
        <v>2</v>
      </c>
      <c r="M586" s="906">
        <f t="shared" si="77"/>
        <v>2</v>
      </c>
      <c r="N586" s="1041"/>
    </row>
    <row r="587" spans="1:14" s="906" customFormat="1">
      <c r="A587" s="1046" t="s">
        <v>2071</v>
      </c>
      <c r="B587" s="906" t="s">
        <v>2294</v>
      </c>
      <c r="C587" s="906" t="s">
        <v>139</v>
      </c>
      <c r="D587" s="906" t="s">
        <v>139</v>
      </c>
      <c r="E587" s="1063" t="s">
        <v>150</v>
      </c>
      <c r="F587" s="906">
        <v>1</v>
      </c>
      <c r="M587" s="1047"/>
      <c r="N587" s="1041"/>
    </row>
    <row r="588" spans="1:14" s="906" customFormat="1">
      <c r="A588" s="1046"/>
      <c r="E588" s="1063"/>
      <c r="M588" s="1047"/>
      <c r="N588" s="1041"/>
    </row>
    <row r="589" spans="1:14" s="906" customFormat="1">
      <c r="A589" s="1046" t="s">
        <v>2293</v>
      </c>
      <c r="B589" s="906" t="s">
        <v>2076</v>
      </c>
      <c r="C589" s="906" t="s">
        <v>139</v>
      </c>
      <c r="D589" s="906" t="s">
        <v>139</v>
      </c>
      <c r="E589" s="1063">
        <f>E586/E580</f>
        <v>1</v>
      </c>
      <c r="F589" s="906">
        <v>1</v>
      </c>
      <c r="G589" s="906" t="str">
        <f t="shared" ref="G589:M589" si="78">G526</f>
        <v>Average loss during wear, Kawecki et al. 2019, SI table 17</v>
      </c>
      <c r="H589" s="906">
        <f t="shared" si="78"/>
        <v>2</v>
      </c>
      <c r="I589" s="906">
        <f t="shared" si="78"/>
        <v>2</v>
      </c>
      <c r="J589" s="906">
        <f t="shared" si="78"/>
        <v>2</v>
      </c>
      <c r="K589" s="906">
        <f t="shared" si="78"/>
        <v>2</v>
      </c>
      <c r="L589" s="906">
        <f t="shared" si="78"/>
        <v>2</v>
      </c>
      <c r="M589" s="906">
        <f t="shared" si="78"/>
        <v>2</v>
      </c>
      <c r="N589" s="1041"/>
    </row>
    <row r="590" spans="1:14" s="906" customFormat="1">
      <c r="A590" s="906" t="s">
        <v>2294</v>
      </c>
      <c r="B590" s="906" t="s">
        <v>2264</v>
      </c>
      <c r="C590" s="906" t="s">
        <v>139</v>
      </c>
      <c r="D590" s="906" t="s">
        <v>139</v>
      </c>
      <c r="E590" s="1063">
        <f t="shared" ref="E590:M590" si="79">E530</f>
        <v>0.50465116279069766</v>
      </c>
      <c r="F590" s="906">
        <f t="shared" si="79"/>
        <v>2</v>
      </c>
      <c r="G590" s="906" t="str">
        <f t="shared" si="79"/>
        <v>Massabalans textiel, 2022</v>
      </c>
      <c r="H590" s="906">
        <f t="shared" si="79"/>
        <v>1</v>
      </c>
      <c r="I590" s="906">
        <f t="shared" si="79"/>
        <v>2</v>
      </c>
      <c r="J590" s="906">
        <f t="shared" si="79"/>
        <v>2</v>
      </c>
      <c r="K590" s="906">
        <f t="shared" si="79"/>
        <v>1</v>
      </c>
      <c r="L590" s="906">
        <f t="shared" si="79"/>
        <v>2</v>
      </c>
      <c r="M590" s="906">
        <f t="shared" si="79"/>
        <v>2</v>
      </c>
      <c r="N590" s="1041"/>
    </row>
    <row r="591" spans="1:14" s="906" customFormat="1">
      <c r="A591" s="906" t="s">
        <v>2294</v>
      </c>
      <c r="B591" s="906" t="s">
        <v>223</v>
      </c>
      <c r="C591" s="906" t="s">
        <v>139</v>
      </c>
      <c r="D591" s="906" t="s">
        <v>139</v>
      </c>
      <c r="E591" s="1063" t="str">
        <f t="shared" ref="E591:M591" si="80">E531</f>
        <v>rest</v>
      </c>
      <c r="F591" s="906">
        <v>1</v>
      </c>
      <c r="G591" s="906">
        <f t="shared" si="80"/>
        <v>0</v>
      </c>
      <c r="H591" s="906">
        <f t="shared" si="80"/>
        <v>0</v>
      </c>
      <c r="I591" s="906">
        <f t="shared" si="80"/>
        <v>0</v>
      </c>
      <c r="J591" s="906">
        <f t="shared" si="80"/>
        <v>0</v>
      </c>
      <c r="K591" s="906">
        <f t="shared" si="80"/>
        <v>0</v>
      </c>
      <c r="L591" s="906">
        <f t="shared" si="80"/>
        <v>0</v>
      </c>
      <c r="M591" s="906">
        <f t="shared" si="80"/>
        <v>0</v>
      </c>
      <c r="N591" s="1041"/>
    </row>
    <row r="592" spans="1:14" s="906" customFormat="1" ht="15.75" thickBot="1">
      <c r="A592" s="906" t="s">
        <v>2294</v>
      </c>
      <c r="B592" s="1048" t="s">
        <v>204</v>
      </c>
      <c r="C592" s="1048" t="s">
        <v>139</v>
      </c>
      <c r="D592" s="1048" t="s">
        <v>139</v>
      </c>
      <c r="E592" s="1063">
        <f>E532</f>
        <v>2.7E-4</v>
      </c>
      <c r="F592" s="906">
        <v>2</v>
      </c>
      <c r="G592" s="906" t="str">
        <f t="shared" ref="G592:M592" si="81">G532</f>
        <v>Kawecki &amp; Nowack (2019)</v>
      </c>
      <c r="H592" s="906">
        <f t="shared" si="81"/>
        <v>2</v>
      </c>
      <c r="I592" s="906">
        <f t="shared" si="81"/>
        <v>2</v>
      </c>
      <c r="J592" s="906">
        <f t="shared" si="81"/>
        <v>2</v>
      </c>
      <c r="K592" s="906">
        <f t="shared" si="81"/>
        <v>3</v>
      </c>
      <c r="L592" s="906">
        <f t="shared" si="81"/>
        <v>3</v>
      </c>
      <c r="M592" s="906">
        <f t="shared" si="81"/>
        <v>3</v>
      </c>
      <c r="N592" s="1041"/>
    </row>
    <row r="593" spans="1:13" s="906" customFormat="1">
      <c r="A593" s="1051"/>
      <c r="B593" s="1051"/>
      <c r="C593" s="1051"/>
      <c r="D593" s="1051"/>
      <c r="E593" s="1051"/>
      <c r="F593" s="1051"/>
      <c r="G593" s="1051"/>
      <c r="H593" s="1051"/>
      <c r="I593" s="1051"/>
      <c r="J593" s="1051"/>
      <c r="K593" s="1051"/>
      <c r="L593" s="1051"/>
      <c r="M593" s="1051"/>
    </row>
    <row r="594" spans="1:13" s="907" customFormat="1">
      <c r="A594" s="908" t="s">
        <v>2240</v>
      </c>
    </row>
    <row r="595" spans="1:13" s="906" customFormat="1">
      <c r="A595" s="906" t="s">
        <v>2241</v>
      </c>
      <c r="B595" s="906" t="s">
        <v>2244</v>
      </c>
      <c r="C595" s="906" t="s">
        <v>139</v>
      </c>
      <c r="D595" s="906" t="s">
        <v>139</v>
      </c>
      <c r="E595" s="906">
        <f>E524</f>
        <v>0.25</v>
      </c>
      <c r="F595" s="906">
        <v>2</v>
      </c>
      <c r="G595" s="906" t="str">
        <f t="shared" ref="G595:M595" si="82">G524</f>
        <v>(de Waart et al., 2023)</v>
      </c>
      <c r="H595" s="906">
        <f t="shared" si="82"/>
        <v>2</v>
      </c>
      <c r="I595" s="906">
        <f t="shared" si="82"/>
        <v>2</v>
      </c>
      <c r="J595" s="906">
        <f t="shared" si="82"/>
        <v>2</v>
      </c>
      <c r="K595" s="906">
        <f t="shared" si="82"/>
        <v>3</v>
      </c>
      <c r="L595" s="906">
        <f t="shared" si="82"/>
        <v>2</v>
      </c>
      <c r="M595" s="906">
        <f t="shared" si="82"/>
        <v>2</v>
      </c>
    </row>
    <row r="596" spans="1:13" s="906" customFormat="1">
      <c r="A596" s="906" t="s">
        <v>2241</v>
      </c>
      <c r="B596" s="906" t="s">
        <v>223</v>
      </c>
      <c r="C596" s="906" t="s">
        <v>139</v>
      </c>
      <c r="D596" s="906" t="s">
        <v>139</v>
      </c>
      <c r="E596" s="906" t="s">
        <v>150</v>
      </c>
      <c r="F596" s="906">
        <v>1</v>
      </c>
    </row>
    <row r="597" spans="1:13" s="906" customFormat="1">
      <c r="A597" s="906" t="s">
        <v>2241</v>
      </c>
      <c r="B597" s="906" t="s">
        <v>204</v>
      </c>
      <c r="C597" s="906" t="s">
        <v>139</v>
      </c>
      <c r="D597" s="906" t="s">
        <v>139</v>
      </c>
      <c r="E597" s="906">
        <f>E583</f>
        <v>2.6918324999999996E-4</v>
      </c>
      <c r="F597" s="906">
        <v>2</v>
      </c>
      <c r="G597" s="906" t="str">
        <f t="shared" ref="G597:M597" si="83">G583</f>
        <v>Kawecki &amp; Nowack (2019)</v>
      </c>
      <c r="H597" s="906">
        <f t="shared" si="83"/>
        <v>2</v>
      </c>
      <c r="I597" s="906">
        <f t="shared" si="83"/>
        <v>2</v>
      </c>
      <c r="J597" s="906">
        <f t="shared" si="83"/>
        <v>2</v>
      </c>
      <c r="K597" s="906">
        <f t="shared" si="83"/>
        <v>3</v>
      </c>
      <c r="L597" s="906">
        <f t="shared" si="83"/>
        <v>3</v>
      </c>
      <c r="M597" s="906">
        <f t="shared" si="83"/>
        <v>3</v>
      </c>
    </row>
    <row r="598" spans="1:13" s="906" customFormat="1">
      <c r="A598" s="906" t="s">
        <v>2241</v>
      </c>
      <c r="B598" s="906" t="s">
        <v>2242</v>
      </c>
      <c r="C598" s="906" t="s">
        <v>139</v>
      </c>
      <c r="D598" s="906" t="str">
        <f t="shared" ref="D598:E601" si="84">D512</f>
        <v>RUBBER</v>
      </c>
      <c r="E598" s="906">
        <f t="shared" si="84"/>
        <v>5.7712387375211246E-3</v>
      </c>
      <c r="F598" s="906">
        <v>3</v>
      </c>
      <c r="G598" s="906" t="str">
        <f t="shared" ref="G598:M605" si="85">G512</f>
        <v>See shoesole wear calculation in clothing tab of MainInputFile</v>
      </c>
      <c r="H598" s="906">
        <f t="shared" si="85"/>
        <v>1</v>
      </c>
      <c r="I598" s="906">
        <f t="shared" si="85"/>
        <v>2</v>
      </c>
      <c r="J598" s="906">
        <f t="shared" si="85"/>
        <v>2</v>
      </c>
      <c r="K598" s="906">
        <f t="shared" si="85"/>
        <v>2</v>
      </c>
      <c r="L598" s="906">
        <f t="shared" si="85"/>
        <v>2</v>
      </c>
      <c r="M598" s="906">
        <f t="shared" si="85"/>
        <v>3</v>
      </c>
    </row>
    <row r="599" spans="1:13" s="906" customFormat="1">
      <c r="A599" s="906" t="s">
        <v>2241</v>
      </c>
      <c r="B599" s="906" t="s">
        <v>2242</v>
      </c>
      <c r="C599" s="906" t="s">
        <v>139</v>
      </c>
      <c r="D599" s="906" t="str">
        <f t="shared" si="84"/>
        <v>RUBBER</v>
      </c>
      <c r="E599" s="906">
        <f t="shared" si="84"/>
        <v>1.1542477475042249E-2</v>
      </c>
      <c r="F599" s="906">
        <v>3</v>
      </c>
      <c r="G599" s="906" t="str">
        <f t="shared" si="85"/>
        <v>See shoesole wear calculation in clothing tab of MainInputFile</v>
      </c>
      <c r="H599" s="906">
        <f t="shared" si="85"/>
        <v>1</v>
      </c>
      <c r="I599" s="906">
        <f t="shared" si="85"/>
        <v>2</v>
      </c>
      <c r="J599" s="906">
        <f t="shared" si="85"/>
        <v>2</v>
      </c>
      <c r="K599" s="906">
        <f t="shared" si="85"/>
        <v>2</v>
      </c>
      <c r="L599" s="906">
        <f t="shared" si="85"/>
        <v>2</v>
      </c>
      <c r="M599" s="906">
        <f t="shared" si="85"/>
        <v>3</v>
      </c>
    </row>
    <row r="600" spans="1:13" s="906" customFormat="1">
      <c r="A600" s="906" t="s">
        <v>2241</v>
      </c>
      <c r="B600" s="906" t="s">
        <v>2242</v>
      </c>
      <c r="C600" s="906" t="s">
        <v>139</v>
      </c>
      <c r="D600" s="906" t="str">
        <f t="shared" si="84"/>
        <v>PUR</v>
      </c>
      <c r="E600" s="906">
        <f t="shared" si="84"/>
        <v>2.5413504031689942E-3</v>
      </c>
      <c r="F600" s="906">
        <v>3</v>
      </c>
      <c r="G600" s="906" t="str">
        <f t="shared" si="85"/>
        <v>See shoesole wear calculation in clothing tab of MainInputFile</v>
      </c>
      <c r="H600" s="906">
        <f t="shared" si="85"/>
        <v>1</v>
      </c>
      <c r="I600" s="906">
        <f t="shared" si="85"/>
        <v>2</v>
      </c>
      <c r="J600" s="906">
        <f t="shared" si="85"/>
        <v>2</v>
      </c>
      <c r="K600" s="906">
        <f t="shared" si="85"/>
        <v>2</v>
      </c>
      <c r="L600" s="906">
        <f t="shared" si="85"/>
        <v>2</v>
      </c>
      <c r="M600" s="906">
        <f t="shared" si="85"/>
        <v>3</v>
      </c>
    </row>
    <row r="601" spans="1:13" s="906" customFormat="1">
      <c r="A601" s="906" t="s">
        <v>2241</v>
      </c>
      <c r="B601" s="906" t="s">
        <v>2242</v>
      </c>
      <c r="C601" s="906" t="s">
        <v>139</v>
      </c>
      <c r="D601" s="906" t="str">
        <f t="shared" si="84"/>
        <v>PUR</v>
      </c>
      <c r="E601" s="906">
        <f t="shared" si="84"/>
        <v>5.0827008063379885E-3</v>
      </c>
      <c r="F601" s="906">
        <v>3</v>
      </c>
      <c r="G601" s="906" t="str">
        <f t="shared" si="85"/>
        <v>See shoesole wear calculation in clothing tab of MainInputFile</v>
      </c>
      <c r="H601" s="906">
        <f t="shared" si="85"/>
        <v>1</v>
      </c>
      <c r="I601" s="906">
        <f t="shared" si="85"/>
        <v>2</v>
      </c>
      <c r="J601" s="906">
        <f t="shared" si="85"/>
        <v>2</v>
      </c>
      <c r="K601" s="906">
        <f t="shared" si="85"/>
        <v>2</v>
      </c>
      <c r="L601" s="906">
        <f t="shared" si="85"/>
        <v>2</v>
      </c>
      <c r="M601" s="906">
        <f t="shared" si="85"/>
        <v>3</v>
      </c>
    </row>
    <row r="602" spans="1:13" s="906" customFormat="1">
      <c r="A602" s="906" t="s">
        <v>2241</v>
      </c>
      <c r="B602" s="906" t="s">
        <v>2242</v>
      </c>
      <c r="C602" s="906" t="s">
        <v>139</v>
      </c>
      <c r="D602" s="906" t="str">
        <f>D517</f>
        <v>OTHER</v>
      </c>
      <c r="E602" s="906">
        <f>E516</f>
        <v>2.6370870403593857E-3</v>
      </c>
      <c r="F602" s="906">
        <v>3</v>
      </c>
      <c r="G602" s="906" t="str">
        <f t="shared" si="85"/>
        <v>See shoesole wear calculation in clothing tab of MainInputFile</v>
      </c>
      <c r="H602" s="906">
        <f t="shared" si="85"/>
        <v>1</v>
      </c>
      <c r="I602" s="906">
        <f t="shared" si="85"/>
        <v>2</v>
      </c>
      <c r="J602" s="906">
        <f t="shared" si="85"/>
        <v>2</v>
      </c>
      <c r="K602" s="906">
        <f t="shared" si="85"/>
        <v>2</v>
      </c>
      <c r="L602" s="906">
        <f t="shared" si="85"/>
        <v>2</v>
      </c>
      <c r="M602" s="906">
        <f t="shared" si="85"/>
        <v>3</v>
      </c>
    </row>
    <row r="603" spans="1:13" s="906" customFormat="1">
      <c r="A603" s="906" t="s">
        <v>2241</v>
      </c>
      <c r="B603" s="906" t="s">
        <v>2242</v>
      </c>
      <c r="C603" s="906" t="s">
        <v>139</v>
      </c>
      <c r="D603" s="906" t="str">
        <f>D517</f>
        <v>OTHER</v>
      </c>
      <c r="E603" s="906">
        <f>E517</f>
        <v>5.2741740807187715E-3</v>
      </c>
      <c r="F603" s="906">
        <v>3</v>
      </c>
      <c r="G603" s="906" t="str">
        <f t="shared" si="85"/>
        <v>See shoesole wear calculation in clothing tab of MainInputFile</v>
      </c>
      <c r="H603" s="906">
        <f t="shared" si="85"/>
        <v>1</v>
      </c>
      <c r="I603" s="906">
        <f t="shared" si="85"/>
        <v>2</v>
      </c>
      <c r="J603" s="906">
        <f t="shared" si="85"/>
        <v>2</v>
      </c>
      <c r="K603" s="906">
        <f t="shared" si="85"/>
        <v>2</v>
      </c>
      <c r="L603" s="906">
        <f t="shared" si="85"/>
        <v>2</v>
      </c>
      <c r="M603" s="906">
        <f t="shared" si="85"/>
        <v>3</v>
      </c>
    </row>
    <row r="604" spans="1:13" s="906" customFormat="1">
      <c r="A604" s="906" t="s">
        <v>2241</v>
      </c>
      <c r="B604" s="906" t="s">
        <v>2242</v>
      </c>
      <c r="C604" s="906" t="s">
        <v>139</v>
      </c>
      <c r="D604" s="906" t="str">
        <f>D518</f>
        <v>PVC</v>
      </c>
      <c r="E604" s="906">
        <f>E518</f>
        <v>3.2506855134566658E-3</v>
      </c>
      <c r="F604" s="906">
        <v>3</v>
      </c>
      <c r="G604" s="906" t="str">
        <f t="shared" si="85"/>
        <v>See shoesole wear calculation in clothing tab of MainInputFile</v>
      </c>
      <c r="H604" s="906">
        <f t="shared" si="85"/>
        <v>1</v>
      </c>
      <c r="I604" s="906">
        <f t="shared" si="85"/>
        <v>2</v>
      </c>
      <c r="J604" s="906">
        <f t="shared" si="85"/>
        <v>2</v>
      </c>
      <c r="K604" s="906">
        <f t="shared" si="85"/>
        <v>2</v>
      </c>
      <c r="L604" s="906">
        <f t="shared" si="85"/>
        <v>2</v>
      </c>
      <c r="M604" s="906">
        <f t="shared" si="85"/>
        <v>3</v>
      </c>
    </row>
    <row r="605" spans="1:13" s="906" customFormat="1">
      <c r="A605" s="906" t="s">
        <v>2241</v>
      </c>
      <c r="B605" s="906" t="s">
        <v>2242</v>
      </c>
      <c r="C605" s="906" t="s">
        <v>139</v>
      </c>
      <c r="D605" s="906" t="str">
        <f>D519</f>
        <v>PVC</v>
      </c>
      <c r="E605" s="906">
        <f>E519</f>
        <v>6.5013710269133315E-3</v>
      </c>
      <c r="F605" s="906">
        <v>3</v>
      </c>
      <c r="G605" s="906" t="str">
        <f t="shared" si="85"/>
        <v>See shoesole wear calculation in clothing tab of MainInputFile</v>
      </c>
      <c r="H605" s="906">
        <f t="shared" si="85"/>
        <v>1</v>
      </c>
      <c r="I605" s="906">
        <f t="shared" si="85"/>
        <v>2</v>
      </c>
      <c r="J605" s="906">
        <f t="shared" si="85"/>
        <v>2</v>
      </c>
      <c r="K605" s="906">
        <f t="shared" si="85"/>
        <v>2</v>
      </c>
      <c r="L605" s="906">
        <f t="shared" si="85"/>
        <v>2</v>
      </c>
      <c r="M605" s="906">
        <f t="shared" si="85"/>
        <v>3</v>
      </c>
    </row>
    <row r="606" spans="1:13" s="906" customFormat="1">
      <c r="A606" s="906" t="s">
        <v>2241</v>
      </c>
      <c r="B606" s="906" t="s">
        <v>2243</v>
      </c>
      <c r="C606" s="906" t="s">
        <v>139</v>
      </c>
      <c r="D606" s="906" t="str">
        <f>D521</f>
        <v>PA</v>
      </c>
      <c r="E606" s="906">
        <f>E521</f>
        <v>3.0249999999999999E-3</v>
      </c>
      <c r="F606" s="906">
        <v>3</v>
      </c>
      <c r="G606" s="906" t="str">
        <f>G521</f>
        <v>Average loss during wear, Kawecki et al. 2019, SI table 17</v>
      </c>
      <c r="H606" s="906">
        <f t="shared" ref="H606:M606" si="86">H542</f>
        <v>2</v>
      </c>
      <c r="I606" s="906">
        <f t="shared" si="86"/>
        <v>2</v>
      </c>
      <c r="J606" s="906">
        <f t="shared" si="86"/>
        <v>2</v>
      </c>
      <c r="K606" s="906">
        <f t="shared" si="86"/>
        <v>2</v>
      </c>
      <c r="L606" s="906">
        <f t="shared" si="86"/>
        <v>2</v>
      </c>
      <c r="M606" s="906">
        <f t="shared" si="86"/>
        <v>2</v>
      </c>
    </row>
    <row r="607" spans="1:13" s="906" customFormat="1">
      <c r="A607" s="906" t="s">
        <v>2241</v>
      </c>
      <c r="B607" s="906" t="s">
        <v>2243</v>
      </c>
      <c r="C607" s="906" t="s">
        <v>139</v>
      </c>
      <c r="D607" s="906" t="str">
        <f>D522</f>
        <v>PET</v>
      </c>
      <c r="E607" s="906">
        <f>E522</f>
        <v>3.0249999999999999E-3</v>
      </c>
      <c r="F607" s="906">
        <v>3</v>
      </c>
      <c r="G607" s="906" t="str">
        <f>G522</f>
        <v>Average loss during wear, Kawecki et al. 2019, SI table 17</v>
      </c>
      <c r="H607" s="906">
        <f t="shared" ref="H607:M607" si="87">H526</f>
        <v>2</v>
      </c>
      <c r="I607" s="906">
        <f t="shared" si="87"/>
        <v>2</v>
      </c>
      <c r="J607" s="906">
        <f t="shared" si="87"/>
        <v>2</v>
      </c>
      <c r="K607" s="906">
        <f t="shared" si="87"/>
        <v>2</v>
      </c>
      <c r="L607" s="906">
        <f t="shared" si="87"/>
        <v>2</v>
      </c>
      <c r="M607" s="906">
        <f t="shared" si="87"/>
        <v>2</v>
      </c>
    </row>
    <row r="608" spans="1:13" s="906" customFormat="1"/>
    <row r="609" spans="1:13" s="645" customFormat="1">
      <c r="A609" s="645" t="s">
        <v>2303</v>
      </c>
    </row>
    <row r="610" spans="1:13">
      <c r="A610" t="s">
        <v>2054</v>
      </c>
      <c r="B610" t="str">
        <f>B586</f>
        <v>Clothing not washed (in use)</v>
      </c>
      <c r="C610" t="str">
        <f t="shared" ref="C610:M610" si="88">C586</f>
        <v>any</v>
      </c>
      <c r="D610" t="str">
        <f t="shared" si="88"/>
        <v>any</v>
      </c>
      <c r="E610">
        <f t="shared" si="88"/>
        <v>3.0249999999999999E-3</v>
      </c>
      <c r="F610">
        <f t="shared" si="88"/>
        <v>2</v>
      </c>
      <c r="G610" t="str">
        <f t="shared" si="88"/>
        <v>Average loss during wear, Kawecki et al. 2019, SI table 17</v>
      </c>
      <c r="H610">
        <f t="shared" si="88"/>
        <v>2</v>
      </c>
      <c r="I610">
        <f t="shared" si="88"/>
        <v>2</v>
      </c>
      <c r="J610">
        <f t="shared" si="88"/>
        <v>2</v>
      </c>
      <c r="K610">
        <f t="shared" si="88"/>
        <v>2</v>
      </c>
      <c r="L610">
        <f t="shared" si="88"/>
        <v>2</v>
      </c>
      <c r="M610">
        <f t="shared" si="88"/>
        <v>2</v>
      </c>
    </row>
    <row r="611" spans="1:13">
      <c r="A611" t="s">
        <v>2054</v>
      </c>
      <c r="B611" t="str">
        <f>B587</f>
        <v>Clothing not washed (discarded)</v>
      </c>
      <c r="C611" t="str">
        <f>C587</f>
        <v>any</v>
      </c>
      <c r="D611" t="str">
        <f>D587</f>
        <v>any</v>
      </c>
      <c r="E611" t="str">
        <f>E587</f>
        <v>rest</v>
      </c>
      <c r="F611">
        <f>F587</f>
        <v>1</v>
      </c>
    </row>
    <row r="612" spans="1:13">
      <c r="A612" t="s">
        <v>2186</v>
      </c>
      <c r="B612" t="str">
        <f>B569</f>
        <v>Clothing rarely washed (in use)</v>
      </c>
      <c r="C612" t="str">
        <f t="shared" ref="C612:M612" si="89">C569</f>
        <v>any</v>
      </c>
      <c r="D612" t="str">
        <f t="shared" si="89"/>
        <v>any</v>
      </c>
      <c r="E612">
        <f t="shared" si="89"/>
        <v>3.3880970499999999E-3</v>
      </c>
      <c r="F612">
        <f t="shared" si="89"/>
        <v>2</v>
      </c>
      <c r="G612" t="str">
        <f t="shared" si="89"/>
        <v>Computed from wearing, washing, drying TCs</v>
      </c>
      <c r="H612">
        <f t="shared" si="89"/>
        <v>2</v>
      </c>
      <c r="I612">
        <f t="shared" si="89"/>
        <v>2</v>
      </c>
      <c r="J612">
        <f t="shared" si="89"/>
        <v>2</v>
      </c>
      <c r="K612">
        <f t="shared" si="89"/>
        <v>2</v>
      </c>
      <c r="L612">
        <f t="shared" si="89"/>
        <v>2</v>
      </c>
      <c r="M612">
        <f t="shared" si="89"/>
        <v>2</v>
      </c>
    </row>
    <row r="613" spans="1:13">
      <c r="A613" t="s">
        <v>2186</v>
      </c>
      <c r="B613" t="str">
        <f>B570</f>
        <v>Clothing rarely washed (discarded)</v>
      </c>
      <c r="C613" t="str">
        <f>C570</f>
        <v>any</v>
      </c>
      <c r="D613" t="str">
        <f>D570</f>
        <v>any</v>
      </c>
      <c r="E613" t="str">
        <f>E570</f>
        <v>rest</v>
      </c>
      <c r="F613">
        <f>F570</f>
        <v>1</v>
      </c>
    </row>
    <row r="614" spans="1:13">
      <c r="A614" t="s">
        <v>2185</v>
      </c>
      <c r="B614" t="str">
        <f>B550</f>
        <v>Clothing washed (in use)</v>
      </c>
      <c r="C614" t="str">
        <f t="shared" ref="C614:M614" si="90">C550</f>
        <v>any</v>
      </c>
      <c r="D614" t="str">
        <f t="shared" si="90"/>
        <v>any</v>
      </c>
      <c r="E614">
        <f t="shared" si="90"/>
        <v>1.3554814450000001E-2</v>
      </c>
      <c r="F614">
        <f t="shared" si="90"/>
        <v>2</v>
      </c>
      <c r="G614" t="str">
        <f t="shared" si="90"/>
        <v>Computed from wearing, washing, drying TCs</v>
      </c>
      <c r="H614">
        <f t="shared" si="90"/>
        <v>2</v>
      </c>
      <c r="I614">
        <f t="shared" si="90"/>
        <v>2</v>
      </c>
      <c r="J614">
        <f t="shared" si="90"/>
        <v>2</v>
      </c>
      <c r="K614">
        <f t="shared" si="90"/>
        <v>2</v>
      </c>
      <c r="L614">
        <f t="shared" si="90"/>
        <v>2</v>
      </c>
      <c r="M614">
        <f t="shared" si="90"/>
        <v>2</v>
      </c>
    </row>
    <row r="615" spans="1:13">
      <c r="A615" t="s">
        <v>2185</v>
      </c>
      <c r="B615" t="str">
        <f>B551</f>
        <v>Clothing washed (discarded)</v>
      </c>
      <c r="C615" t="str">
        <f>C551</f>
        <v>any</v>
      </c>
      <c r="D615" t="str">
        <f>D551</f>
        <v>any</v>
      </c>
      <c r="E615" t="str">
        <f>E551</f>
        <v>rest</v>
      </c>
      <c r="F615">
        <f>F551</f>
        <v>1</v>
      </c>
    </row>
    <row r="616" spans="1:13">
      <c r="A616" t="s">
        <v>2187</v>
      </c>
      <c r="B616" t="str">
        <f>B550</f>
        <v>Clothing washed (in use)</v>
      </c>
      <c r="C616" t="str">
        <f t="shared" ref="C616:M616" si="91">C550</f>
        <v>any</v>
      </c>
      <c r="D616" t="str">
        <f t="shared" si="91"/>
        <v>any</v>
      </c>
      <c r="E616">
        <f t="shared" si="91"/>
        <v>1.3554814450000001E-2</v>
      </c>
      <c r="F616">
        <f t="shared" si="91"/>
        <v>2</v>
      </c>
      <c r="G616" t="str">
        <f t="shared" si="91"/>
        <v>Computed from wearing, washing, drying TCs</v>
      </c>
      <c r="H616">
        <f t="shared" si="91"/>
        <v>2</v>
      </c>
      <c r="I616">
        <f t="shared" si="91"/>
        <v>2</v>
      </c>
      <c r="J616">
        <f t="shared" si="91"/>
        <v>2</v>
      </c>
      <c r="K616">
        <f t="shared" si="91"/>
        <v>2</v>
      </c>
      <c r="L616">
        <f t="shared" si="91"/>
        <v>2</v>
      </c>
      <c r="M616">
        <f t="shared" si="91"/>
        <v>2</v>
      </c>
    </row>
    <row r="617" spans="1:13">
      <c r="A617" t="s">
        <v>2187</v>
      </c>
      <c r="B617" t="str">
        <f>B551</f>
        <v>Clothing washed (discarded)</v>
      </c>
      <c r="C617" t="str">
        <f>C551</f>
        <v>any</v>
      </c>
      <c r="D617" t="str">
        <f>D551</f>
        <v>any</v>
      </c>
      <c r="E617" t="str">
        <f>E551</f>
        <v>rest</v>
      </c>
      <c r="F617">
        <f>F551</f>
        <v>1</v>
      </c>
    </row>
    <row r="618" spans="1:13">
      <c r="A618" t="s">
        <v>2188</v>
      </c>
      <c r="B618" t="str">
        <f>B550</f>
        <v>Clothing washed (in use)</v>
      </c>
      <c r="C618" t="str">
        <f t="shared" ref="C618:M618" si="92">C550</f>
        <v>any</v>
      </c>
      <c r="D618" t="str">
        <f t="shared" si="92"/>
        <v>any</v>
      </c>
      <c r="E618">
        <f t="shared" si="92"/>
        <v>1.3554814450000001E-2</v>
      </c>
      <c r="F618">
        <f t="shared" si="92"/>
        <v>2</v>
      </c>
      <c r="G618" t="str">
        <f t="shared" si="92"/>
        <v>Computed from wearing, washing, drying TCs</v>
      </c>
      <c r="H618">
        <f t="shared" si="92"/>
        <v>2</v>
      </c>
      <c r="I618">
        <f t="shared" si="92"/>
        <v>2</v>
      </c>
      <c r="J618">
        <f t="shared" si="92"/>
        <v>2</v>
      </c>
      <c r="K618">
        <f t="shared" si="92"/>
        <v>2</v>
      </c>
      <c r="L618">
        <f t="shared" si="92"/>
        <v>2</v>
      </c>
      <c r="M618">
        <f t="shared" si="92"/>
        <v>2</v>
      </c>
    </row>
    <row r="619" spans="1:13">
      <c r="A619" t="s">
        <v>2188</v>
      </c>
      <c r="B619" t="str">
        <f>B551</f>
        <v>Clothing washed (discarded)</v>
      </c>
      <c r="C619" t="str">
        <f>C551</f>
        <v>any</v>
      </c>
      <c r="D619" t="str">
        <f>D551</f>
        <v>any</v>
      </c>
      <c r="E619" t="str">
        <f>E551</f>
        <v>rest</v>
      </c>
      <c r="F619">
        <f>F551</f>
        <v>1</v>
      </c>
    </row>
    <row r="620" spans="1:13">
      <c r="A620" t="s">
        <v>2189</v>
      </c>
      <c r="B620" t="str">
        <f t="shared" ref="B620:M620" si="93">B550</f>
        <v>Clothing washed (in use)</v>
      </c>
      <c r="C620" t="str">
        <f t="shared" si="93"/>
        <v>any</v>
      </c>
      <c r="D620" t="str">
        <f t="shared" si="93"/>
        <v>any</v>
      </c>
      <c r="E620">
        <f t="shared" si="93"/>
        <v>1.3554814450000001E-2</v>
      </c>
      <c r="F620">
        <f t="shared" si="93"/>
        <v>2</v>
      </c>
      <c r="G620" t="str">
        <f t="shared" si="93"/>
        <v>Computed from wearing, washing, drying TCs</v>
      </c>
      <c r="H620">
        <f t="shared" si="93"/>
        <v>2</v>
      </c>
      <c r="I620">
        <f t="shared" si="93"/>
        <v>2</v>
      </c>
      <c r="J620">
        <f t="shared" si="93"/>
        <v>2</v>
      </c>
      <c r="K620">
        <f t="shared" si="93"/>
        <v>2</v>
      </c>
      <c r="L620">
        <f t="shared" si="93"/>
        <v>2</v>
      </c>
      <c r="M620">
        <f t="shared" si="93"/>
        <v>2</v>
      </c>
    </row>
    <row r="621" spans="1:13">
      <c r="A621" t="s">
        <v>2189</v>
      </c>
      <c r="B621" t="str">
        <f>B551</f>
        <v>Clothing washed (discarded)</v>
      </c>
      <c r="C621" t="str">
        <f>C551</f>
        <v>any</v>
      </c>
      <c r="D621" t="str">
        <f>D551</f>
        <v>any</v>
      </c>
      <c r="E621" t="str">
        <f>E551</f>
        <v>rest</v>
      </c>
      <c r="F621">
        <f>F551</f>
        <v>1</v>
      </c>
    </row>
    <row r="622" spans="1:13">
      <c r="A622" t="s">
        <v>2190</v>
      </c>
      <c r="B622" t="str">
        <f>B550</f>
        <v>Clothing washed (in use)</v>
      </c>
      <c r="C622" t="str">
        <f t="shared" ref="C622:M622" si="94">C550</f>
        <v>any</v>
      </c>
      <c r="D622" t="str">
        <f t="shared" si="94"/>
        <v>any</v>
      </c>
      <c r="E622">
        <f t="shared" si="94"/>
        <v>1.3554814450000001E-2</v>
      </c>
      <c r="F622">
        <f t="shared" si="94"/>
        <v>2</v>
      </c>
      <c r="G622" t="str">
        <f t="shared" si="94"/>
        <v>Computed from wearing, washing, drying TCs</v>
      </c>
      <c r="H622">
        <f t="shared" si="94"/>
        <v>2</v>
      </c>
      <c r="I622">
        <f t="shared" si="94"/>
        <v>2</v>
      </c>
      <c r="J622">
        <f t="shared" si="94"/>
        <v>2</v>
      </c>
      <c r="K622">
        <f t="shared" si="94"/>
        <v>2</v>
      </c>
      <c r="L622">
        <f t="shared" si="94"/>
        <v>2</v>
      </c>
      <c r="M622">
        <f t="shared" si="94"/>
        <v>2</v>
      </c>
    </row>
    <row r="623" spans="1:13">
      <c r="A623" t="s">
        <v>2190</v>
      </c>
      <c r="B623" t="str">
        <f>B551</f>
        <v>Clothing washed (discarded)</v>
      </c>
      <c r="C623" t="str">
        <f>C551</f>
        <v>any</v>
      </c>
      <c r="D623" t="str">
        <f>D551</f>
        <v>any</v>
      </c>
      <c r="E623" t="str">
        <f>E551</f>
        <v>rest</v>
      </c>
      <c r="F623">
        <f>F551</f>
        <v>1</v>
      </c>
    </row>
    <row r="624" spans="1:13">
      <c r="A624" t="s">
        <v>2059</v>
      </c>
      <c r="B624" t="str">
        <f>B550</f>
        <v>Clothing washed (in use)</v>
      </c>
      <c r="C624" t="str">
        <f t="shared" ref="C624:M624" si="95">C550</f>
        <v>any</v>
      </c>
      <c r="D624" t="str">
        <f t="shared" si="95"/>
        <v>any</v>
      </c>
      <c r="E624">
        <f t="shared" si="95"/>
        <v>1.3554814450000001E-2</v>
      </c>
      <c r="F624">
        <f t="shared" si="95"/>
        <v>2</v>
      </c>
      <c r="G624" t="str">
        <f t="shared" si="95"/>
        <v>Computed from wearing, washing, drying TCs</v>
      </c>
      <c r="H624">
        <f t="shared" si="95"/>
        <v>2</v>
      </c>
      <c r="I624">
        <f t="shared" si="95"/>
        <v>2</v>
      </c>
      <c r="J624">
        <f t="shared" si="95"/>
        <v>2</v>
      </c>
      <c r="K624">
        <f t="shared" si="95"/>
        <v>2</v>
      </c>
      <c r="L624">
        <f t="shared" si="95"/>
        <v>2</v>
      </c>
      <c r="M624">
        <f t="shared" si="95"/>
        <v>2</v>
      </c>
    </row>
    <row r="625" spans="1:13">
      <c r="A625" t="s">
        <v>2059</v>
      </c>
      <c r="B625" t="str">
        <f>B551</f>
        <v>Clothing washed (discarded)</v>
      </c>
      <c r="C625" t="str">
        <f>C551</f>
        <v>any</v>
      </c>
      <c r="D625" t="str">
        <f>D551</f>
        <v>any</v>
      </c>
      <c r="E625" t="str">
        <f>E551</f>
        <v>rest</v>
      </c>
      <c r="F625">
        <f>F551</f>
        <v>1</v>
      </c>
    </row>
    <row r="626" spans="1:13">
      <c r="A626" t="s">
        <v>2060</v>
      </c>
      <c r="B626" t="str">
        <f>B550</f>
        <v>Clothing washed (in use)</v>
      </c>
      <c r="C626" t="str">
        <f t="shared" ref="C626:M626" si="96">C550</f>
        <v>any</v>
      </c>
      <c r="D626" t="str">
        <f t="shared" si="96"/>
        <v>any</v>
      </c>
      <c r="E626">
        <f t="shared" si="96"/>
        <v>1.3554814450000001E-2</v>
      </c>
      <c r="F626">
        <f t="shared" si="96"/>
        <v>2</v>
      </c>
      <c r="G626" t="str">
        <f t="shared" si="96"/>
        <v>Computed from wearing, washing, drying TCs</v>
      </c>
      <c r="H626">
        <f t="shared" si="96"/>
        <v>2</v>
      </c>
      <c r="I626">
        <f t="shared" si="96"/>
        <v>2</v>
      </c>
      <c r="J626">
        <f t="shared" si="96"/>
        <v>2</v>
      </c>
      <c r="K626">
        <f t="shared" si="96"/>
        <v>2</v>
      </c>
      <c r="L626">
        <f t="shared" si="96"/>
        <v>2</v>
      </c>
      <c r="M626">
        <f t="shared" si="96"/>
        <v>2</v>
      </c>
    </row>
    <row r="627" spans="1:13">
      <c r="A627" t="s">
        <v>2060</v>
      </c>
      <c r="B627" t="str">
        <f>B551</f>
        <v>Clothing washed (discarded)</v>
      </c>
      <c r="C627" t="str">
        <f>C551</f>
        <v>any</v>
      </c>
      <c r="D627" t="str">
        <f>D551</f>
        <v>any</v>
      </c>
      <c r="E627" t="str">
        <f>E551</f>
        <v>rest</v>
      </c>
      <c r="F627">
        <f>F551</f>
        <v>1</v>
      </c>
    </row>
    <row r="628" spans="1:13">
      <c r="A628" t="s">
        <v>2061</v>
      </c>
      <c r="B628" t="str">
        <f>B550</f>
        <v>Clothing washed (in use)</v>
      </c>
      <c r="C628" t="str">
        <f t="shared" ref="C628:M628" si="97">C550</f>
        <v>any</v>
      </c>
      <c r="D628" t="str">
        <f t="shared" si="97"/>
        <v>any</v>
      </c>
      <c r="E628">
        <f t="shared" si="97"/>
        <v>1.3554814450000001E-2</v>
      </c>
      <c r="F628">
        <f t="shared" si="97"/>
        <v>2</v>
      </c>
      <c r="G628" t="str">
        <f t="shared" si="97"/>
        <v>Computed from wearing, washing, drying TCs</v>
      </c>
      <c r="H628">
        <f t="shared" si="97"/>
        <v>2</v>
      </c>
      <c r="I628">
        <f t="shared" si="97"/>
        <v>2</v>
      </c>
      <c r="J628">
        <f t="shared" si="97"/>
        <v>2</v>
      </c>
      <c r="K628">
        <f t="shared" si="97"/>
        <v>2</v>
      </c>
      <c r="L628">
        <f t="shared" si="97"/>
        <v>2</v>
      </c>
      <c r="M628">
        <f t="shared" si="97"/>
        <v>2</v>
      </c>
    </row>
    <row r="629" spans="1:13">
      <c r="A629" t="s">
        <v>2061</v>
      </c>
      <c r="B629" t="str">
        <f>B551</f>
        <v>Clothing washed (discarded)</v>
      </c>
      <c r="C629" t="str">
        <f>C551</f>
        <v>any</v>
      </c>
      <c r="D629" t="str">
        <f>D551</f>
        <v>any</v>
      </c>
      <c r="E629" t="str">
        <f>E551</f>
        <v>rest</v>
      </c>
      <c r="F629">
        <f>F551</f>
        <v>1</v>
      </c>
    </row>
    <row r="631" spans="1:13" s="645" customFormat="1">
      <c r="A631" s="645" t="s">
        <v>2304</v>
      </c>
    </row>
    <row r="632" spans="1:13">
      <c r="A632" t="str">
        <f t="shared" ref="A632:A637" si="98">A553</f>
        <v>Clothing washed (in use)</v>
      </c>
      <c r="B632" t="str">
        <f t="shared" ref="B632:M632" si="99">B553</f>
        <v>Clothing wearing</v>
      </c>
      <c r="C632" t="str">
        <f t="shared" si="99"/>
        <v>any</v>
      </c>
      <c r="D632" t="str">
        <f t="shared" si="99"/>
        <v>any</v>
      </c>
      <c r="E632">
        <f t="shared" si="99"/>
        <v>0.22316793868026719</v>
      </c>
      <c r="F632">
        <f t="shared" si="99"/>
        <v>2</v>
      </c>
      <c r="G632" t="str">
        <f t="shared" si="99"/>
        <v>Average loss during wear, Kawecki et al. 2019, SI table 17</v>
      </c>
      <c r="H632">
        <f t="shared" si="99"/>
        <v>2</v>
      </c>
      <c r="I632">
        <f t="shared" si="99"/>
        <v>2</v>
      </c>
      <c r="J632">
        <f t="shared" si="99"/>
        <v>2</v>
      </c>
      <c r="K632">
        <f t="shared" si="99"/>
        <v>2</v>
      </c>
      <c r="L632">
        <f t="shared" si="99"/>
        <v>2</v>
      </c>
      <c r="M632">
        <f t="shared" si="99"/>
        <v>2</v>
      </c>
    </row>
    <row r="633" spans="1:13">
      <c r="A633" t="str">
        <f t="shared" si="98"/>
        <v>Clothing washed (in use)</v>
      </c>
      <c r="B633" t="str">
        <f t="shared" ref="B633:M633" si="100">B554</f>
        <v>Clothing washing</v>
      </c>
      <c r="C633" t="str">
        <f t="shared" si="100"/>
        <v>any</v>
      </c>
      <c r="D633" t="str">
        <f t="shared" si="100"/>
        <v>any</v>
      </c>
      <c r="E633">
        <f t="shared" si="100"/>
        <v>0.7390620127596067</v>
      </c>
      <c r="F633">
        <f t="shared" si="100"/>
        <v>2</v>
      </c>
      <c r="G633" t="str">
        <f t="shared" si="100"/>
        <v>Computed from available data from Kawecki et al. (2019) and CBS (2022)</v>
      </c>
      <c r="H633">
        <f t="shared" si="100"/>
        <v>2</v>
      </c>
      <c r="I633">
        <f t="shared" si="100"/>
        <v>2</v>
      </c>
      <c r="J633">
        <f t="shared" si="100"/>
        <v>2</v>
      </c>
      <c r="K633">
        <f t="shared" si="100"/>
        <v>2</v>
      </c>
      <c r="L633">
        <f t="shared" si="100"/>
        <v>2</v>
      </c>
      <c r="M633">
        <f t="shared" si="100"/>
        <v>2</v>
      </c>
    </row>
    <row r="634" spans="1:13">
      <c r="A634" t="str">
        <f t="shared" si="98"/>
        <v>Clothing washed (in use)</v>
      </c>
      <c r="B634" t="str">
        <f t="shared" ref="B634:M634" si="101">B555</f>
        <v>Clothing drying</v>
      </c>
      <c r="C634" t="str">
        <f t="shared" si="101"/>
        <v>any</v>
      </c>
      <c r="D634" t="str">
        <f t="shared" si="101"/>
        <v>any</v>
      </c>
      <c r="E634">
        <f t="shared" si="101"/>
        <v>3.7770048560126175E-2</v>
      </c>
      <c r="F634">
        <f t="shared" si="101"/>
        <v>2</v>
      </c>
      <c r="G634" t="str">
        <f t="shared" si="101"/>
        <v>Computed from available data from Kawecki et al. (2019)</v>
      </c>
      <c r="H634">
        <f t="shared" si="101"/>
        <v>2</v>
      </c>
      <c r="I634">
        <f t="shared" si="101"/>
        <v>2</v>
      </c>
      <c r="J634">
        <f t="shared" si="101"/>
        <v>2</v>
      </c>
      <c r="K634">
        <f t="shared" si="101"/>
        <v>2</v>
      </c>
      <c r="L634">
        <f t="shared" si="101"/>
        <v>2</v>
      </c>
      <c r="M634">
        <f t="shared" si="101"/>
        <v>2</v>
      </c>
    </row>
    <row r="635" spans="1:13">
      <c r="A635" t="str">
        <f t="shared" si="98"/>
        <v>Clothing washed (discarded)</v>
      </c>
      <c r="B635" t="str">
        <f t="shared" ref="B635:M635" si="102">B556</f>
        <v>Clothing waste collection</v>
      </c>
      <c r="C635" t="str">
        <f t="shared" si="102"/>
        <v>any</v>
      </c>
      <c r="D635" t="str">
        <f t="shared" si="102"/>
        <v>any</v>
      </c>
      <c r="E635">
        <f t="shared" si="102"/>
        <v>0.50465116279069766</v>
      </c>
      <c r="F635">
        <f t="shared" si="102"/>
        <v>2</v>
      </c>
      <c r="G635" t="str">
        <f t="shared" si="102"/>
        <v>Massabalans textiel, 2022</v>
      </c>
      <c r="H635">
        <f t="shared" si="102"/>
        <v>1</v>
      </c>
      <c r="I635">
        <f t="shared" si="102"/>
        <v>2</v>
      </c>
      <c r="J635">
        <f t="shared" si="102"/>
        <v>2</v>
      </c>
      <c r="K635">
        <f t="shared" si="102"/>
        <v>1</v>
      </c>
      <c r="L635">
        <f t="shared" si="102"/>
        <v>2</v>
      </c>
      <c r="M635">
        <f t="shared" si="102"/>
        <v>2</v>
      </c>
    </row>
    <row r="636" spans="1:13">
      <c r="A636" t="str">
        <f t="shared" si="98"/>
        <v>Clothing washed (discarded)</v>
      </c>
      <c r="B636" t="str">
        <f t="shared" ref="B636:F637" si="103">B557</f>
        <v>Mixed waste collection</v>
      </c>
      <c r="C636" t="str">
        <f t="shared" si="103"/>
        <v>any</v>
      </c>
      <c r="D636" t="str">
        <f t="shared" si="103"/>
        <v>any</v>
      </c>
      <c r="E636" t="str">
        <f t="shared" si="103"/>
        <v>rest</v>
      </c>
      <c r="F636">
        <f t="shared" si="103"/>
        <v>1</v>
      </c>
    </row>
    <row r="637" spans="1:13">
      <c r="A637" t="str">
        <f t="shared" si="98"/>
        <v>Clothing washed (discarded)</v>
      </c>
      <c r="B637" t="str">
        <f t="shared" si="103"/>
        <v>Dumping</v>
      </c>
      <c r="C637" t="str">
        <f t="shared" si="103"/>
        <v>any</v>
      </c>
      <c r="D637" t="str">
        <f t="shared" si="103"/>
        <v>any</v>
      </c>
      <c r="E637">
        <f t="shared" si="103"/>
        <v>2.7E-4</v>
      </c>
      <c r="F637">
        <f t="shared" si="103"/>
        <v>2</v>
      </c>
      <c r="G637" t="str">
        <f t="shared" ref="G637:M637" si="104">G558</f>
        <v>Kawecki &amp; Nowack (2019)</v>
      </c>
      <c r="H637">
        <f t="shared" si="104"/>
        <v>2</v>
      </c>
      <c r="I637">
        <f t="shared" si="104"/>
        <v>2</v>
      </c>
      <c r="J637">
        <f t="shared" si="104"/>
        <v>2</v>
      </c>
      <c r="K637">
        <f t="shared" si="104"/>
        <v>3</v>
      </c>
      <c r="L637">
        <f t="shared" si="104"/>
        <v>3</v>
      </c>
      <c r="M637">
        <f t="shared" si="104"/>
        <v>3</v>
      </c>
    </row>
    <row r="638" spans="1:13">
      <c r="A638" t="str">
        <f t="shared" ref="A638:A643" si="105">A572</f>
        <v>Clothing rarely washed (in use)</v>
      </c>
      <c r="B638" t="str">
        <f t="shared" ref="B638:M638" si="106">B572</f>
        <v>Clothing wearing</v>
      </c>
      <c r="C638" t="str">
        <f t="shared" si="106"/>
        <v>any</v>
      </c>
      <c r="D638" t="str">
        <f t="shared" si="106"/>
        <v>any</v>
      </c>
      <c r="E638">
        <f t="shared" si="106"/>
        <v>0.89283156750188131</v>
      </c>
      <c r="F638">
        <f t="shared" si="106"/>
        <v>2</v>
      </c>
      <c r="G638" t="str">
        <f t="shared" si="106"/>
        <v>Average loss during wear, Kawecki et al. 2019, SI table 17</v>
      </c>
      <c r="H638">
        <f t="shared" si="106"/>
        <v>2</v>
      </c>
      <c r="I638">
        <f t="shared" si="106"/>
        <v>2</v>
      </c>
      <c r="J638">
        <f t="shared" si="106"/>
        <v>2</v>
      </c>
      <c r="K638">
        <f t="shared" si="106"/>
        <v>2</v>
      </c>
      <c r="L638">
        <f t="shared" si="106"/>
        <v>2</v>
      </c>
      <c r="M638">
        <f t="shared" si="106"/>
        <v>2</v>
      </c>
    </row>
    <row r="639" spans="1:13">
      <c r="A639" t="str">
        <f t="shared" si="105"/>
        <v>Clothing rarely washed (in use)</v>
      </c>
      <c r="B639" t="str">
        <f t="shared" ref="B639:M639" si="107">B573</f>
        <v>Clothing washing</v>
      </c>
      <c r="C639" t="str">
        <f t="shared" si="107"/>
        <v>any</v>
      </c>
      <c r="D639" t="str">
        <f t="shared" si="107"/>
        <v>any</v>
      </c>
      <c r="E639">
        <f t="shared" si="107"/>
        <v>0.10195783795508458</v>
      </c>
      <c r="F639">
        <f t="shared" si="107"/>
        <v>2</v>
      </c>
      <c r="G639" t="str">
        <f t="shared" si="107"/>
        <v>Computed from available data from Kawecki et al. (2019) and CBS (2022)</v>
      </c>
      <c r="H639">
        <f t="shared" si="107"/>
        <v>2</v>
      </c>
      <c r="I639">
        <f t="shared" si="107"/>
        <v>2</v>
      </c>
      <c r="J639">
        <f t="shared" si="107"/>
        <v>2</v>
      </c>
      <c r="K639">
        <f t="shared" si="107"/>
        <v>2</v>
      </c>
      <c r="L639">
        <f t="shared" si="107"/>
        <v>2</v>
      </c>
      <c r="M639">
        <f t="shared" si="107"/>
        <v>2</v>
      </c>
    </row>
    <row r="640" spans="1:13">
      <c r="A640" t="str">
        <f t="shared" si="105"/>
        <v>Clothing rarely washed (in use)</v>
      </c>
      <c r="B640" t="str">
        <f t="shared" ref="B640:M640" si="108">B574</f>
        <v>Clothing drying</v>
      </c>
      <c r="C640" t="str">
        <f t="shared" si="108"/>
        <v>any</v>
      </c>
      <c r="D640" t="str">
        <f t="shared" si="108"/>
        <v>any</v>
      </c>
      <c r="E640">
        <f t="shared" si="108"/>
        <v>5.2105945430341201E-3</v>
      </c>
      <c r="F640">
        <f t="shared" si="108"/>
        <v>2</v>
      </c>
      <c r="G640" t="str">
        <f t="shared" si="108"/>
        <v>Computed from available data from Kawecki et al. (2019)</v>
      </c>
      <c r="H640">
        <f t="shared" si="108"/>
        <v>2</v>
      </c>
      <c r="I640">
        <f t="shared" si="108"/>
        <v>2</v>
      </c>
      <c r="J640">
        <f t="shared" si="108"/>
        <v>2</v>
      </c>
      <c r="K640">
        <f t="shared" si="108"/>
        <v>2</v>
      </c>
      <c r="L640">
        <f t="shared" si="108"/>
        <v>2</v>
      </c>
      <c r="M640">
        <f t="shared" si="108"/>
        <v>2</v>
      </c>
    </row>
    <row r="641" spans="1:13">
      <c r="A641" t="str">
        <f t="shared" si="105"/>
        <v>Clothing rarely washed (discarded)</v>
      </c>
      <c r="B641" t="str">
        <f t="shared" ref="B641:M641" si="109">B575</f>
        <v>Clothing waste collection</v>
      </c>
      <c r="C641" t="str">
        <f t="shared" si="109"/>
        <v>any</v>
      </c>
      <c r="D641" t="str">
        <f t="shared" si="109"/>
        <v>any</v>
      </c>
      <c r="E641">
        <f t="shared" si="109"/>
        <v>0.50465116279069766</v>
      </c>
      <c r="F641">
        <f t="shared" si="109"/>
        <v>2</v>
      </c>
      <c r="G641" t="str">
        <f t="shared" si="109"/>
        <v>Massabalans textiel, 2022</v>
      </c>
      <c r="H641">
        <f t="shared" si="109"/>
        <v>1</v>
      </c>
      <c r="I641">
        <f t="shared" si="109"/>
        <v>2</v>
      </c>
      <c r="J641">
        <f t="shared" si="109"/>
        <v>2</v>
      </c>
      <c r="K641">
        <f t="shared" si="109"/>
        <v>1</v>
      </c>
      <c r="L641">
        <f t="shared" si="109"/>
        <v>2</v>
      </c>
      <c r="M641">
        <f t="shared" si="109"/>
        <v>2</v>
      </c>
    </row>
    <row r="642" spans="1:13">
      <c r="A642" t="str">
        <f t="shared" si="105"/>
        <v>Clothing rarely washed (discarded)</v>
      </c>
      <c r="B642" t="str">
        <f t="shared" ref="B642:F643" si="110">B576</f>
        <v>Mixed waste collection</v>
      </c>
      <c r="C642" t="str">
        <f t="shared" si="110"/>
        <v>any</v>
      </c>
      <c r="D642" t="str">
        <f t="shared" si="110"/>
        <v>any</v>
      </c>
      <c r="E642" t="str">
        <f t="shared" si="110"/>
        <v>rest</v>
      </c>
      <c r="F642">
        <f t="shared" si="110"/>
        <v>1</v>
      </c>
    </row>
    <row r="643" spans="1:13">
      <c r="A643" t="str">
        <f t="shared" si="105"/>
        <v>Clothing rarely washed (discarded)</v>
      </c>
      <c r="B643" t="str">
        <f t="shared" si="110"/>
        <v>Dumping</v>
      </c>
      <c r="C643" t="str">
        <f t="shared" si="110"/>
        <v>any</v>
      </c>
      <c r="D643" t="str">
        <f t="shared" si="110"/>
        <v>any</v>
      </c>
      <c r="E643">
        <f t="shared" si="110"/>
        <v>2.7E-4</v>
      </c>
      <c r="F643">
        <f t="shared" ref="F643:M643" si="111">F577</f>
        <v>2</v>
      </c>
      <c r="G643" t="str">
        <f t="shared" si="111"/>
        <v>Kawecki &amp; Nowack (2019)</v>
      </c>
      <c r="H643">
        <f t="shared" si="111"/>
        <v>2</v>
      </c>
      <c r="I643">
        <f t="shared" si="111"/>
        <v>2</v>
      </c>
      <c r="J643">
        <f t="shared" si="111"/>
        <v>2</v>
      </c>
      <c r="K643">
        <f t="shared" si="111"/>
        <v>3</v>
      </c>
      <c r="L643">
        <f t="shared" si="111"/>
        <v>3</v>
      </c>
      <c r="M643">
        <f t="shared" si="111"/>
        <v>3</v>
      </c>
    </row>
    <row r="644" spans="1:13">
      <c r="A644" t="str">
        <f>A589</f>
        <v>Clothing not washed (in use)</v>
      </c>
      <c r="B644" t="str">
        <f t="shared" ref="B644:M644" si="112">B589</f>
        <v>Clothing wearing</v>
      </c>
      <c r="C644" t="str">
        <f t="shared" si="112"/>
        <v>any</v>
      </c>
      <c r="D644" t="str">
        <f t="shared" si="112"/>
        <v>any</v>
      </c>
      <c r="E644">
        <f t="shared" si="112"/>
        <v>1</v>
      </c>
      <c r="F644">
        <f t="shared" si="112"/>
        <v>1</v>
      </c>
      <c r="G644" t="str">
        <f t="shared" si="112"/>
        <v>Average loss during wear, Kawecki et al. 2019, SI table 17</v>
      </c>
      <c r="H644">
        <f t="shared" si="112"/>
        <v>2</v>
      </c>
      <c r="I644">
        <f t="shared" si="112"/>
        <v>2</v>
      </c>
      <c r="J644">
        <f t="shared" si="112"/>
        <v>2</v>
      </c>
      <c r="K644">
        <f t="shared" si="112"/>
        <v>2</v>
      </c>
      <c r="L644">
        <f t="shared" si="112"/>
        <v>2</v>
      </c>
      <c r="M644">
        <f t="shared" si="112"/>
        <v>2</v>
      </c>
    </row>
    <row r="645" spans="1:13">
      <c r="A645" t="str">
        <f>A590</f>
        <v>Clothing not washed (discarded)</v>
      </c>
      <c r="B645" t="str">
        <f t="shared" ref="B645:M645" si="113">B590</f>
        <v>Clothing waste collection</v>
      </c>
      <c r="C645" t="str">
        <f t="shared" si="113"/>
        <v>any</v>
      </c>
      <c r="D645" t="str">
        <f t="shared" si="113"/>
        <v>any</v>
      </c>
      <c r="E645">
        <f t="shared" si="113"/>
        <v>0.50465116279069766</v>
      </c>
      <c r="F645">
        <f t="shared" si="113"/>
        <v>2</v>
      </c>
      <c r="G645" t="str">
        <f t="shared" si="113"/>
        <v>Massabalans textiel, 2022</v>
      </c>
      <c r="H645">
        <f t="shared" si="113"/>
        <v>1</v>
      </c>
      <c r="I645">
        <f t="shared" si="113"/>
        <v>2</v>
      </c>
      <c r="J645">
        <f t="shared" si="113"/>
        <v>2</v>
      </c>
      <c r="K645">
        <f t="shared" si="113"/>
        <v>1</v>
      </c>
      <c r="L645">
        <f t="shared" si="113"/>
        <v>2</v>
      </c>
      <c r="M645">
        <f t="shared" si="113"/>
        <v>2</v>
      </c>
    </row>
    <row r="646" spans="1:13">
      <c r="A646" t="str">
        <f>A591</f>
        <v>Clothing not washed (discarded)</v>
      </c>
      <c r="B646" t="str">
        <f t="shared" ref="B646:F647" si="114">B591</f>
        <v>Mixed waste collection</v>
      </c>
      <c r="C646" t="str">
        <f t="shared" si="114"/>
        <v>any</v>
      </c>
      <c r="D646" t="str">
        <f t="shared" si="114"/>
        <v>any</v>
      </c>
      <c r="E646" t="str">
        <f t="shared" si="114"/>
        <v>rest</v>
      </c>
      <c r="F646">
        <f t="shared" si="114"/>
        <v>1</v>
      </c>
    </row>
    <row r="647" spans="1:13">
      <c r="A647" t="str">
        <f>A592</f>
        <v>Clothing not washed (discarded)</v>
      </c>
      <c r="B647" t="str">
        <f t="shared" si="114"/>
        <v>Dumping</v>
      </c>
      <c r="C647" t="str">
        <f t="shared" si="114"/>
        <v>any</v>
      </c>
      <c r="D647" t="str">
        <f t="shared" si="114"/>
        <v>any</v>
      </c>
      <c r="E647">
        <f t="shared" si="114"/>
        <v>2.7E-4</v>
      </c>
      <c r="F647">
        <f t="shared" ref="F647:M647" si="115">F592</f>
        <v>2</v>
      </c>
      <c r="G647" t="str">
        <f t="shared" si="115"/>
        <v>Kawecki &amp; Nowack (2019)</v>
      </c>
      <c r="H647">
        <f t="shared" si="115"/>
        <v>2</v>
      </c>
      <c r="I647">
        <f t="shared" si="115"/>
        <v>2</v>
      </c>
      <c r="J647">
        <f t="shared" si="115"/>
        <v>2</v>
      </c>
      <c r="K647">
        <f t="shared" si="115"/>
        <v>3</v>
      </c>
      <c r="L647">
        <f t="shared" si="115"/>
        <v>3</v>
      </c>
      <c r="M647">
        <f t="shared" si="115"/>
        <v>3</v>
      </c>
    </row>
    <row r="648" spans="1:13">
      <c r="E648" s="217"/>
    </row>
    <row r="649" spans="1:13" s="221" customFormat="1">
      <c r="A649" s="409" t="s">
        <v>2305</v>
      </c>
      <c r="E649" s="951"/>
    </row>
    <row r="650" spans="1:13">
      <c r="A650" t="s">
        <v>2056</v>
      </c>
      <c r="B650" t="str">
        <f t="shared" ref="B650:M650" si="116">B595</f>
        <v>Footwear waste collection</v>
      </c>
      <c r="C650" t="str">
        <f t="shared" si="116"/>
        <v>any</v>
      </c>
      <c r="D650" t="str">
        <f t="shared" si="116"/>
        <v>any</v>
      </c>
      <c r="E650" s="217">
        <f t="shared" si="116"/>
        <v>0.25</v>
      </c>
      <c r="F650">
        <f t="shared" si="116"/>
        <v>2</v>
      </c>
      <c r="G650" t="str">
        <f t="shared" si="116"/>
        <v>(de Waart et al., 2023)</v>
      </c>
      <c r="H650">
        <f t="shared" si="116"/>
        <v>2</v>
      </c>
      <c r="I650">
        <f t="shared" si="116"/>
        <v>2</v>
      </c>
      <c r="J650">
        <f t="shared" si="116"/>
        <v>2</v>
      </c>
      <c r="K650">
        <f t="shared" si="116"/>
        <v>3</v>
      </c>
      <c r="L650">
        <f t="shared" si="116"/>
        <v>2</v>
      </c>
      <c r="M650">
        <f t="shared" si="116"/>
        <v>2</v>
      </c>
    </row>
    <row r="651" spans="1:13">
      <c r="A651" t="s">
        <v>2056</v>
      </c>
      <c r="B651" t="str">
        <f t="shared" ref="B651:F662" si="117">B596</f>
        <v>Mixed waste collection</v>
      </c>
      <c r="C651" t="str">
        <f t="shared" si="117"/>
        <v>any</v>
      </c>
      <c r="D651" t="str">
        <f t="shared" si="117"/>
        <v>any</v>
      </c>
      <c r="E651" s="217" t="str">
        <f t="shared" si="117"/>
        <v>rest</v>
      </c>
      <c r="F651">
        <f t="shared" si="117"/>
        <v>1</v>
      </c>
    </row>
    <row r="652" spans="1:13">
      <c r="A652" t="s">
        <v>2056</v>
      </c>
      <c r="B652" t="str">
        <f t="shared" si="117"/>
        <v>Dumping</v>
      </c>
      <c r="C652" t="str">
        <f t="shared" si="117"/>
        <v>any</v>
      </c>
      <c r="D652" t="str">
        <f t="shared" si="117"/>
        <v>any</v>
      </c>
      <c r="E652" s="217">
        <f t="shared" si="117"/>
        <v>2.6918324999999996E-4</v>
      </c>
      <c r="F652">
        <f t="shared" si="117"/>
        <v>2</v>
      </c>
      <c r="G652" t="str">
        <f t="shared" ref="G652:M662" si="118">G597</f>
        <v>Kawecki &amp; Nowack (2019)</v>
      </c>
      <c r="H652">
        <f t="shared" si="118"/>
        <v>2</v>
      </c>
      <c r="I652">
        <f t="shared" si="118"/>
        <v>2</v>
      </c>
      <c r="J652">
        <f t="shared" si="118"/>
        <v>2</v>
      </c>
      <c r="K652">
        <f t="shared" si="118"/>
        <v>3</v>
      </c>
      <c r="L652">
        <f t="shared" si="118"/>
        <v>3</v>
      </c>
      <c r="M652">
        <f t="shared" si="118"/>
        <v>3</v>
      </c>
    </row>
    <row r="653" spans="1:13">
      <c r="A653" t="s">
        <v>2056</v>
      </c>
      <c r="B653" t="str">
        <f t="shared" si="117"/>
        <v>Footwear wearing (soles)</v>
      </c>
      <c r="C653" t="str">
        <f t="shared" si="117"/>
        <v>any</v>
      </c>
      <c r="D653" t="str">
        <f t="shared" si="117"/>
        <v>RUBBER</v>
      </c>
      <c r="E653" s="217">
        <f t="shared" si="117"/>
        <v>5.7712387375211246E-3</v>
      </c>
      <c r="F653">
        <f t="shared" si="117"/>
        <v>3</v>
      </c>
      <c r="G653" t="str">
        <f t="shared" si="118"/>
        <v>See shoesole wear calculation in clothing tab of MainInputFile</v>
      </c>
      <c r="H653">
        <f t="shared" si="118"/>
        <v>1</v>
      </c>
      <c r="I653">
        <f t="shared" si="118"/>
        <v>2</v>
      </c>
      <c r="J653">
        <f t="shared" si="118"/>
        <v>2</v>
      </c>
      <c r="K653">
        <f t="shared" si="118"/>
        <v>2</v>
      </c>
      <c r="L653">
        <f t="shared" si="118"/>
        <v>2</v>
      </c>
      <c r="M653">
        <f t="shared" si="118"/>
        <v>3</v>
      </c>
    </row>
    <row r="654" spans="1:13">
      <c r="A654" t="s">
        <v>2056</v>
      </c>
      <c r="B654" t="str">
        <f t="shared" si="117"/>
        <v>Footwear wearing (soles)</v>
      </c>
      <c r="C654" t="str">
        <f t="shared" si="117"/>
        <v>any</v>
      </c>
      <c r="D654" t="str">
        <f t="shared" si="117"/>
        <v>RUBBER</v>
      </c>
      <c r="E654" s="217">
        <f t="shared" si="117"/>
        <v>1.1542477475042249E-2</v>
      </c>
      <c r="F654">
        <f t="shared" si="117"/>
        <v>3</v>
      </c>
      <c r="G654" t="str">
        <f t="shared" si="118"/>
        <v>See shoesole wear calculation in clothing tab of MainInputFile</v>
      </c>
      <c r="H654">
        <f t="shared" si="118"/>
        <v>1</v>
      </c>
      <c r="I654">
        <f t="shared" si="118"/>
        <v>2</v>
      </c>
      <c r="J654">
        <f t="shared" si="118"/>
        <v>2</v>
      </c>
      <c r="K654">
        <f t="shared" si="118"/>
        <v>2</v>
      </c>
      <c r="L654">
        <f t="shared" si="118"/>
        <v>2</v>
      </c>
      <c r="M654">
        <f t="shared" si="118"/>
        <v>3</v>
      </c>
    </row>
    <row r="655" spans="1:13">
      <c r="A655" t="s">
        <v>2056</v>
      </c>
      <c r="B655" t="str">
        <f t="shared" si="117"/>
        <v>Footwear wearing (soles)</v>
      </c>
      <c r="C655" t="str">
        <f t="shared" si="117"/>
        <v>any</v>
      </c>
      <c r="D655" t="str">
        <f t="shared" si="117"/>
        <v>PUR</v>
      </c>
      <c r="E655" s="217">
        <f t="shared" si="117"/>
        <v>2.5413504031689942E-3</v>
      </c>
      <c r="F655">
        <f t="shared" si="117"/>
        <v>3</v>
      </c>
      <c r="G655" t="str">
        <f t="shared" si="118"/>
        <v>See shoesole wear calculation in clothing tab of MainInputFile</v>
      </c>
      <c r="H655">
        <f t="shared" si="118"/>
        <v>1</v>
      </c>
      <c r="I655">
        <f t="shared" si="118"/>
        <v>2</v>
      </c>
      <c r="J655">
        <f t="shared" si="118"/>
        <v>2</v>
      </c>
      <c r="K655">
        <f t="shared" si="118"/>
        <v>2</v>
      </c>
      <c r="L655">
        <f t="shared" si="118"/>
        <v>2</v>
      </c>
      <c r="M655">
        <f t="shared" si="118"/>
        <v>3</v>
      </c>
    </row>
    <row r="656" spans="1:13">
      <c r="A656" t="s">
        <v>2056</v>
      </c>
      <c r="B656" t="str">
        <f t="shared" si="117"/>
        <v>Footwear wearing (soles)</v>
      </c>
      <c r="C656" t="str">
        <f t="shared" si="117"/>
        <v>any</v>
      </c>
      <c r="D656" t="str">
        <f t="shared" si="117"/>
        <v>PUR</v>
      </c>
      <c r="E656" s="217">
        <f t="shared" si="117"/>
        <v>5.0827008063379885E-3</v>
      </c>
      <c r="F656">
        <f t="shared" si="117"/>
        <v>3</v>
      </c>
      <c r="G656" t="str">
        <f t="shared" si="118"/>
        <v>See shoesole wear calculation in clothing tab of MainInputFile</v>
      </c>
      <c r="H656">
        <f t="shared" si="118"/>
        <v>1</v>
      </c>
      <c r="I656">
        <f t="shared" si="118"/>
        <v>2</v>
      </c>
      <c r="J656">
        <f t="shared" si="118"/>
        <v>2</v>
      </c>
      <c r="K656">
        <f t="shared" si="118"/>
        <v>2</v>
      </c>
      <c r="L656">
        <f t="shared" si="118"/>
        <v>2</v>
      </c>
      <c r="M656">
        <f t="shared" si="118"/>
        <v>3</v>
      </c>
    </row>
    <row r="657" spans="1:13">
      <c r="A657" t="s">
        <v>2056</v>
      </c>
      <c r="B657" t="str">
        <f t="shared" si="117"/>
        <v>Footwear wearing (soles)</v>
      </c>
      <c r="C657" t="str">
        <f t="shared" si="117"/>
        <v>any</v>
      </c>
      <c r="D657" t="str">
        <f t="shared" si="117"/>
        <v>OTHER</v>
      </c>
      <c r="E657" s="217">
        <f t="shared" si="117"/>
        <v>2.6370870403593857E-3</v>
      </c>
      <c r="F657">
        <f t="shared" si="117"/>
        <v>3</v>
      </c>
      <c r="G657" t="str">
        <f t="shared" si="118"/>
        <v>See shoesole wear calculation in clothing tab of MainInputFile</v>
      </c>
      <c r="H657">
        <f t="shared" si="118"/>
        <v>1</v>
      </c>
      <c r="I657">
        <f t="shared" si="118"/>
        <v>2</v>
      </c>
      <c r="J657">
        <f t="shared" si="118"/>
        <v>2</v>
      </c>
      <c r="K657">
        <f t="shared" si="118"/>
        <v>2</v>
      </c>
      <c r="L657">
        <f t="shared" si="118"/>
        <v>2</v>
      </c>
      <c r="M657">
        <f t="shared" si="118"/>
        <v>3</v>
      </c>
    </row>
    <row r="658" spans="1:13">
      <c r="A658" t="s">
        <v>2056</v>
      </c>
      <c r="B658" t="str">
        <f t="shared" si="117"/>
        <v>Footwear wearing (soles)</v>
      </c>
      <c r="C658" t="str">
        <f t="shared" si="117"/>
        <v>any</v>
      </c>
      <c r="D658" t="str">
        <f t="shared" si="117"/>
        <v>OTHER</v>
      </c>
      <c r="E658" s="217">
        <f t="shared" si="117"/>
        <v>5.2741740807187715E-3</v>
      </c>
      <c r="F658">
        <f t="shared" si="117"/>
        <v>3</v>
      </c>
      <c r="G658" t="str">
        <f t="shared" si="118"/>
        <v>See shoesole wear calculation in clothing tab of MainInputFile</v>
      </c>
      <c r="H658">
        <f t="shared" si="118"/>
        <v>1</v>
      </c>
      <c r="I658">
        <f t="shared" si="118"/>
        <v>2</v>
      </c>
      <c r="J658">
        <f t="shared" si="118"/>
        <v>2</v>
      </c>
      <c r="K658">
        <f t="shared" si="118"/>
        <v>2</v>
      </c>
      <c r="L658">
        <f t="shared" si="118"/>
        <v>2</v>
      </c>
      <c r="M658">
        <f t="shared" si="118"/>
        <v>3</v>
      </c>
    </row>
    <row r="659" spans="1:13">
      <c r="A659" t="s">
        <v>2056</v>
      </c>
      <c r="B659" t="str">
        <f t="shared" si="117"/>
        <v>Footwear wearing (soles)</v>
      </c>
      <c r="C659" t="str">
        <f t="shared" si="117"/>
        <v>any</v>
      </c>
      <c r="D659" t="str">
        <f t="shared" si="117"/>
        <v>PVC</v>
      </c>
      <c r="E659" s="217">
        <f t="shared" si="117"/>
        <v>3.2506855134566658E-3</v>
      </c>
      <c r="F659">
        <f t="shared" si="117"/>
        <v>3</v>
      </c>
      <c r="G659" t="str">
        <f t="shared" si="118"/>
        <v>See shoesole wear calculation in clothing tab of MainInputFile</v>
      </c>
      <c r="H659">
        <f t="shared" si="118"/>
        <v>1</v>
      </c>
      <c r="I659">
        <f t="shared" si="118"/>
        <v>2</v>
      </c>
      <c r="J659">
        <f t="shared" si="118"/>
        <v>2</v>
      </c>
      <c r="K659">
        <f t="shared" si="118"/>
        <v>2</v>
      </c>
      <c r="L659">
        <f t="shared" si="118"/>
        <v>2</v>
      </c>
      <c r="M659">
        <f t="shared" si="118"/>
        <v>3</v>
      </c>
    </row>
    <row r="660" spans="1:13">
      <c r="A660" t="s">
        <v>2056</v>
      </c>
      <c r="B660" t="str">
        <f t="shared" si="117"/>
        <v>Footwear wearing (soles)</v>
      </c>
      <c r="C660" t="str">
        <f t="shared" si="117"/>
        <v>any</v>
      </c>
      <c r="D660" t="str">
        <f t="shared" si="117"/>
        <v>PVC</v>
      </c>
      <c r="E660" s="217">
        <f t="shared" si="117"/>
        <v>6.5013710269133315E-3</v>
      </c>
      <c r="F660">
        <f t="shared" si="117"/>
        <v>3</v>
      </c>
      <c r="G660" t="str">
        <f t="shared" si="118"/>
        <v>See shoesole wear calculation in clothing tab of MainInputFile</v>
      </c>
      <c r="H660">
        <f t="shared" si="118"/>
        <v>1</v>
      </c>
      <c r="I660">
        <f t="shared" si="118"/>
        <v>2</v>
      </c>
      <c r="J660">
        <f t="shared" si="118"/>
        <v>2</v>
      </c>
      <c r="K660">
        <f t="shared" si="118"/>
        <v>2</v>
      </c>
      <c r="L660">
        <f t="shared" si="118"/>
        <v>2</v>
      </c>
      <c r="M660">
        <f t="shared" si="118"/>
        <v>3</v>
      </c>
    </row>
    <row r="661" spans="1:13">
      <c r="A661" t="s">
        <v>2056</v>
      </c>
      <c r="B661" t="str">
        <f t="shared" si="117"/>
        <v>Footwear wearing (uppers)</v>
      </c>
      <c r="C661" t="str">
        <f t="shared" si="117"/>
        <v>any</v>
      </c>
      <c r="D661" t="str">
        <f t="shared" si="117"/>
        <v>PA</v>
      </c>
      <c r="E661" s="217">
        <f t="shared" si="117"/>
        <v>3.0249999999999999E-3</v>
      </c>
      <c r="F661">
        <f t="shared" si="117"/>
        <v>3</v>
      </c>
      <c r="G661" t="str">
        <f t="shared" si="118"/>
        <v>Average loss during wear, Kawecki et al. 2019, SI table 17</v>
      </c>
      <c r="H661">
        <f t="shared" si="118"/>
        <v>2</v>
      </c>
      <c r="I661">
        <f t="shared" si="118"/>
        <v>2</v>
      </c>
      <c r="J661">
        <f t="shared" si="118"/>
        <v>2</v>
      </c>
      <c r="K661">
        <f t="shared" si="118"/>
        <v>2</v>
      </c>
      <c r="L661">
        <f t="shared" si="118"/>
        <v>2</v>
      </c>
      <c r="M661">
        <f t="shared" si="118"/>
        <v>2</v>
      </c>
    </row>
    <row r="662" spans="1:13">
      <c r="A662" t="s">
        <v>2056</v>
      </c>
      <c r="B662" t="str">
        <f t="shared" si="117"/>
        <v>Footwear wearing (uppers)</v>
      </c>
      <c r="C662" t="str">
        <f t="shared" si="117"/>
        <v>any</v>
      </c>
      <c r="D662" t="str">
        <f t="shared" si="117"/>
        <v>PET</v>
      </c>
      <c r="E662" s="217">
        <f t="shared" si="117"/>
        <v>3.0249999999999999E-3</v>
      </c>
      <c r="F662">
        <f t="shared" si="117"/>
        <v>3</v>
      </c>
      <c r="G662" t="str">
        <f t="shared" si="118"/>
        <v>Average loss during wear, Kawecki et al. 2019, SI table 17</v>
      </c>
      <c r="H662">
        <f t="shared" si="118"/>
        <v>2</v>
      </c>
      <c r="I662">
        <f t="shared" si="118"/>
        <v>2</v>
      </c>
      <c r="J662">
        <f t="shared" si="118"/>
        <v>2</v>
      </c>
      <c r="K662">
        <f t="shared" si="118"/>
        <v>2</v>
      </c>
      <c r="L662">
        <f t="shared" si="118"/>
        <v>2</v>
      </c>
      <c r="M662">
        <f t="shared" si="118"/>
        <v>2</v>
      </c>
    </row>
    <row r="663" spans="1:13">
      <c r="A663" t="s">
        <v>2057</v>
      </c>
      <c r="B663" t="str">
        <f t="shared" ref="B663:M663" si="119">B595</f>
        <v>Footwear waste collection</v>
      </c>
      <c r="C663" t="str">
        <f t="shared" si="119"/>
        <v>any</v>
      </c>
      <c r="D663" t="str">
        <f t="shared" si="119"/>
        <v>any</v>
      </c>
      <c r="E663">
        <f t="shared" si="119"/>
        <v>0.25</v>
      </c>
      <c r="F663">
        <f t="shared" si="119"/>
        <v>2</v>
      </c>
      <c r="G663" t="str">
        <f t="shared" si="119"/>
        <v>(de Waart et al., 2023)</v>
      </c>
      <c r="H663">
        <f t="shared" si="119"/>
        <v>2</v>
      </c>
      <c r="I663">
        <f t="shared" si="119"/>
        <v>2</v>
      </c>
      <c r="J663">
        <f t="shared" si="119"/>
        <v>2</v>
      </c>
      <c r="K663">
        <f t="shared" si="119"/>
        <v>3</v>
      </c>
      <c r="L663">
        <f t="shared" si="119"/>
        <v>2</v>
      </c>
      <c r="M663">
        <f t="shared" si="119"/>
        <v>2</v>
      </c>
    </row>
    <row r="664" spans="1:13">
      <c r="A664" t="s">
        <v>2057</v>
      </c>
      <c r="B664" t="str">
        <f t="shared" ref="B664:F674" si="120">B596</f>
        <v>Mixed waste collection</v>
      </c>
      <c r="C664" t="str">
        <f t="shared" si="120"/>
        <v>any</v>
      </c>
      <c r="D664" t="str">
        <f t="shared" si="120"/>
        <v>any</v>
      </c>
      <c r="E664" t="str">
        <f t="shared" si="120"/>
        <v>rest</v>
      </c>
      <c r="F664">
        <f t="shared" si="120"/>
        <v>1</v>
      </c>
    </row>
    <row r="665" spans="1:13">
      <c r="A665" t="s">
        <v>2057</v>
      </c>
      <c r="B665" t="str">
        <f t="shared" si="120"/>
        <v>Dumping</v>
      </c>
      <c r="C665" t="str">
        <f t="shared" si="120"/>
        <v>any</v>
      </c>
      <c r="D665" t="str">
        <f t="shared" si="120"/>
        <v>any</v>
      </c>
      <c r="E665">
        <f t="shared" si="120"/>
        <v>2.6918324999999996E-4</v>
      </c>
      <c r="F665">
        <f t="shared" si="120"/>
        <v>2</v>
      </c>
      <c r="G665" t="str">
        <f t="shared" ref="G665:M675" si="121">G597</f>
        <v>Kawecki &amp; Nowack (2019)</v>
      </c>
      <c r="H665">
        <f t="shared" si="121"/>
        <v>2</v>
      </c>
      <c r="I665">
        <f t="shared" si="121"/>
        <v>2</v>
      </c>
      <c r="J665">
        <f t="shared" si="121"/>
        <v>2</v>
      </c>
      <c r="K665">
        <f t="shared" si="121"/>
        <v>3</v>
      </c>
      <c r="L665">
        <f t="shared" si="121"/>
        <v>3</v>
      </c>
      <c r="M665">
        <f t="shared" si="121"/>
        <v>3</v>
      </c>
    </row>
    <row r="666" spans="1:13">
      <c r="A666" t="s">
        <v>2057</v>
      </c>
      <c r="B666" t="str">
        <f t="shared" si="120"/>
        <v>Footwear wearing (soles)</v>
      </c>
      <c r="C666" t="str">
        <f t="shared" si="120"/>
        <v>any</v>
      </c>
      <c r="D666" t="str">
        <f t="shared" si="120"/>
        <v>RUBBER</v>
      </c>
      <c r="E666">
        <f t="shared" si="120"/>
        <v>5.7712387375211246E-3</v>
      </c>
      <c r="F666">
        <f t="shared" si="120"/>
        <v>3</v>
      </c>
      <c r="G666" t="str">
        <f t="shared" si="121"/>
        <v>See shoesole wear calculation in clothing tab of MainInputFile</v>
      </c>
      <c r="H666">
        <f t="shared" si="121"/>
        <v>1</v>
      </c>
      <c r="I666">
        <f t="shared" si="121"/>
        <v>2</v>
      </c>
      <c r="J666">
        <f t="shared" si="121"/>
        <v>2</v>
      </c>
      <c r="K666">
        <f t="shared" si="121"/>
        <v>2</v>
      </c>
      <c r="L666">
        <f t="shared" si="121"/>
        <v>2</v>
      </c>
      <c r="M666">
        <f t="shared" si="121"/>
        <v>3</v>
      </c>
    </row>
    <row r="667" spans="1:13">
      <c r="A667" t="s">
        <v>2057</v>
      </c>
      <c r="B667" t="str">
        <f t="shared" si="120"/>
        <v>Footwear wearing (soles)</v>
      </c>
      <c r="C667" t="str">
        <f t="shared" si="120"/>
        <v>any</v>
      </c>
      <c r="D667" t="str">
        <f t="shared" si="120"/>
        <v>RUBBER</v>
      </c>
      <c r="E667">
        <f t="shared" si="120"/>
        <v>1.1542477475042249E-2</v>
      </c>
      <c r="F667">
        <f t="shared" si="120"/>
        <v>3</v>
      </c>
      <c r="G667" t="str">
        <f t="shared" si="121"/>
        <v>See shoesole wear calculation in clothing tab of MainInputFile</v>
      </c>
      <c r="H667">
        <f t="shared" si="121"/>
        <v>1</v>
      </c>
      <c r="I667">
        <f t="shared" si="121"/>
        <v>2</v>
      </c>
      <c r="J667">
        <f t="shared" si="121"/>
        <v>2</v>
      </c>
      <c r="K667">
        <f t="shared" si="121"/>
        <v>2</v>
      </c>
      <c r="L667">
        <f t="shared" si="121"/>
        <v>2</v>
      </c>
      <c r="M667">
        <f t="shared" si="121"/>
        <v>3</v>
      </c>
    </row>
    <row r="668" spans="1:13">
      <c r="A668" t="s">
        <v>2057</v>
      </c>
      <c r="B668" t="str">
        <f t="shared" si="120"/>
        <v>Footwear wearing (soles)</v>
      </c>
      <c r="C668" t="str">
        <f t="shared" si="120"/>
        <v>any</v>
      </c>
      <c r="D668" t="str">
        <f t="shared" si="120"/>
        <v>PUR</v>
      </c>
      <c r="E668">
        <f t="shared" si="120"/>
        <v>2.5413504031689942E-3</v>
      </c>
      <c r="F668">
        <f t="shared" si="120"/>
        <v>3</v>
      </c>
      <c r="G668" t="str">
        <f t="shared" si="121"/>
        <v>See shoesole wear calculation in clothing tab of MainInputFile</v>
      </c>
      <c r="H668">
        <f t="shared" si="121"/>
        <v>1</v>
      </c>
      <c r="I668">
        <f t="shared" si="121"/>
        <v>2</v>
      </c>
      <c r="J668">
        <f t="shared" si="121"/>
        <v>2</v>
      </c>
      <c r="K668">
        <f t="shared" si="121"/>
        <v>2</v>
      </c>
      <c r="L668">
        <f t="shared" si="121"/>
        <v>2</v>
      </c>
      <c r="M668">
        <f t="shared" si="121"/>
        <v>3</v>
      </c>
    </row>
    <row r="669" spans="1:13">
      <c r="A669" t="s">
        <v>2057</v>
      </c>
      <c r="B669" t="str">
        <f t="shared" si="120"/>
        <v>Footwear wearing (soles)</v>
      </c>
      <c r="C669" t="str">
        <f t="shared" si="120"/>
        <v>any</v>
      </c>
      <c r="D669" t="str">
        <f t="shared" si="120"/>
        <v>PUR</v>
      </c>
      <c r="E669">
        <f t="shared" si="120"/>
        <v>5.0827008063379885E-3</v>
      </c>
      <c r="F669">
        <f t="shared" si="120"/>
        <v>3</v>
      </c>
      <c r="G669" t="str">
        <f t="shared" si="121"/>
        <v>See shoesole wear calculation in clothing tab of MainInputFile</v>
      </c>
      <c r="H669">
        <f t="shared" si="121"/>
        <v>1</v>
      </c>
      <c r="I669">
        <f t="shared" si="121"/>
        <v>2</v>
      </c>
      <c r="J669">
        <f t="shared" si="121"/>
        <v>2</v>
      </c>
      <c r="K669">
        <f t="shared" si="121"/>
        <v>2</v>
      </c>
      <c r="L669">
        <f t="shared" si="121"/>
        <v>2</v>
      </c>
      <c r="M669">
        <f t="shared" si="121"/>
        <v>3</v>
      </c>
    </row>
    <row r="670" spans="1:13">
      <c r="A670" t="s">
        <v>2057</v>
      </c>
      <c r="B670" t="str">
        <f t="shared" si="120"/>
        <v>Footwear wearing (soles)</v>
      </c>
      <c r="C670" t="str">
        <f t="shared" si="120"/>
        <v>any</v>
      </c>
      <c r="D670" t="str">
        <f t="shared" si="120"/>
        <v>OTHER</v>
      </c>
      <c r="E670">
        <f t="shared" si="120"/>
        <v>2.6370870403593857E-3</v>
      </c>
      <c r="F670">
        <f t="shared" si="120"/>
        <v>3</v>
      </c>
      <c r="G670" t="str">
        <f t="shared" si="121"/>
        <v>See shoesole wear calculation in clothing tab of MainInputFile</v>
      </c>
      <c r="H670">
        <f t="shared" si="121"/>
        <v>1</v>
      </c>
      <c r="I670">
        <f t="shared" si="121"/>
        <v>2</v>
      </c>
      <c r="J670">
        <f t="shared" si="121"/>
        <v>2</v>
      </c>
      <c r="K670">
        <f t="shared" si="121"/>
        <v>2</v>
      </c>
      <c r="L670">
        <f t="shared" si="121"/>
        <v>2</v>
      </c>
      <c r="M670">
        <f t="shared" si="121"/>
        <v>3</v>
      </c>
    </row>
    <row r="671" spans="1:13">
      <c r="A671" t="s">
        <v>2057</v>
      </c>
      <c r="B671" t="str">
        <f t="shared" si="120"/>
        <v>Footwear wearing (soles)</v>
      </c>
      <c r="C671" t="str">
        <f t="shared" si="120"/>
        <v>any</v>
      </c>
      <c r="D671" t="str">
        <f t="shared" si="120"/>
        <v>OTHER</v>
      </c>
      <c r="E671">
        <f t="shared" si="120"/>
        <v>5.2741740807187715E-3</v>
      </c>
      <c r="F671">
        <f t="shared" si="120"/>
        <v>3</v>
      </c>
      <c r="G671" t="str">
        <f t="shared" si="121"/>
        <v>See shoesole wear calculation in clothing tab of MainInputFile</v>
      </c>
      <c r="H671">
        <f t="shared" si="121"/>
        <v>1</v>
      </c>
      <c r="I671">
        <f t="shared" si="121"/>
        <v>2</v>
      </c>
      <c r="J671">
        <f t="shared" si="121"/>
        <v>2</v>
      </c>
      <c r="K671">
        <f t="shared" si="121"/>
        <v>2</v>
      </c>
      <c r="L671">
        <f t="shared" si="121"/>
        <v>2</v>
      </c>
      <c r="M671">
        <f t="shared" si="121"/>
        <v>3</v>
      </c>
    </row>
    <row r="672" spans="1:13">
      <c r="A672" t="s">
        <v>2057</v>
      </c>
      <c r="B672" t="str">
        <f t="shared" si="120"/>
        <v>Footwear wearing (soles)</v>
      </c>
      <c r="C672" t="str">
        <f t="shared" si="120"/>
        <v>any</v>
      </c>
      <c r="D672" t="str">
        <f t="shared" si="120"/>
        <v>PVC</v>
      </c>
      <c r="E672">
        <f t="shared" si="120"/>
        <v>3.2506855134566658E-3</v>
      </c>
      <c r="F672">
        <f t="shared" si="120"/>
        <v>3</v>
      </c>
      <c r="G672" t="str">
        <f t="shared" si="121"/>
        <v>See shoesole wear calculation in clothing tab of MainInputFile</v>
      </c>
      <c r="H672">
        <f t="shared" si="121"/>
        <v>1</v>
      </c>
      <c r="I672">
        <f t="shared" si="121"/>
        <v>2</v>
      </c>
      <c r="J672">
        <f t="shared" si="121"/>
        <v>2</v>
      </c>
      <c r="K672">
        <f t="shared" si="121"/>
        <v>2</v>
      </c>
      <c r="L672">
        <f t="shared" si="121"/>
        <v>2</v>
      </c>
      <c r="M672">
        <f t="shared" si="121"/>
        <v>3</v>
      </c>
    </row>
    <row r="673" spans="1:13">
      <c r="A673" t="s">
        <v>2057</v>
      </c>
      <c r="B673" t="str">
        <f t="shared" si="120"/>
        <v>Footwear wearing (soles)</v>
      </c>
      <c r="C673" t="str">
        <f t="shared" si="120"/>
        <v>any</v>
      </c>
      <c r="D673" t="str">
        <f t="shared" si="120"/>
        <v>PVC</v>
      </c>
      <c r="E673">
        <f t="shared" si="120"/>
        <v>6.5013710269133315E-3</v>
      </c>
      <c r="F673">
        <f t="shared" si="120"/>
        <v>3</v>
      </c>
      <c r="G673" t="str">
        <f t="shared" si="121"/>
        <v>See shoesole wear calculation in clothing tab of MainInputFile</v>
      </c>
      <c r="H673">
        <f t="shared" si="121"/>
        <v>1</v>
      </c>
      <c r="I673">
        <f t="shared" si="121"/>
        <v>2</v>
      </c>
      <c r="J673">
        <f t="shared" si="121"/>
        <v>2</v>
      </c>
      <c r="K673">
        <f t="shared" si="121"/>
        <v>2</v>
      </c>
      <c r="L673">
        <f t="shared" si="121"/>
        <v>2</v>
      </c>
      <c r="M673">
        <f t="shared" si="121"/>
        <v>3</v>
      </c>
    </row>
    <row r="674" spans="1:13">
      <c r="A674" t="s">
        <v>2057</v>
      </c>
      <c r="B674" t="str">
        <f t="shared" si="120"/>
        <v>Footwear wearing (uppers)</v>
      </c>
      <c r="C674" t="str">
        <f t="shared" si="120"/>
        <v>any</v>
      </c>
      <c r="D674" t="str">
        <f t="shared" si="120"/>
        <v>PA</v>
      </c>
      <c r="E674">
        <f t="shared" si="120"/>
        <v>3.0249999999999999E-3</v>
      </c>
      <c r="F674">
        <f t="shared" si="120"/>
        <v>3</v>
      </c>
      <c r="G674" t="str">
        <f t="shared" si="121"/>
        <v>Average loss during wear, Kawecki et al. 2019, SI table 17</v>
      </c>
      <c r="H674">
        <f t="shared" si="121"/>
        <v>2</v>
      </c>
      <c r="I674">
        <f t="shared" si="121"/>
        <v>2</v>
      </c>
      <c r="J674">
        <f t="shared" si="121"/>
        <v>2</v>
      </c>
      <c r="K674">
        <f t="shared" si="121"/>
        <v>2</v>
      </c>
      <c r="L674">
        <f t="shared" si="121"/>
        <v>2</v>
      </c>
      <c r="M674">
        <f t="shared" si="121"/>
        <v>2</v>
      </c>
    </row>
    <row r="675" spans="1:13">
      <c r="A675" t="s">
        <v>2057</v>
      </c>
      <c r="B675" t="str">
        <f>B607</f>
        <v>Footwear wearing (uppers)</v>
      </c>
      <c r="C675" t="str">
        <f>C607</f>
        <v>any</v>
      </c>
      <c r="D675" t="str">
        <f>D607</f>
        <v>PET</v>
      </c>
      <c r="E675">
        <f>E573*E569</f>
        <v>3.4544305000000009E-4</v>
      </c>
      <c r="F675">
        <f>F607</f>
        <v>3</v>
      </c>
      <c r="G675" t="str">
        <f t="shared" si="121"/>
        <v>Average loss during wear, Kawecki et al. 2019, SI table 17</v>
      </c>
      <c r="H675">
        <f t="shared" si="121"/>
        <v>2</v>
      </c>
      <c r="I675">
        <f t="shared" si="121"/>
        <v>2</v>
      </c>
      <c r="J675">
        <f t="shared" si="121"/>
        <v>2</v>
      </c>
      <c r="K675">
        <f t="shared" si="121"/>
        <v>2</v>
      </c>
      <c r="L675">
        <f t="shared" si="121"/>
        <v>2</v>
      </c>
      <c r="M675">
        <f t="shared" si="121"/>
        <v>2</v>
      </c>
    </row>
    <row r="676" spans="1:13">
      <c r="A676" t="s">
        <v>2057</v>
      </c>
      <c r="B676" t="str">
        <f>B573</f>
        <v>Clothing washing</v>
      </c>
      <c r="C676" t="str">
        <f t="shared" ref="C676:M676" si="122">C573</f>
        <v>any</v>
      </c>
      <c r="D676" t="str">
        <f t="shared" si="122"/>
        <v>any</v>
      </c>
      <c r="E676">
        <f>E527/E488</f>
        <v>3.4544305000000009E-4</v>
      </c>
      <c r="F676">
        <f t="shared" si="122"/>
        <v>2</v>
      </c>
      <c r="G676" t="str">
        <f t="shared" si="122"/>
        <v>Computed from available data from Kawecki et al. (2019) and CBS (2022)</v>
      </c>
      <c r="H676">
        <f t="shared" si="122"/>
        <v>2</v>
      </c>
      <c r="I676">
        <f t="shared" si="122"/>
        <v>2</v>
      </c>
      <c r="J676">
        <f t="shared" si="122"/>
        <v>2</v>
      </c>
      <c r="K676">
        <f t="shared" si="122"/>
        <v>2</v>
      </c>
      <c r="L676">
        <f t="shared" si="122"/>
        <v>2</v>
      </c>
      <c r="M676">
        <f t="shared" si="122"/>
        <v>2</v>
      </c>
    </row>
    <row r="677" spans="1:13">
      <c r="A677" t="s">
        <v>2058</v>
      </c>
      <c r="B677" t="str">
        <f t="shared" ref="B677:M677" si="123">B595</f>
        <v>Footwear waste collection</v>
      </c>
      <c r="C677" t="str">
        <f t="shared" si="123"/>
        <v>any</v>
      </c>
      <c r="D677" t="str">
        <f t="shared" si="123"/>
        <v>any</v>
      </c>
      <c r="E677">
        <f t="shared" si="123"/>
        <v>0.25</v>
      </c>
      <c r="F677">
        <f t="shared" si="123"/>
        <v>2</v>
      </c>
      <c r="G677" t="str">
        <f t="shared" si="123"/>
        <v>(de Waart et al., 2023)</v>
      </c>
      <c r="H677">
        <f t="shared" si="123"/>
        <v>2</v>
      </c>
      <c r="I677">
        <f t="shared" si="123"/>
        <v>2</v>
      </c>
      <c r="J677">
        <f t="shared" si="123"/>
        <v>2</v>
      </c>
      <c r="K677">
        <f t="shared" si="123"/>
        <v>3</v>
      </c>
      <c r="L677">
        <f t="shared" si="123"/>
        <v>2</v>
      </c>
      <c r="M677">
        <f t="shared" si="123"/>
        <v>2</v>
      </c>
    </row>
    <row r="678" spans="1:13">
      <c r="A678" t="s">
        <v>2058</v>
      </c>
      <c r="B678" t="str">
        <f t="shared" ref="B678:F689" si="124">B596</f>
        <v>Mixed waste collection</v>
      </c>
      <c r="C678" t="str">
        <f t="shared" si="124"/>
        <v>any</v>
      </c>
      <c r="D678" t="str">
        <f t="shared" si="124"/>
        <v>any</v>
      </c>
      <c r="E678" t="str">
        <f t="shared" si="124"/>
        <v>rest</v>
      </c>
      <c r="F678">
        <f t="shared" si="124"/>
        <v>1</v>
      </c>
    </row>
    <row r="679" spans="1:13">
      <c r="A679" t="s">
        <v>2058</v>
      </c>
      <c r="B679" t="str">
        <f t="shared" si="124"/>
        <v>Dumping</v>
      </c>
      <c r="C679" t="str">
        <f t="shared" si="124"/>
        <v>any</v>
      </c>
      <c r="D679" t="str">
        <f t="shared" si="124"/>
        <v>any</v>
      </c>
      <c r="E679">
        <f t="shared" si="124"/>
        <v>2.6918324999999996E-4</v>
      </c>
      <c r="F679">
        <f t="shared" si="124"/>
        <v>2</v>
      </c>
      <c r="G679" t="str">
        <f t="shared" ref="G679:M689" si="125">G597</f>
        <v>Kawecki &amp; Nowack (2019)</v>
      </c>
      <c r="H679">
        <f t="shared" si="125"/>
        <v>2</v>
      </c>
      <c r="I679">
        <f t="shared" si="125"/>
        <v>2</v>
      </c>
      <c r="J679">
        <f t="shared" si="125"/>
        <v>2</v>
      </c>
      <c r="K679">
        <f t="shared" si="125"/>
        <v>3</v>
      </c>
      <c r="L679">
        <f t="shared" si="125"/>
        <v>3</v>
      </c>
      <c r="M679">
        <f t="shared" si="125"/>
        <v>3</v>
      </c>
    </row>
    <row r="680" spans="1:13">
      <c r="A680" t="s">
        <v>2058</v>
      </c>
      <c r="B680" t="str">
        <f t="shared" si="124"/>
        <v>Footwear wearing (soles)</v>
      </c>
      <c r="C680" t="str">
        <f t="shared" si="124"/>
        <v>any</v>
      </c>
      <c r="D680" t="str">
        <f t="shared" si="124"/>
        <v>RUBBER</v>
      </c>
      <c r="E680">
        <f t="shared" si="124"/>
        <v>5.7712387375211246E-3</v>
      </c>
      <c r="F680">
        <f t="shared" si="124"/>
        <v>3</v>
      </c>
      <c r="G680" t="str">
        <f t="shared" si="125"/>
        <v>See shoesole wear calculation in clothing tab of MainInputFile</v>
      </c>
      <c r="H680">
        <f t="shared" si="125"/>
        <v>1</v>
      </c>
      <c r="I680">
        <f t="shared" si="125"/>
        <v>2</v>
      </c>
      <c r="J680">
        <f t="shared" si="125"/>
        <v>2</v>
      </c>
      <c r="K680">
        <f t="shared" si="125"/>
        <v>2</v>
      </c>
      <c r="L680">
        <f t="shared" si="125"/>
        <v>2</v>
      </c>
      <c r="M680">
        <f t="shared" si="125"/>
        <v>3</v>
      </c>
    </row>
    <row r="681" spans="1:13">
      <c r="A681" t="s">
        <v>2058</v>
      </c>
      <c r="B681" t="str">
        <f t="shared" si="124"/>
        <v>Footwear wearing (soles)</v>
      </c>
      <c r="C681" t="str">
        <f t="shared" si="124"/>
        <v>any</v>
      </c>
      <c r="D681" t="str">
        <f t="shared" si="124"/>
        <v>RUBBER</v>
      </c>
      <c r="E681">
        <f t="shared" si="124"/>
        <v>1.1542477475042249E-2</v>
      </c>
      <c r="F681">
        <f t="shared" si="124"/>
        <v>3</v>
      </c>
      <c r="G681" t="str">
        <f t="shared" si="125"/>
        <v>See shoesole wear calculation in clothing tab of MainInputFile</v>
      </c>
      <c r="H681">
        <f t="shared" si="125"/>
        <v>1</v>
      </c>
      <c r="I681">
        <f t="shared" si="125"/>
        <v>2</v>
      </c>
      <c r="J681">
        <f t="shared" si="125"/>
        <v>2</v>
      </c>
      <c r="K681">
        <f t="shared" si="125"/>
        <v>2</v>
      </c>
      <c r="L681">
        <f t="shared" si="125"/>
        <v>2</v>
      </c>
      <c r="M681">
        <f t="shared" si="125"/>
        <v>3</v>
      </c>
    </row>
    <row r="682" spans="1:13">
      <c r="A682" t="s">
        <v>2058</v>
      </c>
      <c r="B682" t="str">
        <f t="shared" si="124"/>
        <v>Footwear wearing (soles)</v>
      </c>
      <c r="C682" t="str">
        <f t="shared" si="124"/>
        <v>any</v>
      </c>
      <c r="D682" t="str">
        <f t="shared" si="124"/>
        <v>PUR</v>
      </c>
      <c r="E682">
        <f t="shared" si="124"/>
        <v>2.5413504031689942E-3</v>
      </c>
      <c r="F682">
        <f t="shared" si="124"/>
        <v>3</v>
      </c>
      <c r="G682" t="str">
        <f t="shared" si="125"/>
        <v>See shoesole wear calculation in clothing tab of MainInputFile</v>
      </c>
      <c r="H682">
        <f t="shared" si="125"/>
        <v>1</v>
      </c>
      <c r="I682">
        <f t="shared" si="125"/>
        <v>2</v>
      </c>
      <c r="J682">
        <f t="shared" si="125"/>
        <v>2</v>
      </c>
      <c r="K682">
        <f t="shared" si="125"/>
        <v>2</v>
      </c>
      <c r="L682">
        <f t="shared" si="125"/>
        <v>2</v>
      </c>
      <c r="M682">
        <f t="shared" si="125"/>
        <v>3</v>
      </c>
    </row>
    <row r="683" spans="1:13">
      <c r="A683" t="s">
        <v>2058</v>
      </c>
      <c r="B683" t="str">
        <f t="shared" si="124"/>
        <v>Footwear wearing (soles)</v>
      </c>
      <c r="C683" t="str">
        <f t="shared" si="124"/>
        <v>any</v>
      </c>
      <c r="D683" t="str">
        <f t="shared" si="124"/>
        <v>PUR</v>
      </c>
      <c r="E683">
        <f t="shared" si="124"/>
        <v>5.0827008063379885E-3</v>
      </c>
      <c r="F683">
        <f t="shared" si="124"/>
        <v>3</v>
      </c>
      <c r="G683" t="str">
        <f t="shared" si="125"/>
        <v>See shoesole wear calculation in clothing tab of MainInputFile</v>
      </c>
      <c r="H683">
        <f t="shared" si="125"/>
        <v>1</v>
      </c>
      <c r="I683">
        <f t="shared" si="125"/>
        <v>2</v>
      </c>
      <c r="J683">
        <f t="shared" si="125"/>
        <v>2</v>
      </c>
      <c r="K683">
        <f t="shared" si="125"/>
        <v>2</v>
      </c>
      <c r="L683">
        <f t="shared" si="125"/>
        <v>2</v>
      </c>
      <c r="M683">
        <f t="shared" si="125"/>
        <v>3</v>
      </c>
    </row>
    <row r="684" spans="1:13">
      <c r="A684" t="s">
        <v>2058</v>
      </c>
      <c r="B684" t="str">
        <f t="shared" si="124"/>
        <v>Footwear wearing (soles)</v>
      </c>
      <c r="C684" t="str">
        <f t="shared" si="124"/>
        <v>any</v>
      </c>
      <c r="D684" t="str">
        <f t="shared" si="124"/>
        <v>OTHER</v>
      </c>
      <c r="E684">
        <f t="shared" si="124"/>
        <v>2.6370870403593857E-3</v>
      </c>
      <c r="F684">
        <f t="shared" si="124"/>
        <v>3</v>
      </c>
      <c r="G684" t="str">
        <f t="shared" si="125"/>
        <v>See shoesole wear calculation in clothing tab of MainInputFile</v>
      </c>
      <c r="H684">
        <f t="shared" si="125"/>
        <v>1</v>
      </c>
      <c r="I684">
        <f t="shared" si="125"/>
        <v>2</v>
      </c>
      <c r="J684">
        <f t="shared" si="125"/>
        <v>2</v>
      </c>
      <c r="K684">
        <f t="shared" si="125"/>
        <v>2</v>
      </c>
      <c r="L684">
        <f t="shared" si="125"/>
        <v>2</v>
      </c>
      <c r="M684">
        <f t="shared" si="125"/>
        <v>3</v>
      </c>
    </row>
    <row r="685" spans="1:13">
      <c r="A685" t="s">
        <v>2058</v>
      </c>
      <c r="B685" t="str">
        <f t="shared" si="124"/>
        <v>Footwear wearing (soles)</v>
      </c>
      <c r="C685" t="str">
        <f t="shared" si="124"/>
        <v>any</v>
      </c>
      <c r="D685" t="str">
        <f t="shared" si="124"/>
        <v>OTHER</v>
      </c>
      <c r="E685">
        <f t="shared" si="124"/>
        <v>5.2741740807187715E-3</v>
      </c>
      <c r="F685">
        <f t="shared" si="124"/>
        <v>3</v>
      </c>
      <c r="G685" t="str">
        <f t="shared" si="125"/>
        <v>See shoesole wear calculation in clothing tab of MainInputFile</v>
      </c>
      <c r="H685">
        <f t="shared" si="125"/>
        <v>1</v>
      </c>
      <c r="I685">
        <f t="shared" si="125"/>
        <v>2</v>
      </c>
      <c r="J685">
        <f t="shared" si="125"/>
        <v>2</v>
      </c>
      <c r="K685">
        <f t="shared" si="125"/>
        <v>2</v>
      </c>
      <c r="L685">
        <f t="shared" si="125"/>
        <v>2</v>
      </c>
      <c r="M685">
        <f t="shared" si="125"/>
        <v>3</v>
      </c>
    </row>
    <row r="686" spans="1:13">
      <c r="A686" t="s">
        <v>2058</v>
      </c>
      <c r="B686" t="str">
        <f t="shared" si="124"/>
        <v>Footwear wearing (soles)</v>
      </c>
      <c r="C686" t="str">
        <f t="shared" si="124"/>
        <v>any</v>
      </c>
      <c r="D686" t="str">
        <f t="shared" si="124"/>
        <v>PVC</v>
      </c>
      <c r="E686">
        <f t="shared" si="124"/>
        <v>3.2506855134566658E-3</v>
      </c>
      <c r="F686">
        <f t="shared" si="124"/>
        <v>3</v>
      </c>
      <c r="G686" t="str">
        <f t="shared" si="125"/>
        <v>See shoesole wear calculation in clothing tab of MainInputFile</v>
      </c>
      <c r="H686">
        <f t="shared" si="125"/>
        <v>1</v>
      </c>
      <c r="I686">
        <f t="shared" si="125"/>
        <v>2</v>
      </c>
      <c r="J686">
        <f t="shared" si="125"/>
        <v>2</v>
      </c>
      <c r="K686">
        <f t="shared" si="125"/>
        <v>2</v>
      </c>
      <c r="L686">
        <f t="shared" si="125"/>
        <v>2</v>
      </c>
      <c r="M686">
        <f t="shared" si="125"/>
        <v>3</v>
      </c>
    </row>
    <row r="687" spans="1:13">
      <c r="A687" t="s">
        <v>2058</v>
      </c>
      <c r="B687" t="str">
        <f t="shared" si="124"/>
        <v>Footwear wearing (soles)</v>
      </c>
      <c r="C687" t="str">
        <f t="shared" si="124"/>
        <v>any</v>
      </c>
      <c r="D687" t="str">
        <f t="shared" si="124"/>
        <v>PVC</v>
      </c>
      <c r="E687">
        <f t="shared" si="124"/>
        <v>6.5013710269133315E-3</v>
      </c>
      <c r="F687">
        <f t="shared" si="124"/>
        <v>3</v>
      </c>
      <c r="G687" t="str">
        <f t="shared" si="125"/>
        <v>See shoesole wear calculation in clothing tab of MainInputFile</v>
      </c>
      <c r="H687">
        <f t="shared" si="125"/>
        <v>1</v>
      </c>
      <c r="I687">
        <f t="shared" si="125"/>
        <v>2</v>
      </c>
      <c r="J687">
        <f t="shared" si="125"/>
        <v>2</v>
      </c>
      <c r="K687">
        <f t="shared" si="125"/>
        <v>2</v>
      </c>
      <c r="L687">
        <f t="shared" si="125"/>
        <v>2</v>
      </c>
      <c r="M687">
        <f t="shared" si="125"/>
        <v>3</v>
      </c>
    </row>
    <row r="688" spans="1:13">
      <c r="A688" t="s">
        <v>2058</v>
      </c>
      <c r="B688" t="str">
        <f t="shared" si="124"/>
        <v>Footwear wearing (uppers)</v>
      </c>
      <c r="C688" t="str">
        <f t="shared" si="124"/>
        <v>any</v>
      </c>
      <c r="D688" t="str">
        <f t="shared" si="124"/>
        <v>PA</v>
      </c>
      <c r="E688">
        <f t="shared" si="124"/>
        <v>3.0249999999999999E-3</v>
      </c>
      <c r="F688">
        <f t="shared" si="124"/>
        <v>3</v>
      </c>
      <c r="G688" t="str">
        <f t="shared" si="125"/>
        <v>Average loss during wear, Kawecki et al. 2019, SI table 17</v>
      </c>
      <c r="H688">
        <f t="shared" si="125"/>
        <v>2</v>
      </c>
      <c r="I688">
        <f t="shared" si="125"/>
        <v>2</v>
      </c>
      <c r="J688">
        <f t="shared" si="125"/>
        <v>2</v>
      </c>
      <c r="K688">
        <f t="shared" si="125"/>
        <v>2</v>
      </c>
      <c r="L688">
        <f t="shared" si="125"/>
        <v>2</v>
      </c>
      <c r="M688">
        <f t="shared" si="125"/>
        <v>2</v>
      </c>
    </row>
    <row r="689" spans="1:868">
      <c r="A689" t="s">
        <v>2058</v>
      </c>
      <c r="B689" t="str">
        <f t="shared" si="124"/>
        <v>Footwear wearing (uppers)</v>
      </c>
      <c r="C689" t="str">
        <f t="shared" si="124"/>
        <v>any</v>
      </c>
      <c r="D689" t="str">
        <f t="shared" si="124"/>
        <v>PET</v>
      </c>
      <c r="E689">
        <f t="shared" si="124"/>
        <v>3.0249999999999999E-3</v>
      </c>
      <c r="F689">
        <f t="shared" si="124"/>
        <v>3</v>
      </c>
      <c r="G689" t="str">
        <f t="shared" si="125"/>
        <v>Average loss during wear, Kawecki et al. 2019, SI table 17</v>
      </c>
      <c r="H689">
        <f t="shared" si="125"/>
        <v>2</v>
      </c>
      <c r="I689">
        <f t="shared" si="125"/>
        <v>2</v>
      </c>
      <c r="J689">
        <f t="shared" si="125"/>
        <v>2</v>
      </c>
      <c r="K689">
        <f t="shared" si="125"/>
        <v>2</v>
      </c>
      <c r="L689">
        <f t="shared" si="125"/>
        <v>2</v>
      </c>
      <c r="M689">
        <f t="shared" si="125"/>
        <v>2</v>
      </c>
    </row>
    <row r="690" spans="1:868" s="221" customFormat="1">
      <c r="A690" s="409" t="s">
        <v>2075</v>
      </c>
      <c r="E690" s="951"/>
    </row>
    <row r="691" spans="1:868">
      <c r="A691" t="s">
        <v>2075</v>
      </c>
      <c r="B691" t="s">
        <v>2078</v>
      </c>
      <c r="C691" t="s">
        <v>139</v>
      </c>
      <c r="D691" t="s">
        <v>139</v>
      </c>
      <c r="E691" s="217">
        <f>E484*E486</f>
        <v>4.9000000000000002E-2</v>
      </c>
      <c r="F691">
        <v>2</v>
      </c>
      <c r="G691" t="s">
        <v>157</v>
      </c>
      <c r="H691">
        <v>3</v>
      </c>
      <c r="I691">
        <v>3</v>
      </c>
      <c r="J691">
        <v>3</v>
      </c>
      <c r="K691">
        <v>3</v>
      </c>
      <c r="L691">
        <v>3</v>
      </c>
      <c r="M691">
        <v>3</v>
      </c>
    </row>
    <row r="692" spans="1:868">
      <c r="A692" t="s">
        <v>2075</v>
      </c>
      <c r="B692" t="s">
        <v>2079</v>
      </c>
      <c r="C692" t="s">
        <v>139</v>
      </c>
      <c r="D692" t="s">
        <v>139</v>
      </c>
      <c r="E692" s="217" t="s">
        <v>150</v>
      </c>
      <c r="F692">
        <v>1</v>
      </c>
      <c r="G692" t="str">
        <f>G484</f>
        <v>Watergebruik CBS (2022)</v>
      </c>
    </row>
    <row r="693" spans="1:868">
      <c r="A693" t="s">
        <v>2075</v>
      </c>
      <c r="B693" t="s">
        <v>2080</v>
      </c>
      <c r="C693" t="s">
        <v>139</v>
      </c>
      <c r="D693" t="s">
        <v>139</v>
      </c>
      <c r="E693" s="217">
        <f>E485</f>
        <v>2.0000000000000018E-2</v>
      </c>
      <c r="F693">
        <v>2</v>
      </c>
      <c r="G693" t="str">
        <f>G485</f>
        <v>Watergebruik CBS (2022)</v>
      </c>
      <c r="H693">
        <v>1</v>
      </c>
      <c r="I693">
        <v>2</v>
      </c>
      <c r="J693">
        <v>1</v>
      </c>
      <c r="K693">
        <v>2</v>
      </c>
      <c r="L693">
        <v>2</v>
      </c>
      <c r="M693">
        <v>2</v>
      </c>
    </row>
    <row r="694" spans="1:868" s="436" customFormat="1">
      <c r="A694" s="436" t="s">
        <v>2078</v>
      </c>
      <c r="B694" s="436" t="s">
        <v>223</v>
      </c>
      <c r="C694" s="436" t="s">
        <v>139</v>
      </c>
      <c r="D694" s="436" t="s">
        <v>139</v>
      </c>
      <c r="E694" s="952">
        <f>E538</f>
        <v>0.25</v>
      </c>
      <c r="F694" s="436">
        <v>2</v>
      </c>
      <c r="G694" s="436" t="str">
        <f>G538</f>
        <v>(Kimmel et al., 2024) - Highest reported fraction of captured fibers</v>
      </c>
      <c r="H694" s="436">
        <v>2</v>
      </c>
      <c r="I694" s="436">
        <v>2</v>
      </c>
      <c r="J694" s="436">
        <v>2</v>
      </c>
      <c r="K694" s="436">
        <v>2</v>
      </c>
      <c r="L694" s="436">
        <v>2</v>
      </c>
      <c r="M694" s="436">
        <v>1</v>
      </c>
    </row>
    <row r="695" spans="1:868" s="436" customFormat="1">
      <c r="A695" s="436" t="s">
        <v>2078</v>
      </c>
      <c r="B695" s="436" t="s">
        <v>223</v>
      </c>
      <c r="C695" s="436" t="s">
        <v>139</v>
      </c>
      <c r="D695" s="436" t="s">
        <v>139</v>
      </c>
      <c r="E695" s="952">
        <f>E539</f>
        <v>0.89</v>
      </c>
      <c r="F695" s="436">
        <v>2</v>
      </c>
      <c r="G695" s="436" t="str">
        <f>G539</f>
        <v>(Kimmel et al., 2024) - Lowest reported fraction of captured fibers</v>
      </c>
      <c r="H695" s="436">
        <v>2</v>
      </c>
      <c r="I695" s="436">
        <v>2</v>
      </c>
      <c r="J695" s="436">
        <v>2</v>
      </c>
      <c r="K695" s="436">
        <v>2</v>
      </c>
      <c r="L695" s="436">
        <v>2</v>
      </c>
      <c r="M695" s="436">
        <v>1</v>
      </c>
    </row>
    <row r="696" spans="1:868" s="436" customFormat="1">
      <c r="A696" s="436" t="s">
        <v>2078</v>
      </c>
      <c r="B696" s="436" t="s">
        <v>232</v>
      </c>
      <c r="C696" s="436" t="s">
        <v>139</v>
      </c>
      <c r="D696" s="436" t="s">
        <v>139</v>
      </c>
      <c r="E696" s="952" t="s">
        <v>150</v>
      </c>
      <c r="F696" s="436">
        <v>1</v>
      </c>
    </row>
    <row r="697" spans="1:868">
      <c r="A697" t="s">
        <v>2079</v>
      </c>
      <c r="B697" t="s">
        <v>232</v>
      </c>
      <c r="C697" t="s">
        <v>139</v>
      </c>
      <c r="D697" t="s">
        <v>139</v>
      </c>
      <c r="E697" s="217">
        <v>1</v>
      </c>
      <c r="F697">
        <v>1</v>
      </c>
      <c r="H697" s="436">
        <v>0</v>
      </c>
      <c r="I697" s="436">
        <v>0</v>
      </c>
      <c r="J697" s="436">
        <v>0</v>
      </c>
      <c r="K697" s="436">
        <v>0</v>
      </c>
      <c r="L697" s="436">
        <v>0</v>
      </c>
      <c r="M697" s="436">
        <v>0</v>
      </c>
    </row>
    <row r="698" spans="1:868">
      <c r="A698" t="s">
        <v>2080</v>
      </c>
      <c r="B698" t="s">
        <v>232</v>
      </c>
      <c r="C698" t="s">
        <v>139</v>
      </c>
      <c r="D698" t="s">
        <v>139</v>
      </c>
      <c r="E698" s="217">
        <v>1</v>
      </c>
      <c r="F698">
        <v>1</v>
      </c>
      <c r="H698" s="436">
        <v>0</v>
      </c>
      <c r="I698" s="436">
        <v>0</v>
      </c>
      <c r="J698" s="436">
        <v>0</v>
      </c>
      <c r="K698" s="436">
        <v>0</v>
      </c>
      <c r="L698" s="436">
        <v>0</v>
      </c>
      <c r="M698" s="436">
        <v>0</v>
      </c>
    </row>
    <row r="699" spans="1:868">
      <c r="A699" s="909"/>
      <c r="B699" s="909"/>
      <c r="C699" s="909"/>
      <c r="D699" s="909"/>
      <c r="E699" s="953"/>
      <c r="F699" s="909"/>
      <c r="G699" s="909"/>
    </row>
    <row r="700" spans="1:868" s="221" customFormat="1">
      <c r="A700" s="409" t="s">
        <v>2076</v>
      </c>
      <c r="E700" s="951"/>
    </row>
    <row r="701" spans="1:868" s="6" customFormat="1">
      <c r="A701" t="s">
        <v>2076</v>
      </c>
      <c r="B701" t="s">
        <v>228</v>
      </c>
      <c r="C701" t="s">
        <v>139</v>
      </c>
      <c r="D701" t="s">
        <v>139</v>
      </c>
      <c r="E701">
        <v>0.93</v>
      </c>
      <c r="F701">
        <v>2</v>
      </c>
      <c r="G701" t="s">
        <v>163</v>
      </c>
      <c r="H701">
        <v>2</v>
      </c>
      <c r="I701">
        <v>2</v>
      </c>
      <c r="J701">
        <v>2</v>
      </c>
      <c r="K701">
        <v>1</v>
      </c>
      <c r="L701">
        <v>2</v>
      </c>
      <c r="M701">
        <v>2</v>
      </c>
      <c r="N701">
        <f t="shared" ref="N701:N702" si="126">IF( OR( ISBLANK(H701),ISBLANK(J701), ISBLANK(K701), ISBLANK(L701), ISBLANK(M701) ), "", 1.5*SQRT(   EXP(2.21*(H701-1)) + EXP(2.21*(J701-1)) + EXP(2.21*(K701-1)) + EXP(2.21*(L701-1)) + EXP(2.21*M701)   )/100*2.45 )</f>
        <v>0.38795788889711302</v>
      </c>
      <c r="O701">
        <f t="shared" ref="O701:O702" si="127">IF( OR( ISBLANK(I701),ISBLANK(J701), ISBLANK(K701), ISBLANK(L701), ISBLANK(M701) ), "", 1.5*SQRT( EXP(2.21*(I701-1)) + EXP(2.21*(J701-1)) + EXP(2.21*(K701-1)) + EXP(2.21*(L701-1)) + EXP(2.21*M701)   )/100*2.45 )</f>
        <v>0.38795788889711302</v>
      </c>
      <c r="P701"/>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c r="DW701" s="16"/>
      <c r="DX701" s="16"/>
      <c r="DY701" s="16"/>
      <c r="DZ701" s="16"/>
      <c r="EA701" s="16"/>
      <c r="EB701" s="16"/>
      <c r="EC701" s="16"/>
      <c r="ED701" s="16"/>
      <c r="EE701" s="16"/>
      <c r="EF701" s="16"/>
      <c r="EG701" s="16"/>
      <c r="EH701" s="16"/>
      <c r="EI701" s="16"/>
      <c r="EJ701" s="16"/>
      <c r="EK701" s="16"/>
      <c r="EL701" s="16"/>
      <c r="EM701" s="16"/>
      <c r="EN701" s="16"/>
      <c r="EO701" s="16"/>
      <c r="EP701" s="16"/>
      <c r="EQ701" s="16"/>
      <c r="ER701" s="16"/>
      <c r="ES701" s="16"/>
      <c r="ET701" s="16"/>
      <c r="EU701" s="16"/>
      <c r="EV701" s="16"/>
      <c r="EW701" s="16"/>
      <c r="EX701" s="16"/>
      <c r="EY701" s="16"/>
      <c r="EZ701" s="16"/>
      <c r="FA701" s="16"/>
      <c r="FB701" s="16"/>
      <c r="FC701" s="16"/>
      <c r="FD701" s="16"/>
      <c r="FE701" s="16"/>
      <c r="FF701" s="16"/>
      <c r="FG701" s="16"/>
      <c r="FH701" s="16"/>
      <c r="FI701" s="16"/>
      <c r="FJ701" s="16"/>
      <c r="FK701" s="16"/>
      <c r="FL701" s="16"/>
      <c r="FM701" s="16"/>
      <c r="FN701" s="16"/>
      <c r="FO701" s="16"/>
      <c r="FP701" s="16"/>
      <c r="FQ701" s="16"/>
      <c r="FR701" s="16"/>
      <c r="FS701" s="16"/>
      <c r="FT701" s="16"/>
      <c r="FU701" s="16"/>
      <c r="FV701" s="16"/>
      <c r="FW701" s="16"/>
      <c r="FX701" s="16"/>
      <c r="FY701" s="16"/>
      <c r="FZ701" s="16"/>
      <c r="GA701" s="16"/>
      <c r="GB701" s="16"/>
      <c r="GC701" s="16"/>
      <c r="GD701" s="16"/>
      <c r="GE701" s="16"/>
      <c r="GF701" s="16"/>
      <c r="GG701" s="16"/>
      <c r="GH701" s="16"/>
      <c r="GI701" s="16"/>
      <c r="GJ701" s="16"/>
      <c r="GK701" s="16"/>
      <c r="GL701" s="16"/>
      <c r="GM701" s="16"/>
      <c r="GN701" s="16"/>
      <c r="GO701" s="16"/>
      <c r="GP701" s="16"/>
      <c r="GQ701" s="16"/>
      <c r="GR701" s="16"/>
      <c r="GS701" s="16"/>
      <c r="GT701" s="16"/>
      <c r="GU701" s="16"/>
      <c r="GV701" s="16"/>
      <c r="GW701" s="16"/>
      <c r="GX701" s="16"/>
      <c r="GY701" s="16"/>
      <c r="GZ701" s="16"/>
      <c r="HA701" s="16"/>
      <c r="HB701" s="16"/>
      <c r="HC701" s="16"/>
      <c r="HD701" s="16"/>
      <c r="HE701" s="16"/>
      <c r="HF701" s="16"/>
      <c r="HG701" s="16"/>
      <c r="HH701" s="16"/>
      <c r="HI701" s="16"/>
      <c r="HJ701" s="16"/>
      <c r="HK701" s="16"/>
      <c r="HL701" s="16"/>
      <c r="HM701" s="16"/>
      <c r="HN701" s="16"/>
      <c r="HO701" s="16"/>
      <c r="HP701" s="16"/>
      <c r="HQ701" s="16"/>
      <c r="HR701" s="16"/>
      <c r="HS701" s="16"/>
      <c r="HT701" s="16"/>
      <c r="HU701" s="16"/>
      <c r="HV701" s="16"/>
      <c r="HW701" s="16"/>
      <c r="HX701" s="16"/>
      <c r="HY701" s="16"/>
      <c r="HZ701" s="16"/>
      <c r="IA701" s="16"/>
      <c r="IB701" s="16"/>
      <c r="IC701" s="16"/>
      <c r="ID701" s="16"/>
      <c r="IE701" s="16"/>
      <c r="IF701" s="16"/>
      <c r="IG701" s="16"/>
      <c r="IH701" s="16"/>
      <c r="II701" s="16"/>
      <c r="IJ701" s="16"/>
      <c r="IK701" s="16"/>
      <c r="IL701" s="16"/>
      <c r="IM701" s="16"/>
      <c r="IN701" s="16"/>
      <c r="IO701" s="16"/>
      <c r="IP701" s="16"/>
      <c r="IQ701" s="16"/>
      <c r="IR701" s="16"/>
      <c r="IS701" s="16"/>
      <c r="IT701" s="16"/>
      <c r="IU701" s="16"/>
      <c r="IV701" s="16"/>
      <c r="IW701" s="16"/>
      <c r="IX701" s="16"/>
      <c r="IY701" s="16"/>
      <c r="IZ701" s="16"/>
      <c r="JA701" s="16"/>
      <c r="JB701" s="16"/>
      <c r="JC701" s="16"/>
      <c r="JD701" s="16"/>
      <c r="JE701" s="16"/>
      <c r="JF701" s="16"/>
      <c r="JG701" s="16"/>
      <c r="JH701" s="16"/>
      <c r="JI701" s="16"/>
      <c r="JJ701" s="16"/>
      <c r="JK701" s="16"/>
      <c r="JL701" s="16"/>
      <c r="JM701" s="16"/>
      <c r="JN701" s="16"/>
      <c r="JO701" s="16"/>
      <c r="JP701" s="16"/>
      <c r="JQ701" s="16"/>
      <c r="JR701" s="16"/>
      <c r="JS701" s="16"/>
      <c r="JT701" s="16"/>
      <c r="JU701" s="16"/>
      <c r="JV701" s="16"/>
      <c r="JW701" s="16"/>
      <c r="JX701" s="16"/>
      <c r="JY701" s="16"/>
      <c r="JZ701" s="16"/>
      <c r="KA701" s="16"/>
      <c r="KB701" s="16"/>
      <c r="KC701" s="16"/>
      <c r="KD701" s="16"/>
      <c r="KE701" s="16"/>
      <c r="KF701" s="16"/>
      <c r="KG701" s="16"/>
      <c r="KH701" s="16"/>
      <c r="KI701" s="16"/>
      <c r="KJ701" s="16"/>
      <c r="KK701" s="16"/>
      <c r="KL701" s="16"/>
      <c r="KM701" s="16"/>
      <c r="KN701" s="16"/>
      <c r="KO701" s="16"/>
      <c r="KP701" s="16"/>
      <c r="KQ701" s="16"/>
      <c r="KR701" s="16"/>
      <c r="KS701" s="16"/>
      <c r="KT701" s="16"/>
      <c r="KU701" s="16"/>
      <c r="KV701" s="16"/>
      <c r="KW701" s="16"/>
      <c r="KX701" s="16"/>
      <c r="KY701" s="16"/>
      <c r="KZ701" s="16"/>
      <c r="LA701" s="16"/>
      <c r="LB701" s="16"/>
      <c r="LC701" s="16"/>
      <c r="LD701" s="16"/>
      <c r="LE701" s="16"/>
      <c r="LF701" s="16"/>
      <c r="LG701" s="16"/>
      <c r="LH701" s="16"/>
      <c r="LI701" s="16"/>
      <c r="LJ701" s="16"/>
      <c r="LK701" s="16"/>
      <c r="LL701" s="16"/>
      <c r="LM701" s="16"/>
      <c r="LN701" s="16"/>
      <c r="LO701" s="16"/>
      <c r="LP701" s="16"/>
      <c r="LQ701" s="16"/>
      <c r="LR701" s="16"/>
      <c r="LS701" s="16"/>
      <c r="LT701" s="16"/>
      <c r="LU701" s="16"/>
      <c r="LV701" s="16"/>
      <c r="LW701" s="16"/>
      <c r="LX701" s="16"/>
      <c r="LY701" s="16"/>
      <c r="LZ701" s="16"/>
      <c r="MA701" s="16"/>
      <c r="MB701" s="16"/>
      <c r="MC701" s="16"/>
      <c r="MD701" s="16"/>
      <c r="ME701" s="16"/>
      <c r="MF701" s="16"/>
      <c r="MG701" s="16"/>
      <c r="MH701" s="16"/>
      <c r="MI701" s="16"/>
      <c r="MJ701" s="16"/>
      <c r="MK701" s="16"/>
      <c r="ML701" s="16"/>
      <c r="MM701" s="16"/>
      <c r="MN701" s="16"/>
      <c r="MO701" s="16"/>
      <c r="MP701" s="16"/>
      <c r="MQ701" s="16"/>
      <c r="MR701" s="16"/>
      <c r="MS701" s="16"/>
      <c r="MT701" s="16"/>
      <c r="MU701" s="16"/>
      <c r="MV701" s="16"/>
      <c r="MW701" s="16"/>
      <c r="MX701" s="16"/>
      <c r="MY701" s="16"/>
      <c r="MZ701" s="16"/>
      <c r="NA701" s="16"/>
      <c r="NB701" s="16"/>
      <c r="NC701" s="16"/>
      <c r="ND701" s="16"/>
      <c r="NE701" s="16"/>
      <c r="NF701" s="16"/>
      <c r="NG701" s="16"/>
      <c r="NH701" s="16"/>
      <c r="NI701" s="16"/>
      <c r="NJ701" s="16"/>
      <c r="NK701" s="16"/>
      <c r="NL701" s="16"/>
      <c r="NM701" s="16"/>
      <c r="NN701" s="16"/>
      <c r="NO701" s="16"/>
      <c r="NP701" s="16"/>
      <c r="NQ701" s="16"/>
      <c r="NR701" s="16"/>
      <c r="NS701" s="16"/>
      <c r="NT701" s="16"/>
      <c r="NU701" s="16"/>
      <c r="NV701" s="16"/>
      <c r="NW701" s="16"/>
      <c r="NX701" s="16"/>
      <c r="NY701" s="16"/>
      <c r="NZ701" s="16"/>
      <c r="OA701" s="16"/>
      <c r="OB701" s="16"/>
      <c r="OC701" s="16"/>
      <c r="OD701" s="16"/>
      <c r="OE701" s="16"/>
      <c r="OF701" s="16"/>
      <c r="OG701" s="16"/>
      <c r="OH701" s="16"/>
      <c r="OI701" s="16"/>
      <c r="OJ701" s="16"/>
      <c r="OK701" s="16"/>
      <c r="OL701" s="16"/>
      <c r="OM701" s="16"/>
      <c r="ON701" s="16"/>
      <c r="OO701" s="16"/>
      <c r="OP701" s="16"/>
      <c r="OQ701" s="16"/>
      <c r="OR701" s="16"/>
      <c r="OS701" s="16"/>
      <c r="OT701" s="16"/>
      <c r="OU701" s="16"/>
      <c r="OV701" s="16"/>
      <c r="OW701" s="16"/>
      <c r="OX701" s="16"/>
      <c r="OY701" s="16"/>
      <c r="OZ701" s="16"/>
      <c r="PA701" s="16"/>
      <c r="PB701" s="16"/>
      <c r="PC701" s="16"/>
      <c r="PD701" s="16"/>
      <c r="PE701" s="16"/>
      <c r="PF701" s="16"/>
      <c r="PG701" s="16"/>
      <c r="PH701" s="16"/>
      <c r="PI701" s="16"/>
      <c r="PJ701" s="16"/>
      <c r="PK701" s="16"/>
      <c r="PL701" s="16"/>
      <c r="PM701" s="16"/>
      <c r="PN701" s="16"/>
      <c r="PO701" s="16"/>
      <c r="PP701" s="16"/>
      <c r="PQ701" s="16"/>
      <c r="PR701" s="16"/>
      <c r="PS701" s="16"/>
      <c r="PT701" s="16"/>
      <c r="PU701" s="16"/>
      <c r="PV701" s="16"/>
      <c r="PW701" s="16"/>
      <c r="PX701" s="16"/>
      <c r="PY701" s="16"/>
      <c r="PZ701" s="16"/>
      <c r="QA701" s="16"/>
      <c r="QB701" s="16"/>
      <c r="QC701" s="16"/>
      <c r="QD701" s="16"/>
      <c r="QE701" s="16"/>
      <c r="QF701" s="16"/>
      <c r="QG701" s="16"/>
      <c r="QH701" s="16"/>
      <c r="QI701" s="16"/>
      <c r="QJ701" s="16"/>
      <c r="QK701" s="16"/>
      <c r="QL701" s="16"/>
      <c r="QM701" s="16"/>
      <c r="QN701" s="16"/>
      <c r="QO701" s="16"/>
      <c r="QP701" s="16"/>
      <c r="QQ701" s="16"/>
      <c r="QR701" s="16"/>
      <c r="QS701" s="16"/>
      <c r="QT701" s="16"/>
      <c r="QU701" s="16"/>
      <c r="QV701" s="16"/>
      <c r="QW701" s="16"/>
      <c r="QX701" s="16"/>
      <c r="QY701" s="16"/>
      <c r="QZ701" s="16"/>
      <c r="RA701" s="16"/>
      <c r="RB701" s="16"/>
      <c r="RC701" s="16"/>
      <c r="RD701" s="16"/>
      <c r="RE701" s="16"/>
      <c r="RF701" s="16"/>
      <c r="RG701" s="16"/>
      <c r="RH701" s="16"/>
      <c r="RI701" s="16"/>
      <c r="RJ701" s="16"/>
      <c r="RK701" s="16"/>
      <c r="RL701" s="16"/>
      <c r="RM701" s="16"/>
      <c r="RN701" s="16"/>
      <c r="RO701" s="16"/>
      <c r="RP701" s="16"/>
      <c r="RQ701" s="16"/>
      <c r="RR701" s="16"/>
      <c r="RS701" s="16"/>
      <c r="RT701" s="16"/>
      <c r="RU701" s="16"/>
      <c r="RV701" s="16"/>
      <c r="RW701" s="16"/>
      <c r="RX701" s="16"/>
      <c r="RY701" s="16"/>
      <c r="RZ701" s="16"/>
      <c r="SA701" s="16"/>
      <c r="SB701" s="16"/>
      <c r="SC701" s="16"/>
      <c r="SD701" s="16"/>
      <c r="SE701" s="16"/>
      <c r="SF701" s="16"/>
      <c r="SG701" s="16"/>
      <c r="SH701" s="16"/>
      <c r="SI701" s="16"/>
      <c r="SJ701" s="16"/>
      <c r="SK701" s="16"/>
      <c r="SL701" s="16"/>
      <c r="SM701" s="16"/>
      <c r="SN701" s="16"/>
      <c r="SO701" s="16"/>
      <c r="SP701" s="16"/>
      <c r="SQ701" s="16"/>
      <c r="SR701" s="16"/>
      <c r="SS701" s="16"/>
      <c r="ST701" s="16"/>
      <c r="SU701" s="16"/>
      <c r="SV701" s="16"/>
      <c r="SW701" s="16"/>
      <c r="SX701" s="16"/>
      <c r="SY701" s="16"/>
      <c r="SZ701" s="16"/>
      <c r="TA701" s="16"/>
      <c r="TB701" s="16"/>
      <c r="TC701" s="16"/>
      <c r="TD701" s="16"/>
      <c r="TE701" s="16"/>
      <c r="TF701" s="16"/>
      <c r="TG701" s="16"/>
      <c r="TH701" s="16"/>
      <c r="TI701" s="16"/>
      <c r="TJ701" s="16"/>
      <c r="TK701" s="16"/>
      <c r="TL701" s="16"/>
      <c r="TM701" s="16"/>
      <c r="TN701" s="16"/>
      <c r="TO701" s="16"/>
      <c r="TP701" s="16"/>
      <c r="TQ701" s="16"/>
      <c r="TR701" s="16"/>
      <c r="TS701" s="16"/>
      <c r="TT701" s="16"/>
      <c r="TU701" s="16"/>
      <c r="TV701" s="16"/>
      <c r="TW701" s="16"/>
      <c r="TX701" s="16"/>
      <c r="TY701" s="16"/>
      <c r="TZ701" s="16"/>
      <c r="UA701" s="16"/>
      <c r="UB701" s="16"/>
      <c r="UC701" s="16"/>
      <c r="UD701" s="16"/>
      <c r="UE701" s="16"/>
      <c r="UF701" s="16"/>
      <c r="UG701" s="16"/>
      <c r="UH701" s="16"/>
      <c r="UI701" s="16"/>
      <c r="UJ701" s="16"/>
      <c r="UK701" s="16"/>
      <c r="UL701" s="16"/>
      <c r="UM701" s="16"/>
      <c r="UN701" s="16"/>
      <c r="UO701" s="16"/>
      <c r="UP701" s="16"/>
      <c r="UQ701" s="16"/>
      <c r="UR701" s="16"/>
      <c r="US701" s="16"/>
      <c r="UT701" s="16"/>
      <c r="UU701" s="16"/>
      <c r="UV701" s="16"/>
      <c r="UW701" s="16"/>
      <c r="UX701" s="16"/>
      <c r="UY701" s="16"/>
      <c r="UZ701" s="16"/>
      <c r="VA701" s="16"/>
      <c r="VB701" s="16"/>
      <c r="VC701" s="16"/>
      <c r="VD701" s="16"/>
      <c r="VE701" s="16"/>
      <c r="VF701" s="16"/>
      <c r="VG701" s="16"/>
      <c r="VH701" s="16"/>
      <c r="VI701" s="16"/>
      <c r="VJ701" s="16"/>
      <c r="VK701" s="16"/>
      <c r="VL701" s="16"/>
      <c r="VM701" s="16"/>
      <c r="VN701" s="16"/>
      <c r="VO701" s="16"/>
      <c r="VP701" s="16"/>
      <c r="VQ701" s="16"/>
      <c r="VR701" s="16"/>
      <c r="VS701" s="16"/>
      <c r="VT701" s="16"/>
      <c r="VU701" s="16"/>
      <c r="VV701" s="16"/>
      <c r="VW701" s="16"/>
      <c r="VX701" s="16"/>
      <c r="VY701" s="16"/>
      <c r="VZ701" s="16"/>
      <c r="WA701" s="16"/>
      <c r="WB701" s="16"/>
      <c r="WC701" s="16"/>
      <c r="WD701" s="16"/>
      <c r="WE701" s="16"/>
      <c r="WF701" s="16"/>
      <c r="WG701" s="16"/>
      <c r="WH701" s="16"/>
      <c r="WI701" s="16"/>
      <c r="WJ701" s="16"/>
      <c r="WK701" s="16"/>
      <c r="WL701" s="16"/>
      <c r="WM701" s="16"/>
      <c r="WN701" s="16"/>
      <c r="WO701" s="16"/>
      <c r="WP701" s="16"/>
      <c r="WQ701" s="16"/>
      <c r="WR701" s="16"/>
      <c r="WS701" s="16"/>
      <c r="WT701" s="16"/>
      <c r="WU701" s="16"/>
      <c r="WV701" s="16"/>
      <c r="WW701" s="16"/>
      <c r="WX701" s="16"/>
      <c r="WY701" s="16"/>
      <c r="WZ701" s="16"/>
      <c r="XA701" s="16"/>
      <c r="XB701" s="16"/>
      <c r="XC701" s="16"/>
      <c r="XD701" s="16"/>
      <c r="XE701" s="16"/>
      <c r="XF701" s="16"/>
      <c r="XG701" s="16"/>
      <c r="XH701" s="16"/>
      <c r="XI701" s="16"/>
      <c r="XJ701" s="16"/>
      <c r="XK701" s="16"/>
      <c r="XL701" s="16"/>
      <c r="XM701" s="16"/>
      <c r="XN701" s="16"/>
      <c r="XO701" s="16"/>
      <c r="XP701" s="16"/>
      <c r="XQ701" s="16"/>
      <c r="XR701" s="16"/>
      <c r="XS701" s="16"/>
      <c r="XT701" s="16"/>
      <c r="XU701" s="16"/>
      <c r="XV701" s="16"/>
      <c r="XW701" s="16"/>
      <c r="XX701" s="16"/>
      <c r="XY701" s="16"/>
      <c r="XZ701" s="16"/>
      <c r="YA701" s="16"/>
      <c r="YB701" s="16"/>
      <c r="YC701" s="16"/>
      <c r="YD701" s="16"/>
      <c r="YE701" s="16"/>
      <c r="YF701" s="16"/>
      <c r="YG701" s="16"/>
      <c r="YH701" s="16"/>
      <c r="YI701" s="16"/>
      <c r="YJ701" s="16"/>
      <c r="YK701" s="16"/>
      <c r="YL701" s="16"/>
      <c r="YM701" s="16"/>
      <c r="YN701" s="16"/>
      <c r="YO701" s="16"/>
      <c r="YP701" s="16"/>
      <c r="YQ701" s="16"/>
      <c r="YR701" s="16"/>
      <c r="YS701" s="16"/>
      <c r="YT701" s="16"/>
      <c r="YU701" s="16"/>
      <c r="YV701" s="16"/>
      <c r="YW701" s="16"/>
      <c r="YX701" s="16"/>
      <c r="YY701" s="16"/>
      <c r="YZ701" s="16"/>
      <c r="ZA701" s="16"/>
      <c r="ZB701" s="16"/>
      <c r="ZC701" s="16"/>
      <c r="ZD701" s="16"/>
      <c r="ZE701" s="16"/>
      <c r="ZF701" s="16"/>
      <c r="ZG701" s="16"/>
      <c r="ZH701" s="16"/>
      <c r="ZI701" s="16"/>
      <c r="ZJ701" s="16"/>
      <c r="ZK701" s="16"/>
      <c r="ZL701" s="16"/>
      <c r="ZM701" s="16"/>
      <c r="ZN701" s="16"/>
      <c r="ZO701" s="16"/>
      <c r="ZP701" s="16"/>
      <c r="ZQ701" s="16"/>
      <c r="ZR701" s="16"/>
      <c r="ZS701" s="16"/>
      <c r="ZT701" s="16"/>
      <c r="ZU701" s="16"/>
      <c r="ZV701" s="16"/>
      <c r="ZW701" s="16"/>
      <c r="ZX701" s="16"/>
      <c r="ZY701" s="16"/>
      <c r="ZZ701" s="16"/>
      <c r="AAA701" s="16"/>
      <c r="AAB701" s="16"/>
      <c r="AAC701" s="16"/>
      <c r="AAD701" s="16"/>
      <c r="AAE701" s="16"/>
      <c r="AAF701" s="16"/>
      <c r="AAG701" s="16"/>
      <c r="AAH701" s="16"/>
      <c r="AAI701" s="16"/>
      <c r="AAJ701" s="16"/>
      <c r="AAK701" s="16"/>
      <c r="AAL701" s="16"/>
      <c r="AAM701" s="16"/>
      <c r="AAN701" s="16"/>
      <c r="AAO701" s="16"/>
      <c r="AAP701" s="16"/>
      <c r="AAQ701" s="16"/>
      <c r="AAR701" s="16"/>
      <c r="AAS701" s="16"/>
      <c r="AAT701" s="16"/>
      <c r="AAU701" s="16"/>
      <c r="AAV701" s="16"/>
      <c r="AAW701" s="16"/>
      <c r="AAX701" s="16"/>
      <c r="AAY701" s="16"/>
      <c r="AAZ701" s="16"/>
      <c r="ABA701" s="16"/>
      <c r="ABB701" s="16"/>
      <c r="ABC701" s="16"/>
      <c r="ABD701" s="16"/>
      <c r="ABE701" s="16"/>
      <c r="ABF701" s="16"/>
      <c r="ABG701" s="16"/>
      <c r="ABH701" s="16"/>
      <c r="ABI701" s="16"/>
      <c r="ABJ701" s="16"/>
      <c r="ABK701" s="16"/>
      <c r="ABL701" s="16"/>
      <c r="ABM701" s="16"/>
      <c r="ABN701" s="16"/>
      <c r="ABO701" s="16"/>
      <c r="ABP701" s="16"/>
      <c r="ABQ701" s="16"/>
      <c r="ABR701" s="16"/>
      <c r="ABS701" s="16"/>
      <c r="ABT701" s="16"/>
      <c r="ABU701" s="16"/>
      <c r="ABV701" s="16"/>
      <c r="ABW701" s="16"/>
      <c r="ABX701" s="16"/>
      <c r="ABY701" s="16"/>
      <c r="ABZ701" s="16"/>
      <c r="ACA701" s="16"/>
      <c r="ACB701" s="16"/>
      <c r="ACC701" s="16"/>
      <c r="ACD701" s="16"/>
      <c r="ACE701" s="16"/>
      <c r="ACF701" s="16"/>
      <c r="ACG701" s="16"/>
      <c r="ACH701" s="16"/>
      <c r="ACI701" s="16"/>
      <c r="ACJ701" s="16"/>
      <c r="ACK701" s="16"/>
      <c r="ACL701" s="16"/>
      <c r="ACM701" s="16"/>
      <c r="ACN701" s="16"/>
      <c r="ACO701" s="16"/>
      <c r="ACP701" s="16"/>
      <c r="ACQ701" s="16"/>
      <c r="ACR701" s="16"/>
      <c r="ACS701" s="16"/>
      <c r="ACT701" s="16"/>
      <c r="ACU701" s="16"/>
      <c r="ACV701" s="16"/>
      <c r="ACW701" s="16"/>
      <c r="ACX701" s="16"/>
      <c r="ACY701" s="16"/>
      <c r="ACZ701" s="16"/>
      <c r="ADA701" s="16"/>
      <c r="ADB701" s="16"/>
      <c r="ADC701" s="16"/>
      <c r="ADD701" s="16"/>
      <c r="ADE701" s="16"/>
      <c r="ADF701" s="16"/>
      <c r="ADG701" s="16"/>
      <c r="ADH701" s="16"/>
      <c r="ADI701" s="16"/>
      <c r="ADJ701" s="16"/>
      <c r="ADK701" s="16"/>
      <c r="ADL701" s="16"/>
      <c r="ADM701" s="16"/>
      <c r="ADN701" s="16"/>
      <c r="ADO701" s="16"/>
      <c r="ADP701" s="16"/>
      <c r="ADQ701" s="16"/>
      <c r="ADR701" s="16"/>
      <c r="ADS701" s="16"/>
      <c r="ADT701" s="16"/>
      <c r="ADU701" s="16"/>
      <c r="ADV701" s="16"/>
      <c r="ADW701" s="16"/>
      <c r="ADX701" s="16"/>
      <c r="ADY701" s="16"/>
      <c r="ADZ701" s="16"/>
      <c r="AEA701" s="16"/>
      <c r="AEB701" s="16"/>
      <c r="AEC701" s="16"/>
      <c r="AED701" s="16"/>
      <c r="AEE701" s="16"/>
      <c r="AEF701" s="16"/>
      <c r="AEG701" s="16"/>
      <c r="AEH701" s="16"/>
      <c r="AEI701" s="16"/>
      <c r="AEJ701" s="16"/>
      <c r="AEK701" s="16"/>
      <c r="AEL701" s="16"/>
      <c r="AEM701" s="16"/>
      <c r="AEN701" s="16"/>
      <c r="AEO701" s="16"/>
      <c r="AEP701" s="16"/>
      <c r="AEQ701" s="16"/>
      <c r="AER701" s="16"/>
      <c r="AES701" s="16"/>
      <c r="AET701" s="16"/>
      <c r="AEU701" s="16"/>
      <c r="AEV701" s="16"/>
      <c r="AEW701" s="16"/>
      <c r="AEX701" s="16"/>
      <c r="AEY701" s="16"/>
      <c r="AEZ701" s="16"/>
      <c r="AFA701" s="16"/>
      <c r="AFB701" s="16"/>
      <c r="AFC701" s="16"/>
      <c r="AFD701" s="16"/>
      <c r="AFE701" s="16"/>
      <c r="AFF701" s="16"/>
      <c r="AFG701" s="16"/>
      <c r="AFH701" s="16"/>
      <c r="AFI701" s="16"/>
      <c r="AFJ701" s="16"/>
      <c r="AFK701" s="16"/>
      <c r="AFL701" s="16"/>
      <c r="AFM701" s="16"/>
      <c r="AFN701" s="16"/>
      <c r="AFO701" s="16"/>
      <c r="AFP701" s="16"/>
      <c r="AFQ701" s="16"/>
      <c r="AFR701" s="16"/>
      <c r="AFS701" s="16"/>
      <c r="AFT701" s="16"/>
      <c r="AFU701" s="16"/>
      <c r="AFV701" s="16"/>
      <c r="AFW701" s="16"/>
      <c r="AFX701" s="16"/>
      <c r="AFY701" s="16"/>
      <c r="AFZ701" s="16"/>
      <c r="AGA701" s="16"/>
      <c r="AGB701" s="16"/>
      <c r="AGC701" s="16"/>
      <c r="AGD701" s="16"/>
      <c r="AGE701" s="16"/>
      <c r="AGF701" s="16"/>
      <c r="AGG701" s="16"/>
      <c r="AGH701" s="16"/>
      <c r="AGI701" s="16"/>
      <c r="AGJ701" s="16"/>
    </row>
    <row r="702" spans="1:868" s="6" customFormat="1">
      <c r="A702" t="s">
        <v>2076</v>
      </c>
      <c r="B702" t="s">
        <v>231</v>
      </c>
      <c r="C702" t="s">
        <v>139</v>
      </c>
      <c r="D702" t="s">
        <v>139</v>
      </c>
      <c r="E702" t="s">
        <v>150</v>
      </c>
      <c r="F702">
        <v>1</v>
      </c>
      <c r="G702" t="s">
        <v>163</v>
      </c>
      <c r="H702"/>
      <c r="I702"/>
      <c r="J702"/>
      <c r="K702"/>
      <c r="L702"/>
      <c r="M702"/>
      <c r="N702" t="str">
        <f t="shared" si="126"/>
        <v/>
      </c>
      <c r="O702" t="str">
        <f t="shared" si="127"/>
        <v/>
      </c>
      <c r="P702"/>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c r="DW702" s="16"/>
      <c r="DX702" s="16"/>
      <c r="DY702" s="16"/>
      <c r="DZ702" s="16"/>
      <c r="EA702" s="16"/>
      <c r="EB702" s="16"/>
      <c r="EC702" s="16"/>
      <c r="ED702" s="16"/>
      <c r="EE702" s="16"/>
      <c r="EF702" s="16"/>
      <c r="EG702" s="16"/>
      <c r="EH702" s="16"/>
      <c r="EI702" s="16"/>
      <c r="EJ702" s="16"/>
      <c r="EK702" s="16"/>
      <c r="EL702" s="16"/>
      <c r="EM702" s="16"/>
      <c r="EN702" s="16"/>
      <c r="EO702" s="16"/>
      <c r="EP702" s="16"/>
      <c r="EQ702" s="16"/>
      <c r="ER702" s="16"/>
      <c r="ES702" s="16"/>
      <c r="ET702" s="16"/>
      <c r="EU702" s="16"/>
      <c r="EV702" s="16"/>
      <c r="EW702" s="16"/>
      <c r="EX702" s="16"/>
      <c r="EY702" s="16"/>
      <c r="EZ702" s="16"/>
      <c r="FA702" s="16"/>
      <c r="FB702" s="16"/>
      <c r="FC702" s="16"/>
      <c r="FD702" s="16"/>
      <c r="FE702" s="16"/>
      <c r="FF702" s="16"/>
      <c r="FG702" s="16"/>
      <c r="FH702" s="16"/>
      <c r="FI702" s="16"/>
      <c r="FJ702" s="16"/>
      <c r="FK702" s="16"/>
      <c r="FL702" s="16"/>
      <c r="FM702" s="16"/>
      <c r="FN702" s="16"/>
      <c r="FO702" s="16"/>
      <c r="FP702" s="16"/>
      <c r="FQ702" s="16"/>
      <c r="FR702" s="16"/>
      <c r="FS702" s="16"/>
      <c r="FT702" s="16"/>
      <c r="FU702" s="16"/>
      <c r="FV702" s="16"/>
      <c r="FW702" s="16"/>
      <c r="FX702" s="16"/>
      <c r="FY702" s="16"/>
      <c r="FZ702" s="16"/>
      <c r="GA702" s="16"/>
      <c r="GB702" s="16"/>
      <c r="GC702" s="16"/>
      <c r="GD702" s="16"/>
      <c r="GE702" s="16"/>
      <c r="GF702" s="16"/>
      <c r="GG702" s="16"/>
      <c r="GH702" s="16"/>
      <c r="GI702" s="16"/>
      <c r="GJ702" s="16"/>
      <c r="GK702" s="16"/>
      <c r="GL702" s="16"/>
      <c r="GM702" s="16"/>
      <c r="GN702" s="16"/>
      <c r="GO702" s="16"/>
      <c r="GP702" s="16"/>
      <c r="GQ702" s="16"/>
      <c r="GR702" s="16"/>
      <c r="GS702" s="16"/>
      <c r="GT702" s="16"/>
      <c r="GU702" s="16"/>
      <c r="GV702" s="16"/>
      <c r="GW702" s="16"/>
      <c r="GX702" s="16"/>
      <c r="GY702" s="16"/>
      <c r="GZ702" s="16"/>
      <c r="HA702" s="16"/>
      <c r="HB702" s="16"/>
      <c r="HC702" s="16"/>
      <c r="HD702" s="16"/>
      <c r="HE702" s="16"/>
      <c r="HF702" s="16"/>
      <c r="HG702" s="16"/>
      <c r="HH702" s="16"/>
      <c r="HI702" s="16"/>
      <c r="HJ702" s="16"/>
      <c r="HK702" s="16"/>
      <c r="HL702" s="16"/>
      <c r="HM702" s="16"/>
      <c r="HN702" s="16"/>
      <c r="HO702" s="16"/>
      <c r="HP702" s="16"/>
      <c r="HQ702" s="16"/>
      <c r="HR702" s="16"/>
      <c r="HS702" s="16"/>
      <c r="HT702" s="16"/>
      <c r="HU702" s="16"/>
      <c r="HV702" s="16"/>
      <c r="HW702" s="16"/>
      <c r="HX702" s="16"/>
      <c r="HY702" s="16"/>
      <c r="HZ702" s="16"/>
      <c r="IA702" s="16"/>
      <c r="IB702" s="16"/>
      <c r="IC702" s="16"/>
      <c r="ID702" s="16"/>
      <c r="IE702" s="16"/>
      <c r="IF702" s="16"/>
      <c r="IG702" s="16"/>
      <c r="IH702" s="16"/>
      <c r="II702" s="16"/>
      <c r="IJ702" s="16"/>
      <c r="IK702" s="16"/>
      <c r="IL702" s="16"/>
      <c r="IM702" s="16"/>
      <c r="IN702" s="16"/>
      <c r="IO702" s="16"/>
      <c r="IP702" s="16"/>
      <c r="IQ702" s="16"/>
      <c r="IR702" s="16"/>
      <c r="IS702" s="16"/>
      <c r="IT702" s="16"/>
      <c r="IU702" s="16"/>
      <c r="IV702" s="16"/>
      <c r="IW702" s="16"/>
      <c r="IX702" s="16"/>
      <c r="IY702" s="16"/>
      <c r="IZ702" s="16"/>
      <c r="JA702" s="16"/>
      <c r="JB702" s="16"/>
      <c r="JC702" s="16"/>
      <c r="JD702" s="16"/>
      <c r="JE702" s="16"/>
      <c r="JF702" s="16"/>
      <c r="JG702" s="16"/>
      <c r="JH702" s="16"/>
      <c r="JI702" s="16"/>
      <c r="JJ702" s="16"/>
      <c r="JK702" s="16"/>
      <c r="JL702" s="16"/>
      <c r="JM702" s="16"/>
      <c r="JN702" s="16"/>
      <c r="JO702" s="16"/>
      <c r="JP702" s="16"/>
      <c r="JQ702" s="16"/>
      <c r="JR702" s="16"/>
      <c r="JS702" s="16"/>
      <c r="JT702" s="16"/>
      <c r="JU702" s="16"/>
      <c r="JV702" s="16"/>
      <c r="JW702" s="16"/>
      <c r="JX702" s="16"/>
      <c r="JY702" s="16"/>
      <c r="JZ702" s="16"/>
      <c r="KA702" s="16"/>
      <c r="KB702" s="16"/>
      <c r="KC702" s="16"/>
      <c r="KD702" s="16"/>
      <c r="KE702" s="16"/>
      <c r="KF702" s="16"/>
      <c r="KG702" s="16"/>
      <c r="KH702" s="16"/>
      <c r="KI702" s="16"/>
      <c r="KJ702" s="16"/>
      <c r="KK702" s="16"/>
      <c r="KL702" s="16"/>
      <c r="KM702" s="16"/>
      <c r="KN702" s="16"/>
      <c r="KO702" s="16"/>
      <c r="KP702" s="16"/>
      <c r="KQ702" s="16"/>
      <c r="KR702" s="16"/>
      <c r="KS702" s="16"/>
      <c r="KT702" s="16"/>
      <c r="KU702" s="16"/>
      <c r="KV702" s="16"/>
      <c r="KW702" s="16"/>
      <c r="KX702" s="16"/>
      <c r="KY702" s="16"/>
      <c r="KZ702" s="16"/>
      <c r="LA702" s="16"/>
      <c r="LB702" s="16"/>
      <c r="LC702" s="16"/>
      <c r="LD702" s="16"/>
      <c r="LE702" s="16"/>
      <c r="LF702" s="16"/>
      <c r="LG702" s="16"/>
      <c r="LH702" s="16"/>
      <c r="LI702" s="16"/>
      <c r="LJ702" s="16"/>
      <c r="LK702" s="16"/>
      <c r="LL702" s="16"/>
      <c r="LM702" s="16"/>
      <c r="LN702" s="16"/>
      <c r="LO702" s="16"/>
      <c r="LP702" s="16"/>
      <c r="LQ702" s="16"/>
      <c r="LR702" s="16"/>
      <c r="LS702" s="16"/>
      <c r="LT702" s="16"/>
      <c r="LU702" s="16"/>
      <c r="LV702" s="16"/>
      <c r="LW702" s="16"/>
      <c r="LX702" s="16"/>
      <c r="LY702" s="16"/>
      <c r="LZ702" s="16"/>
      <c r="MA702" s="16"/>
      <c r="MB702" s="16"/>
      <c r="MC702" s="16"/>
      <c r="MD702" s="16"/>
      <c r="ME702" s="16"/>
      <c r="MF702" s="16"/>
      <c r="MG702" s="16"/>
      <c r="MH702" s="16"/>
      <c r="MI702" s="16"/>
      <c r="MJ702" s="16"/>
      <c r="MK702" s="16"/>
      <c r="ML702" s="16"/>
      <c r="MM702" s="16"/>
      <c r="MN702" s="16"/>
      <c r="MO702" s="16"/>
      <c r="MP702" s="16"/>
      <c r="MQ702" s="16"/>
      <c r="MR702" s="16"/>
      <c r="MS702" s="16"/>
      <c r="MT702" s="16"/>
      <c r="MU702" s="16"/>
      <c r="MV702" s="16"/>
      <c r="MW702" s="16"/>
      <c r="MX702" s="16"/>
      <c r="MY702" s="16"/>
      <c r="MZ702" s="16"/>
      <c r="NA702" s="16"/>
      <c r="NB702" s="16"/>
      <c r="NC702" s="16"/>
      <c r="ND702" s="16"/>
      <c r="NE702" s="16"/>
      <c r="NF702" s="16"/>
      <c r="NG702" s="16"/>
      <c r="NH702" s="16"/>
      <c r="NI702" s="16"/>
      <c r="NJ702" s="16"/>
      <c r="NK702" s="16"/>
      <c r="NL702" s="16"/>
      <c r="NM702" s="16"/>
      <c r="NN702" s="16"/>
      <c r="NO702" s="16"/>
      <c r="NP702" s="16"/>
      <c r="NQ702" s="16"/>
      <c r="NR702" s="16"/>
      <c r="NS702" s="16"/>
      <c r="NT702" s="16"/>
      <c r="NU702" s="16"/>
      <c r="NV702" s="16"/>
      <c r="NW702" s="16"/>
      <c r="NX702" s="16"/>
      <c r="NY702" s="16"/>
      <c r="NZ702" s="16"/>
      <c r="OA702" s="16"/>
      <c r="OB702" s="16"/>
      <c r="OC702" s="16"/>
      <c r="OD702" s="16"/>
      <c r="OE702" s="16"/>
      <c r="OF702" s="16"/>
      <c r="OG702" s="16"/>
      <c r="OH702" s="16"/>
      <c r="OI702" s="16"/>
      <c r="OJ702" s="16"/>
      <c r="OK702" s="16"/>
      <c r="OL702" s="16"/>
      <c r="OM702" s="16"/>
      <c r="ON702" s="16"/>
      <c r="OO702" s="16"/>
      <c r="OP702" s="16"/>
      <c r="OQ702" s="16"/>
      <c r="OR702" s="16"/>
      <c r="OS702" s="16"/>
      <c r="OT702" s="16"/>
      <c r="OU702" s="16"/>
      <c r="OV702" s="16"/>
      <c r="OW702" s="16"/>
      <c r="OX702" s="16"/>
      <c r="OY702" s="16"/>
      <c r="OZ702" s="16"/>
      <c r="PA702" s="16"/>
      <c r="PB702" s="16"/>
      <c r="PC702" s="16"/>
      <c r="PD702" s="16"/>
      <c r="PE702" s="16"/>
      <c r="PF702" s="16"/>
      <c r="PG702" s="16"/>
      <c r="PH702" s="16"/>
      <c r="PI702" s="16"/>
      <c r="PJ702" s="16"/>
      <c r="PK702" s="16"/>
      <c r="PL702" s="16"/>
      <c r="PM702" s="16"/>
      <c r="PN702" s="16"/>
      <c r="PO702" s="16"/>
      <c r="PP702" s="16"/>
      <c r="PQ702" s="16"/>
      <c r="PR702" s="16"/>
      <c r="PS702" s="16"/>
      <c r="PT702" s="16"/>
      <c r="PU702" s="16"/>
      <c r="PV702" s="16"/>
      <c r="PW702" s="16"/>
      <c r="PX702" s="16"/>
      <c r="PY702" s="16"/>
      <c r="PZ702" s="16"/>
      <c r="QA702" s="16"/>
      <c r="QB702" s="16"/>
      <c r="QC702" s="16"/>
      <c r="QD702" s="16"/>
      <c r="QE702" s="16"/>
      <c r="QF702" s="16"/>
      <c r="QG702" s="16"/>
      <c r="QH702" s="16"/>
      <c r="QI702" s="16"/>
      <c r="QJ702" s="16"/>
      <c r="QK702" s="16"/>
      <c r="QL702" s="16"/>
      <c r="QM702" s="16"/>
      <c r="QN702" s="16"/>
      <c r="QO702" s="16"/>
      <c r="QP702" s="16"/>
      <c r="QQ702" s="16"/>
      <c r="QR702" s="16"/>
      <c r="QS702" s="16"/>
      <c r="QT702" s="16"/>
      <c r="QU702" s="16"/>
      <c r="QV702" s="16"/>
      <c r="QW702" s="16"/>
      <c r="QX702" s="16"/>
      <c r="QY702" s="16"/>
      <c r="QZ702" s="16"/>
      <c r="RA702" s="16"/>
      <c r="RB702" s="16"/>
      <c r="RC702" s="16"/>
      <c r="RD702" s="16"/>
      <c r="RE702" s="16"/>
      <c r="RF702" s="16"/>
      <c r="RG702" s="16"/>
      <c r="RH702" s="16"/>
      <c r="RI702" s="16"/>
      <c r="RJ702" s="16"/>
      <c r="RK702" s="16"/>
      <c r="RL702" s="16"/>
      <c r="RM702" s="16"/>
      <c r="RN702" s="16"/>
      <c r="RO702" s="16"/>
      <c r="RP702" s="16"/>
      <c r="RQ702" s="16"/>
      <c r="RR702" s="16"/>
      <c r="RS702" s="16"/>
      <c r="RT702" s="16"/>
      <c r="RU702" s="16"/>
      <c r="RV702" s="16"/>
      <c r="RW702" s="16"/>
      <c r="RX702" s="16"/>
      <c r="RY702" s="16"/>
      <c r="RZ702" s="16"/>
      <c r="SA702" s="16"/>
      <c r="SB702" s="16"/>
      <c r="SC702" s="16"/>
      <c r="SD702" s="16"/>
      <c r="SE702" s="16"/>
      <c r="SF702" s="16"/>
      <c r="SG702" s="16"/>
      <c r="SH702" s="16"/>
      <c r="SI702" s="16"/>
      <c r="SJ702" s="16"/>
      <c r="SK702" s="16"/>
      <c r="SL702" s="16"/>
      <c r="SM702" s="16"/>
      <c r="SN702" s="16"/>
      <c r="SO702" s="16"/>
      <c r="SP702" s="16"/>
      <c r="SQ702" s="16"/>
      <c r="SR702" s="16"/>
      <c r="SS702" s="16"/>
      <c r="ST702" s="16"/>
      <c r="SU702" s="16"/>
      <c r="SV702" s="16"/>
      <c r="SW702" s="16"/>
      <c r="SX702" s="16"/>
      <c r="SY702" s="16"/>
      <c r="SZ702" s="16"/>
      <c r="TA702" s="16"/>
      <c r="TB702" s="16"/>
      <c r="TC702" s="16"/>
      <c r="TD702" s="16"/>
      <c r="TE702" s="16"/>
      <c r="TF702" s="16"/>
      <c r="TG702" s="16"/>
      <c r="TH702" s="16"/>
      <c r="TI702" s="16"/>
      <c r="TJ702" s="16"/>
      <c r="TK702" s="16"/>
      <c r="TL702" s="16"/>
      <c r="TM702" s="16"/>
      <c r="TN702" s="16"/>
      <c r="TO702" s="16"/>
      <c r="TP702" s="16"/>
      <c r="TQ702" s="16"/>
      <c r="TR702" s="16"/>
      <c r="TS702" s="16"/>
      <c r="TT702" s="16"/>
      <c r="TU702" s="16"/>
      <c r="TV702" s="16"/>
      <c r="TW702" s="16"/>
      <c r="TX702" s="16"/>
      <c r="TY702" s="16"/>
      <c r="TZ702" s="16"/>
      <c r="UA702" s="16"/>
      <c r="UB702" s="16"/>
      <c r="UC702" s="16"/>
      <c r="UD702" s="16"/>
      <c r="UE702" s="16"/>
      <c r="UF702" s="16"/>
      <c r="UG702" s="16"/>
      <c r="UH702" s="16"/>
      <c r="UI702" s="16"/>
      <c r="UJ702" s="16"/>
      <c r="UK702" s="16"/>
      <c r="UL702" s="16"/>
      <c r="UM702" s="16"/>
      <c r="UN702" s="16"/>
      <c r="UO702" s="16"/>
      <c r="UP702" s="16"/>
      <c r="UQ702" s="16"/>
      <c r="UR702" s="16"/>
      <c r="US702" s="16"/>
      <c r="UT702" s="16"/>
      <c r="UU702" s="16"/>
      <c r="UV702" s="16"/>
      <c r="UW702" s="16"/>
      <c r="UX702" s="16"/>
      <c r="UY702" s="16"/>
      <c r="UZ702" s="16"/>
      <c r="VA702" s="16"/>
      <c r="VB702" s="16"/>
      <c r="VC702" s="16"/>
      <c r="VD702" s="16"/>
      <c r="VE702" s="16"/>
      <c r="VF702" s="16"/>
      <c r="VG702" s="16"/>
      <c r="VH702" s="16"/>
      <c r="VI702" s="16"/>
      <c r="VJ702" s="16"/>
      <c r="VK702" s="16"/>
      <c r="VL702" s="16"/>
      <c r="VM702" s="16"/>
      <c r="VN702" s="16"/>
      <c r="VO702" s="16"/>
      <c r="VP702" s="16"/>
      <c r="VQ702" s="16"/>
      <c r="VR702" s="16"/>
      <c r="VS702" s="16"/>
      <c r="VT702" s="16"/>
      <c r="VU702" s="16"/>
      <c r="VV702" s="16"/>
      <c r="VW702" s="16"/>
      <c r="VX702" s="16"/>
      <c r="VY702" s="16"/>
      <c r="VZ702" s="16"/>
      <c r="WA702" s="16"/>
      <c r="WB702" s="16"/>
      <c r="WC702" s="16"/>
      <c r="WD702" s="16"/>
      <c r="WE702" s="16"/>
      <c r="WF702" s="16"/>
      <c r="WG702" s="16"/>
      <c r="WH702" s="16"/>
      <c r="WI702" s="16"/>
      <c r="WJ702" s="16"/>
      <c r="WK702" s="16"/>
      <c r="WL702" s="16"/>
      <c r="WM702" s="16"/>
      <c r="WN702" s="16"/>
      <c r="WO702" s="16"/>
      <c r="WP702" s="16"/>
      <c r="WQ702" s="16"/>
      <c r="WR702" s="16"/>
      <c r="WS702" s="16"/>
      <c r="WT702" s="16"/>
      <c r="WU702" s="16"/>
      <c r="WV702" s="16"/>
      <c r="WW702" s="16"/>
      <c r="WX702" s="16"/>
      <c r="WY702" s="16"/>
      <c r="WZ702" s="16"/>
      <c r="XA702" s="16"/>
      <c r="XB702" s="16"/>
      <c r="XC702" s="16"/>
      <c r="XD702" s="16"/>
      <c r="XE702" s="16"/>
      <c r="XF702" s="16"/>
      <c r="XG702" s="16"/>
      <c r="XH702" s="16"/>
      <c r="XI702" s="16"/>
      <c r="XJ702" s="16"/>
      <c r="XK702" s="16"/>
      <c r="XL702" s="16"/>
      <c r="XM702" s="16"/>
      <c r="XN702" s="16"/>
      <c r="XO702" s="16"/>
      <c r="XP702" s="16"/>
      <c r="XQ702" s="16"/>
      <c r="XR702" s="16"/>
      <c r="XS702" s="16"/>
      <c r="XT702" s="16"/>
      <c r="XU702" s="16"/>
      <c r="XV702" s="16"/>
      <c r="XW702" s="16"/>
      <c r="XX702" s="16"/>
      <c r="XY702" s="16"/>
      <c r="XZ702" s="16"/>
      <c r="YA702" s="16"/>
      <c r="YB702" s="16"/>
      <c r="YC702" s="16"/>
      <c r="YD702" s="16"/>
      <c r="YE702" s="16"/>
      <c r="YF702" s="16"/>
      <c r="YG702" s="16"/>
      <c r="YH702" s="16"/>
      <c r="YI702" s="16"/>
      <c r="YJ702" s="16"/>
      <c r="YK702" s="16"/>
      <c r="YL702" s="16"/>
      <c r="YM702" s="16"/>
      <c r="YN702" s="16"/>
      <c r="YO702" s="16"/>
      <c r="YP702" s="16"/>
      <c r="YQ702" s="16"/>
      <c r="YR702" s="16"/>
      <c r="YS702" s="16"/>
      <c r="YT702" s="16"/>
      <c r="YU702" s="16"/>
      <c r="YV702" s="16"/>
      <c r="YW702" s="16"/>
      <c r="YX702" s="16"/>
      <c r="YY702" s="16"/>
      <c r="YZ702" s="16"/>
      <c r="ZA702" s="16"/>
      <c r="ZB702" s="16"/>
      <c r="ZC702" s="16"/>
      <c r="ZD702" s="16"/>
      <c r="ZE702" s="16"/>
      <c r="ZF702" s="16"/>
      <c r="ZG702" s="16"/>
      <c r="ZH702" s="16"/>
      <c r="ZI702" s="16"/>
      <c r="ZJ702" s="16"/>
      <c r="ZK702" s="16"/>
      <c r="ZL702" s="16"/>
      <c r="ZM702" s="16"/>
      <c r="ZN702" s="16"/>
      <c r="ZO702" s="16"/>
      <c r="ZP702" s="16"/>
      <c r="ZQ702" s="16"/>
      <c r="ZR702" s="16"/>
      <c r="ZS702" s="16"/>
      <c r="ZT702" s="16"/>
      <c r="ZU702" s="16"/>
      <c r="ZV702" s="16"/>
      <c r="ZW702" s="16"/>
      <c r="ZX702" s="16"/>
      <c r="ZY702" s="16"/>
      <c r="ZZ702" s="16"/>
      <c r="AAA702" s="16"/>
      <c r="AAB702" s="16"/>
      <c r="AAC702" s="16"/>
      <c r="AAD702" s="16"/>
      <c r="AAE702" s="16"/>
      <c r="AAF702" s="16"/>
      <c r="AAG702" s="16"/>
      <c r="AAH702" s="16"/>
      <c r="AAI702" s="16"/>
      <c r="AAJ702" s="16"/>
      <c r="AAK702" s="16"/>
      <c r="AAL702" s="16"/>
      <c r="AAM702" s="16"/>
      <c r="AAN702" s="16"/>
      <c r="AAO702" s="16"/>
      <c r="AAP702" s="16"/>
      <c r="AAQ702" s="16"/>
      <c r="AAR702" s="16"/>
      <c r="AAS702" s="16"/>
      <c r="AAT702" s="16"/>
      <c r="AAU702" s="16"/>
      <c r="AAV702" s="16"/>
      <c r="AAW702" s="16"/>
      <c r="AAX702" s="16"/>
      <c r="AAY702" s="16"/>
      <c r="AAZ702" s="16"/>
      <c r="ABA702" s="16"/>
      <c r="ABB702" s="16"/>
      <c r="ABC702" s="16"/>
      <c r="ABD702" s="16"/>
      <c r="ABE702" s="16"/>
      <c r="ABF702" s="16"/>
      <c r="ABG702" s="16"/>
      <c r="ABH702" s="16"/>
      <c r="ABI702" s="16"/>
      <c r="ABJ702" s="16"/>
      <c r="ABK702" s="16"/>
      <c r="ABL702" s="16"/>
      <c r="ABM702" s="16"/>
      <c r="ABN702" s="16"/>
      <c r="ABO702" s="16"/>
      <c r="ABP702" s="16"/>
      <c r="ABQ702" s="16"/>
      <c r="ABR702" s="16"/>
      <c r="ABS702" s="16"/>
      <c r="ABT702" s="16"/>
      <c r="ABU702" s="16"/>
      <c r="ABV702" s="16"/>
      <c r="ABW702" s="16"/>
      <c r="ABX702" s="16"/>
      <c r="ABY702" s="16"/>
      <c r="ABZ702" s="16"/>
      <c r="ACA702" s="16"/>
      <c r="ACB702" s="16"/>
      <c r="ACC702" s="16"/>
      <c r="ACD702" s="16"/>
      <c r="ACE702" s="16"/>
      <c r="ACF702" s="16"/>
      <c r="ACG702" s="16"/>
      <c r="ACH702" s="16"/>
      <c r="ACI702" s="16"/>
      <c r="ACJ702" s="16"/>
      <c r="ACK702" s="16"/>
      <c r="ACL702" s="16"/>
      <c r="ACM702" s="16"/>
      <c r="ACN702" s="16"/>
      <c r="ACO702" s="16"/>
      <c r="ACP702" s="16"/>
      <c r="ACQ702" s="16"/>
      <c r="ACR702" s="16"/>
      <c r="ACS702" s="16"/>
      <c r="ACT702" s="16"/>
      <c r="ACU702" s="16"/>
      <c r="ACV702" s="16"/>
      <c r="ACW702" s="16"/>
      <c r="ACX702" s="16"/>
      <c r="ACY702" s="16"/>
      <c r="ACZ702" s="16"/>
      <c r="ADA702" s="16"/>
      <c r="ADB702" s="16"/>
      <c r="ADC702" s="16"/>
      <c r="ADD702" s="16"/>
      <c r="ADE702" s="16"/>
      <c r="ADF702" s="16"/>
      <c r="ADG702" s="16"/>
      <c r="ADH702" s="16"/>
      <c r="ADI702" s="16"/>
      <c r="ADJ702" s="16"/>
      <c r="ADK702" s="16"/>
      <c r="ADL702" s="16"/>
      <c r="ADM702" s="16"/>
      <c r="ADN702" s="16"/>
      <c r="ADO702" s="16"/>
      <c r="ADP702" s="16"/>
      <c r="ADQ702" s="16"/>
      <c r="ADR702" s="16"/>
      <c r="ADS702" s="16"/>
      <c r="ADT702" s="16"/>
      <c r="ADU702" s="16"/>
      <c r="ADV702" s="16"/>
      <c r="ADW702" s="16"/>
      <c r="ADX702" s="16"/>
      <c r="ADY702" s="16"/>
      <c r="ADZ702" s="16"/>
      <c r="AEA702" s="16"/>
      <c r="AEB702" s="16"/>
      <c r="AEC702" s="16"/>
      <c r="AED702" s="16"/>
      <c r="AEE702" s="16"/>
      <c r="AEF702" s="16"/>
      <c r="AEG702" s="16"/>
      <c r="AEH702" s="16"/>
      <c r="AEI702" s="16"/>
      <c r="AEJ702" s="16"/>
      <c r="AEK702" s="16"/>
      <c r="AEL702" s="16"/>
      <c r="AEM702" s="16"/>
      <c r="AEN702" s="16"/>
      <c r="AEO702" s="16"/>
      <c r="AEP702" s="16"/>
      <c r="AEQ702" s="16"/>
      <c r="AER702" s="16"/>
      <c r="AES702" s="16"/>
      <c r="AET702" s="16"/>
      <c r="AEU702" s="16"/>
      <c r="AEV702" s="16"/>
      <c r="AEW702" s="16"/>
      <c r="AEX702" s="16"/>
      <c r="AEY702" s="16"/>
      <c r="AEZ702" s="16"/>
      <c r="AFA702" s="16"/>
      <c r="AFB702" s="16"/>
      <c r="AFC702" s="16"/>
      <c r="AFD702" s="16"/>
      <c r="AFE702" s="16"/>
      <c r="AFF702" s="16"/>
      <c r="AFG702" s="16"/>
      <c r="AFH702" s="16"/>
      <c r="AFI702" s="16"/>
      <c r="AFJ702" s="16"/>
      <c r="AFK702" s="16"/>
      <c r="AFL702" s="16"/>
      <c r="AFM702" s="16"/>
      <c r="AFN702" s="16"/>
      <c r="AFO702" s="16"/>
      <c r="AFP702" s="16"/>
      <c r="AFQ702" s="16"/>
      <c r="AFR702" s="16"/>
      <c r="AFS702" s="16"/>
      <c r="AFT702" s="16"/>
      <c r="AFU702" s="16"/>
      <c r="AFV702" s="16"/>
      <c r="AFW702" s="16"/>
      <c r="AFX702" s="16"/>
      <c r="AFY702" s="16"/>
      <c r="AFZ702" s="16"/>
      <c r="AGA702" s="16"/>
      <c r="AGB702" s="16"/>
      <c r="AGC702" s="16"/>
      <c r="AGD702" s="16"/>
      <c r="AGE702" s="16"/>
      <c r="AGF702" s="16"/>
      <c r="AGG702" s="16"/>
      <c r="AGH702" s="16"/>
      <c r="AGI702" s="16"/>
      <c r="AGJ702" s="16"/>
    </row>
    <row r="703" spans="1:868">
      <c r="E703" s="217"/>
    </row>
    <row r="704" spans="1:868" s="221" customFormat="1">
      <c r="A704" s="409" t="s">
        <v>2077</v>
      </c>
      <c r="E704" s="951"/>
    </row>
    <row r="705" spans="1:14">
      <c r="A705" t="s">
        <v>2077</v>
      </c>
      <c r="B705" t="s">
        <v>2085</v>
      </c>
      <c r="C705" t="s">
        <v>139</v>
      </c>
      <c r="D705" t="s">
        <v>139</v>
      </c>
      <c r="E705" s="217">
        <v>0.34</v>
      </c>
      <c r="F705">
        <v>1</v>
      </c>
      <c r="G705" s="7" t="s">
        <v>163</v>
      </c>
      <c r="H705">
        <v>2</v>
      </c>
      <c r="I705">
        <v>2</v>
      </c>
      <c r="J705">
        <v>2</v>
      </c>
      <c r="K705">
        <v>3</v>
      </c>
      <c r="L705">
        <v>1</v>
      </c>
      <c r="M705">
        <v>2</v>
      </c>
    </row>
    <row r="706" spans="1:14">
      <c r="A706" t="s">
        <v>2077</v>
      </c>
      <c r="B706" t="s">
        <v>2086</v>
      </c>
      <c r="C706" t="s">
        <v>139</v>
      </c>
      <c r="D706" t="s">
        <v>139</v>
      </c>
      <c r="E706" s="217">
        <v>0.34</v>
      </c>
      <c r="F706">
        <v>1</v>
      </c>
      <c r="G706" s="7" t="s">
        <v>163</v>
      </c>
      <c r="H706">
        <v>2</v>
      </c>
      <c r="I706">
        <v>2</v>
      </c>
      <c r="J706">
        <v>2</v>
      </c>
      <c r="K706">
        <v>3</v>
      </c>
      <c r="L706">
        <v>1</v>
      </c>
      <c r="M706">
        <v>2</v>
      </c>
    </row>
    <row r="707" spans="1:14">
      <c r="A707" t="s">
        <v>2077</v>
      </c>
      <c r="B707" t="s">
        <v>2087</v>
      </c>
      <c r="C707" t="s">
        <v>139</v>
      </c>
      <c r="D707" t="s">
        <v>139</v>
      </c>
      <c r="E707" s="217">
        <v>0.06</v>
      </c>
      <c r="F707">
        <v>2</v>
      </c>
      <c r="G707" s="7" t="s">
        <v>2121</v>
      </c>
      <c r="H707" s="910">
        <v>3</v>
      </c>
      <c r="I707" s="910">
        <v>3</v>
      </c>
      <c r="J707" s="910">
        <v>3</v>
      </c>
      <c r="K707" s="910">
        <v>3</v>
      </c>
      <c r="L707" s="910">
        <v>3</v>
      </c>
      <c r="M707" s="910">
        <v>3</v>
      </c>
      <c r="N707" s="380" t="s">
        <v>2122</v>
      </c>
    </row>
    <row r="708" spans="1:14">
      <c r="A708" t="s">
        <v>2077</v>
      </c>
      <c r="B708" t="s">
        <v>2088</v>
      </c>
      <c r="C708" t="s">
        <v>139</v>
      </c>
      <c r="D708" t="s">
        <v>139</v>
      </c>
      <c r="E708" s="217">
        <v>0.1</v>
      </c>
      <c r="F708">
        <v>2</v>
      </c>
      <c r="G708" s="7" t="s">
        <v>2121</v>
      </c>
      <c r="H708" s="910">
        <v>3</v>
      </c>
      <c r="I708" s="910">
        <v>3</v>
      </c>
      <c r="J708" s="910">
        <v>3</v>
      </c>
      <c r="K708" s="910">
        <v>3</v>
      </c>
      <c r="L708" s="910">
        <v>3</v>
      </c>
      <c r="M708" s="910">
        <v>3</v>
      </c>
      <c r="N708" s="380" t="s">
        <v>2122</v>
      </c>
    </row>
    <row r="709" spans="1:14">
      <c r="A709" t="s">
        <v>2077</v>
      </c>
      <c r="B709" t="s">
        <v>2089</v>
      </c>
      <c r="C709" t="s">
        <v>139</v>
      </c>
      <c r="D709" t="s">
        <v>139</v>
      </c>
      <c r="E709" s="217">
        <v>0.13</v>
      </c>
      <c r="F709">
        <v>2</v>
      </c>
      <c r="G709" s="7" t="s">
        <v>2121</v>
      </c>
      <c r="H709" s="910">
        <v>3</v>
      </c>
      <c r="I709" s="910">
        <v>3</v>
      </c>
      <c r="J709" s="910">
        <v>3</v>
      </c>
      <c r="K709" s="910">
        <v>3</v>
      </c>
      <c r="L709" s="910">
        <v>3</v>
      </c>
      <c r="M709" s="910">
        <v>3</v>
      </c>
      <c r="N709" s="380" t="s">
        <v>2122</v>
      </c>
    </row>
    <row r="710" spans="1:14">
      <c r="A710" t="s">
        <v>2077</v>
      </c>
      <c r="B710" t="s">
        <v>2090</v>
      </c>
      <c r="C710" t="s">
        <v>139</v>
      </c>
      <c r="D710" t="s">
        <v>139</v>
      </c>
      <c r="E710" s="217">
        <v>0.03</v>
      </c>
      <c r="F710">
        <v>2</v>
      </c>
      <c r="G710" s="7" t="s">
        <v>2121</v>
      </c>
      <c r="H710" s="910">
        <v>3</v>
      </c>
      <c r="I710" s="910">
        <v>3</v>
      </c>
      <c r="J710" s="910">
        <v>3</v>
      </c>
      <c r="K710" s="910">
        <v>3</v>
      </c>
      <c r="L710" s="910">
        <v>3</v>
      </c>
      <c r="M710" s="910">
        <v>3</v>
      </c>
      <c r="N710" s="380" t="s">
        <v>2122</v>
      </c>
    </row>
    <row r="711" spans="1:14">
      <c r="A711" s="436" t="s">
        <v>2085</v>
      </c>
      <c r="B711" s="436" t="s">
        <v>228</v>
      </c>
      <c r="C711" s="436" t="s">
        <v>139</v>
      </c>
      <c r="D711" s="436" t="s">
        <v>139</v>
      </c>
      <c r="E711" s="952">
        <v>0.5</v>
      </c>
      <c r="F711" s="436">
        <v>2</v>
      </c>
      <c r="G711" s="436" t="s">
        <v>2120</v>
      </c>
      <c r="H711" s="436">
        <v>3</v>
      </c>
      <c r="I711">
        <v>3</v>
      </c>
      <c r="J711">
        <v>3</v>
      </c>
      <c r="K711">
        <v>3</v>
      </c>
      <c r="L711">
        <v>3</v>
      </c>
      <c r="M711">
        <v>3</v>
      </c>
    </row>
    <row r="712" spans="1:14">
      <c r="A712" s="436" t="s">
        <v>2085</v>
      </c>
      <c r="B712" s="436" t="s">
        <v>304</v>
      </c>
      <c r="C712" s="436" t="s">
        <v>139</v>
      </c>
      <c r="D712" s="436" t="s">
        <v>139</v>
      </c>
      <c r="E712" s="952" t="s">
        <v>150</v>
      </c>
      <c r="F712" s="436">
        <v>1</v>
      </c>
      <c r="G712" s="436" t="s">
        <v>2120</v>
      </c>
      <c r="H712" s="436"/>
    </row>
    <row r="713" spans="1:14" s="909" customFormat="1">
      <c r="A713" s="436" t="s">
        <v>2086</v>
      </c>
      <c r="B713" s="436" t="s">
        <v>231</v>
      </c>
      <c r="C713" s="436" t="s">
        <v>139</v>
      </c>
      <c r="D713" s="436" t="s">
        <v>139</v>
      </c>
      <c r="E713" s="952">
        <v>0.5</v>
      </c>
      <c r="F713" s="436">
        <v>2</v>
      </c>
      <c r="G713" s="436" t="s">
        <v>2120</v>
      </c>
      <c r="H713" s="436">
        <v>3</v>
      </c>
      <c r="I713">
        <v>3</v>
      </c>
      <c r="J713">
        <v>3</v>
      </c>
      <c r="K713">
        <v>3</v>
      </c>
      <c r="L713">
        <v>3</v>
      </c>
      <c r="M713">
        <v>3</v>
      </c>
    </row>
    <row r="714" spans="1:14" s="909" customFormat="1">
      <c r="A714" s="436" t="s">
        <v>2086</v>
      </c>
      <c r="B714" s="436" t="s">
        <v>251</v>
      </c>
      <c r="C714" s="436" t="s">
        <v>139</v>
      </c>
      <c r="D714" s="436" t="s">
        <v>139</v>
      </c>
      <c r="E714" s="952" t="s">
        <v>150</v>
      </c>
      <c r="F714" s="436">
        <v>1</v>
      </c>
      <c r="G714" s="436" t="s">
        <v>2120</v>
      </c>
      <c r="H714" s="436"/>
      <c r="I714"/>
      <c r="J714"/>
      <c r="K714"/>
      <c r="L714"/>
      <c r="M714"/>
    </row>
    <row r="715" spans="1:14">
      <c r="A715" s="436" t="s">
        <v>2087</v>
      </c>
      <c r="B715" s="436" t="s">
        <v>231</v>
      </c>
      <c r="C715" s="436" t="s">
        <v>139</v>
      </c>
      <c r="D715" s="436" t="s">
        <v>139</v>
      </c>
      <c r="E715" s="952">
        <v>0.5</v>
      </c>
      <c r="F715" s="436">
        <v>2</v>
      </c>
      <c r="G715" s="436" t="s">
        <v>2120</v>
      </c>
      <c r="H715" s="436">
        <v>3</v>
      </c>
      <c r="I715">
        <v>3</v>
      </c>
      <c r="J715">
        <v>3</v>
      </c>
      <c r="K715">
        <v>3</v>
      </c>
      <c r="L715">
        <v>3</v>
      </c>
      <c r="M715">
        <v>3</v>
      </c>
    </row>
    <row r="716" spans="1:14">
      <c r="A716" s="436" t="s">
        <v>2087</v>
      </c>
      <c r="B716" s="436" t="s">
        <v>2111</v>
      </c>
      <c r="C716" s="436" t="s">
        <v>139</v>
      </c>
      <c r="D716" s="436" t="s">
        <v>139</v>
      </c>
      <c r="E716" s="952" t="s">
        <v>150</v>
      </c>
      <c r="F716" s="436">
        <v>1</v>
      </c>
      <c r="G716" s="436" t="s">
        <v>2120</v>
      </c>
      <c r="H716" s="436"/>
    </row>
    <row r="717" spans="1:14">
      <c r="A717" s="436" t="s">
        <v>2088</v>
      </c>
      <c r="B717" s="436" t="s">
        <v>232</v>
      </c>
      <c r="C717" s="436" t="s">
        <v>139</v>
      </c>
      <c r="D717" s="436" t="s">
        <v>139</v>
      </c>
      <c r="E717" s="952">
        <v>0.5</v>
      </c>
      <c r="F717" s="436">
        <v>2</v>
      </c>
      <c r="G717" s="436" t="s">
        <v>2120</v>
      </c>
      <c r="H717" s="436">
        <v>3</v>
      </c>
      <c r="I717">
        <v>3</v>
      </c>
      <c r="J717">
        <v>3</v>
      </c>
      <c r="K717">
        <v>3</v>
      </c>
      <c r="L717">
        <v>3</v>
      </c>
      <c r="M717">
        <v>3</v>
      </c>
    </row>
    <row r="718" spans="1:14">
      <c r="A718" s="436" t="s">
        <v>2088</v>
      </c>
      <c r="B718" s="436" t="s">
        <v>2112</v>
      </c>
      <c r="C718" s="436" t="s">
        <v>139</v>
      </c>
      <c r="D718" s="436" t="s">
        <v>139</v>
      </c>
      <c r="E718" s="952" t="s">
        <v>150</v>
      </c>
      <c r="F718" s="436">
        <v>1</v>
      </c>
      <c r="G718" s="436" t="s">
        <v>2120</v>
      </c>
      <c r="H718" s="436"/>
    </row>
    <row r="719" spans="1:14" s="909" customFormat="1">
      <c r="A719" s="436" t="s">
        <v>2089</v>
      </c>
      <c r="B719" s="436" t="s">
        <v>232</v>
      </c>
      <c r="C719" s="436" t="s">
        <v>139</v>
      </c>
      <c r="D719" s="436" t="s">
        <v>139</v>
      </c>
      <c r="E719" s="952">
        <v>0.5</v>
      </c>
      <c r="F719" s="436">
        <v>2</v>
      </c>
      <c r="G719" s="436" t="s">
        <v>2120</v>
      </c>
      <c r="H719" s="436">
        <v>3</v>
      </c>
      <c r="I719">
        <v>3</v>
      </c>
      <c r="J719">
        <v>3</v>
      </c>
      <c r="K719">
        <v>3</v>
      </c>
      <c r="L719">
        <v>3</v>
      </c>
      <c r="M719">
        <v>3</v>
      </c>
    </row>
    <row r="720" spans="1:14" s="909" customFormat="1">
      <c r="A720" s="436" t="s">
        <v>2089</v>
      </c>
      <c r="B720" s="436" t="s">
        <v>2113</v>
      </c>
      <c r="C720" s="436" t="s">
        <v>139</v>
      </c>
      <c r="D720" s="436" t="s">
        <v>139</v>
      </c>
      <c r="E720" s="952" t="s">
        <v>150</v>
      </c>
      <c r="F720" s="436">
        <v>1</v>
      </c>
      <c r="G720" s="436" t="s">
        <v>2120</v>
      </c>
      <c r="H720" s="436"/>
    </row>
    <row r="721" spans="1:13">
      <c r="A721" s="436" t="s">
        <v>2090</v>
      </c>
      <c r="B721" s="436" t="s">
        <v>232</v>
      </c>
      <c r="C721" s="436" t="s">
        <v>139</v>
      </c>
      <c r="D721" s="436" t="s">
        <v>139</v>
      </c>
      <c r="E721" s="952">
        <v>1</v>
      </c>
      <c r="F721" s="436">
        <v>1</v>
      </c>
      <c r="H721" s="436">
        <v>0</v>
      </c>
      <c r="I721">
        <v>0</v>
      </c>
      <c r="J721">
        <v>0</v>
      </c>
      <c r="K721">
        <v>0</v>
      </c>
      <c r="L721">
        <v>0</v>
      </c>
      <c r="M721">
        <v>0</v>
      </c>
    </row>
    <row r="722" spans="1:13">
      <c r="A722" s="436" t="s">
        <v>2111</v>
      </c>
      <c r="B722" s="436" t="s">
        <v>2114</v>
      </c>
      <c r="C722" s="436" t="s">
        <v>139</v>
      </c>
      <c r="D722" s="436" t="s">
        <v>139</v>
      </c>
      <c r="E722" s="217">
        <v>0.625</v>
      </c>
      <c r="F722">
        <v>2</v>
      </c>
      <c r="G722" t="s">
        <v>2115</v>
      </c>
      <c r="H722">
        <v>2</v>
      </c>
      <c r="I722">
        <v>2</v>
      </c>
      <c r="J722">
        <v>1</v>
      </c>
      <c r="K722">
        <v>1</v>
      </c>
      <c r="L722">
        <v>1</v>
      </c>
      <c r="M722">
        <v>1</v>
      </c>
    </row>
    <row r="723" spans="1:13">
      <c r="A723" s="436" t="s">
        <v>2111</v>
      </c>
      <c r="B723" s="436" t="s">
        <v>2116</v>
      </c>
      <c r="C723" s="436" t="s">
        <v>139</v>
      </c>
      <c r="D723" s="436" t="s">
        <v>139</v>
      </c>
      <c r="E723" s="217" t="s">
        <v>150</v>
      </c>
      <c r="F723">
        <v>1</v>
      </c>
    </row>
    <row r="724" spans="1:13">
      <c r="A724" s="436" t="s">
        <v>2112</v>
      </c>
      <c r="B724" s="436" t="s">
        <v>2114</v>
      </c>
      <c r="C724" s="436" t="s">
        <v>139</v>
      </c>
      <c r="D724" s="436" t="s">
        <v>139</v>
      </c>
      <c r="E724" s="217">
        <v>0.83</v>
      </c>
      <c r="F724">
        <v>2</v>
      </c>
      <c r="G724" t="s">
        <v>2115</v>
      </c>
      <c r="H724">
        <v>2</v>
      </c>
      <c r="I724">
        <v>2</v>
      </c>
      <c r="J724">
        <v>1</v>
      </c>
      <c r="K724">
        <v>1</v>
      </c>
      <c r="L724">
        <v>1</v>
      </c>
      <c r="M724">
        <v>1</v>
      </c>
    </row>
    <row r="725" spans="1:13">
      <c r="A725" s="436" t="s">
        <v>2112</v>
      </c>
      <c r="B725" s="436" t="s">
        <v>2116</v>
      </c>
      <c r="C725" s="436" t="s">
        <v>139</v>
      </c>
      <c r="D725" s="436" t="s">
        <v>139</v>
      </c>
      <c r="E725" s="217" t="s">
        <v>150</v>
      </c>
      <c r="F725">
        <v>1</v>
      </c>
    </row>
    <row r="726" spans="1:13">
      <c r="A726" s="436" t="s">
        <v>2113</v>
      </c>
      <c r="B726" s="436" t="s">
        <v>2114</v>
      </c>
      <c r="C726" s="436" t="s">
        <v>139</v>
      </c>
      <c r="D726" s="436" t="s">
        <v>139</v>
      </c>
      <c r="E726" s="217">
        <v>0.67</v>
      </c>
      <c r="F726">
        <v>2</v>
      </c>
      <c r="G726" t="s">
        <v>2115</v>
      </c>
      <c r="H726">
        <v>2</v>
      </c>
      <c r="I726">
        <v>2</v>
      </c>
      <c r="J726">
        <v>1</v>
      </c>
      <c r="K726">
        <v>1</v>
      </c>
      <c r="L726">
        <v>1</v>
      </c>
      <c r="M726">
        <v>1</v>
      </c>
    </row>
    <row r="727" spans="1:13">
      <c r="A727" s="436" t="s">
        <v>2113</v>
      </c>
      <c r="B727" s="436" t="s">
        <v>2116</v>
      </c>
      <c r="C727" s="436" t="s">
        <v>139</v>
      </c>
      <c r="D727" s="436" t="s">
        <v>139</v>
      </c>
      <c r="E727" s="217" t="s">
        <v>150</v>
      </c>
      <c r="F727">
        <v>1</v>
      </c>
    </row>
    <row r="728" spans="1:13">
      <c r="A728" s="436" t="s">
        <v>2114</v>
      </c>
      <c r="B728" s="436" t="s">
        <v>228</v>
      </c>
      <c r="C728" s="436" t="s">
        <v>139</v>
      </c>
      <c r="D728" s="436" t="s">
        <v>139</v>
      </c>
      <c r="E728" s="217">
        <v>0.01</v>
      </c>
      <c r="F728">
        <v>2</v>
      </c>
      <c r="G728" t="s">
        <v>43</v>
      </c>
      <c r="H728">
        <v>3</v>
      </c>
      <c r="I728">
        <v>3</v>
      </c>
      <c r="J728">
        <v>3</v>
      </c>
      <c r="K728">
        <v>3</v>
      </c>
      <c r="L728">
        <v>3</v>
      </c>
      <c r="M728">
        <v>3</v>
      </c>
    </row>
    <row r="729" spans="1:13">
      <c r="A729" s="436" t="s">
        <v>2114</v>
      </c>
      <c r="B729" s="436" t="s">
        <v>223</v>
      </c>
      <c r="C729" s="436" t="s">
        <v>139</v>
      </c>
      <c r="D729" s="436" t="s">
        <v>139</v>
      </c>
      <c r="E729" s="217" t="s">
        <v>150</v>
      </c>
      <c r="F729">
        <v>1</v>
      </c>
    </row>
    <row r="730" spans="1:13">
      <c r="A730" t="s">
        <v>2116</v>
      </c>
      <c r="B730" s="436" t="s">
        <v>228</v>
      </c>
      <c r="C730" s="436" t="s">
        <v>139</v>
      </c>
      <c r="D730" s="436" t="s">
        <v>139</v>
      </c>
      <c r="E730" s="217">
        <v>0.01</v>
      </c>
      <c r="F730">
        <v>2</v>
      </c>
      <c r="G730" t="s">
        <v>43</v>
      </c>
      <c r="H730">
        <v>3</v>
      </c>
      <c r="I730">
        <v>3</v>
      </c>
      <c r="J730">
        <v>3</v>
      </c>
      <c r="K730">
        <v>3</v>
      </c>
      <c r="L730">
        <v>3</v>
      </c>
      <c r="M730">
        <v>3</v>
      </c>
    </row>
    <row r="731" spans="1:13">
      <c r="A731" t="s">
        <v>2116</v>
      </c>
      <c r="B731" t="s">
        <v>232</v>
      </c>
      <c r="C731" s="436" t="s">
        <v>139</v>
      </c>
      <c r="D731" s="436" t="s">
        <v>139</v>
      </c>
      <c r="E731" s="217" t="s">
        <v>150</v>
      </c>
      <c r="F731">
        <v>1</v>
      </c>
    </row>
    <row r="732" spans="1:13">
      <c r="C732" s="436"/>
      <c r="D732" s="436"/>
      <c r="E732" s="217"/>
    </row>
    <row r="733" spans="1:13" s="221" customFormat="1">
      <c r="A733" s="409" t="s">
        <v>2246</v>
      </c>
      <c r="E733" s="951"/>
    </row>
    <row r="734" spans="1:13">
      <c r="A734" t="s">
        <v>2242</v>
      </c>
      <c r="B734" s="436" t="s">
        <v>304</v>
      </c>
      <c r="C734" s="436" t="s">
        <v>139</v>
      </c>
      <c r="D734" s="436" t="s">
        <v>139</v>
      </c>
      <c r="E734" t="s">
        <v>150</v>
      </c>
      <c r="F734" s="436">
        <v>1</v>
      </c>
      <c r="G734" s="436" t="s">
        <v>2248</v>
      </c>
      <c r="H734" s="436"/>
      <c r="I734" s="436"/>
      <c r="J734" s="436"/>
      <c r="K734" s="436"/>
      <c r="L734" s="436"/>
      <c r="M734" s="436"/>
    </row>
    <row r="735" spans="1:13">
      <c r="A735" t="s">
        <v>2242</v>
      </c>
      <c r="B735" s="436" t="s">
        <v>361</v>
      </c>
      <c r="C735" s="436" t="s">
        <v>139</v>
      </c>
      <c r="D735" s="436" t="s">
        <v>139</v>
      </c>
      <c r="E735">
        <v>0.1</v>
      </c>
      <c r="F735" s="436">
        <v>2</v>
      </c>
      <c r="G735" s="436" t="s">
        <v>2249</v>
      </c>
      <c r="H735" s="436">
        <v>3</v>
      </c>
      <c r="I735" s="436">
        <v>3</v>
      </c>
      <c r="J735" s="436">
        <v>3</v>
      </c>
      <c r="K735" s="436">
        <v>3</v>
      </c>
      <c r="L735" s="436">
        <v>3</v>
      </c>
      <c r="M735" s="436">
        <v>3</v>
      </c>
    </row>
    <row r="736" spans="1:13">
      <c r="A736" t="s">
        <v>2242</v>
      </c>
      <c r="B736" s="436" t="s">
        <v>398</v>
      </c>
      <c r="C736" s="436" t="s">
        <v>139</v>
      </c>
      <c r="D736" s="436" t="s">
        <v>139</v>
      </c>
      <c r="E736">
        <v>0.6</v>
      </c>
      <c r="F736" s="436">
        <v>2</v>
      </c>
      <c r="G736" s="436" t="s">
        <v>2248</v>
      </c>
      <c r="H736" s="436">
        <v>3</v>
      </c>
      <c r="I736" s="436">
        <v>3</v>
      </c>
      <c r="J736" s="436">
        <v>3</v>
      </c>
      <c r="K736" s="436">
        <v>3</v>
      </c>
      <c r="L736" s="436">
        <v>3</v>
      </c>
      <c r="M736" s="436">
        <v>3</v>
      </c>
    </row>
    <row r="737" spans="1:13" s="221" customFormat="1">
      <c r="A737" s="409" t="s">
        <v>2247</v>
      </c>
      <c r="E737" s="951"/>
    </row>
    <row r="738" spans="1:13">
      <c r="A738" t="s">
        <v>2243</v>
      </c>
      <c r="B738" s="436" t="s">
        <v>228</v>
      </c>
      <c r="C738" s="436" t="s">
        <v>139</v>
      </c>
      <c r="D738" s="436" t="s">
        <v>139</v>
      </c>
      <c r="E738">
        <f>1-E736-E735</f>
        <v>0.30000000000000004</v>
      </c>
      <c r="F738" s="436">
        <v>2</v>
      </c>
      <c r="G738" s="436" t="s">
        <v>2248</v>
      </c>
      <c r="H738" s="436">
        <v>3</v>
      </c>
      <c r="I738" s="436">
        <v>3</v>
      </c>
      <c r="J738" s="436">
        <v>3</v>
      </c>
      <c r="K738" s="436">
        <v>3</v>
      </c>
      <c r="L738" s="436">
        <v>3</v>
      </c>
      <c r="M738" s="436">
        <v>3</v>
      </c>
    </row>
    <row r="739" spans="1:13">
      <c r="A739" t="s">
        <v>2243</v>
      </c>
      <c r="B739" s="436" t="s">
        <v>231</v>
      </c>
      <c r="C739" s="436" t="s">
        <v>139</v>
      </c>
      <c r="D739" s="436" t="s">
        <v>139</v>
      </c>
      <c r="E739" s="436" t="s">
        <v>150</v>
      </c>
      <c r="F739" s="436">
        <v>1</v>
      </c>
      <c r="G739" s="436" t="s">
        <v>2248</v>
      </c>
    </row>
    <row r="741" spans="1:13" s="1110" customFormat="1">
      <c r="A741" s="1109" t="s">
        <v>21</v>
      </c>
    </row>
    <row r="742" spans="1:13" s="1110" customFormat="1"/>
    <row r="743" spans="1:13">
      <c r="A743" t="s">
        <v>47</v>
      </c>
      <c r="B743" t="s">
        <v>2254</v>
      </c>
      <c r="C743" t="s">
        <v>2152</v>
      </c>
      <c r="D743" t="s">
        <v>104</v>
      </c>
      <c r="E743" s="436" t="s">
        <v>2160</v>
      </c>
      <c r="F743" t="s">
        <v>2161</v>
      </c>
      <c r="H743" t="s">
        <v>101</v>
      </c>
      <c r="I743">
        <v>5</v>
      </c>
      <c r="J743">
        <v>6</v>
      </c>
      <c r="K743">
        <v>7</v>
      </c>
      <c r="L743">
        <v>8</v>
      </c>
    </row>
    <row r="744" spans="1:13">
      <c r="A744" t="s">
        <v>2054</v>
      </c>
      <c r="B744" t="s">
        <v>2153</v>
      </c>
      <c r="C744" s="643">
        <v>2</v>
      </c>
      <c r="D744" t="s">
        <v>2285</v>
      </c>
      <c r="E744">
        <v>5</v>
      </c>
      <c r="F744" s="896">
        <f t="shared" ref="F744:F756" si="128">E744/C744</f>
        <v>2.5</v>
      </c>
      <c r="G744" s="540">
        <f t="shared" ref="G744:G756" si="129">1/C744</f>
        <v>0.5</v>
      </c>
      <c r="H744">
        <v>1</v>
      </c>
      <c r="I744">
        <v>0.3</v>
      </c>
      <c r="J744" s="540">
        <f>I744*(1-$G$753)</f>
        <v>0.25</v>
      </c>
      <c r="K744">
        <f>J744*(1-$G$748)</f>
        <v>0.2142857142857143</v>
      </c>
      <c r="L744">
        <f>K744*(1-$G$747)</f>
        <v>0.1875</v>
      </c>
    </row>
    <row r="745" spans="1:13">
      <c r="A745" t="s">
        <v>2056</v>
      </c>
      <c r="B745" t="s">
        <v>2156</v>
      </c>
      <c r="C745" s="643">
        <v>5</v>
      </c>
      <c r="D745" t="s">
        <v>2285</v>
      </c>
      <c r="E745">
        <v>5</v>
      </c>
      <c r="F745" s="896">
        <f t="shared" si="128"/>
        <v>1</v>
      </c>
      <c r="G745" s="540">
        <f t="shared" si="129"/>
        <v>0.2</v>
      </c>
      <c r="H745">
        <v>2</v>
      </c>
      <c r="I745">
        <v>0.4</v>
      </c>
      <c r="J745" s="540">
        <f>I745*(1-$G$753*I745)</f>
        <v>0.37333333333333335</v>
      </c>
      <c r="K745">
        <f>J745*(1-$G$748*J745)</f>
        <v>0.35342222222222225</v>
      </c>
      <c r="L745">
        <f t="shared" ref="L745:L750" si="130">K745*(1-$G$747*K745)</f>
        <v>0.33780881382716055</v>
      </c>
    </row>
    <row r="746" spans="1:13">
      <c r="A746" t="s">
        <v>2057</v>
      </c>
      <c r="B746" t="s">
        <v>2156</v>
      </c>
      <c r="C746" s="643">
        <v>5</v>
      </c>
      <c r="D746" t="s">
        <v>2285</v>
      </c>
      <c r="E746">
        <v>5</v>
      </c>
      <c r="F746" s="896">
        <f t="shared" si="128"/>
        <v>1</v>
      </c>
      <c r="G746" s="540">
        <f t="shared" si="129"/>
        <v>0.2</v>
      </c>
      <c r="H746">
        <v>3</v>
      </c>
      <c r="I746">
        <v>0.15</v>
      </c>
      <c r="J746" s="540">
        <f>I746*(1-$G$753*I746)</f>
        <v>0.14624999999999999</v>
      </c>
      <c r="K746">
        <f>J746*(1-$G$748*J746)</f>
        <v>0.14319441964285715</v>
      </c>
      <c r="L746">
        <f t="shared" si="130"/>
        <v>0.14063133941575032</v>
      </c>
    </row>
    <row r="747" spans="1:13">
      <c r="A747" t="s">
        <v>2185</v>
      </c>
      <c r="B747" t="s">
        <v>2159</v>
      </c>
      <c r="C747" s="643">
        <v>8</v>
      </c>
      <c r="D747" t="s">
        <v>2285</v>
      </c>
      <c r="E747">
        <v>5</v>
      </c>
      <c r="F747" s="896">
        <f t="shared" si="128"/>
        <v>0.625</v>
      </c>
      <c r="G747" s="540">
        <f t="shared" si="129"/>
        <v>0.125</v>
      </c>
      <c r="H747">
        <v>4</v>
      </c>
      <c r="I747">
        <v>0.1</v>
      </c>
      <c r="J747" s="540">
        <f>I747*(1-$G$753*I747)</f>
        <v>9.8333333333333328E-2</v>
      </c>
      <c r="K747">
        <f>J747*(1-$G$748*J747)</f>
        <v>9.6951984126984123E-2</v>
      </c>
      <c r="L747">
        <f t="shared" si="130"/>
        <v>9.5777023223714244E-2</v>
      </c>
    </row>
    <row r="748" spans="1:13">
      <c r="A748" t="s">
        <v>2186</v>
      </c>
      <c r="B748" t="s">
        <v>2158</v>
      </c>
      <c r="C748" s="643">
        <v>7</v>
      </c>
      <c r="D748" t="s">
        <v>2285</v>
      </c>
      <c r="E748">
        <v>5</v>
      </c>
      <c r="F748" s="896">
        <f t="shared" si="128"/>
        <v>0.7142857142857143</v>
      </c>
      <c r="G748" s="540">
        <f t="shared" si="129"/>
        <v>0.14285714285714285</v>
      </c>
      <c r="H748">
        <v>5</v>
      </c>
      <c r="I748">
        <v>0.05</v>
      </c>
      <c r="J748" s="540">
        <f>I748*(1-$G$753*I748)</f>
        <v>4.958333333333334E-2</v>
      </c>
      <c r="K748">
        <f>J748*(1-$G$748*J748)</f>
        <v>4.9232118055555565E-2</v>
      </c>
      <c r="L748">
        <f t="shared" si="130"/>
        <v>4.8929142874526044E-2</v>
      </c>
    </row>
    <row r="749" spans="1:13">
      <c r="A749" t="s">
        <v>2187</v>
      </c>
      <c r="B749" t="s">
        <v>2154</v>
      </c>
      <c r="C749" s="643">
        <v>3</v>
      </c>
      <c r="D749" t="s">
        <v>2285</v>
      </c>
      <c r="E749">
        <v>5</v>
      </c>
      <c r="F749" s="896">
        <f t="shared" si="128"/>
        <v>1.6666666666666667</v>
      </c>
      <c r="G749" s="540">
        <f t="shared" si="129"/>
        <v>0.33333333333333331</v>
      </c>
      <c r="H749">
        <v>6</v>
      </c>
      <c r="J749" s="540">
        <f>1-SUM(J744:J748)</f>
        <v>8.2500000000000018E-2</v>
      </c>
      <c r="K749">
        <f>J749*(1-$G$748*J749)</f>
        <v>8.1527678571428591E-2</v>
      </c>
      <c r="L749">
        <f t="shared" si="130"/>
        <v>8.0696833274772811E-2</v>
      </c>
    </row>
    <row r="750" spans="1:13">
      <c r="A750" t="s">
        <v>2058</v>
      </c>
      <c r="B750" t="s">
        <v>2156</v>
      </c>
      <c r="C750" s="643">
        <v>5</v>
      </c>
      <c r="D750" t="s">
        <v>2285</v>
      </c>
      <c r="E750">
        <v>5</v>
      </c>
      <c r="F750" s="896">
        <f t="shared" si="128"/>
        <v>1</v>
      </c>
      <c r="G750" s="540">
        <f t="shared" si="129"/>
        <v>0.2</v>
      </c>
      <c r="H750">
        <v>7</v>
      </c>
      <c r="J750" s="540"/>
      <c r="K750">
        <f>1-SUM(K744:K749)</f>
        <v>6.1385863095237969E-2</v>
      </c>
      <c r="L750">
        <f t="shared" si="130"/>
        <v>6.0914835071744562E-2</v>
      </c>
    </row>
    <row r="751" spans="1:13">
      <c r="A751" t="s">
        <v>2188</v>
      </c>
      <c r="B751" t="s">
        <v>2155</v>
      </c>
      <c r="C751" s="643">
        <v>4</v>
      </c>
      <c r="D751" t="s">
        <v>2285</v>
      </c>
      <c r="E751">
        <v>5</v>
      </c>
      <c r="F751" s="896">
        <f t="shared" si="128"/>
        <v>1.25</v>
      </c>
      <c r="G751" s="540">
        <f t="shared" si="129"/>
        <v>0.25</v>
      </c>
      <c r="H751">
        <v>8</v>
      </c>
      <c r="J751" s="540"/>
      <c r="L751">
        <f>(1-SUM(L744:L750))</f>
        <v>4.7742012312331328E-2</v>
      </c>
    </row>
    <row r="752" spans="1:13">
      <c r="A752" t="s">
        <v>2189</v>
      </c>
      <c r="B752" t="s">
        <v>2156</v>
      </c>
      <c r="C752" s="643">
        <v>5</v>
      </c>
      <c r="D752" t="s">
        <v>2285</v>
      </c>
      <c r="E752">
        <v>5</v>
      </c>
      <c r="F752" s="896">
        <f t="shared" si="128"/>
        <v>1</v>
      </c>
      <c r="G752" s="540">
        <f t="shared" si="129"/>
        <v>0.2</v>
      </c>
    </row>
    <row r="753" spans="1:7">
      <c r="A753" t="s">
        <v>2190</v>
      </c>
      <c r="B753" t="s">
        <v>2157</v>
      </c>
      <c r="C753" s="643">
        <v>6</v>
      </c>
      <c r="D753" t="s">
        <v>2285</v>
      </c>
      <c r="E753">
        <v>5</v>
      </c>
      <c r="F753" s="896">
        <f t="shared" si="128"/>
        <v>0.83333333333333337</v>
      </c>
      <c r="G753" s="540">
        <f t="shared" si="129"/>
        <v>0.16666666666666666</v>
      </c>
    </row>
    <row r="754" spans="1:7">
      <c r="A754" t="s">
        <v>2059</v>
      </c>
      <c r="B754" t="s">
        <v>2153</v>
      </c>
      <c r="C754" s="643">
        <v>2</v>
      </c>
      <c r="D754" t="s">
        <v>2285</v>
      </c>
      <c r="E754">
        <v>5</v>
      </c>
      <c r="F754" s="896">
        <f t="shared" si="128"/>
        <v>2.5</v>
      </c>
      <c r="G754" s="540">
        <f t="shared" si="129"/>
        <v>0.5</v>
      </c>
    </row>
    <row r="755" spans="1:7">
      <c r="A755" t="s">
        <v>2060</v>
      </c>
      <c r="B755" t="s">
        <v>2156</v>
      </c>
      <c r="C755" s="643">
        <v>5</v>
      </c>
      <c r="D755" t="s">
        <v>2285</v>
      </c>
      <c r="E755">
        <v>5</v>
      </c>
      <c r="F755" s="896">
        <f t="shared" si="128"/>
        <v>1</v>
      </c>
      <c r="G755" s="540">
        <f t="shared" si="129"/>
        <v>0.2</v>
      </c>
    </row>
    <row r="756" spans="1:7">
      <c r="A756" t="s">
        <v>2061</v>
      </c>
      <c r="B756" t="s">
        <v>2154</v>
      </c>
      <c r="C756" s="643">
        <v>3</v>
      </c>
      <c r="D756" t="s">
        <v>2285</v>
      </c>
      <c r="E756">
        <v>5</v>
      </c>
      <c r="F756" s="896">
        <f t="shared" si="128"/>
        <v>1.6666666666666667</v>
      </c>
      <c r="G756" s="540">
        <f t="shared" si="129"/>
        <v>0.33333333333333331</v>
      </c>
    </row>
    <row r="757" spans="1:7">
      <c r="F757" s="407"/>
    </row>
    <row r="758" spans="1:7">
      <c r="F758" s="407"/>
    </row>
    <row r="760" spans="1:7" s="1108" customFormat="1">
      <c r="A760" s="1107" t="s">
        <v>2191</v>
      </c>
    </row>
    <row r="761" spans="1:7" s="1108" customFormat="1"/>
    <row r="763" spans="1:7" s="960" customFormat="1">
      <c r="A763" s="960" t="s">
        <v>2215</v>
      </c>
    </row>
    <row r="764" spans="1:7">
      <c r="B764" t="s">
        <v>2301</v>
      </c>
      <c r="C764" t="s">
        <v>104</v>
      </c>
    </row>
    <row r="765" spans="1:7">
      <c r="A765" t="s">
        <v>2299</v>
      </c>
      <c r="B765">
        <v>22</v>
      </c>
    </row>
    <row r="766" spans="1:7">
      <c r="A766" t="s">
        <v>2300</v>
      </c>
      <c r="B766">
        <v>10</v>
      </c>
    </row>
    <row r="767" spans="1:7">
      <c r="B767" s="222">
        <f>AVERAGE(B765:B766)</f>
        <v>16</v>
      </c>
    </row>
    <row r="768" spans="1:7">
      <c r="A768" s="222" t="s">
        <v>2192</v>
      </c>
    </row>
    <row r="769" spans="1:11">
      <c r="B769" t="s">
        <v>2194</v>
      </c>
      <c r="C769" t="s">
        <v>2195</v>
      </c>
      <c r="D769" t="s">
        <v>2201</v>
      </c>
      <c r="G769" t="s">
        <v>789</v>
      </c>
      <c r="H769" t="s">
        <v>93</v>
      </c>
      <c r="I769" t="s">
        <v>2206</v>
      </c>
      <c r="J769" t="s">
        <v>90</v>
      </c>
    </row>
    <row r="770" spans="1:11">
      <c r="A770" t="s">
        <v>2193</v>
      </c>
      <c r="B770">
        <v>238</v>
      </c>
      <c r="C770" t="s">
        <v>2196</v>
      </c>
      <c r="F770" t="s">
        <v>2212</v>
      </c>
      <c r="G770">
        <f>$B$781*$B$771</f>
        <v>11.9</v>
      </c>
      <c r="H770">
        <f>B781*$B$772</f>
        <v>8.7266666666666683</v>
      </c>
      <c r="I770">
        <f>B781*$B$773</f>
        <v>7.5366666666666662</v>
      </c>
      <c r="J770">
        <f>B781*B774</f>
        <v>11.027333333333333</v>
      </c>
      <c r="K770" t="s">
        <v>2214</v>
      </c>
    </row>
    <row r="771" spans="1:11">
      <c r="A771" t="s">
        <v>2197</v>
      </c>
      <c r="B771">
        <v>1.5</v>
      </c>
      <c r="C771" t="s">
        <v>2200</v>
      </c>
      <c r="F771" t="s">
        <v>2210</v>
      </c>
      <c r="G771">
        <f>$B$782*$B$771</f>
        <v>23.8</v>
      </c>
      <c r="H771">
        <f>B782*$B$772</f>
        <v>17.453333333333337</v>
      </c>
      <c r="I771">
        <f>B782*$B$773</f>
        <v>15.073333333333332</v>
      </c>
      <c r="J771">
        <f>B782*B774</f>
        <v>22.054666666666666</v>
      </c>
      <c r="K771" t="s">
        <v>2214</v>
      </c>
    </row>
    <row r="772" spans="1:11">
      <c r="A772" t="s">
        <v>2198</v>
      </c>
      <c r="B772">
        <v>1.1000000000000001</v>
      </c>
      <c r="C772" t="s">
        <v>2200</v>
      </c>
    </row>
    <row r="773" spans="1:11">
      <c r="A773" t="s">
        <v>2199</v>
      </c>
      <c r="B773">
        <v>0.95</v>
      </c>
      <c r="C773" t="s">
        <v>2200</v>
      </c>
      <c r="F773" t="s">
        <v>2212</v>
      </c>
      <c r="G773">
        <f t="shared" ref="G773:I774" si="131">G770*2</f>
        <v>23.8</v>
      </c>
      <c r="H773">
        <f t="shared" si="131"/>
        <v>17.453333333333337</v>
      </c>
      <c r="I773">
        <f t="shared" si="131"/>
        <v>15.073333333333332</v>
      </c>
      <c r="J773">
        <f>J770*2</f>
        <v>22.054666666666666</v>
      </c>
      <c r="K773" t="s">
        <v>2213</v>
      </c>
    </row>
    <row r="774" spans="1:11">
      <c r="A774" t="s">
        <v>2230</v>
      </c>
      <c r="B774">
        <v>1.39</v>
      </c>
      <c r="C774" t="s">
        <v>2200</v>
      </c>
      <c r="F774" t="s">
        <v>2210</v>
      </c>
      <c r="G774">
        <f t="shared" si="131"/>
        <v>47.6</v>
      </c>
      <c r="H774">
        <f t="shared" si="131"/>
        <v>34.906666666666673</v>
      </c>
      <c r="I774">
        <f t="shared" si="131"/>
        <v>30.146666666666665</v>
      </c>
      <c r="J774">
        <f>J771*2</f>
        <v>44.109333333333332</v>
      </c>
      <c r="K774" t="s">
        <v>2213</v>
      </c>
    </row>
    <row r="775" spans="1:11">
      <c r="A775" t="s">
        <v>2202</v>
      </c>
      <c r="B775">
        <f>1/3</f>
        <v>0.33333333333333331</v>
      </c>
      <c r="C775" t="s">
        <v>2203</v>
      </c>
    </row>
    <row r="777" spans="1:11">
      <c r="A777" t="s">
        <v>2204</v>
      </c>
      <c r="B777">
        <v>0.1</v>
      </c>
      <c r="C777" t="s">
        <v>2208</v>
      </c>
    </row>
    <row r="778" spans="1:11">
      <c r="A778" t="s">
        <v>2205</v>
      </c>
      <c r="B778">
        <v>0.2</v>
      </c>
      <c r="C778" t="s">
        <v>2208</v>
      </c>
    </row>
    <row r="780" spans="1:11">
      <c r="A780" t="s">
        <v>2207</v>
      </c>
      <c r="B780">
        <f>$B$770*$B$775</f>
        <v>79.333333333333329</v>
      </c>
      <c r="C780" t="s">
        <v>2196</v>
      </c>
    </row>
    <row r="781" spans="1:11">
      <c r="A781" t="s">
        <v>2209</v>
      </c>
      <c r="B781">
        <f>B780*B777</f>
        <v>7.9333333333333336</v>
      </c>
      <c r="C781" t="s">
        <v>2211</v>
      </c>
    </row>
    <row r="782" spans="1:11">
      <c r="A782" t="s">
        <v>2231</v>
      </c>
      <c r="B782">
        <f>B780*B778</f>
        <v>15.866666666666667</v>
      </c>
      <c r="C782" t="s">
        <v>2211</v>
      </c>
    </row>
    <row r="783" spans="1:11" s="961" customFormat="1">
      <c r="A783" s="961" t="s">
        <v>2227</v>
      </c>
    </row>
    <row r="784" spans="1:11">
      <c r="A784" t="s">
        <v>2217</v>
      </c>
    </row>
    <row r="785" spans="1:7">
      <c r="B785" t="s">
        <v>789</v>
      </c>
      <c r="C785" t="s">
        <v>93</v>
      </c>
      <c r="D785" t="s">
        <v>2206</v>
      </c>
      <c r="E785" t="s">
        <v>90</v>
      </c>
      <c r="F785" t="s">
        <v>2218</v>
      </c>
      <c r="G785" t="s">
        <v>2219</v>
      </c>
    </row>
    <row r="786" spans="1:7">
      <c r="A786" t="s">
        <v>2058</v>
      </c>
      <c r="B786" s="962">
        <v>0.43243239999999999</v>
      </c>
      <c r="C786" s="962">
        <v>0.1081081</v>
      </c>
      <c r="D786" s="962">
        <v>0.3783784</v>
      </c>
      <c r="E786">
        <v>8.108108E-2</v>
      </c>
      <c r="F786">
        <v>36731193</v>
      </c>
      <c r="G786">
        <v>819556702</v>
      </c>
    </row>
    <row r="787" spans="1:7">
      <c r="A787" t="s">
        <v>2216</v>
      </c>
      <c r="B787" s="962">
        <v>0.52173910000000001</v>
      </c>
      <c r="C787" s="962">
        <v>0.1956522</v>
      </c>
      <c r="D787" s="962">
        <v>0.1521739</v>
      </c>
      <c r="E787">
        <v>0.13043478</v>
      </c>
      <c r="F787">
        <v>54767309</v>
      </c>
      <c r="G787">
        <v>1160450344</v>
      </c>
    </row>
    <row r="788" spans="1:7">
      <c r="A788" t="s">
        <v>2056</v>
      </c>
      <c r="B788" s="962">
        <v>0.29629630000000001</v>
      </c>
      <c r="C788" s="962">
        <v>0.44444444</v>
      </c>
      <c r="D788" s="962">
        <v>0</v>
      </c>
      <c r="E788">
        <v>0.25925925999999999</v>
      </c>
      <c r="F788">
        <v>23157429</v>
      </c>
      <c r="G788">
        <v>496728979</v>
      </c>
    </row>
    <row r="790" spans="1:7">
      <c r="A790" t="s">
        <v>2220</v>
      </c>
    </row>
    <row r="791" spans="1:7">
      <c r="B791" t="str">
        <f>B785</f>
        <v>Rubber</v>
      </c>
      <c r="C791" t="str">
        <f t="shared" ref="C791:D791" si="132">C785</f>
        <v>PUR</v>
      </c>
      <c r="D791" t="str">
        <f t="shared" si="132"/>
        <v>EVA</v>
      </c>
      <c r="E791" t="s">
        <v>90</v>
      </c>
    </row>
    <row r="792" spans="1:7">
      <c r="A792" t="str">
        <f>A786</f>
        <v>Open-toed shoes</v>
      </c>
      <c r="B792" s="963">
        <f>B786*$F$786</f>
        <v>15883757.943853199</v>
      </c>
      <c r="C792" s="963">
        <f t="shared" ref="C792:D792" si="133">C786*$F$786</f>
        <v>3970939.4859632999</v>
      </c>
      <c r="D792" s="963">
        <f t="shared" si="133"/>
        <v>13898290.037431201</v>
      </c>
      <c r="E792" s="963">
        <f t="shared" ref="E792" si="134">E786*$F$786</f>
        <v>2978204.79812844</v>
      </c>
    </row>
    <row r="793" spans="1:7">
      <c r="A793" t="str">
        <f t="shared" ref="A793:A794" si="135">A787</f>
        <v>Close-toed shoes</v>
      </c>
      <c r="B793" s="963">
        <f>B787*$F$787</f>
        <v>28574246.5070819</v>
      </c>
      <c r="C793" s="963">
        <f t="shared" ref="C793:D793" si="136">C787*$F$787</f>
        <v>10715344.4939298</v>
      </c>
      <c r="D793" s="963">
        <f t="shared" si="136"/>
        <v>8334155.0030351002</v>
      </c>
      <c r="E793" s="963">
        <f t="shared" ref="E793" si="137">E787*$F$787</f>
        <v>7143561.9006070197</v>
      </c>
    </row>
    <row r="794" spans="1:7">
      <c r="A794" t="str">
        <f t="shared" si="135"/>
        <v>Boots</v>
      </c>
      <c r="B794" s="963">
        <f>B788*$F$788</f>
        <v>6861460.5302127004</v>
      </c>
      <c r="C794" s="963">
        <f t="shared" ref="C794:D794" si="138">C788*$F$788</f>
        <v>10292190.563744759</v>
      </c>
      <c r="D794" s="963">
        <f t="shared" si="138"/>
        <v>0</v>
      </c>
      <c r="E794" s="963">
        <f t="shared" ref="E794" si="139">E788*$F$788</f>
        <v>6003777.9060425395</v>
      </c>
    </row>
    <row r="796" spans="1:7">
      <c r="B796" t="s">
        <v>789</v>
      </c>
      <c r="C796" t="s">
        <v>93</v>
      </c>
      <c r="D796" t="s">
        <v>2206</v>
      </c>
      <c r="E796" t="s">
        <v>90</v>
      </c>
    </row>
    <row r="797" spans="1:7">
      <c r="A797" t="s">
        <v>2222</v>
      </c>
      <c r="B797" s="963">
        <f>SUM(B792:B794)</f>
        <v>51319464.981147796</v>
      </c>
      <c r="C797" s="963">
        <f>SUM(C792:C794)</f>
        <v>24978474.543637857</v>
      </c>
      <c r="D797" s="963">
        <f>SUM(D792:D794)</f>
        <v>22232445.040466301</v>
      </c>
      <c r="E797" s="963">
        <f>SUM(E792:E794)</f>
        <v>16125544.604777999</v>
      </c>
    </row>
    <row r="799" spans="1:7">
      <c r="A799" t="s">
        <v>2223</v>
      </c>
      <c r="B799">
        <f>B797*G773</f>
        <v>1221403266.5513177</v>
      </c>
      <c r="C799">
        <f>C797*H773</f>
        <v>435957642.36829281</v>
      </c>
      <c r="D799">
        <f>D797*I773</f>
        <v>335117054.909962</v>
      </c>
      <c r="E799">
        <f>E797*J773</f>
        <v>355643511.07684386</v>
      </c>
    </row>
    <row r="800" spans="1:7">
      <c r="A800" t="s">
        <v>2224</v>
      </c>
      <c r="B800">
        <f>B797*G774</f>
        <v>2442806533.1026354</v>
      </c>
      <c r="C800">
        <f>C797*H774</f>
        <v>871915284.73658562</v>
      </c>
      <c r="D800">
        <f>D797*I774</f>
        <v>670234109.819924</v>
      </c>
      <c r="E800">
        <f>E797*J774</f>
        <v>711287022.15368772</v>
      </c>
    </row>
    <row r="802" spans="1:5">
      <c r="A802" t="s">
        <v>2225</v>
      </c>
      <c r="B802">
        <f>B799*10^-9</f>
        <v>1.2214032665513177</v>
      </c>
      <c r="C802">
        <f t="shared" ref="C802:D802" si="140">C799*10^-9</f>
        <v>0.43595764236829282</v>
      </c>
      <c r="D802">
        <f t="shared" si="140"/>
        <v>0.33511705490996202</v>
      </c>
      <c r="E802">
        <f t="shared" ref="E802" si="141">E799*10^-9</f>
        <v>0.35564351107684389</v>
      </c>
    </row>
    <row r="803" spans="1:5">
      <c r="A803" t="s">
        <v>2226</v>
      </c>
      <c r="B803">
        <f>B800*10^-9</f>
        <v>2.4428065331026354</v>
      </c>
      <c r="C803">
        <f t="shared" ref="C803:D803" si="142">C800*10^-9</f>
        <v>0.87191528473658564</v>
      </c>
      <c r="D803">
        <f t="shared" si="142"/>
        <v>0.67023410981992404</v>
      </c>
      <c r="E803">
        <f t="shared" ref="E803" si="143">E800*10^-9</f>
        <v>0.71128702215368778</v>
      </c>
    </row>
    <row r="805" spans="1:5">
      <c r="A805" t="s">
        <v>2232</v>
      </c>
    </row>
    <row r="807" spans="1:5">
      <c r="B807" t="s">
        <v>789</v>
      </c>
      <c r="C807" t="s">
        <v>93</v>
      </c>
      <c r="D807" t="s">
        <v>2206</v>
      </c>
      <c r="E807" t="s">
        <v>90</v>
      </c>
    </row>
    <row r="808" spans="1:5">
      <c r="B808">
        <v>13.227264999999999</v>
      </c>
      <c r="C808">
        <v>10.721603999999999</v>
      </c>
      <c r="D808">
        <v>7.9424060000000001</v>
      </c>
      <c r="E808">
        <v>6.8378560000000004</v>
      </c>
    </row>
    <row r="811" spans="1:5">
      <c r="A811" s="960" t="s">
        <v>2221</v>
      </c>
      <c r="B811" s="960"/>
    </row>
    <row r="812" spans="1:5">
      <c r="A812" s="1062"/>
      <c r="B812" s="1062"/>
      <c r="C812" s="1062"/>
      <c r="D812" s="1062"/>
      <c r="E812" s="1062"/>
    </row>
    <row r="813" spans="1:5">
      <c r="A813" s="1062"/>
      <c r="B813" s="1062" t="s">
        <v>789</v>
      </c>
      <c r="C813" s="1062" t="s">
        <v>93</v>
      </c>
      <c r="D813" s="1062" t="s">
        <v>2206</v>
      </c>
      <c r="E813" s="1062" t="s">
        <v>90</v>
      </c>
    </row>
    <row r="814" spans="1:5">
      <c r="A814" s="1062" t="s">
        <v>2228</v>
      </c>
      <c r="B814" s="1062">
        <f>B802/B808</f>
        <v>9.2339819800337994E-2</v>
      </c>
      <c r="C814" s="1062">
        <f>C802/C808</f>
        <v>4.0661606450703908E-2</v>
      </c>
      <c r="D814" s="1062">
        <f>D802/D808</f>
        <v>4.2193392645750172E-2</v>
      </c>
      <c r="E814" s="1062">
        <f>E802/E808</f>
        <v>5.2010968215306652E-2</v>
      </c>
    </row>
    <row r="815" spans="1:5">
      <c r="A815" s="1062" t="s">
        <v>2229</v>
      </c>
      <c r="B815" s="1062">
        <f>B803/B808</f>
        <v>0.18467963960067599</v>
      </c>
      <c r="C815" s="1062">
        <f>C803/C808</f>
        <v>8.1323212901407815E-2</v>
      </c>
      <c r="D815" s="1062">
        <f>D803/D808</f>
        <v>8.4386785291500344E-2</v>
      </c>
      <c r="E815" s="1062">
        <f>E803/E808</f>
        <v>0.1040219364306133</v>
      </c>
    </row>
    <row r="816" spans="1:5">
      <c r="A816" s="1062"/>
      <c r="B816" s="1062"/>
      <c r="C816" s="1062"/>
      <c r="D816" s="1062"/>
      <c r="E816" s="1062"/>
    </row>
    <row r="817" spans="1:5">
      <c r="A817" t="s">
        <v>2302</v>
      </c>
    </row>
    <row r="818" spans="1:5">
      <c r="B818" t="str">
        <f>B813</f>
        <v>Rubber</v>
      </c>
      <c r="C818" t="str">
        <f t="shared" ref="C818:E818" si="144">C813</f>
        <v>PUR</v>
      </c>
      <c r="D818" t="str">
        <f t="shared" si="144"/>
        <v>EVA</v>
      </c>
      <c r="E818" t="str">
        <f t="shared" si="144"/>
        <v>PVC</v>
      </c>
    </row>
    <row r="819" spans="1:5">
      <c r="A819" t="str">
        <f t="shared" ref="A819:A820" si="145">A814</f>
        <v>Low TC</v>
      </c>
      <c r="B819">
        <f>B814/$B$767</f>
        <v>5.7712387375211246E-3</v>
      </c>
      <c r="C819">
        <f t="shared" ref="C819:E819" si="146">C814/$B$767</f>
        <v>2.5413504031689942E-3</v>
      </c>
      <c r="D819">
        <f t="shared" si="146"/>
        <v>2.6370870403593857E-3</v>
      </c>
      <c r="E819">
        <f t="shared" si="146"/>
        <v>3.2506855134566658E-3</v>
      </c>
    </row>
    <row r="820" spans="1:5">
      <c r="A820" t="str">
        <f t="shared" si="145"/>
        <v>High TC</v>
      </c>
      <c r="B820">
        <f>B815/$B$767</f>
        <v>1.1542477475042249E-2</v>
      </c>
      <c r="C820">
        <f t="shared" ref="C820:E820" si="147">C815/$B$767</f>
        <v>5.0827008063379885E-3</v>
      </c>
      <c r="D820">
        <f t="shared" si="147"/>
        <v>5.2741740807187715E-3</v>
      </c>
      <c r="E820">
        <f t="shared" si="147"/>
        <v>6.5013710269133315E-3</v>
      </c>
    </row>
    <row r="822" spans="1:5">
      <c r="A822" s="380" t="s">
        <v>2233</v>
      </c>
    </row>
  </sheetData>
  <sortState xmlns:xlrd2="http://schemas.microsoft.com/office/spreadsheetml/2017/richdata2" ref="A744:E756">
    <sortCondition ref="A744:A756"/>
  </sortState>
  <mergeCells count="11">
    <mergeCell ref="A760:XFD761"/>
    <mergeCell ref="A741:XFD742"/>
    <mergeCell ref="A1:XFD2"/>
    <mergeCell ref="A17:XFD18"/>
    <mergeCell ref="A106:XFD107"/>
    <mergeCell ref="A350:XFD351"/>
    <mergeCell ref="A412:XFD413"/>
    <mergeCell ref="A482:XFD483"/>
    <mergeCell ref="A334:XFD335"/>
    <mergeCell ref="A282:XFD283"/>
    <mergeCell ref="A194:XFD195"/>
  </mergeCells>
  <phoneticPr fontId="22" type="noConversion"/>
  <conditionalFormatting sqref="D284">
    <cfRule type="cellIs" dxfId="167" priority="1" operator="greaterThan">
      <formula>0</formula>
    </cfRule>
    <cfRule type="cellIs" dxfId="166" priority="2" operator="equal">
      <formula>0</formula>
    </cfRule>
  </conditionalFormatting>
  <conditionalFormatting sqref="H526:M526">
    <cfRule type="dataBar" priority="35">
      <dataBar>
        <cfvo type="min"/>
        <cfvo type="num" val="4"/>
        <color rgb="FFFFC000"/>
      </dataBar>
      <extLst>
        <ext xmlns:x14="http://schemas.microsoft.com/office/spreadsheetml/2009/9/main" uri="{B025F937-C7B1-47D3-B67F-A62EFF666E3E}">
          <x14:id>{3D683626-A60F-43D1-9210-BD548D064919}</x14:id>
        </ext>
      </extLst>
    </cfRule>
  </conditionalFormatting>
  <conditionalFormatting sqref="H526:M528">
    <cfRule type="containsBlanks" dxfId="165" priority="18" stopIfTrue="1">
      <formula>LEN(TRIM(H526))=0</formula>
    </cfRule>
    <cfRule type="cellIs" dxfId="164" priority="19" stopIfTrue="1" operator="notBetween">
      <formula>1</formula>
      <formula>4</formula>
    </cfRule>
  </conditionalFormatting>
  <conditionalFormatting sqref="H527:M527">
    <cfRule type="dataBar" priority="23">
      <dataBar>
        <cfvo type="min"/>
        <cfvo type="num" val="4"/>
        <color rgb="FFFFC000"/>
      </dataBar>
      <extLst>
        <ext xmlns:x14="http://schemas.microsoft.com/office/spreadsheetml/2009/9/main" uri="{B025F937-C7B1-47D3-B67F-A62EFF666E3E}">
          <x14:id>{3B5B6DCA-E3C3-4605-A551-50DC67E6443C}</x14:id>
        </ext>
      </extLst>
    </cfRule>
  </conditionalFormatting>
  <conditionalFormatting sqref="H528:M528">
    <cfRule type="dataBar" priority="20">
      <dataBar>
        <cfvo type="min"/>
        <cfvo type="num" val="4"/>
        <color rgb="FFFFC000"/>
      </dataBar>
      <extLst>
        <ext xmlns:x14="http://schemas.microsoft.com/office/spreadsheetml/2009/9/main" uri="{B025F937-C7B1-47D3-B67F-A62EFF666E3E}">
          <x14:id>{1631CA55-D9D6-4F6F-A1CA-B71061EC69E7}</x14:id>
        </ext>
      </extLst>
    </cfRule>
  </conditionalFormatting>
  <conditionalFormatting sqref="H531:M531">
    <cfRule type="dataBar" priority="14">
      <dataBar>
        <cfvo type="min"/>
        <cfvo type="num" val="4"/>
        <color rgb="FFFFC000"/>
      </dataBar>
      <extLst>
        <ext xmlns:x14="http://schemas.microsoft.com/office/spreadsheetml/2009/9/main" uri="{B025F937-C7B1-47D3-B67F-A62EFF666E3E}">
          <x14:id>{A354082A-8B71-43B5-8EE5-57FE3DB7A0F9}</x14:id>
        </ext>
      </extLst>
    </cfRule>
  </conditionalFormatting>
  <conditionalFormatting sqref="H531:M532">
    <cfRule type="containsBlanks" dxfId="163" priority="9" stopIfTrue="1">
      <formula>LEN(TRIM(H531))=0</formula>
    </cfRule>
    <cfRule type="cellIs" dxfId="162" priority="10" stopIfTrue="1" operator="notBetween">
      <formula>1</formula>
      <formula>4</formula>
    </cfRule>
  </conditionalFormatting>
  <conditionalFormatting sqref="H532:M532">
    <cfRule type="dataBar" priority="17">
      <dataBar>
        <cfvo type="min"/>
        <cfvo type="num" val="4"/>
        <color rgb="FFFFC000"/>
      </dataBar>
      <extLst>
        <ext xmlns:x14="http://schemas.microsoft.com/office/spreadsheetml/2009/9/main" uri="{B025F937-C7B1-47D3-B67F-A62EFF666E3E}">
          <x14:id>{9D850053-1732-4001-9CBC-644E00B76BCD}</x14:id>
        </ext>
      </extLst>
    </cfRule>
  </conditionalFormatting>
  <conditionalFormatting sqref="H701:M701">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701:M702">
    <cfRule type="cellIs" dxfId="161" priority="25" stopIfTrue="1" operator="notBetween">
      <formula>1</formula>
      <formula>4</formula>
    </cfRule>
  </conditionalFormatting>
  <conditionalFormatting sqref="H702:M702">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701:O702">
    <cfRule type="containsBlanks" dxfId="160" priority="24" stopIfTrue="1">
      <formula>LEN(TRIM(H701))=0</formula>
    </cfRule>
  </conditionalFormatting>
  <conditionalFormatting sqref="K284">
    <cfRule type="containsBlanks" dxfId="159"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701:O701">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702:O702">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701">
    <cfRule type="containsText" dxfId="158" priority="30" operator="containsText" text="Actual TC">
      <formula>NOT(ISERROR(SEARCH("Actual TC",P701)))</formula>
    </cfRule>
  </conditionalFormatting>
  <conditionalFormatting sqref="AC336">
    <cfRule type="containsBlanks" dxfId="157"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E376D52B-171F-4C57-BA9D-0BDAF13E299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D683626-A60F-43D1-9210-BD548D064919}">
            <x14:dataBar minLength="0" maxLength="100" gradient="0">
              <x14:cfvo type="autoMin"/>
              <x14:cfvo type="num">
                <xm:f>4</xm:f>
              </x14:cfvo>
              <x14:negativeFillColor rgb="FFFF0000"/>
              <x14:axisColor rgb="FF000000"/>
            </x14:dataBar>
          </x14:cfRule>
          <xm:sqref>H526:M526</xm:sqref>
        </x14:conditionalFormatting>
        <x14:conditionalFormatting xmlns:xm="http://schemas.microsoft.com/office/excel/2006/main">
          <x14:cfRule type="dataBar" id="{3B5B6DCA-E3C3-4605-A551-50DC67E6443C}">
            <x14:dataBar minLength="0" maxLength="100" gradient="0">
              <x14:cfvo type="autoMin"/>
              <x14:cfvo type="num">
                <xm:f>4</xm:f>
              </x14:cfvo>
              <x14:negativeFillColor rgb="FFFF0000"/>
              <x14:axisColor rgb="FF000000"/>
            </x14:dataBar>
          </x14:cfRule>
          <xm:sqref>H527:M527</xm:sqref>
        </x14:conditionalFormatting>
        <x14:conditionalFormatting xmlns:xm="http://schemas.microsoft.com/office/excel/2006/main">
          <x14:cfRule type="dataBar" id="{1631CA55-D9D6-4F6F-A1CA-B71061EC69E7}">
            <x14:dataBar minLength="0" maxLength="100" gradient="0">
              <x14:cfvo type="autoMin"/>
              <x14:cfvo type="num">
                <xm:f>4</xm:f>
              </x14:cfvo>
              <x14:negativeFillColor rgb="FFFF0000"/>
              <x14:axisColor rgb="FF000000"/>
            </x14:dataBar>
          </x14:cfRule>
          <xm:sqref>H528:M528</xm:sqref>
        </x14:conditionalFormatting>
        <x14:conditionalFormatting xmlns:xm="http://schemas.microsoft.com/office/excel/2006/main">
          <x14:cfRule type="dataBar" id="{A354082A-8B71-43B5-8EE5-57FE3DB7A0F9}">
            <x14:dataBar minLength="0" maxLength="100" gradient="0">
              <x14:cfvo type="autoMin"/>
              <x14:cfvo type="num">
                <xm:f>4</xm:f>
              </x14:cfvo>
              <x14:negativeFillColor rgb="FFFF0000"/>
              <x14:axisColor rgb="FF000000"/>
            </x14:dataBar>
          </x14:cfRule>
          <xm:sqref>H531:M531</xm:sqref>
        </x14:conditionalFormatting>
        <x14:conditionalFormatting xmlns:xm="http://schemas.microsoft.com/office/excel/2006/main">
          <x14:cfRule type="dataBar" id="{9D850053-1732-4001-9CBC-644E00B76BCD}">
            <x14:dataBar minLength="0" maxLength="100" gradient="0">
              <x14:cfvo type="autoMin"/>
              <x14:cfvo type="num">
                <xm:f>4</xm:f>
              </x14:cfvo>
              <x14:negativeFillColor rgb="FFFF0000"/>
              <x14:axisColor rgb="FF000000"/>
            </x14:dataBar>
          </x14:cfRule>
          <xm:sqref>H532:M532</xm:sqref>
        </x14:conditionalFormatting>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H701:M701</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H702:M702</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N701:O701</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N702:O702</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90D9-7833-4417-8888-F65EE0C87F40}">
  <sheetPr>
    <tabColor theme="8"/>
  </sheetPr>
  <dimension ref="A1:AGJ37"/>
  <sheetViews>
    <sheetView topLeftCell="F1" workbookViewId="0">
      <selection activeCell="H15" sqref="H15"/>
    </sheetView>
  </sheetViews>
  <sheetFormatPr defaultRowHeight="15"/>
  <cols>
    <col min="1" max="1" width="42.140625" bestFit="1" customWidth="1"/>
    <col min="2" max="2" width="11.5703125" customWidth="1"/>
    <col min="3" max="3" width="16.28515625" bestFit="1" customWidth="1"/>
    <col min="4" max="4" width="19.42578125" bestFit="1" customWidth="1"/>
    <col min="5" max="5" width="16.28515625" bestFit="1" customWidth="1"/>
    <col min="7" max="7" width="33.85546875" bestFit="1" customWidth="1"/>
    <col min="8" max="8" width="32.7109375" bestFit="1" customWidth="1"/>
    <col min="13" max="13" width="16.28515625" bestFit="1" customWidth="1"/>
  </cols>
  <sheetData>
    <row r="1" spans="1:868" ht="15.75" thickBot="1"/>
    <row r="2" spans="1:868">
      <c r="B2" t="s">
        <v>2316</v>
      </c>
      <c r="C2" t="s">
        <v>2317</v>
      </c>
      <c r="D2" t="s">
        <v>2322</v>
      </c>
      <c r="G2" s="1074" t="s">
        <v>129</v>
      </c>
      <c r="H2" s="1075" t="s">
        <v>130</v>
      </c>
      <c r="I2" s="1076" t="s">
        <v>131</v>
      </c>
      <c r="J2" s="1076" t="s">
        <v>102</v>
      </c>
      <c r="K2" s="1077" t="s">
        <v>132</v>
      </c>
      <c r="L2" s="1076" t="s">
        <v>133</v>
      </c>
      <c r="M2" s="1078" t="s">
        <v>104</v>
      </c>
      <c r="N2" s="111" t="s">
        <v>134</v>
      </c>
      <c r="O2" s="112" t="s">
        <v>135</v>
      </c>
      <c r="P2" s="112" t="s">
        <v>65</v>
      </c>
      <c r="Q2" s="112" t="s">
        <v>67</v>
      </c>
      <c r="R2" s="112" t="s">
        <v>73</v>
      </c>
      <c r="S2" s="113" t="s">
        <v>79</v>
      </c>
    </row>
    <row r="3" spans="1:868">
      <c r="A3" t="s">
        <v>2313</v>
      </c>
      <c r="B3" s="1071">
        <v>0.72</v>
      </c>
      <c r="C3" s="1064" t="s">
        <v>2312</v>
      </c>
      <c r="D3" s="466">
        <f>B3</f>
        <v>0.72</v>
      </c>
      <c r="G3" s="1079" t="s">
        <v>386</v>
      </c>
      <c r="H3" s="224" t="s">
        <v>402</v>
      </c>
      <c r="I3" s="224" t="s">
        <v>139</v>
      </c>
      <c r="J3" s="224" t="s">
        <v>139</v>
      </c>
      <c r="K3" s="224" t="s">
        <v>150</v>
      </c>
      <c r="L3" s="224">
        <v>1</v>
      </c>
      <c r="M3" s="502"/>
      <c r="N3" s="29"/>
      <c r="O3" s="1083"/>
      <c r="P3" s="1083"/>
      <c r="Q3" s="1083"/>
      <c r="R3" s="1083"/>
      <c r="S3" s="1083"/>
    </row>
    <row r="4" spans="1:868">
      <c r="A4" s="1064" t="s">
        <v>2314</v>
      </c>
      <c r="B4" s="1071">
        <v>0.88</v>
      </c>
      <c r="C4" t="s">
        <v>2312</v>
      </c>
      <c r="D4" s="466">
        <f>B4-B3</f>
        <v>0.16000000000000003</v>
      </c>
      <c r="G4" s="1079" t="s">
        <v>386</v>
      </c>
      <c r="H4" s="224" t="s">
        <v>286</v>
      </c>
      <c r="I4" s="224" t="s">
        <v>139</v>
      </c>
      <c r="J4" s="224" t="s">
        <v>139</v>
      </c>
      <c r="K4" s="1073">
        <f>B8</f>
        <v>0.72</v>
      </c>
      <c r="L4" s="224">
        <v>2</v>
      </c>
      <c r="M4" s="502" t="s">
        <v>2324</v>
      </c>
      <c r="N4" s="29">
        <v>3</v>
      </c>
      <c r="O4" s="1083">
        <v>3</v>
      </c>
      <c r="P4" s="1083">
        <v>2</v>
      </c>
      <c r="Q4" s="1083">
        <v>3</v>
      </c>
      <c r="R4" s="1083">
        <v>2</v>
      </c>
      <c r="S4" s="1083">
        <v>1</v>
      </c>
    </row>
    <row r="5" spans="1:868">
      <c r="A5" s="1064" t="s">
        <v>2315</v>
      </c>
      <c r="B5" s="1071">
        <v>0.94</v>
      </c>
      <c r="C5" s="1064" t="s">
        <v>2312</v>
      </c>
      <c r="D5" s="466">
        <f t="shared" ref="D5" si="0">B5-B4</f>
        <v>5.9999999999999942E-2</v>
      </c>
      <c r="G5" s="1079" t="s">
        <v>402</v>
      </c>
      <c r="H5" s="224" t="s">
        <v>289</v>
      </c>
      <c r="I5" s="224" t="s">
        <v>139</v>
      </c>
      <c r="J5" s="224" t="s">
        <v>139</v>
      </c>
      <c r="K5" s="224" t="s">
        <v>150</v>
      </c>
      <c r="L5" s="224">
        <v>1</v>
      </c>
      <c r="M5" s="502"/>
      <c r="N5" s="29"/>
      <c r="O5" s="1083"/>
      <c r="P5" s="1083"/>
      <c r="Q5" s="1083"/>
      <c r="R5" s="1083"/>
      <c r="S5" s="1083"/>
    </row>
    <row r="6" spans="1:868">
      <c r="A6" t="s">
        <v>2315</v>
      </c>
      <c r="B6" s="1071">
        <v>0.998</v>
      </c>
      <c r="C6" t="s">
        <v>2318</v>
      </c>
      <c r="D6" s="466"/>
      <c r="G6" s="1079" t="s">
        <v>402</v>
      </c>
      <c r="H6" s="224" t="s">
        <v>286</v>
      </c>
      <c r="I6" s="224" t="s">
        <v>139</v>
      </c>
      <c r="J6" s="224" t="s">
        <v>139</v>
      </c>
      <c r="K6" s="1073">
        <f>B9</f>
        <v>0.57142857142857151</v>
      </c>
      <c r="L6" s="1069">
        <v>2</v>
      </c>
      <c r="M6" s="502" t="s">
        <v>2324</v>
      </c>
      <c r="N6" s="29">
        <v>3</v>
      </c>
      <c r="O6" s="1083">
        <v>3</v>
      </c>
      <c r="P6" s="1083">
        <v>2</v>
      </c>
      <c r="Q6" s="1083">
        <v>3</v>
      </c>
      <c r="R6" s="1083">
        <v>2</v>
      </c>
      <c r="S6" s="1083">
        <v>1</v>
      </c>
    </row>
    <row r="7" spans="1:868">
      <c r="G7" s="1079" t="s">
        <v>289</v>
      </c>
      <c r="H7" s="224" t="s">
        <v>258</v>
      </c>
      <c r="I7" s="224" t="s">
        <v>139</v>
      </c>
      <c r="J7" s="224" t="s">
        <v>139</v>
      </c>
      <c r="K7" s="224" t="s">
        <v>150</v>
      </c>
      <c r="L7" s="1069">
        <v>1</v>
      </c>
      <c r="M7" s="502"/>
      <c r="N7" s="29"/>
      <c r="O7" s="1083"/>
      <c r="P7" s="1083"/>
      <c r="Q7" s="1083"/>
      <c r="R7" s="1083"/>
      <c r="S7" s="1083"/>
    </row>
    <row r="8" spans="1:868">
      <c r="A8" t="s">
        <v>2319</v>
      </c>
      <c r="B8" s="466">
        <f>D3</f>
        <v>0.72</v>
      </c>
      <c r="D8" s="218"/>
      <c r="G8" s="1079" t="s">
        <v>289</v>
      </c>
      <c r="H8" s="224" t="s">
        <v>286</v>
      </c>
      <c r="I8" s="224" t="s">
        <v>139</v>
      </c>
      <c r="J8" s="224" t="s">
        <v>139</v>
      </c>
      <c r="K8" s="1073">
        <f>B10</f>
        <v>0.1399999999999999</v>
      </c>
      <c r="L8" s="1069">
        <v>2</v>
      </c>
      <c r="M8" s="502" t="s">
        <v>2324</v>
      </c>
      <c r="N8" s="29">
        <v>3</v>
      </c>
      <c r="O8" s="1083">
        <v>3</v>
      </c>
      <c r="P8" s="1083">
        <v>2</v>
      </c>
      <c r="Q8" s="1083">
        <v>3</v>
      </c>
      <c r="R8" s="1083">
        <v>2</v>
      </c>
      <c r="S8" s="1083">
        <v>1</v>
      </c>
    </row>
    <row r="9" spans="1:868">
      <c r="A9" t="s">
        <v>2320</v>
      </c>
      <c r="B9" s="466">
        <f>D4/(1-D3)</f>
        <v>0.57142857142857151</v>
      </c>
      <c r="D9" s="218"/>
      <c r="G9" s="1079" t="s">
        <v>386</v>
      </c>
      <c r="H9" s="224" t="s">
        <v>286</v>
      </c>
      <c r="I9" s="224" t="s">
        <v>139</v>
      </c>
      <c r="J9" s="224" t="s">
        <v>139</v>
      </c>
      <c r="K9" s="1073">
        <f>K4*B12</f>
        <v>0.76442553191489371</v>
      </c>
      <c r="L9" s="224">
        <v>2</v>
      </c>
      <c r="M9" s="502" t="s">
        <v>2318</v>
      </c>
      <c r="N9" s="29">
        <v>1</v>
      </c>
      <c r="O9" s="1083">
        <v>2</v>
      </c>
      <c r="P9" s="1083">
        <v>3</v>
      </c>
      <c r="Q9" s="1083">
        <v>3</v>
      </c>
      <c r="R9" s="1083">
        <v>2</v>
      </c>
      <c r="S9" s="1083">
        <v>1</v>
      </c>
    </row>
    <row r="10" spans="1:868">
      <c r="A10" t="s">
        <v>2321</v>
      </c>
      <c r="B10" s="466">
        <f>D5/(1-B9)</f>
        <v>0.1399999999999999</v>
      </c>
      <c r="G10" s="1079" t="s">
        <v>402</v>
      </c>
      <c r="H10" s="224" t="s">
        <v>286</v>
      </c>
      <c r="I10" s="224" t="s">
        <v>139</v>
      </c>
      <c r="J10" s="224" t="s">
        <v>139</v>
      </c>
      <c r="K10" s="1073">
        <f>K6*B12</f>
        <v>0.60668693009118557</v>
      </c>
      <c r="L10" s="1069">
        <v>2</v>
      </c>
      <c r="M10" s="502" t="s">
        <v>2318</v>
      </c>
      <c r="N10" s="29">
        <v>1</v>
      </c>
      <c r="O10" s="1083">
        <v>2</v>
      </c>
      <c r="P10" s="1083">
        <v>3</v>
      </c>
      <c r="Q10" s="1083">
        <v>3</v>
      </c>
      <c r="R10" s="1083">
        <v>2</v>
      </c>
      <c r="S10" s="1083">
        <v>1</v>
      </c>
    </row>
    <row r="11" spans="1:868" ht="15.75" thickBot="1">
      <c r="G11" s="1006" t="s">
        <v>289</v>
      </c>
      <c r="H11" s="1003" t="s">
        <v>286</v>
      </c>
      <c r="I11" s="1003" t="s">
        <v>139</v>
      </c>
      <c r="J11" s="1003" t="s">
        <v>139</v>
      </c>
      <c r="K11" s="1080">
        <f>K8*B12</f>
        <v>0.14863829787234034</v>
      </c>
      <c r="L11" s="1081">
        <v>2</v>
      </c>
      <c r="M11" s="503" t="s">
        <v>2318</v>
      </c>
      <c r="N11" s="29">
        <v>1</v>
      </c>
      <c r="O11" s="1083">
        <v>2</v>
      </c>
      <c r="P11" s="1083">
        <v>3</v>
      </c>
      <c r="Q11" s="1083">
        <v>3</v>
      </c>
      <c r="R11" s="1083">
        <v>2</v>
      </c>
      <c r="S11" s="1083">
        <v>1</v>
      </c>
    </row>
    <row r="12" spans="1:868">
      <c r="A12" t="s">
        <v>2323</v>
      </c>
      <c r="B12" s="466">
        <f>B6/B5</f>
        <v>1.0617021276595746</v>
      </c>
      <c r="C12" s="1072"/>
    </row>
    <row r="15" spans="1:868" s="1269" customFormat="1">
      <c r="A15" s="1269" t="s">
        <v>2325</v>
      </c>
    </row>
    <row r="16" spans="1:868" s="6" customFormat="1">
      <c r="A16" s="151" t="s">
        <v>289</v>
      </c>
      <c r="B16" s="34" t="s">
        <v>179</v>
      </c>
      <c r="C16" s="1084" t="s">
        <v>139</v>
      </c>
      <c r="D16" s="34" t="s">
        <v>139</v>
      </c>
      <c r="E16" s="257">
        <v>0.83616504854368934</v>
      </c>
      <c r="F16" s="232">
        <v>2</v>
      </c>
      <c r="G16" s="1084" t="s">
        <v>290</v>
      </c>
      <c r="H16" s="29">
        <v>2</v>
      </c>
      <c r="I16" s="1083"/>
      <c r="J16" s="1083">
        <v>2</v>
      </c>
      <c r="K16" s="1083">
        <v>3</v>
      </c>
      <c r="L16" s="1083">
        <v>3</v>
      </c>
      <c r="M16" s="1083">
        <v>1</v>
      </c>
      <c r="N16" s="1082">
        <f t="shared" ref="N16:N37" si="1">IF( OR( ISBLANK(H16),ISBLANK(J16), ISBLANK(K16), ISBLANK(L16), ISBLANK(M16) ), "", 1.5*SQRT(   EXP(2.21*(H16-1)) + EXP(2.21*(J16-1)) + EXP(2.21*(K16-1)) + EXP(2.21*(L16-1)) + EXP(2.21*M16)   )/100*2.45 )</f>
        <v>0.51126068492676302</v>
      </c>
      <c r="O16" s="159" t="str">
        <f t="shared" ref="O16:O37" si="2">IF( OR( ISBLANK(I16),ISBLANK(J16), ISBLANK(K16), ISBLANK(L16), ISBLANK(M16) ), "", 1.5*SQRT( EXP(2.21*(I16-1)) + EXP(2.21*(J16-1)) + EXP(2.21*(K16-1)) + EXP(2.21*(L16-1)) + EXP(2.21*M16)   )/100*2.45 )</f>
        <v/>
      </c>
      <c r="P16" s="63" t="s">
        <v>291</v>
      </c>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c r="ZZ16" s="16"/>
      <c r="AAA16" s="16"/>
      <c r="AAB16" s="16"/>
      <c r="AAC16" s="16"/>
      <c r="AAD16" s="16"/>
      <c r="AAE16" s="16"/>
      <c r="AAF16" s="16"/>
      <c r="AAG16" s="16"/>
      <c r="AAH16" s="16"/>
      <c r="AAI16" s="16"/>
      <c r="AAJ16" s="16"/>
      <c r="AAK16" s="16"/>
      <c r="AAL16" s="16"/>
      <c r="AAM16" s="16"/>
      <c r="AAN16" s="16"/>
      <c r="AAO16" s="16"/>
      <c r="AAP16" s="16"/>
      <c r="AAQ16" s="16"/>
      <c r="AAR16" s="16"/>
      <c r="AAS16" s="16"/>
      <c r="AAT16" s="16"/>
      <c r="AAU16" s="16"/>
      <c r="AAV16" s="16"/>
      <c r="AAW16" s="16"/>
      <c r="AAX16" s="16"/>
      <c r="AAY16" s="16"/>
      <c r="AAZ16" s="16"/>
      <c r="ABA16" s="16"/>
      <c r="ABB16" s="16"/>
      <c r="ABC16" s="16"/>
      <c r="ABD16" s="16"/>
      <c r="ABE16" s="16"/>
      <c r="ABF16" s="16"/>
      <c r="ABG16" s="16"/>
      <c r="ABH16" s="16"/>
      <c r="ABI16" s="16"/>
      <c r="ABJ16" s="16"/>
      <c r="ABK16" s="16"/>
      <c r="ABL16" s="16"/>
      <c r="ABM16" s="16"/>
      <c r="ABN16" s="16"/>
      <c r="ABO16" s="16"/>
      <c r="ABP16" s="16"/>
      <c r="ABQ16" s="16"/>
      <c r="ABR16" s="16"/>
      <c r="ABS16" s="16"/>
      <c r="ABT16" s="16"/>
      <c r="ABU16" s="16"/>
      <c r="ABV16" s="16"/>
      <c r="ABW16" s="16"/>
      <c r="ABX16" s="16"/>
      <c r="ABY16" s="16"/>
      <c r="ABZ16" s="16"/>
      <c r="ACA16" s="16"/>
      <c r="ACB16" s="16"/>
      <c r="ACC16" s="16"/>
      <c r="ACD16" s="16"/>
      <c r="ACE16" s="16"/>
      <c r="ACF16" s="16"/>
      <c r="ACG16" s="16"/>
      <c r="ACH16" s="16"/>
      <c r="ACI16" s="16"/>
      <c r="ACJ16" s="16"/>
      <c r="ACK16" s="16"/>
      <c r="ACL16" s="16"/>
      <c r="ACM16" s="16"/>
      <c r="ACN16" s="16"/>
      <c r="ACO16" s="16"/>
      <c r="ACP16" s="16"/>
      <c r="ACQ16" s="16"/>
      <c r="ACR16" s="16"/>
      <c r="ACS16" s="16"/>
      <c r="ACT16" s="16"/>
      <c r="ACU16" s="16"/>
      <c r="ACV16" s="16"/>
      <c r="ACW16" s="16"/>
      <c r="ACX16" s="16"/>
      <c r="ACY16" s="16"/>
      <c r="ACZ16" s="16"/>
      <c r="ADA16" s="16"/>
      <c r="ADB16" s="16"/>
      <c r="ADC16" s="16"/>
      <c r="ADD16" s="16"/>
      <c r="ADE16" s="16"/>
      <c r="ADF16" s="16"/>
      <c r="ADG16" s="16"/>
      <c r="ADH16" s="16"/>
      <c r="ADI16" s="16"/>
      <c r="ADJ16" s="16"/>
      <c r="ADK16" s="16"/>
      <c r="ADL16" s="16"/>
      <c r="ADM16" s="16"/>
      <c r="ADN16" s="16"/>
      <c r="ADO16" s="16"/>
      <c r="ADP16" s="16"/>
      <c r="ADQ16" s="16"/>
      <c r="ADR16" s="16"/>
      <c r="ADS16" s="16"/>
      <c r="ADT16" s="16"/>
      <c r="ADU16" s="16"/>
      <c r="ADV16" s="16"/>
      <c r="ADW16" s="16"/>
      <c r="ADX16" s="16"/>
      <c r="ADY16" s="16"/>
      <c r="ADZ16" s="16"/>
      <c r="AEA16" s="16"/>
      <c r="AEB16" s="16"/>
      <c r="AEC16" s="16"/>
      <c r="AED16" s="16"/>
      <c r="AEE16" s="16"/>
      <c r="AEF16" s="16"/>
      <c r="AEG16" s="16"/>
      <c r="AEH16" s="16"/>
      <c r="AEI16" s="16"/>
      <c r="AEJ16" s="16"/>
      <c r="AEK16" s="16"/>
      <c r="AEL16" s="16"/>
      <c r="AEM16" s="16"/>
      <c r="AEN16" s="16"/>
      <c r="AEO16" s="16"/>
      <c r="AEP16" s="16"/>
      <c r="AEQ16" s="16"/>
      <c r="AER16" s="16"/>
      <c r="AES16" s="16"/>
      <c r="AET16" s="16"/>
      <c r="AEU16" s="16"/>
      <c r="AEV16" s="16"/>
      <c r="AEW16" s="16"/>
      <c r="AEX16" s="16"/>
      <c r="AEY16" s="16"/>
      <c r="AEZ16" s="16"/>
      <c r="AFA16" s="16"/>
      <c r="AFB16" s="16"/>
      <c r="AFC16" s="16"/>
      <c r="AFD16" s="16"/>
      <c r="AFE16" s="16"/>
      <c r="AFF16" s="16"/>
      <c r="AFG16" s="16"/>
      <c r="AFH16" s="16"/>
      <c r="AFI16" s="16"/>
      <c r="AFJ16" s="16"/>
      <c r="AFK16" s="16"/>
      <c r="AFL16" s="16"/>
      <c r="AFM16" s="16"/>
      <c r="AFN16" s="16"/>
      <c r="AFO16" s="16"/>
      <c r="AFP16" s="16"/>
      <c r="AFQ16" s="16"/>
      <c r="AFR16" s="16"/>
      <c r="AFS16" s="16"/>
      <c r="AFT16" s="16"/>
      <c r="AFU16" s="16"/>
      <c r="AFV16" s="16"/>
      <c r="AFW16" s="16"/>
      <c r="AFX16" s="16"/>
      <c r="AFY16" s="16"/>
      <c r="AFZ16" s="16"/>
      <c r="AGA16" s="16"/>
      <c r="AGB16" s="16"/>
      <c r="AGC16" s="16"/>
      <c r="AGD16" s="16"/>
      <c r="AGE16" s="16"/>
      <c r="AGF16" s="16"/>
      <c r="AGG16" s="16"/>
      <c r="AGH16" s="16"/>
      <c r="AGI16" s="16"/>
      <c r="AGJ16" s="16"/>
    </row>
    <row r="17" spans="1:868" s="6" customFormat="1">
      <c r="A17" s="151" t="s">
        <v>289</v>
      </c>
      <c r="B17" s="34" t="s">
        <v>179</v>
      </c>
      <c r="C17" s="1084" t="s">
        <v>139</v>
      </c>
      <c r="D17" s="34" t="s">
        <v>139</v>
      </c>
      <c r="E17" s="257">
        <v>0.97</v>
      </c>
      <c r="F17" s="232">
        <v>2</v>
      </c>
      <c r="G17" s="1084" t="s">
        <v>292</v>
      </c>
      <c r="H17" s="29">
        <v>2</v>
      </c>
      <c r="I17" s="1083"/>
      <c r="J17" s="1083">
        <v>2</v>
      </c>
      <c r="K17" s="1083">
        <v>3</v>
      </c>
      <c r="L17" s="1083">
        <v>3</v>
      </c>
      <c r="M17" s="1083">
        <v>1</v>
      </c>
      <c r="N17" s="1082">
        <f t="shared" si="1"/>
        <v>0.51126068492676302</v>
      </c>
      <c r="O17" s="159" t="str">
        <f t="shared" si="2"/>
        <v/>
      </c>
      <c r="P17" s="63" t="s">
        <v>293</v>
      </c>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c r="ZZ17" s="16"/>
      <c r="AAA17" s="16"/>
      <c r="AAB17" s="16"/>
      <c r="AAC17" s="16"/>
      <c r="AAD17" s="16"/>
      <c r="AAE17" s="16"/>
      <c r="AAF17" s="16"/>
      <c r="AAG17" s="16"/>
      <c r="AAH17" s="16"/>
      <c r="AAI17" s="16"/>
      <c r="AAJ17" s="16"/>
      <c r="AAK17" s="16"/>
      <c r="AAL17" s="16"/>
      <c r="AAM17" s="16"/>
      <c r="AAN17" s="16"/>
      <c r="AAO17" s="16"/>
      <c r="AAP17" s="16"/>
      <c r="AAQ17" s="16"/>
      <c r="AAR17" s="16"/>
      <c r="AAS17" s="16"/>
      <c r="AAT17" s="16"/>
      <c r="AAU17" s="16"/>
      <c r="AAV17" s="16"/>
      <c r="AAW17" s="16"/>
      <c r="AAX17" s="16"/>
      <c r="AAY17" s="16"/>
      <c r="AAZ17" s="16"/>
      <c r="ABA17" s="16"/>
      <c r="ABB17" s="16"/>
      <c r="ABC17" s="16"/>
      <c r="ABD17" s="16"/>
      <c r="ABE17" s="16"/>
      <c r="ABF17" s="16"/>
      <c r="ABG17" s="16"/>
      <c r="ABH17" s="16"/>
      <c r="ABI17" s="16"/>
      <c r="ABJ17" s="16"/>
      <c r="ABK17" s="16"/>
      <c r="ABL17" s="16"/>
      <c r="ABM17" s="16"/>
      <c r="ABN17" s="16"/>
      <c r="ABO17" s="16"/>
      <c r="ABP17" s="16"/>
      <c r="ABQ17" s="16"/>
      <c r="ABR17" s="16"/>
      <c r="ABS17" s="16"/>
      <c r="ABT17" s="16"/>
      <c r="ABU17" s="16"/>
      <c r="ABV17" s="16"/>
      <c r="ABW17" s="16"/>
      <c r="ABX17" s="16"/>
      <c r="ABY17" s="16"/>
      <c r="ABZ17" s="16"/>
      <c r="ACA17" s="16"/>
      <c r="ACB17" s="16"/>
      <c r="ACC17" s="16"/>
      <c r="ACD17" s="16"/>
      <c r="ACE17" s="16"/>
      <c r="ACF17" s="16"/>
      <c r="ACG17" s="16"/>
      <c r="ACH17" s="16"/>
      <c r="ACI17" s="16"/>
      <c r="ACJ17" s="16"/>
      <c r="ACK17" s="16"/>
      <c r="ACL17" s="16"/>
      <c r="ACM17" s="16"/>
      <c r="ACN17" s="16"/>
      <c r="ACO17" s="16"/>
      <c r="ACP17" s="16"/>
      <c r="ACQ17" s="16"/>
      <c r="ACR17" s="16"/>
      <c r="ACS17" s="16"/>
      <c r="ACT17" s="16"/>
      <c r="ACU17" s="16"/>
      <c r="ACV17" s="16"/>
      <c r="ACW17" s="16"/>
      <c r="ACX17" s="16"/>
      <c r="ACY17" s="16"/>
      <c r="ACZ17" s="16"/>
      <c r="ADA17" s="16"/>
      <c r="ADB17" s="16"/>
      <c r="ADC17" s="16"/>
      <c r="ADD17" s="16"/>
      <c r="ADE17" s="16"/>
      <c r="ADF17" s="16"/>
      <c r="ADG17" s="16"/>
      <c r="ADH17" s="16"/>
      <c r="ADI17" s="16"/>
      <c r="ADJ17" s="16"/>
      <c r="ADK17" s="16"/>
      <c r="ADL17" s="16"/>
      <c r="ADM17" s="16"/>
      <c r="ADN17" s="16"/>
      <c r="ADO17" s="16"/>
      <c r="ADP17" s="16"/>
      <c r="ADQ17" s="16"/>
      <c r="ADR17" s="16"/>
      <c r="ADS17" s="16"/>
      <c r="ADT17" s="16"/>
      <c r="ADU17" s="16"/>
      <c r="ADV17" s="16"/>
      <c r="ADW17" s="16"/>
      <c r="ADX17" s="16"/>
      <c r="ADY17" s="16"/>
      <c r="ADZ17" s="16"/>
      <c r="AEA17" s="16"/>
      <c r="AEB17" s="16"/>
      <c r="AEC17" s="16"/>
      <c r="AED17" s="16"/>
      <c r="AEE17" s="16"/>
      <c r="AEF17" s="16"/>
      <c r="AEG17" s="16"/>
      <c r="AEH17" s="16"/>
      <c r="AEI17" s="16"/>
      <c r="AEJ17" s="16"/>
      <c r="AEK17" s="16"/>
      <c r="AEL17" s="16"/>
      <c r="AEM17" s="16"/>
      <c r="AEN17" s="16"/>
      <c r="AEO17" s="16"/>
      <c r="AEP17" s="16"/>
      <c r="AEQ17" s="16"/>
      <c r="AER17" s="16"/>
      <c r="AES17" s="16"/>
      <c r="AET17" s="16"/>
      <c r="AEU17" s="16"/>
      <c r="AEV17" s="16"/>
      <c r="AEW17" s="16"/>
      <c r="AEX17" s="16"/>
      <c r="AEY17" s="16"/>
      <c r="AEZ17" s="16"/>
      <c r="AFA17" s="16"/>
      <c r="AFB17" s="16"/>
      <c r="AFC17" s="16"/>
      <c r="AFD17" s="16"/>
      <c r="AFE17" s="16"/>
      <c r="AFF17" s="16"/>
      <c r="AFG17" s="16"/>
      <c r="AFH17" s="16"/>
      <c r="AFI17" s="16"/>
      <c r="AFJ17" s="16"/>
      <c r="AFK17" s="16"/>
      <c r="AFL17" s="16"/>
      <c r="AFM17" s="16"/>
      <c r="AFN17" s="16"/>
      <c r="AFO17" s="16"/>
      <c r="AFP17" s="16"/>
      <c r="AFQ17" s="16"/>
      <c r="AFR17" s="16"/>
      <c r="AFS17" s="16"/>
      <c r="AFT17" s="16"/>
      <c r="AFU17" s="16"/>
      <c r="AFV17" s="16"/>
      <c r="AFW17" s="16"/>
      <c r="AFX17" s="16"/>
      <c r="AFY17" s="16"/>
      <c r="AFZ17" s="16"/>
      <c r="AGA17" s="16"/>
      <c r="AGB17" s="16"/>
      <c r="AGC17" s="16"/>
      <c r="AGD17" s="16"/>
      <c r="AGE17" s="16"/>
      <c r="AGF17" s="16"/>
      <c r="AGG17" s="16"/>
      <c r="AGH17" s="16"/>
      <c r="AGI17" s="16"/>
      <c r="AGJ17" s="16"/>
    </row>
    <row r="18" spans="1:868" s="6" customFormat="1">
      <c r="A18" s="151" t="s">
        <v>289</v>
      </c>
      <c r="B18" s="34" t="s">
        <v>179</v>
      </c>
      <c r="C18" s="1084" t="s">
        <v>139</v>
      </c>
      <c r="D18" s="34" t="s">
        <v>139</v>
      </c>
      <c r="E18" s="257">
        <v>0</v>
      </c>
      <c r="F18" s="232">
        <v>2</v>
      </c>
      <c r="G18" s="1084" t="s">
        <v>294</v>
      </c>
      <c r="H18" s="29"/>
      <c r="I18" s="1083"/>
      <c r="J18" s="1083"/>
      <c r="K18" s="1083"/>
      <c r="L18" s="1083"/>
      <c r="M18" s="1083"/>
      <c r="N18" s="1082" t="str">
        <f t="shared" si="1"/>
        <v/>
      </c>
      <c r="O18" s="159" t="str">
        <f t="shared" si="2"/>
        <v/>
      </c>
      <c r="P18" s="63"/>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c r="ZZ18" s="16"/>
      <c r="AAA18" s="16"/>
      <c r="AAB18" s="16"/>
      <c r="AAC18" s="16"/>
      <c r="AAD18" s="16"/>
      <c r="AAE18" s="16"/>
      <c r="AAF18" s="16"/>
      <c r="AAG18" s="16"/>
      <c r="AAH18" s="16"/>
      <c r="AAI18" s="16"/>
      <c r="AAJ18" s="16"/>
      <c r="AAK18" s="16"/>
      <c r="AAL18" s="16"/>
      <c r="AAM18" s="16"/>
      <c r="AAN18" s="16"/>
      <c r="AAO18" s="16"/>
      <c r="AAP18" s="16"/>
      <c r="AAQ18" s="16"/>
      <c r="AAR18" s="16"/>
      <c r="AAS18" s="16"/>
      <c r="AAT18" s="16"/>
      <c r="AAU18" s="16"/>
      <c r="AAV18" s="16"/>
      <c r="AAW18" s="16"/>
      <c r="AAX18" s="16"/>
      <c r="AAY18" s="16"/>
      <c r="AAZ18" s="16"/>
      <c r="ABA18" s="16"/>
      <c r="ABB18" s="16"/>
      <c r="ABC18" s="16"/>
      <c r="ABD18" s="16"/>
      <c r="ABE18" s="16"/>
      <c r="ABF18" s="16"/>
      <c r="ABG18" s="16"/>
      <c r="ABH18" s="16"/>
      <c r="ABI18" s="16"/>
      <c r="ABJ18" s="16"/>
      <c r="ABK18" s="16"/>
      <c r="ABL18" s="16"/>
      <c r="ABM18" s="16"/>
      <c r="ABN18" s="16"/>
      <c r="ABO18" s="16"/>
      <c r="ABP18" s="16"/>
      <c r="ABQ18" s="16"/>
      <c r="ABR18" s="16"/>
      <c r="ABS18" s="16"/>
      <c r="ABT18" s="16"/>
      <c r="ABU18" s="16"/>
      <c r="ABV18" s="16"/>
      <c r="ABW18" s="16"/>
      <c r="ABX18" s="16"/>
      <c r="ABY18" s="16"/>
      <c r="ABZ18" s="16"/>
      <c r="ACA18" s="16"/>
      <c r="ACB18" s="16"/>
      <c r="ACC18" s="16"/>
      <c r="ACD18" s="16"/>
      <c r="ACE18" s="16"/>
      <c r="ACF18" s="16"/>
      <c r="ACG18" s="16"/>
      <c r="ACH18" s="16"/>
      <c r="ACI18" s="16"/>
      <c r="ACJ18" s="16"/>
      <c r="ACK18" s="16"/>
      <c r="ACL18" s="16"/>
      <c r="ACM18" s="16"/>
      <c r="ACN18" s="16"/>
      <c r="ACO18" s="16"/>
      <c r="ACP18" s="16"/>
      <c r="ACQ18" s="16"/>
      <c r="ACR18" s="16"/>
      <c r="ACS18" s="16"/>
      <c r="ACT18" s="16"/>
      <c r="ACU18" s="16"/>
      <c r="ACV18" s="16"/>
      <c r="ACW18" s="16"/>
      <c r="ACX18" s="16"/>
      <c r="ACY18" s="16"/>
      <c r="ACZ18" s="16"/>
      <c r="ADA18" s="16"/>
      <c r="ADB18" s="16"/>
      <c r="ADC18" s="16"/>
      <c r="ADD18" s="16"/>
      <c r="ADE18" s="16"/>
      <c r="ADF18" s="16"/>
      <c r="ADG18" s="16"/>
      <c r="ADH18" s="16"/>
      <c r="ADI18" s="16"/>
      <c r="ADJ18" s="16"/>
      <c r="ADK18" s="16"/>
      <c r="ADL18" s="16"/>
      <c r="ADM18" s="16"/>
      <c r="ADN18" s="16"/>
      <c r="ADO18" s="16"/>
      <c r="ADP18" s="16"/>
      <c r="ADQ18" s="16"/>
      <c r="ADR18" s="16"/>
      <c r="ADS18" s="16"/>
      <c r="ADT18" s="16"/>
      <c r="ADU18" s="16"/>
      <c r="ADV18" s="16"/>
      <c r="ADW18" s="16"/>
      <c r="ADX18" s="16"/>
      <c r="ADY18" s="16"/>
      <c r="ADZ18" s="16"/>
      <c r="AEA18" s="16"/>
      <c r="AEB18" s="16"/>
      <c r="AEC18" s="16"/>
      <c r="AED18" s="16"/>
      <c r="AEE18" s="16"/>
      <c r="AEF18" s="16"/>
      <c r="AEG18" s="16"/>
      <c r="AEH18" s="16"/>
      <c r="AEI18" s="16"/>
      <c r="AEJ18" s="16"/>
      <c r="AEK18" s="16"/>
      <c r="AEL18" s="16"/>
      <c r="AEM18" s="16"/>
      <c r="AEN18" s="16"/>
      <c r="AEO18" s="16"/>
      <c r="AEP18" s="16"/>
      <c r="AEQ18" s="16"/>
      <c r="AER18" s="16"/>
      <c r="AES18" s="16"/>
      <c r="AET18" s="16"/>
      <c r="AEU18" s="16"/>
      <c r="AEV18" s="16"/>
      <c r="AEW18" s="16"/>
      <c r="AEX18" s="16"/>
      <c r="AEY18" s="16"/>
      <c r="AEZ18" s="16"/>
      <c r="AFA18" s="16"/>
      <c r="AFB18" s="16"/>
      <c r="AFC18" s="16"/>
      <c r="AFD18" s="16"/>
      <c r="AFE18" s="16"/>
      <c r="AFF18" s="16"/>
      <c r="AFG18" s="16"/>
      <c r="AFH18" s="16"/>
      <c r="AFI18" s="16"/>
      <c r="AFJ18" s="16"/>
      <c r="AFK18" s="16"/>
      <c r="AFL18" s="16"/>
      <c r="AFM18" s="16"/>
      <c r="AFN18" s="16"/>
      <c r="AFO18" s="16"/>
      <c r="AFP18" s="16"/>
      <c r="AFQ18" s="16"/>
      <c r="AFR18" s="16"/>
      <c r="AFS18" s="16"/>
      <c r="AFT18" s="16"/>
      <c r="AFU18" s="16"/>
      <c r="AFV18" s="16"/>
      <c r="AFW18" s="16"/>
      <c r="AFX18" s="16"/>
      <c r="AFY18" s="16"/>
      <c r="AFZ18" s="16"/>
      <c r="AGA18" s="16"/>
      <c r="AGB18" s="16"/>
      <c r="AGC18" s="16"/>
      <c r="AGD18" s="16"/>
      <c r="AGE18" s="16"/>
      <c r="AGF18" s="16"/>
      <c r="AGG18" s="16"/>
      <c r="AGH18" s="16"/>
      <c r="AGI18" s="16"/>
      <c r="AGJ18" s="16"/>
    </row>
    <row r="19" spans="1:868" s="6" customFormat="1">
      <c r="A19" s="151" t="s">
        <v>289</v>
      </c>
      <c r="B19" s="34" t="s">
        <v>179</v>
      </c>
      <c r="C19" s="1084" t="s">
        <v>139</v>
      </c>
      <c r="D19" s="34" t="s">
        <v>139</v>
      </c>
      <c r="E19" s="257">
        <v>0.61</v>
      </c>
      <c r="F19" s="232">
        <v>2</v>
      </c>
      <c r="G19" s="1084" t="s">
        <v>295</v>
      </c>
      <c r="H19" s="29">
        <v>1</v>
      </c>
      <c r="I19" s="1083"/>
      <c r="J19" s="1083">
        <v>2</v>
      </c>
      <c r="K19" s="1083">
        <v>3</v>
      </c>
      <c r="L19" s="1083">
        <v>3</v>
      </c>
      <c r="M19" s="1083">
        <v>1</v>
      </c>
      <c r="N19" s="1082">
        <f t="shared" si="1"/>
        <v>0.50042652380814845</v>
      </c>
      <c r="O19" s="159" t="str">
        <f t="shared" si="2"/>
        <v/>
      </c>
      <c r="P19" s="63"/>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c r="ZZ19" s="16"/>
      <c r="AAA19" s="16"/>
      <c r="AAB19" s="16"/>
      <c r="AAC19" s="16"/>
      <c r="AAD19" s="16"/>
      <c r="AAE19" s="16"/>
      <c r="AAF19" s="16"/>
      <c r="AAG19" s="16"/>
      <c r="AAH19" s="16"/>
      <c r="AAI19" s="16"/>
      <c r="AAJ19" s="16"/>
      <c r="AAK19" s="16"/>
      <c r="AAL19" s="16"/>
      <c r="AAM19" s="16"/>
      <c r="AAN19" s="16"/>
      <c r="AAO19" s="16"/>
      <c r="AAP19" s="16"/>
      <c r="AAQ19" s="16"/>
      <c r="AAR19" s="16"/>
      <c r="AAS19" s="16"/>
      <c r="AAT19" s="16"/>
      <c r="AAU19" s="16"/>
      <c r="AAV19" s="16"/>
      <c r="AAW19" s="16"/>
      <c r="AAX19" s="16"/>
      <c r="AAY19" s="16"/>
      <c r="AAZ19" s="16"/>
      <c r="ABA19" s="16"/>
      <c r="ABB19" s="16"/>
      <c r="ABC19" s="16"/>
      <c r="ABD19" s="16"/>
      <c r="ABE19" s="16"/>
      <c r="ABF19" s="16"/>
      <c r="ABG19" s="16"/>
      <c r="ABH19" s="16"/>
      <c r="ABI19" s="16"/>
      <c r="ABJ19" s="16"/>
      <c r="ABK19" s="16"/>
      <c r="ABL19" s="16"/>
      <c r="ABM19" s="16"/>
      <c r="ABN19" s="16"/>
      <c r="ABO19" s="16"/>
      <c r="ABP19" s="16"/>
      <c r="ABQ19" s="16"/>
      <c r="ABR19" s="16"/>
      <c r="ABS19" s="16"/>
      <c r="ABT19" s="16"/>
      <c r="ABU19" s="16"/>
      <c r="ABV19" s="16"/>
      <c r="ABW19" s="16"/>
      <c r="ABX19" s="16"/>
      <c r="ABY19" s="16"/>
      <c r="ABZ19" s="16"/>
      <c r="ACA19" s="16"/>
      <c r="ACB19" s="16"/>
      <c r="ACC19" s="16"/>
      <c r="ACD19" s="16"/>
      <c r="ACE19" s="16"/>
      <c r="ACF19" s="16"/>
      <c r="ACG19" s="16"/>
      <c r="ACH19" s="16"/>
      <c r="ACI19" s="16"/>
      <c r="ACJ19" s="16"/>
      <c r="ACK19" s="16"/>
      <c r="ACL19" s="16"/>
      <c r="ACM19" s="16"/>
      <c r="ACN19" s="16"/>
      <c r="ACO19" s="16"/>
      <c r="ACP19" s="16"/>
      <c r="ACQ19" s="16"/>
      <c r="ACR19" s="16"/>
      <c r="ACS19" s="16"/>
      <c r="ACT19" s="16"/>
      <c r="ACU19" s="16"/>
      <c r="ACV19" s="16"/>
      <c r="ACW19" s="16"/>
      <c r="ACX19" s="16"/>
      <c r="ACY19" s="16"/>
      <c r="ACZ19" s="16"/>
      <c r="ADA19" s="16"/>
      <c r="ADB19" s="16"/>
      <c r="ADC19" s="16"/>
      <c r="ADD19" s="16"/>
      <c r="ADE19" s="16"/>
      <c r="ADF19" s="16"/>
      <c r="ADG19" s="16"/>
      <c r="ADH19" s="16"/>
      <c r="ADI19" s="16"/>
      <c r="ADJ19" s="16"/>
      <c r="ADK19" s="16"/>
      <c r="ADL19" s="16"/>
      <c r="ADM19" s="16"/>
      <c r="ADN19" s="16"/>
      <c r="ADO19" s="16"/>
      <c r="ADP19" s="16"/>
      <c r="ADQ19" s="16"/>
      <c r="ADR19" s="16"/>
      <c r="ADS19" s="16"/>
      <c r="ADT19" s="16"/>
      <c r="ADU19" s="16"/>
      <c r="ADV19" s="16"/>
      <c r="ADW19" s="16"/>
      <c r="ADX19" s="16"/>
      <c r="ADY19" s="16"/>
      <c r="ADZ19" s="16"/>
      <c r="AEA19" s="16"/>
      <c r="AEB19" s="16"/>
      <c r="AEC19" s="16"/>
      <c r="AED19" s="16"/>
      <c r="AEE19" s="16"/>
      <c r="AEF19" s="16"/>
      <c r="AEG19" s="16"/>
      <c r="AEH19" s="16"/>
      <c r="AEI19" s="16"/>
      <c r="AEJ19" s="16"/>
      <c r="AEK19" s="16"/>
      <c r="AEL19" s="16"/>
      <c r="AEM19" s="16"/>
      <c r="AEN19" s="16"/>
      <c r="AEO19" s="16"/>
      <c r="AEP19" s="16"/>
      <c r="AEQ19" s="16"/>
      <c r="AER19" s="16"/>
      <c r="AES19" s="16"/>
      <c r="AET19" s="16"/>
      <c r="AEU19" s="16"/>
      <c r="AEV19" s="16"/>
      <c r="AEW19" s="16"/>
      <c r="AEX19" s="16"/>
      <c r="AEY19" s="16"/>
      <c r="AEZ19" s="16"/>
      <c r="AFA19" s="16"/>
      <c r="AFB19" s="16"/>
      <c r="AFC19" s="16"/>
      <c r="AFD19" s="16"/>
      <c r="AFE19" s="16"/>
      <c r="AFF19" s="16"/>
      <c r="AFG19" s="16"/>
      <c r="AFH19" s="16"/>
      <c r="AFI19" s="16"/>
      <c r="AFJ19" s="16"/>
      <c r="AFK19" s="16"/>
      <c r="AFL19" s="16"/>
      <c r="AFM19" s="16"/>
      <c r="AFN19" s="16"/>
      <c r="AFO19" s="16"/>
      <c r="AFP19" s="16"/>
      <c r="AFQ19" s="16"/>
      <c r="AFR19" s="16"/>
      <c r="AFS19" s="16"/>
      <c r="AFT19" s="16"/>
      <c r="AFU19" s="16"/>
      <c r="AFV19" s="16"/>
      <c r="AFW19" s="16"/>
      <c r="AFX19" s="16"/>
      <c r="AFY19" s="16"/>
      <c r="AFZ19" s="16"/>
      <c r="AGA19" s="16"/>
      <c r="AGB19" s="16"/>
      <c r="AGC19" s="16"/>
      <c r="AGD19" s="16"/>
      <c r="AGE19" s="16"/>
      <c r="AGF19" s="16"/>
      <c r="AGG19" s="16"/>
      <c r="AGH19" s="16"/>
      <c r="AGI19" s="16"/>
      <c r="AGJ19" s="16"/>
    </row>
    <row r="20" spans="1:868" s="6" customFormat="1">
      <c r="A20" s="151" t="s">
        <v>289</v>
      </c>
      <c r="B20" s="34" t="s">
        <v>179</v>
      </c>
      <c r="C20" s="1084" t="s">
        <v>139</v>
      </c>
      <c r="D20" s="34" t="s">
        <v>139</v>
      </c>
      <c r="E20" s="257">
        <v>0.39473684210526327</v>
      </c>
      <c r="F20" s="232">
        <v>2</v>
      </c>
      <c r="G20" s="1084" t="s">
        <v>296</v>
      </c>
      <c r="H20" s="29">
        <v>2</v>
      </c>
      <c r="I20" s="1083"/>
      <c r="J20" s="1083">
        <v>2</v>
      </c>
      <c r="K20" s="1083">
        <v>3</v>
      </c>
      <c r="L20" s="1083">
        <v>3</v>
      </c>
      <c r="M20" s="1083">
        <v>1</v>
      </c>
      <c r="N20" s="1082">
        <f t="shared" si="1"/>
        <v>0.51126068492676302</v>
      </c>
      <c r="O20" s="159" t="str">
        <f t="shared" si="2"/>
        <v/>
      </c>
      <c r="P20" s="63" t="s">
        <v>297</v>
      </c>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c r="ZZ20" s="16"/>
      <c r="AAA20" s="16"/>
      <c r="AAB20" s="16"/>
      <c r="AAC20" s="16"/>
      <c r="AAD20" s="16"/>
      <c r="AAE20" s="16"/>
      <c r="AAF20" s="16"/>
      <c r="AAG20" s="16"/>
      <c r="AAH20" s="16"/>
      <c r="AAI20" s="16"/>
      <c r="AAJ20" s="16"/>
      <c r="AAK20" s="16"/>
      <c r="AAL20" s="16"/>
      <c r="AAM20" s="16"/>
      <c r="AAN20" s="16"/>
      <c r="AAO20" s="16"/>
      <c r="AAP20" s="16"/>
      <c r="AAQ20" s="16"/>
      <c r="AAR20" s="16"/>
      <c r="AAS20" s="16"/>
      <c r="AAT20" s="16"/>
      <c r="AAU20" s="16"/>
      <c r="AAV20" s="16"/>
      <c r="AAW20" s="16"/>
      <c r="AAX20" s="16"/>
      <c r="AAY20" s="16"/>
      <c r="AAZ20" s="16"/>
      <c r="ABA20" s="16"/>
      <c r="ABB20" s="16"/>
      <c r="ABC20" s="16"/>
      <c r="ABD20" s="16"/>
      <c r="ABE20" s="16"/>
      <c r="ABF20" s="16"/>
      <c r="ABG20" s="16"/>
      <c r="ABH20" s="16"/>
      <c r="ABI20" s="16"/>
      <c r="ABJ20" s="16"/>
      <c r="ABK20" s="16"/>
      <c r="ABL20" s="16"/>
      <c r="ABM20" s="16"/>
      <c r="ABN20" s="16"/>
      <c r="ABO20" s="16"/>
      <c r="ABP20" s="16"/>
      <c r="ABQ20" s="16"/>
      <c r="ABR20" s="16"/>
      <c r="ABS20" s="16"/>
      <c r="ABT20" s="16"/>
      <c r="ABU20" s="16"/>
      <c r="ABV20" s="16"/>
      <c r="ABW20" s="16"/>
      <c r="ABX20" s="16"/>
      <c r="ABY20" s="16"/>
      <c r="ABZ20" s="16"/>
      <c r="ACA20" s="16"/>
      <c r="ACB20" s="16"/>
      <c r="ACC20" s="16"/>
      <c r="ACD20" s="16"/>
      <c r="ACE20" s="16"/>
      <c r="ACF20" s="16"/>
      <c r="ACG20" s="16"/>
      <c r="ACH20" s="16"/>
      <c r="ACI20" s="16"/>
      <c r="ACJ20" s="16"/>
      <c r="ACK20" s="16"/>
      <c r="ACL20" s="16"/>
      <c r="ACM20" s="16"/>
      <c r="ACN20" s="16"/>
      <c r="ACO20" s="16"/>
      <c r="ACP20" s="16"/>
      <c r="ACQ20" s="16"/>
      <c r="ACR20" s="16"/>
      <c r="ACS20" s="16"/>
      <c r="ACT20" s="16"/>
      <c r="ACU20" s="16"/>
      <c r="ACV20" s="16"/>
      <c r="ACW20" s="16"/>
      <c r="ACX20" s="16"/>
      <c r="ACY20" s="16"/>
      <c r="ACZ20" s="16"/>
      <c r="ADA20" s="16"/>
      <c r="ADB20" s="16"/>
      <c r="ADC20" s="16"/>
      <c r="ADD20" s="16"/>
      <c r="ADE20" s="16"/>
      <c r="ADF20" s="16"/>
      <c r="ADG20" s="16"/>
      <c r="ADH20" s="16"/>
      <c r="ADI20" s="16"/>
      <c r="ADJ20" s="16"/>
      <c r="ADK20" s="16"/>
      <c r="ADL20" s="16"/>
      <c r="ADM20" s="16"/>
      <c r="ADN20" s="16"/>
      <c r="ADO20" s="16"/>
      <c r="ADP20" s="16"/>
      <c r="ADQ20" s="16"/>
      <c r="ADR20" s="16"/>
      <c r="ADS20" s="16"/>
      <c r="ADT20" s="16"/>
      <c r="ADU20" s="16"/>
      <c r="ADV20" s="16"/>
      <c r="ADW20" s="16"/>
      <c r="ADX20" s="16"/>
      <c r="ADY20" s="16"/>
      <c r="ADZ20" s="16"/>
      <c r="AEA20" s="16"/>
      <c r="AEB20" s="16"/>
      <c r="AEC20" s="16"/>
      <c r="AED20" s="16"/>
      <c r="AEE20" s="16"/>
      <c r="AEF20" s="16"/>
      <c r="AEG20" s="16"/>
      <c r="AEH20" s="16"/>
      <c r="AEI20" s="16"/>
      <c r="AEJ20" s="16"/>
      <c r="AEK20" s="16"/>
      <c r="AEL20" s="16"/>
      <c r="AEM20" s="16"/>
      <c r="AEN20" s="16"/>
      <c r="AEO20" s="16"/>
      <c r="AEP20" s="16"/>
      <c r="AEQ20" s="16"/>
      <c r="AER20" s="16"/>
      <c r="AES20" s="16"/>
      <c r="AET20" s="16"/>
      <c r="AEU20" s="16"/>
      <c r="AEV20" s="16"/>
      <c r="AEW20" s="16"/>
      <c r="AEX20" s="16"/>
      <c r="AEY20" s="16"/>
      <c r="AEZ20" s="16"/>
      <c r="AFA20" s="16"/>
      <c r="AFB20" s="16"/>
      <c r="AFC20" s="16"/>
      <c r="AFD20" s="16"/>
      <c r="AFE20" s="16"/>
      <c r="AFF20" s="16"/>
      <c r="AFG20" s="16"/>
      <c r="AFH20" s="16"/>
      <c r="AFI20" s="16"/>
      <c r="AFJ20" s="16"/>
      <c r="AFK20" s="16"/>
      <c r="AFL20" s="16"/>
      <c r="AFM20" s="16"/>
      <c r="AFN20" s="16"/>
      <c r="AFO20" s="16"/>
      <c r="AFP20" s="16"/>
      <c r="AFQ20" s="16"/>
      <c r="AFR20" s="16"/>
      <c r="AFS20" s="16"/>
      <c r="AFT20" s="16"/>
      <c r="AFU20" s="16"/>
      <c r="AFV20" s="16"/>
      <c r="AFW20" s="16"/>
      <c r="AFX20" s="16"/>
      <c r="AFY20" s="16"/>
      <c r="AFZ20" s="16"/>
      <c r="AGA20" s="16"/>
      <c r="AGB20" s="16"/>
      <c r="AGC20" s="16"/>
      <c r="AGD20" s="16"/>
      <c r="AGE20" s="16"/>
      <c r="AGF20" s="16"/>
      <c r="AGG20" s="16"/>
      <c r="AGH20" s="16"/>
      <c r="AGI20" s="16"/>
      <c r="AGJ20" s="16"/>
    </row>
    <row r="21" spans="1:868" s="6" customFormat="1">
      <c r="A21" s="151" t="s">
        <v>289</v>
      </c>
      <c r="B21" s="34" t="s">
        <v>179</v>
      </c>
      <c r="C21" s="1084" t="s">
        <v>139</v>
      </c>
      <c r="D21" s="34" t="s">
        <v>139</v>
      </c>
      <c r="E21" s="168">
        <v>1</v>
      </c>
      <c r="F21" s="232">
        <v>2</v>
      </c>
      <c r="G21" s="1084" t="s">
        <v>298</v>
      </c>
      <c r="H21" s="29"/>
      <c r="I21" s="1083"/>
      <c r="J21" s="1083"/>
      <c r="K21" s="1083"/>
      <c r="L21" s="1083"/>
      <c r="M21" s="1083"/>
      <c r="N21" s="1082" t="str">
        <f t="shared" si="1"/>
        <v/>
      </c>
      <c r="O21" s="159" t="str">
        <f t="shared" si="2"/>
        <v/>
      </c>
      <c r="P21" s="63"/>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c r="KF21" s="16"/>
      <c r="KG21" s="16"/>
      <c r="KH21" s="16"/>
      <c r="KI21" s="16"/>
      <c r="KJ21" s="16"/>
      <c r="KK21" s="16"/>
      <c r="KL21" s="16"/>
      <c r="KM21" s="16"/>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c r="ZZ21" s="16"/>
      <c r="AAA21" s="16"/>
      <c r="AAB21" s="16"/>
      <c r="AAC21" s="16"/>
      <c r="AAD21" s="16"/>
      <c r="AAE21" s="16"/>
      <c r="AAF21" s="16"/>
      <c r="AAG21" s="16"/>
      <c r="AAH21" s="16"/>
      <c r="AAI21" s="16"/>
      <c r="AAJ21" s="16"/>
      <c r="AAK21" s="16"/>
      <c r="AAL21" s="16"/>
      <c r="AAM21" s="16"/>
      <c r="AAN21" s="16"/>
      <c r="AAO21" s="16"/>
      <c r="AAP21" s="16"/>
      <c r="AAQ21" s="16"/>
      <c r="AAR21" s="16"/>
      <c r="AAS21" s="16"/>
      <c r="AAT21" s="16"/>
      <c r="AAU21" s="16"/>
      <c r="AAV21" s="16"/>
      <c r="AAW21" s="16"/>
      <c r="AAX21" s="16"/>
      <c r="AAY21" s="16"/>
      <c r="AAZ21" s="16"/>
      <c r="ABA21" s="16"/>
      <c r="ABB21" s="16"/>
      <c r="ABC21" s="16"/>
      <c r="ABD21" s="16"/>
      <c r="ABE21" s="16"/>
      <c r="ABF21" s="16"/>
      <c r="ABG21" s="16"/>
      <c r="ABH21" s="16"/>
      <c r="ABI21" s="16"/>
      <c r="ABJ21" s="16"/>
      <c r="ABK21" s="16"/>
      <c r="ABL21" s="16"/>
      <c r="ABM21" s="16"/>
      <c r="ABN21" s="16"/>
      <c r="ABO21" s="16"/>
      <c r="ABP21" s="16"/>
      <c r="ABQ21" s="16"/>
      <c r="ABR21" s="16"/>
      <c r="ABS21" s="16"/>
      <c r="ABT21" s="16"/>
      <c r="ABU21" s="16"/>
      <c r="ABV21" s="16"/>
      <c r="ABW21" s="16"/>
      <c r="ABX21" s="16"/>
      <c r="ABY21" s="16"/>
      <c r="ABZ21" s="16"/>
      <c r="ACA21" s="16"/>
      <c r="ACB21" s="16"/>
      <c r="ACC21" s="16"/>
      <c r="ACD21" s="16"/>
      <c r="ACE21" s="16"/>
      <c r="ACF21" s="16"/>
      <c r="ACG21" s="16"/>
      <c r="ACH21" s="16"/>
      <c r="ACI21" s="16"/>
      <c r="ACJ21" s="16"/>
      <c r="ACK21" s="16"/>
      <c r="ACL21" s="16"/>
      <c r="ACM21" s="16"/>
      <c r="ACN21" s="16"/>
      <c r="ACO21" s="16"/>
      <c r="ACP21" s="16"/>
      <c r="ACQ21" s="16"/>
      <c r="ACR21" s="16"/>
      <c r="ACS21" s="16"/>
      <c r="ACT21" s="16"/>
      <c r="ACU21" s="16"/>
      <c r="ACV21" s="16"/>
      <c r="ACW21" s="16"/>
      <c r="ACX21" s="16"/>
      <c r="ACY21" s="16"/>
      <c r="ACZ21" s="16"/>
      <c r="ADA21" s="16"/>
      <c r="ADB21" s="16"/>
      <c r="ADC21" s="16"/>
      <c r="ADD21" s="16"/>
      <c r="ADE21" s="16"/>
      <c r="ADF21" s="16"/>
      <c r="ADG21" s="16"/>
      <c r="ADH21" s="16"/>
      <c r="ADI21" s="16"/>
      <c r="ADJ21" s="16"/>
      <c r="ADK21" s="16"/>
      <c r="ADL21" s="16"/>
      <c r="ADM21" s="16"/>
      <c r="ADN21" s="16"/>
      <c r="ADO21" s="16"/>
      <c r="ADP21" s="16"/>
      <c r="ADQ21" s="16"/>
      <c r="ADR21" s="16"/>
      <c r="ADS21" s="16"/>
      <c r="ADT21" s="16"/>
      <c r="ADU21" s="16"/>
      <c r="ADV21" s="16"/>
      <c r="ADW21" s="16"/>
      <c r="ADX21" s="16"/>
      <c r="ADY21" s="16"/>
      <c r="ADZ21" s="16"/>
      <c r="AEA21" s="16"/>
      <c r="AEB21" s="16"/>
      <c r="AEC21" s="16"/>
      <c r="AED21" s="16"/>
      <c r="AEE21" s="16"/>
      <c r="AEF21" s="16"/>
      <c r="AEG21" s="16"/>
      <c r="AEH21" s="16"/>
      <c r="AEI21" s="16"/>
      <c r="AEJ21" s="16"/>
      <c r="AEK21" s="16"/>
      <c r="AEL21" s="16"/>
      <c r="AEM21" s="16"/>
      <c r="AEN21" s="16"/>
      <c r="AEO21" s="16"/>
      <c r="AEP21" s="16"/>
      <c r="AEQ21" s="16"/>
      <c r="AER21" s="16"/>
      <c r="AES21" s="16"/>
      <c r="AET21" s="16"/>
      <c r="AEU21" s="16"/>
      <c r="AEV21" s="16"/>
      <c r="AEW21" s="16"/>
      <c r="AEX21" s="16"/>
      <c r="AEY21" s="16"/>
      <c r="AEZ21" s="16"/>
      <c r="AFA21" s="16"/>
      <c r="AFB21" s="16"/>
      <c r="AFC21" s="16"/>
      <c r="AFD21" s="16"/>
      <c r="AFE21" s="16"/>
      <c r="AFF21" s="16"/>
      <c r="AFG21" s="16"/>
      <c r="AFH21" s="16"/>
      <c r="AFI21" s="16"/>
      <c r="AFJ21" s="16"/>
      <c r="AFK21" s="16"/>
      <c r="AFL21" s="16"/>
      <c r="AFM21" s="16"/>
      <c r="AFN21" s="16"/>
      <c r="AFO21" s="16"/>
      <c r="AFP21" s="16"/>
      <c r="AFQ21" s="16"/>
      <c r="AFR21" s="16"/>
      <c r="AFS21" s="16"/>
      <c r="AFT21" s="16"/>
      <c r="AFU21" s="16"/>
      <c r="AFV21" s="16"/>
      <c r="AFW21" s="16"/>
      <c r="AFX21" s="16"/>
      <c r="AFY21" s="16"/>
      <c r="AFZ21" s="16"/>
      <c r="AGA21" s="16"/>
      <c r="AGB21" s="16"/>
      <c r="AGC21" s="16"/>
      <c r="AGD21" s="16"/>
      <c r="AGE21" s="16"/>
      <c r="AGF21" s="16"/>
      <c r="AGG21" s="16"/>
      <c r="AGH21" s="16"/>
      <c r="AGI21" s="16"/>
      <c r="AGJ21" s="16"/>
    </row>
    <row r="22" spans="1:868" s="6" customFormat="1">
      <c r="A22" s="151" t="s">
        <v>386</v>
      </c>
      <c r="B22" s="34" t="s">
        <v>402</v>
      </c>
      <c r="C22" s="1084" t="s">
        <v>139</v>
      </c>
      <c r="D22" s="34" t="s">
        <v>139</v>
      </c>
      <c r="E22" s="257" t="s">
        <v>150</v>
      </c>
      <c r="F22" s="232">
        <v>1</v>
      </c>
      <c r="G22" s="1084"/>
      <c r="H22" s="29"/>
      <c r="I22" s="1083"/>
      <c r="J22" s="1083"/>
      <c r="K22" s="1083"/>
      <c r="L22" s="1083"/>
      <c r="M22" s="1083"/>
      <c r="N22" s="1082" t="str">
        <f t="shared" si="1"/>
        <v/>
      </c>
      <c r="O22" s="159" t="str">
        <f t="shared" si="2"/>
        <v/>
      </c>
      <c r="P22" s="63" t="s">
        <v>403</v>
      </c>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c r="ZZ22" s="16"/>
      <c r="AAA22" s="16"/>
      <c r="AAB22" s="16"/>
      <c r="AAC22" s="16"/>
      <c r="AAD22" s="16"/>
      <c r="AAE22" s="16"/>
      <c r="AAF22" s="16"/>
      <c r="AAG22" s="16"/>
      <c r="AAH22" s="16"/>
      <c r="AAI22" s="16"/>
      <c r="AAJ22" s="16"/>
      <c r="AAK22" s="16"/>
      <c r="AAL22" s="16"/>
      <c r="AAM22" s="16"/>
      <c r="AAN22" s="16"/>
      <c r="AAO22" s="16"/>
      <c r="AAP22" s="16"/>
      <c r="AAQ22" s="16"/>
      <c r="AAR22" s="16"/>
      <c r="AAS22" s="16"/>
      <c r="AAT22" s="16"/>
      <c r="AAU22" s="16"/>
      <c r="AAV22" s="16"/>
      <c r="AAW22" s="16"/>
      <c r="AAX22" s="16"/>
      <c r="AAY22" s="16"/>
      <c r="AAZ22" s="16"/>
      <c r="ABA22" s="16"/>
      <c r="ABB22" s="16"/>
      <c r="ABC22" s="16"/>
      <c r="ABD22" s="16"/>
      <c r="ABE22" s="16"/>
      <c r="ABF22" s="16"/>
      <c r="ABG22" s="16"/>
      <c r="ABH22" s="16"/>
      <c r="ABI22" s="16"/>
      <c r="ABJ22" s="16"/>
      <c r="ABK22" s="16"/>
      <c r="ABL22" s="16"/>
      <c r="ABM22" s="16"/>
      <c r="ABN22" s="16"/>
      <c r="ABO22" s="16"/>
      <c r="ABP22" s="16"/>
      <c r="ABQ22" s="16"/>
      <c r="ABR22" s="16"/>
      <c r="ABS22" s="16"/>
      <c r="ABT22" s="16"/>
      <c r="ABU22" s="16"/>
      <c r="ABV22" s="16"/>
      <c r="ABW22" s="16"/>
      <c r="ABX22" s="16"/>
      <c r="ABY22" s="16"/>
      <c r="ABZ22" s="16"/>
      <c r="ACA22" s="16"/>
      <c r="ACB22" s="16"/>
      <c r="ACC22" s="16"/>
      <c r="ACD22" s="16"/>
      <c r="ACE22" s="16"/>
      <c r="ACF22" s="16"/>
      <c r="ACG22" s="16"/>
      <c r="ACH22" s="16"/>
      <c r="ACI22" s="16"/>
      <c r="ACJ22" s="16"/>
      <c r="ACK22" s="16"/>
      <c r="ACL22" s="16"/>
      <c r="ACM22" s="16"/>
      <c r="ACN22" s="16"/>
      <c r="ACO22" s="16"/>
      <c r="ACP22" s="16"/>
      <c r="ACQ22" s="16"/>
      <c r="ACR22" s="16"/>
      <c r="ACS22" s="16"/>
      <c r="ACT22" s="16"/>
      <c r="ACU22" s="16"/>
      <c r="ACV22" s="16"/>
      <c r="ACW22" s="16"/>
      <c r="ACX22" s="16"/>
      <c r="ACY22" s="16"/>
      <c r="ACZ22" s="16"/>
      <c r="ADA22" s="16"/>
      <c r="ADB22" s="16"/>
      <c r="ADC22" s="16"/>
      <c r="ADD22" s="16"/>
      <c r="ADE22" s="16"/>
      <c r="ADF22" s="16"/>
      <c r="ADG22" s="16"/>
      <c r="ADH22" s="16"/>
      <c r="ADI22" s="16"/>
      <c r="ADJ22" s="16"/>
      <c r="ADK22" s="16"/>
      <c r="ADL22" s="16"/>
      <c r="ADM22" s="16"/>
      <c r="ADN22" s="16"/>
      <c r="ADO22" s="16"/>
      <c r="ADP22" s="16"/>
      <c r="ADQ22" s="16"/>
      <c r="ADR22" s="16"/>
      <c r="ADS22" s="16"/>
      <c r="ADT22" s="16"/>
      <c r="ADU22" s="16"/>
      <c r="ADV22" s="16"/>
      <c r="ADW22" s="16"/>
      <c r="ADX22" s="16"/>
      <c r="ADY22" s="16"/>
      <c r="ADZ22" s="16"/>
      <c r="AEA22" s="16"/>
      <c r="AEB22" s="16"/>
      <c r="AEC22" s="16"/>
      <c r="AED22" s="16"/>
      <c r="AEE22" s="16"/>
      <c r="AEF22" s="16"/>
      <c r="AEG22" s="16"/>
      <c r="AEH22" s="16"/>
      <c r="AEI22" s="16"/>
      <c r="AEJ22" s="16"/>
      <c r="AEK22" s="16"/>
      <c r="AEL22" s="16"/>
      <c r="AEM22" s="16"/>
      <c r="AEN22" s="16"/>
      <c r="AEO22" s="16"/>
      <c r="AEP22" s="16"/>
      <c r="AEQ22" s="16"/>
      <c r="AER22" s="16"/>
      <c r="AES22" s="16"/>
      <c r="AET22" s="16"/>
      <c r="AEU22" s="16"/>
      <c r="AEV22" s="16"/>
      <c r="AEW22" s="16"/>
      <c r="AEX22" s="16"/>
      <c r="AEY22" s="16"/>
      <c r="AEZ22" s="16"/>
      <c r="AFA22" s="16"/>
      <c r="AFB22" s="16"/>
      <c r="AFC22" s="16"/>
      <c r="AFD22" s="16"/>
      <c r="AFE22" s="16"/>
      <c r="AFF22" s="16"/>
      <c r="AFG22" s="16"/>
      <c r="AFH22" s="16"/>
      <c r="AFI22" s="16"/>
      <c r="AFJ22" s="16"/>
      <c r="AFK22" s="16"/>
      <c r="AFL22" s="16"/>
      <c r="AFM22" s="16"/>
      <c r="AFN22" s="16"/>
      <c r="AFO22" s="16"/>
      <c r="AFP22" s="16"/>
      <c r="AFQ22" s="16"/>
      <c r="AFR22" s="16"/>
      <c r="AFS22" s="16"/>
      <c r="AFT22" s="16"/>
      <c r="AFU22" s="16"/>
      <c r="AFV22" s="16"/>
      <c r="AFW22" s="16"/>
      <c r="AFX22" s="16"/>
      <c r="AFY22" s="16"/>
      <c r="AFZ22" s="16"/>
      <c r="AGA22" s="16"/>
      <c r="AGB22" s="16"/>
      <c r="AGC22" s="16"/>
      <c r="AGD22" s="16"/>
      <c r="AGE22" s="16"/>
      <c r="AGF22" s="16"/>
      <c r="AGG22" s="16"/>
      <c r="AGH22" s="16"/>
      <c r="AGI22" s="16"/>
      <c r="AGJ22" s="16"/>
    </row>
    <row r="23" spans="1:868" s="6" customFormat="1">
      <c r="A23" s="151" t="s">
        <v>386</v>
      </c>
      <c r="B23" s="34" t="s">
        <v>286</v>
      </c>
      <c r="C23" s="1084" t="s">
        <v>139</v>
      </c>
      <c r="D23" s="34" t="s">
        <v>139</v>
      </c>
      <c r="E23" s="257">
        <v>0.50016393442622953</v>
      </c>
      <c r="F23" s="232">
        <v>2</v>
      </c>
      <c r="G23" s="1084" t="s">
        <v>290</v>
      </c>
      <c r="H23" s="29">
        <v>2</v>
      </c>
      <c r="I23" s="1083"/>
      <c r="J23" s="1083">
        <v>2</v>
      </c>
      <c r="K23" s="1083">
        <v>3</v>
      </c>
      <c r="L23" s="1083">
        <v>3</v>
      </c>
      <c r="M23" s="1083">
        <v>1</v>
      </c>
      <c r="N23" s="1082">
        <f t="shared" si="1"/>
        <v>0.51126068492676302</v>
      </c>
      <c r="O23" s="159" t="str">
        <f t="shared" si="2"/>
        <v/>
      </c>
      <c r="P23" s="63" t="s">
        <v>409</v>
      </c>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c r="JE23" s="16"/>
      <c r="JF23" s="16"/>
      <c r="JG23" s="16"/>
      <c r="JH23" s="16"/>
      <c r="JI23" s="16"/>
      <c r="JJ23" s="16"/>
      <c r="JK23" s="16"/>
      <c r="JL23" s="16"/>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c r="KK23" s="16"/>
      <c r="KL23" s="16"/>
      <c r="KM23" s="16"/>
      <c r="KN23" s="16"/>
      <c r="KO23" s="16"/>
      <c r="KP23" s="16"/>
      <c r="KQ23" s="16"/>
      <c r="KR23" s="16"/>
      <c r="KS23" s="16"/>
      <c r="KT23" s="16"/>
      <c r="KU23" s="16"/>
      <c r="KV23" s="16"/>
      <c r="KW23" s="16"/>
      <c r="KX23" s="16"/>
      <c r="KY23" s="16"/>
      <c r="KZ23" s="16"/>
      <c r="LA23" s="16"/>
      <c r="LB23" s="16"/>
      <c r="LC23" s="16"/>
      <c r="LD23" s="16"/>
      <c r="LE23" s="16"/>
      <c r="LF23" s="16"/>
      <c r="LG23" s="16"/>
      <c r="LH23" s="16"/>
      <c r="LI23" s="16"/>
      <c r="LJ23" s="16"/>
      <c r="LK23" s="16"/>
      <c r="LL23" s="16"/>
      <c r="LM23" s="16"/>
      <c r="LN23" s="16"/>
      <c r="LO23" s="16"/>
      <c r="LP23" s="16"/>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c r="ZZ23" s="16"/>
      <c r="AAA23" s="16"/>
      <c r="AAB23" s="16"/>
      <c r="AAC23" s="16"/>
      <c r="AAD23" s="16"/>
      <c r="AAE23" s="16"/>
      <c r="AAF23" s="16"/>
      <c r="AAG23" s="16"/>
      <c r="AAH23" s="16"/>
      <c r="AAI23" s="16"/>
      <c r="AAJ23" s="16"/>
      <c r="AAK23" s="16"/>
      <c r="AAL23" s="16"/>
      <c r="AAM23" s="16"/>
      <c r="AAN23" s="16"/>
      <c r="AAO23" s="16"/>
      <c r="AAP23" s="16"/>
      <c r="AAQ23" s="16"/>
      <c r="AAR23" s="16"/>
      <c r="AAS23" s="16"/>
      <c r="AAT23" s="16"/>
      <c r="AAU23" s="16"/>
      <c r="AAV23" s="16"/>
      <c r="AAW23" s="16"/>
      <c r="AAX23" s="16"/>
      <c r="AAY23" s="16"/>
      <c r="AAZ23" s="16"/>
      <c r="ABA23" s="16"/>
      <c r="ABB23" s="16"/>
      <c r="ABC23" s="16"/>
      <c r="ABD23" s="16"/>
      <c r="ABE23" s="16"/>
      <c r="ABF23" s="16"/>
      <c r="ABG23" s="16"/>
      <c r="ABH23" s="16"/>
      <c r="ABI23" s="16"/>
      <c r="ABJ23" s="16"/>
      <c r="ABK23" s="16"/>
      <c r="ABL23" s="16"/>
      <c r="ABM23" s="16"/>
      <c r="ABN23" s="16"/>
      <c r="ABO23" s="16"/>
      <c r="ABP23" s="16"/>
      <c r="ABQ23" s="16"/>
      <c r="ABR23" s="16"/>
      <c r="ABS23" s="16"/>
      <c r="ABT23" s="16"/>
      <c r="ABU23" s="16"/>
      <c r="ABV23" s="16"/>
      <c r="ABW23" s="16"/>
      <c r="ABX23" s="16"/>
      <c r="ABY23" s="16"/>
      <c r="ABZ23" s="16"/>
      <c r="ACA23" s="16"/>
      <c r="ACB23" s="16"/>
      <c r="ACC23" s="16"/>
      <c r="ACD23" s="16"/>
      <c r="ACE23" s="16"/>
      <c r="ACF23" s="16"/>
      <c r="ACG23" s="16"/>
      <c r="ACH23" s="16"/>
      <c r="ACI23" s="16"/>
      <c r="ACJ23" s="16"/>
      <c r="ACK23" s="16"/>
      <c r="ACL23" s="16"/>
      <c r="ACM23" s="16"/>
      <c r="ACN23" s="16"/>
      <c r="ACO23" s="16"/>
      <c r="ACP23" s="16"/>
      <c r="ACQ23" s="16"/>
      <c r="ACR23" s="16"/>
      <c r="ACS23" s="16"/>
      <c r="ACT23" s="16"/>
      <c r="ACU23" s="16"/>
      <c r="ACV23" s="16"/>
      <c r="ACW23" s="16"/>
      <c r="ACX23" s="16"/>
      <c r="ACY23" s="16"/>
      <c r="ACZ23" s="16"/>
      <c r="ADA23" s="16"/>
      <c r="ADB23" s="16"/>
      <c r="ADC23" s="16"/>
      <c r="ADD23" s="16"/>
      <c r="ADE23" s="16"/>
      <c r="ADF23" s="16"/>
      <c r="ADG23" s="16"/>
      <c r="ADH23" s="16"/>
      <c r="ADI23" s="16"/>
      <c r="ADJ23" s="16"/>
      <c r="ADK23" s="16"/>
      <c r="ADL23" s="16"/>
      <c r="ADM23" s="16"/>
      <c r="ADN23" s="16"/>
      <c r="ADO23" s="16"/>
      <c r="ADP23" s="16"/>
      <c r="ADQ23" s="16"/>
      <c r="ADR23" s="16"/>
      <c r="ADS23" s="16"/>
      <c r="ADT23" s="16"/>
      <c r="ADU23" s="16"/>
      <c r="ADV23" s="16"/>
      <c r="ADW23" s="16"/>
      <c r="ADX23" s="16"/>
      <c r="ADY23" s="16"/>
      <c r="ADZ23" s="16"/>
      <c r="AEA23" s="16"/>
      <c r="AEB23" s="16"/>
      <c r="AEC23" s="16"/>
      <c r="AED23" s="16"/>
      <c r="AEE23" s="16"/>
      <c r="AEF23" s="16"/>
      <c r="AEG23" s="16"/>
      <c r="AEH23" s="16"/>
      <c r="AEI23" s="16"/>
      <c r="AEJ23" s="16"/>
      <c r="AEK23" s="16"/>
      <c r="AEL23" s="16"/>
      <c r="AEM23" s="16"/>
      <c r="AEN23" s="16"/>
      <c r="AEO23" s="16"/>
      <c r="AEP23" s="16"/>
      <c r="AEQ23" s="16"/>
      <c r="AER23" s="16"/>
      <c r="AES23" s="16"/>
      <c r="AET23" s="16"/>
      <c r="AEU23" s="16"/>
      <c r="AEV23" s="16"/>
      <c r="AEW23" s="16"/>
      <c r="AEX23" s="16"/>
      <c r="AEY23" s="16"/>
      <c r="AEZ23" s="16"/>
      <c r="AFA23" s="16"/>
      <c r="AFB23" s="16"/>
      <c r="AFC23" s="16"/>
      <c r="AFD23" s="16"/>
      <c r="AFE23" s="16"/>
      <c r="AFF23" s="16"/>
      <c r="AFG23" s="16"/>
      <c r="AFH23" s="16"/>
      <c r="AFI23" s="16"/>
      <c r="AFJ23" s="16"/>
      <c r="AFK23" s="16"/>
      <c r="AFL23" s="16"/>
      <c r="AFM23" s="16"/>
      <c r="AFN23" s="16"/>
      <c r="AFO23" s="16"/>
      <c r="AFP23" s="16"/>
      <c r="AFQ23" s="16"/>
      <c r="AFR23" s="16"/>
      <c r="AFS23" s="16"/>
      <c r="AFT23" s="16"/>
      <c r="AFU23" s="16"/>
      <c r="AFV23" s="16"/>
      <c r="AFW23" s="16"/>
      <c r="AFX23" s="16"/>
      <c r="AFY23" s="16"/>
      <c r="AFZ23" s="16"/>
      <c r="AGA23" s="16"/>
      <c r="AGB23" s="16"/>
      <c r="AGC23" s="16"/>
      <c r="AGD23" s="16"/>
      <c r="AGE23" s="16"/>
      <c r="AGF23" s="16"/>
      <c r="AGG23" s="16"/>
      <c r="AGH23" s="16"/>
      <c r="AGI23" s="16"/>
      <c r="AGJ23" s="16"/>
    </row>
    <row r="24" spans="1:868" s="6" customFormat="1">
      <c r="A24" s="151" t="s">
        <v>386</v>
      </c>
      <c r="B24" s="34" t="s">
        <v>286</v>
      </c>
      <c r="C24" s="1084" t="s">
        <v>139</v>
      </c>
      <c r="D24" s="34" t="s">
        <v>139</v>
      </c>
      <c r="E24" s="257">
        <v>0.78343949044585992</v>
      </c>
      <c r="F24" s="232">
        <v>2</v>
      </c>
      <c r="G24" s="1084" t="s">
        <v>407</v>
      </c>
      <c r="H24" s="29">
        <v>2</v>
      </c>
      <c r="I24" s="1083"/>
      <c r="J24" s="1083">
        <v>2</v>
      </c>
      <c r="K24" s="1083">
        <v>3</v>
      </c>
      <c r="L24" s="1083">
        <v>3</v>
      </c>
      <c r="M24" s="1083">
        <v>1</v>
      </c>
      <c r="N24" s="1082">
        <f t="shared" si="1"/>
        <v>0.51126068492676302</v>
      </c>
      <c r="O24" s="159" t="str">
        <f t="shared" si="2"/>
        <v/>
      </c>
      <c r="P24" s="63"/>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c r="MX24" s="16"/>
      <c r="MY24" s="16"/>
      <c r="MZ24" s="16"/>
      <c r="NA24" s="16"/>
      <c r="NB24" s="16"/>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c r="QE24" s="16"/>
      <c r="QF24" s="16"/>
      <c r="QG24" s="16"/>
      <c r="QH24" s="16"/>
      <c r="QI24" s="16"/>
      <c r="QJ24" s="16"/>
      <c r="QK24" s="16"/>
      <c r="QL24" s="16"/>
      <c r="QM24" s="16"/>
      <c r="QN24" s="16"/>
      <c r="QO24" s="16"/>
      <c r="QP24" s="16"/>
      <c r="QQ24" s="16"/>
      <c r="QR24" s="16"/>
      <c r="QS24" s="16"/>
      <c r="QT24" s="16"/>
      <c r="QU24" s="16"/>
      <c r="QV24" s="16"/>
      <c r="QW24" s="16"/>
      <c r="QX24" s="16"/>
      <c r="QY24" s="16"/>
      <c r="QZ24" s="16"/>
      <c r="RA24" s="16"/>
      <c r="RB24" s="16"/>
      <c r="RC24" s="16"/>
      <c r="RD24" s="16"/>
      <c r="RE24" s="16"/>
      <c r="RF24" s="16"/>
      <c r="RG24" s="16"/>
      <c r="RH24" s="16"/>
      <c r="RI24" s="16"/>
      <c r="RJ24" s="16"/>
      <c r="RK24" s="16"/>
      <c r="RL24" s="16"/>
      <c r="RM24" s="16"/>
      <c r="RN24" s="16"/>
      <c r="RO24" s="16"/>
      <c r="RP24" s="16"/>
      <c r="RQ24" s="16"/>
      <c r="RR24" s="16"/>
      <c r="RS24" s="16"/>
      <c r="RT24" s="16"/>
      <c r="RU24" s="16"/>
      <c r="RV24" s="16"/>
      <c r="RW24" s="16"/>
      <c r="RX24" s="16"/>
      <c r="RY24" s="16"/>
      <c r="RZ24" s="16"/>
      <c r="SA24" s="16"/>
      <c r="SB24" s="16"/>
      <c r="SC24" s="16"/>
      <c r="SD24" s="16"/>
      <c r="SE24" s="16"/>
      <c r="SF24" s="16"/>
      <c r="SG24" s="16"/>
      <c r="SH24" s="16"/>
      <c r="SI24" s="16"/>
      <c r="SJ24" s="16"/>
      <c r="SK24" s="16"/>
      <c r="SL24" s="16"/>
      <c r="SM24" s="16"/>
      <c r="SN24" s="16"/>
      <c r="SO24" s="16"/>
      <c r="SP24" s="16"/>
      <c r="SQ24" s="16"/>
      <c r="SR24" s="16"/>
      <c r="SS24" s="16"/>
      <c r="ST24" s="16"/>
      <c r="SU24" s="16"/>
      <c r="SV24" s="16"/>
      <c r="SW24" s="16"/>
      <c r="SX24" s="16"/>
      <c r="SY24" s="16"/>
      <c r="SZ24" s="16"/>
      <c r="TA24" s="16"/>
      <c r="TB24" s="16"/>
      <c r="TC24" s="16"/>
      <c r="TD24" s="16"/>
      <c r="TE24" s="16"/>
      <c r="TF24" s="16"/>
      <c r="TG24" s="16"/>
      <c r="TH24" s="16"/>
      <c r="TI24" s="16"/>
      <c r="TJ24" s="16"/>
      <c r="TK24" s="16"/>
      <c r="TL24" s="16"/>
      <c r="TM24" s="16"/>
      <c r="TN24" s="16"/>
      <c r="TO24" s="16"/>
      <c r="TP24" s="16"/>
      <c r="TQ24" s="16"/>
      <c r="TR24" s="16"/>
      <c r="TS24" s="16"/>
      <c r="TT24" s="16"/>
      <c r="TU24" s="16"/>
      <c r="TV24" s="16"/>
      <c r="TW24" s="16"/>
      <c r="TX24" s="16"/>
      <c r="TY24" s="16"/>
      <c r="TZ24" s="16"/>
      <c r="UA24" s="16"/>
      <c r="UB24" s="16"/>
      <c r="UC24" s="16"/>
      <c r="UD24" s="16"/>
      <c r="UE24" s="16"/>
      <c r="UF24" s="16"/>
      <c r="UG24" s="16"/>
      <c r="UH24" s="16"/>
      <c r="UI24" s="16"/>
      <c r="UJ24" s="16"/>
      <c r="UK24" s="16"/>
      <c r="UL24" s="16"/>
      <c r="UM24" s="16"/>
      <c r="UN24" s="16"/>
      <c r="UO24" s="16"/>
      <c r="UP24" s="16"/>
      <c r="UQ24" s="16"/>
      <c r="UR24" s="16"/>
      <c r="US24" s="16"/>
      <c r="UT24" s="16"/>
      <c r="UU24" s="16"/>
      <c r="UV24" s="16"/>
      <c r="UW24" s="16"/>
      <c r="UX24" s="16"/>
      <c r="UY24" s="16"/>
      <c r="UZ24" s="16"/>
      <c r="VA24" s="16"/>
      <c r="VB24" s="16"/>
      <c r="VC24" s="16"/>
      <c r="VD24" s="16"/>
      <c r="VE24" s="16"/>
      <c r="VF24" s="16"/>
      <c r="VG24" s="16"/>
      <c r="VH24" s="16"/>
      <c r="VI24" s="16"/>
      <c r="VJ24" s="16"/>
      <c r="VK24" s="16"/>
      <c r="VL24" s="16"/>
      <c r="VM24" s="16"/>
      <c r="VN24" s="16"/>
      <c r="VO24" s="16"/>
      <c r="VP24" s="16"/>
      <c r="VQ24" s="16"/>
      <c r="VR24" s="16"/>
      <c r="VS24" s="16"/>
      <c r="VT24" s="16"/>
      <c r="VU24" s="16"/>
      <c r="VV24" s="16"/>
      <c r="VW24" s="16"/>
      <c r="VX24" s="16"/>
      <c r="VY24" s="16"/>
      <c r="VZ24" s="16"/>
      <c r="WA24" s="16"/>
      <c r="WB24" s="16"/>
      <c r="WC24" s="16"/>
      <c r="WD24" s="16"/>
      <c r="WE24" s="16"/>
      <c r="WF24" s="16"/>
      <c r="WG24" s="16"/>
      <c r="WH24" s="16"/>
      <c r="WI24" s="16"/>
      <c r="WJ24" s="16"/>
      <c r="WK24" s="16"/>
      <c r="WL24" s="16"/>
      <c r="WM24" s="16"/>
      <c r="WN24" s="16"/>
      <c r="WO24" s="16"/>
      <c r="WP24" s="16"/>
      <c r="WQ24" s="16"/>
      <c r="WR24" s="16"/>
      <c r="WS24" s="16"/>
      <c r="WT24" s="16"/>
      <c r="WU24" s="16"/>
      <c r="WV24" s="16"/>
      <c r="WW24" s="16"/>
      <c r="WX24" s="16"/>
      <c r="WY24" s="16"/>
      <c r="WZ24" s="16"/>
      <c r="XA24" s="16"/>
      <c r="XB24" s="16"/>
      <c r="XC24" s="16"/>
      <c r="XD24" s="16"/>
      <c r="XE24" s="16"/>
      <c r="XF24" s="16"/>
      <c r="XG24" s="16"/>
      <c r="XH24" s="16"/>
      <c r="XI24" s="16"/>
      <c r="XJ24" s="16"/>
      <c r="XK24" s="16"/>
      <c r="XL24" s="16"/>
      <c r="XM24" s="16"/>
      <c r="XN24" s="16"/>
      <c r="XO24" s="16"/>
      <c r="XP24" s="16"/>
      <c r="XQ24" s="16"/>
      <c r="XR24" s="16"/>
      <c r="XS24" s="16"/>
      <c r="XT24" s="16"/>
      <c r="XU24" s="16"/>
      <c r="XV24" s="16"/>
      <c r="XW24" s="16"/>
      <c r="XX24" s="16"/>
      <c r="XY24" s="16"/>
      <c r="XZ24" s="16"/>
      <c r="YA24" s="16"/>
      <c r="YB24" s="16"/>
      <c r="YC24" s="16"/>
      <c r="YD24" s="16"/>
      <c r="YE24" s="16"/>
      <c r="YF24" s="16"/>
      <c r="YG24" s="16"/>
      <c r="YH24" s="16"/>
      <c r="YI24" s="16"/>
      <c r="YJ24" s="16"/>
      <c r="YK24" s="16"/>
      <c r="YL24" s="16"/>
      <c r="YM24" s="16"/>
      <c r="YN24" s="16"/>
      <c r="YO24" s="16"/>
      <c r="YP24" s="16"/>
      <c r="YQ24" s="16"/>
      <c r="YR24" s="16"/>
      <c r="YS24" s="16"/>
      <c r="YT24" s="16"/>
      <c r="YU24" s="16"/>
      <c r="YV24" s="16"/>
      <c r="YW24" s="16"/>
      <c r="YX24" s="16"/>
      <c r="YY24" s="16"/>
      <c r="YZ24" s="16"/>
      <c r="ZA24" s="16"/>
      <c r="ZB24" s="16"/>
      <c r="ZC24" s="16"/>
      <c r="ZD24" s="16"/>
      <c r="ZE24" s="16"/>
      <c r="ZF24" s="16"/>
      <c r="ZG24" s="16"/>
      <c r="ZH24" s="16"/>
      <c r="ZI24" s="16"/>
      <c r="ZJ24" s="16"/>
      <c r="ZK24" s="16"/>
      <c r="ZL24" s="16"/>
      <c r="ZM24" s="16"/>
      <c r="ZN24" s="16"/>
      <c r="ZO24" s="16"/>
      <c r="ZP24" s="16"/>
      <c r="ZQ24" s="16"/>
      <c r="ZR24" s="16"/>
      <c r="ZS24" s="16"/>
      <c r="ZT24" s="16"/>
      <c r="ZU24" s="16"/>
      <c r="ZV24" s="16"/>
      <c r="ZW24" s="16"/>
      <c r="ZX24" s="16"/>
      <c r="ZY24" s="16"/>
      <c r="ZZ24" s="16"/>
      <c r="AAA24" s="16"/>
      <c r="AAB24" s="16"/>
      <c r="AAC24" s="16"/>
      <c r="AAD24" s="16"/>
      <c r="AAE24" s="16"/>
      <c r="AAF24" s="16"/>
      <c r="AAG24" s="16"/>
      <c r="AAH24" s="16"/>
      <c r="AAI24" s="16"/>
      <c r="AAJ24" s="16"/>
      <c r="AAK24" s="16"/>
      <c r="AAL24" s="16"/>
      <c r="AAM24" s="16"/>
      <c r="AAN24" s="16"/>
      <c r="AAO24" s="16"/>
      <c r="AAP24" s="16"/>
      <c r="AAQ24" s="16"/>
      <c r="AAR24" s="16"/>
      <c r="AAS24" s="16"/>
      <c r="AAT24" s="16"/>
      <c r="AAU24" s="16"/>
      <c r="AAV24" s="16"/>
      <c r="AAW24" s="16"/>
      <c r="AAX24" s="16"/>
      <c r="AAY24" s="16"/>
      <c r="AAZ24" s="16"/>
      <c r="ABA24" s="16"/>
      <c r="ABB24" s="16"/>
      <c r="ABC24" s="16"/>
      <c r="ABD24" s="16"/>
      <c r="ABE24" s="16"/>
      <c r="ABF24" s="16"/>
      <c r="ABG24" s="16"/>
      <c r="ABH24" s="16"/>
      <c r="ABI24" s="16"/>
      <c r="ABJ24" s="16"/>
      <c r="ABK24" s="16"/>
      <c r="ABL24" s="16"/>
      <c r="ABM24" s="16"/>
      <c r="ABN24" s="16"/>
      <c r="ABO24" s="16"/>
      <c r="ABP24" s="16"/>
      <c r="ABQ24" s="16"/>
      <c r="ABR24" s="16"/>
      <c r="ABS24" s="16"/>
      <c r="ABT24" s="16"/>
      <c r="ABU24" s="16"/>
      <c r="ABV24" s="16"/>
      <c r="ABW24" s="16"/>
      <c r="ABX24" s="16"/>
      <c r="ABY24" s="16"/>
      <c r="ABZ24" s="16"/>
      <c r="ACA24" s="16"/>
      <c r="ACB24" s="16"/>
      <c r="ACC24" s="16"/>
      <c r="ACD24" s="16"/>
      <c r="ACE24" s="16"/>
      <c r="ACF24" s="16"/>
      <c r="ACG24" s="16"/>
      <c r="ACH24" s="16"/>
      <c r="ACI24" s="16"/>
      <c r="ACJ24" s="16"/>
      <c r="ACK24" s="16"/>
      <c r="ACL24" s="16"/>
      <c r="ACM24" s="16"/>
      <c r="ACN24" s="16"/>
      <c r="ACO24" s="16"/>
      <c r="ACP24" s="16"/>
      <c r="ACQ24" s="16"/>
      <c r="ACR24" s="16"/>
      <c r="ACS24" s="16"/>
      <c r="ACT24" s="16"/>
      <c r="ACU24" s="16"/>
      <c r="ACV24" s="16"/>
      <c r="ACW24" s="16"/>
      <c r="ACX24" s="16"/>
      <c r="ACY24" s="16"/>
      <c r="ACZ24" s="16"/>
      <c r="ADA24" s="16"/>
      <c r="ADB24" s="16"/>
      <c r="ADC24" s="16"/>
      <c r="ADD24" s="16"/>
      <c r="ADE24" s="16"/>
      <c r="ADF24" s="16"/>
      <c r="ADG24" s="16"/>
      <c r="ADH24" s="16"/>
      <c r="ADI24" s="16"/>
      <c r="ADJ24" s="16"/>
      <c r="ADK24" s="16"/>
      <c r="ADL24" s="16"/>
      <c r="ADM24" s="16"/>
      <c r="ADN24" s="16"/>
      <c r="ADO24" s="16"/>
      <c r="ADP24" s="16"/>
      <c r="ADQ24" s="16"/>
      <c r="ADR24" s="16"/>
      <c r="ADS24" s="16"/>
      <c r="ADT24" s="16"/>
      <c r="ADU24" s="16"/>
      <c r="ADV24" s="16"/>
      <c r="ADW24" s="16"/>
      <c r="ADX24" s="16"/>
      <c r="ADY24" s="16"/>
      <c r="ADZ24" s="16"/>
      <c r="AEA24" s="16"/>
      <c r="AEB24" s="16"/>
      <c r="AEC24" s="16"/>
      <c r="AED24" s="16"/>
      <c r="AEE24" s="16"/>
      <c r="AEF24" s="16"/>
      <c r="AEG24" s="16"/>
      <c r="AEH24" s="16"/>
      <c r="AEI24" s="16"/>
      <c r="AEJ24" s="16"/>
      <c r="AEK24" s="16"/>
      <c r="AEL24" s="16"/>
      <c r="AEM24" s="16"/>
      <c r="AEN24" s="16"/>
      <c r="AEO24" s="16"/>
      <c r="AEP24" s="16"/>
      <c r="AEQ24" s="16"/>
      <c r="AER24" s="16"/>
      <c r="AES24" s="16"/>
      <c r="AET24" s="16"/>
      <c r="AEU24" s="16"/>
      <c r="AEV24" s="16"/>
      <c r="AEW24" s="16"/>
      <c r="AEX24" s="16"/>
      <c r="AEY24" s="16"/>
      <c r="AEZ24" s="16"/>
      <c r="AFA24" s="16"/>
      <c r="AFB24" s="16"/>
      <c r="AFC24" s="16"/>
      <c r="AFD24" s="16"/>
      <c r="AFE24" s="16"/>
      <c r="AFF24" s="16"/>
      <c r="AFG24" s="16"/>
      <c r="AFH24" s="16"/>
      <c r="AFI24" s="16"/>
      <c r="AFJ24" s="16"/>
      <c r="AFK24" s="16"/>
      <c r="AFL24" s="16"/>
      <c r="AFM24" s="16"/>
      <c r="AFN24" s="16"/>
      <c r="AFO24" s="16"/>
      <c r="AFP24" s="16"/>
      <c r="AFQ24" s="16"/>
      <c r="AFR24" s="16"/>
      <c r="AFS24" s="16"/>
      <c r="AFT24" s="16"/>
      <c r="AFU24" s="16"/>
      <c r="AFV24" s="16"/>
      <c r="AFW24" s="16"/>
      <c r="AFX24" s="16"/>
      <c r="AFY24" s="16"/>
      <c r="AFZ24" s="16"/>
      <c r="AGA24" s="16"/>
      <c r="AGB24" s="16"/>
      <c r="AGC24" s="16"/>
      <c r="AGD24" s="16"/>
      <c r="AGE24" s="16"/>
      <c r="AGF24" s="16"/>
      <c r="AGG24" s="16"/>
      <c r="AGH24" s="16"/>
      <c r="AGI24" s="16"/>
      <c r="AGJ24" s="16"/>
    </row>
    <row r="25" spans="1:868" s="6" customFormat="1">
      <c r="A25" s="151" t="s">
        <v>386</v>
      </c>
      <c r="B25" s="34" t="s">
        <v>286</v>
      </c>
      <c r="C25" s="1084" t="s">
        <v>139</v>
      </c>
      <c r="D25" s="34" t="s">
        <v>139</v>
      </c>
      <c r="E25" s="257">
        <v>0.91509433962264153</v>
      </c>
      <c r="F25" s="232">
        <v>2</v>
      </c>
      <c r="G25" s="1084" t="s">
        <v>408</v>
      </c>
      <c r="H25" s="29">
        <v>2</v>
      </c>
      <c r="I25" s="1083"/>
      <c r="J25" s="1083">
        <v>2</v>
      </c>
      <c r="K25" s="1083">
        <v>3</v>
      </c>
      <c r="L25" s="1083">
        <v>3</v>
      </c>
      <c r="M25" s="1083">
        <v>1</v>
      </c>
      <c r="N25" s="1082">
        <f t="shared" si="1"/>
        <v>0.51126068492676302</v>
      </c>
      <c r="O25" s="159" t="str">
        <f t="shared" si="2"/>
        <v/>
      </c>
      <c r="P25" s="63" t="s">
        <v>410</v>
      </c>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c r="KN25" s="16"/>
      <c r="KO25" s="16"/>
      <c r="KP25" s="16"/>
      <c r="KQ25" s="16"/>
      <c r="KR25" s="16"/>
      <c r="KS25" s="16"/>
      <c r="KT25" s="16"/>
      <c r="KU25" s="16"/>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c r="ZZ25" s="16"/>
      <c r="AAA25" s="16"/>
      <c r="AAB25" s="16"/>
      <c r="AAC25" s="16"/>
      <c r="AAD25" s="16"/>
      <c r="AAE25" s="16"/>
      <c r="AAF25" s="16"/>
      <c r="AAG25" s="16"/>
      <c r="AAH25" s="16"/>
      <c r="AAI25" s="16"/>
      <c r="AAJ25" s="16"/>
      <c r="AAK25" s="16"/>
      <c r="AAL25" s="16"/>
      <c r="AAM25" s="16"/>
      <c r="AAN25" s="16"/>
      <c r="AAO25" s="16"/>
      <c r="AAP25" s="16"/>
      <c r="AAQ25" s="16"/>
      <c r="AAR25" s="16"/>
      <c r="AAS25" s="16"/>
      <c r="AAT25" s="16"/>
      <c r="AAU25" s="16"/>
      <c r="AAV25" s="16"/>
      <c r="AAW25" s="16"/>
      <c r="AAX25" s="16"/>
      <c r="AAY25" s="16"/>
      <c r="AAZ25" s="16"/>
      <c r="ABA25" s="16"/>
      <c r="ABB25" s="16"/>
      <c r="ABC25" s="16"/>
      <c r="ABD25" s="16"/>
      <c r="ABE25" s="16"/>
      <c r="ABF25" s="16"/>
      <c r="ABG25" s="16"/>
      <c r="ABH25" s="16"/>
      <c r="ABI25" s="16"/>
      <c r="ABJ25" s="16"/>
      <c r="ABK25" s="16"/>
      <c r="ABL25" s="16"/>
      <c r="ABM25" s="16"/>
      <c r="ABN25" s="16"/>
      <c r="ABO25" s="16"/>
      <c r="ABP25" s="16"/>
      <c r="ABQ25" s="16"/>
      <c r="ABR25" s="16"/>
      <c r="ABS25" s="16"/>
      <c r="ABT25" s="16"/>
      <c r="ABU25" s="16"/>
      <c r="ABV25" s="16"/>
      <c r="ABW25" s="16"/>
      <c r="ABX25" s="16"/>
      <c r="ABY25" s="16"/>
      <c r="ABZ25" s="16"/>
      <c r="ACA25" s="16"/>
      <c r="ACB25" s="16"/>
      <c r="ACC25" s="16"/>
      <c r="ACD25" s="16"/>
      <c r="ACE25" s="16"/>
      <c r="ACF25" s="16"/>
      <c r="ACG25" s="16"/>
      <c r="ACH25" s="16"/>
      <c r="ACI25" s="16"/>
      <c r="ACJ25" s="16"/>
      <c r="ACK25" s="16"/>
      <c r="ACL25" s="16"/>
      <c r="ACM25" s="16"/>
      <c r="ACN25" s="16"/>
      <c r="ACO25" s="16"/>
      <c r="ACP25" s="16"/>
      <c r="ACQ25" s="16"/>
      <c r="ACR25" s="16"/>
      <c r="ACS25" s="16"/>
      <c r="ACT25" s="16"/>
      <c r="ACU25" s="16"/>
      <c r="ACV25" s="16"/>
      <c r="ACW25" s="16"/>
      <c r="ACX25" s="16"/>
      <c r="ACY25" s="16"/>
      <c r="ACZ25" s="16"/>
      <c r="ADA25" s="16"/>
      <c r="ADB25" s="16"/>
      <c r="ADC25" s="16"/>
      <c r="ADD25" s="16"/>
      <c r="ADE25" s="16"/>
      <c r="ADF25" s="16"/>
      <c r="ADG25" s="16"/>
      <c r="ADH25" s="16"/>
      <c r="ADI25" s="16"/>
      <c r="ADJ25" s="16"/>
      <c r="ADK25" s="16"/>
      <c r="ADL25" s="16"/>
      <c r="ADM25" s="16"/>
      <c r="ADN25" s="16"/>
      <c r="ADO25" s="16"/>
      <c r="ADP25" s="16"/>
      <c r="ADQ25" s="16"/>
      <c r="ADR25" s="16"/>
      <c r="ADS25" s="16"/>
      <c r="ADT25" s="16"/>
      <c r="ADU25" s="16"/>
      <c r="ADV25" s="16"/>
      <c r="ADW25" s="16"/>
      <c r="ADX25" s="16"/>
      <c r="ADY25" s="16"/>
      <c r="ADZ25" s="16"/>
      <c r="AEA25" s="16"/>
      <c r="AEB25" s="16"/>
      <c r="AEC25" s="16"/>
      <c r="AED25" s="16"/>
      <c r="AEE25" s="16"/>
      <c r="AEF25" s="16"/>
      <c r="AEG25" s="16"/>
      <c r="AEH25" s="16"/>
      <c r="AEI25" s="16"/>
      <c r="AEJ25" s="16"/>
      <c r="AEK25" s="16"/>
      <c r="AEL25" s="16"/>
      <c r="AEM25" s="16"/>
      <c r="AEN25" s="16"/>
      <c r="AEO25" s="16"/>
      <c r="AEP25" s="16"/>
      <c r="AEQ25" s="16"/>
      <c r="AER25" s="16"/>
      <c r="AES25" s="16"/>
      <c r="AET25" s="16"/>
      <c r="AEU25" s="16"/>
      <c r="AEV25" s="16"/>
      <c r="AEW25" s="16"/>
      <c r="AEX25" s="16"/>
      <c r="AEY25" s="16"/>
      <c r="AEZ25" s="16"/>
      <c r="AFA25" s="16"/>
      <c r="AFB25" s="16"/>
      <c r="AFC25" s="16"/>
      <c r="AFD25" s="16"/>
      <c r="AFE25" s="16"/>
      <c r="AFF25" s="16"/>
      <c r="AFG25" s="16"/>
      <c r="AFH25" s="16"/>
      <c r="AFI25" s="16"/>
      <c r="AFJ25" s="16"/>
      <c r="AFK25" s="16"/>
      <c r="AFL25" s="16"/>
      <c r="AFM25" s="16"/>
      <c r="AFN25" s="16"/>
      <c r="AFO25" s="16"/>
      <c r="AFP25" s="16"/>
      <c r="AFQ25" s="16"/>
      <c r="AFR25" s="16"/>
      <c r="AFS25" s="16"/>
      <c r="AFT25" s="16"/>
      <c r="AFU25" s="16"/>
      <c r="AFV25" s="16"/>
      <c r="AFW25" s="16"/>
      <c r="AFX25" s="16"/>
      <c r="AFY25" s="16"/>
      <c r="AFZ25" s="16"/>
      <c r="AGA25" s="16"/>
      <c r="AGB25" s="16"/>
      <c r="AGC25" s="16"/>
      <c r="AGD25" s="16"/>
      <c r="AGE25" s="16"/>
      <c r="AGF25" s="16"/>
      <c r="AGG25" s="16"/>
      <c r="AGH25" s="16"/>
      <c r="AGI25" s="16"/>
      <c r="AGJ25" s="16"/>
    </row>
    <row r="26" spans="1:868" s="6" customFormat="1">
      <c r="A26" s="151" t="s">
        <v>386</v>
      </c>
      <c r="B26" s="34" t="s">
        <v>286</v>
      </c>
      <c r="C26" s="1084" t="s">
        <v>139</v>
      </c>
      <c r="D26" s="34" t="s">
        <v>139</v>
      </c>
      <c r="E26" s="257">
        <v>0.97399999999999998</v>
      </c>
      <c r="F26" s="232">
        <v>2</v>
      </c>
      <c r="G26" s="1084" t="s">
        <v>294</v>
      </c>
      <c r="H26" s="29">
        <v>2</v>
      </c>
      <c r="I26" s="1083"/>
      <c r="J26" s="1083">
        <v>2</v>
      </c>
      <c r="K26" s="1083">
        <v>3</v>
      </c>
      <c r="L26" s="1083">
        <v>3</v>
      </c>
      <c r="M26" s="1083">
        <v>1</v>
      </c>
      <c r="N26" s="1082">
        <f t="shared" si="1"/>
        <v>0.51126068492676302</v>
      </c>
      <c r="O26" s="159" t="str">
        <f t="shared" si="2"/>
        <v/>
      </c>
      <c r="P26" s="63"/>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c r="ZZ26" s="16"/>
      <c r="AAA26" s="16"/>
      <c r="AAB26" s="16"/>
      <c r="AAC26" s="16"/>
      <c r="AAD26" s="16"/>
      <c r="AAE26" s="16"/>
      <c r="AAF26" s="16"/>
      <c r="AAG26" s="16"/>
      <c r="AAH26" s="16"/>
      <c r="AAI26" s="16"/>
      <c r="AAJ26" s="16"/>
      <c r="AAK26" s="16"/>
      <c r="AAL26" s="16"/>
      <c r="AAM26" s="16"/>
      <c r="AAN26" s="16"/>
      <c r="AAO26" s="16"/>
      <c r="AAP26" s="16"/>
      <c r="AAQ26" s="16"/>
      <c r="AAR26" s="16"/>
      <c r="AAS26" s="16"/>
      <c r="AAT26" s="16"/>
      <c r="AAU26" s="16"/>
      <c r="AAV26" s="16"/>
      <c r="AAW26" s="16"/>
      <c r="AAX26" s="16"/>
      <c r="AAY26" s="16"/>
      <c r="AAZ26" s="16"/>
      <c r="ABA26" s="16"/>
      <c r="ABB26" s="16"/>
      <c r="ABC26" s="16"/>
      <c r="ABD26" s="16"/>
      <c r="ABE26" s="16"/>
      <c r="ABF26" s="16"/>
      <c r="ABG26" s="16"/>
      <c r="ABH26" s="16"/>
      <c r="ABI26" s="16"/>
      <c r="ABJ26" s="16"/>
      <c r="ABK26" s="16"/>
      <c r="ABL26" s="16"/>
      <c r="ABM26" s="16"/>
      <c r="ABN26" s="16"/>
      <c r="ABO26" s="16"/>
      <c r="ABP26" s="16"/>
      <c r="ABQ26" s="16"/>
      <c r="ABR26" s="16"/>
      <c r="ABS26" s="16"/>
      <c r="ABT26" s="16"/>
      <c r="ABU26" s="16"/>
      <c r="ABV26" s="16"/>
      <c r="ABW26" s="16"/>
      <c r="ABX26" s="16"/>
      <c r="ABY26" s="16"/>
      <c r="ABZ26" s="16"/>
      <c r="ACA26" s="16"/>
      <c r="ACB26" s="16"/>
      <c r="ACC26" s="16"/>
      <c r="ACD26" s="16"/>
      <c r="ACE26" s="16"/>
      <c r="ACF26" s="16"/>
      <c r="ACG26" s="16"/>
      <c r="ACH26" s="16"/>
      <c r="ACI26" s="16"/>
      <c r="ACJ26" s="16"/>
      <c r="ACK26" s="16"/>
      <c r="ACL26" s="16"/>
      <c r="ACM26" s="16"/>
      <c r="ACN26" s="16"/>
      <c r="ACO26" s="16"/>
      <c r="ACP26" s="16"/>
      <c r="ACQ26" s="16"/>
      <c r="ACR26" s="16"/>
      <c r="ACS26" s="16"/>
      <c r="ACT26" s="16"/>
      <c r="ACU26" s="16"/>
      <c r="ACV26" s="16"/>
      <c r="ACW26" s="16"/>
      <c r="ACX26" s="16"/>
      <c r="ACY26" s="16"/>
      <c r="ACZ26" s="16"/>
      <c r="ADA26" s="16"/>
      <c r="ADB26" s="16"/>
      <c r="ADC26" s="16"/>
      <c r="ADD26" s="16"/>
      <c r="ADE26" s="16"/>
      <c r="ADF26" s="16"/>
      <c r="ADG26" s="16"/>
      <c r="ADH26" s="16"/>
      <c r="ADI26" s="16"/>
      <c r="ADJ26" s="16"/>
      <c r="ADK26" s="16"/>
      <c r="ADL26" s="16"/>
      <c r="ADM26" s="16"/>
      <c r="ADN26" s="16"/>
      <c r="ADO26" s="16"/>
      <c r="ADP26" s="16"/>
      <c r="ADQ26" s="16"/>
      <c r="ADR26" s="16"/>
      <c r="ADS26" s="16"/>
      <c r="ADT26" s="16"/>
      <c r="ADU26" s="16"/>
      <c r="ADV26" s="16"/>
      <c r="ADW26" s="16"/>
      <c r="ADX26" s="16"/>
      <c r="ADY26" s="16"/>
      <c r="ADZ26" s="16"/>
      <c r="AEA26" s="16"/>
      <c r="AEB26" s="16"/>
      <c r="AEC26" s="16"/>
      <c r="AED26" s="16"/>
      <c r="AEE26" s="16"/>
      <c r="AEF26" s="16"/>
      <c r="AEG26" s="16"/>
      <c r="AEH26" s="16"/>
      <c r="AEI26" s="16"/>
      <c r="AEJ26" s="16"/>
      <c r="AEK26" s="16"/>
      <c r="AEL26" s="16"/>
      <c r="AEM26" s="16"/>
      <c r="AEN26" s="16"/>
      <c r="AEO26" s="16"/>
      <c r="AEP26" s="16"/>
      <c r="AEQ26" s="16"/>
      <c r="AER26" s="16"/>
      <c r="AES26" s="16"/>
      <c r="AET26" s="16"/>
      <c r="AEU26" s="16"/>
      <c r="AEV26" s="16"/>
      <c r="AEW26" s="16"/>
      <c r="AEX26" s="16"/>
      <c r="AEY26" s="16"/>
      <c r="AEZ26" s="16"/>
      <c r="AFA26" s="16"/>
      <c r="AFB26" s="16"/>
      <c r="AFC26" s="16"/>
      <c r="AFD26" s="16"/>
      <c r="AFE26" s="16"/>
      <c r="AFF26" s="16"/>
      <c r="AFG26" s="16"/>
      <c r="AFH26" s="16"/>
      <c r="AFI26" s="16"/>
      <c r="AFJ26" s="16"/>
      <c r="AFK26" s="16"/>
      <c r="AFL26" s="16"/>
      <c r="AFM26" s="16"/>
      <c r="AFN26" s="16"/>
      <c r="AFO26" s="16"/>
      <c r="AFP26" s="16"/>
      <c r="AFQ26" s="16"/>
      <c r="AFR26" s="16"/>
      <c r="AFS26" s="16"/>
      <c r="AFT26" s="16"/>
      <c r="AFU26" s="16"/>
      <c r="AFV26" s="16"/>
      <c r="AFW26" s="16"/>
      <c r="AFX26" s="16"/>
      <c r="AFY26" s="16"/>
      <c r="AFZ26" s="16"/>
      <c r="AGA26" s="16"/>
      <c r="AGB26" s="16"/>
      <c r="AGC26" s="16"/>
      <c r="AGD26" s="16"/>
      <c r="AGE26" s="16"/>
      <c r="AGF26" s="16"/>
      <c r="AGG26" s="16"/>
      <c r="AGH26" s="16"/>
      <c r="AGI26" s="16"/>
      <c r="AGJ26" s="16"/>
    </row>
    <row r="27" spans="1:868" s="6" customFormat="1">
      <c r="A27" s="151" t="s">
        <v>386</v>
      </c>
      <c r="B27" s="34" t="s">
        <v>286</v>
      </c>
      <c r="C27" s="1084" t="s">
        <v>139</v>
      </c>
      <c r="D27" s="34" t="s">
        <v>139</v>
      </c>
      <c r="E27" s="257">
        <v>0.98399999999999999</v>
      </c>
      <c r="F27" s="232">
        <v>2</v>
      </c>
      <c r="G27" s="1084" t="s">
        <v>294</v>
      </c>
      <c r="H27" s="29">
        <v>2</v>
      </c>
      <c r="I27" s="1083"/>
      <c r="J27" s="1083">
        <v>2</v>
      </c>
      <c r="K27" s="1083">
        <v>3</v>
      </c>
      <c r="L27" s="1083">
        <v>3</v>
      </c>
      <c r="M27" s="1083">
        <v>1</v>
      </c>
      <c r="N27" s="1082">
        <f t="shared" si="1"/>
        <v>0.51126068492676302</v>
      </c>
      <c r="O27" s="159" t="str">
        <f t="shared" si="2"/>
        <v/>
      </c>
      <c r="P27" s="63"/>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c r="ZZ27" s="16"/>
      <c r="AAA27" s="16"/>
      <c r="AAB27" s="16"/>
      <c r="AAC27" s="16"/>
      <c r="AAD27" s="16"/>
      <c r="AAE27" s="16"/>
      <c r="AAF27" s="16"/>
      <c r="AAG27" s="16"/>
      <c r="AAH27" s="16"/>
      <c r="AAI27" s="16"/>
      <c r="AAJ27" s="16"/>
      <c r="AAK27" s="16"/>
      <c r="AAL27" s="16"/>
      <c r="AAM27" s="16"/>
      <c r="AAN27" s="16"/>
      <c r="AAO27" s="16"/>
      <c r="AAP27" s="16"/>
      <c r="AAQ27" s="16"/>
      <c r="AAR27" s="16"/>
      <c r="AAS27" s="16"/>
      <c r="AAT27" s="16"/>
      <c r="AAU27" s="16"/>
      <c r="AAV27" s="16"/>
      <c r="AAW27" s="16"/>
      <c r="AAX27" s="16"/>
      <c r="AAY27" s="16"/>
      <c r="AAZ27" s="16"/>
      <c r="ABA27" s="16"/>
      <c r="ABB27" s="16"/>
      <c r="ABC27" s="16"/>
      <c r="ABD27" s="16"/>
      <c r="ABE27" s="16"/>
      <c r="ABF27" s="16"/>
      <c r="ABG27" s="16"/>
      <c r="ABH27" s="16"/>
      <c r="ABI27" s="16"/>
      <c r="ABJ27" s="16"/>
      <c r="ABK27" s="16"/>
      <c r="ABL27" s="16"/>
      <c r="ABM27" s="16"/>
      <c r="ABN27" s="16"/>
      <c r="ABO27" s="16"/>
      <c r="ABP27" s="16"/>
      <c r="ABQ27" s="16"/>
      <c r="ABR27" s="16"/>
      <c r="ABS27" s="16"/>
      <c r="ABT27" s="16"/>
      <c r="ABU27" s="16"/>
      <c r="ABV27" s="16"/>
      <c r="ABW27" s="16"/>
      <c r="ABX27" s="16"/>
      <c r="ABY27" s="16"/>
      <c r="ABZ27" s="16"/>
      <c r="ACA27" s="16"/>
      <c r="ACB27" s="16"/>
      <c r="ACC27" s="16"/>
      <c r="ACD27" s="16"/>
      <c r="ACE27" s="16"/>
      <c r="ACF27" s="16"/>
      <c r="ACG27" s="16"/>
      <c r="ACH27" s="16"/>
      <c r="ACI27" s="16"/>
      <c r="ACJ27" s="16"/>
      <c r="ACK27" s="16"/>
      <c r="ACL27" s="16"/>
      <c r="ACM27" s="16"/>
      <c r="ACN27" s="16"/>
      <c r="ACO27" s="16"/>
      <c r="ACP27" s="16"/>
      <c r="ACQ27" s="16"/>
      <c r="ACR27" s="16"/>
      <c r="ACS27" s="16"/>
      <c r="ACT27" s="16"/>
      <c r="ACU27" s="16"/>
      <c r="ACV27" s="16"/>
      <c r="ACW27" s="16"/>
      <c r="ACX27" s="16"/>
      <c r="ACY27" s="16"/>
      <c r="ACZ27" s="16"/>
      <c r="ADA27" s="16"/>
      <c r="ADB27" s="16"/>
      <c r="ADC27" s="16"/>
      <c r="ADD27" s="16"/>
      <c r="ADE27" s="16"/>
      <c r="ADF27" s="16"/>
      <c r="ADG27" s="16"/>
      <c r="ADH27" s="16"/>
      <c r="ADI27" s="16"/>
      <c r="ADJ27" s="16"/>
      <c r="ADK27" s="16"/>
      <c r="ADL27" s="16"/>
      <c r="ADM27" s="16"/>
      <c r="ADN27" s="16"/>
      <c r="ADO27" s="16"/>
      <c r="ADP27" s="16"/>
      <c r="ADQ27" s="16"/>
      <c r="ADR27" s="16"/>
      <c r="ADS27" s="16"/>
      <c r="ADT27" s="16"/>
      <c r="ADU27" s="16"/>
      <c r="ADV27" s="16"/>
      <c r="ADW27" s="16"/>
      <c r="ADX27" s="16"/>
      <c r="ADY27" s="16"/>
      <c r="ADZ27" s="16"/>
      <c r="AEA27" s="16"/>
      <c r="AEB27" s="16"/>
      <c r="AEC27" s="16"/>
      <c r="AED27" s="16"/>
      <c r="AEE27" s="16"/>
      <c r="AEF27" s="16"/>
      <c r="AEG27" s="16"/>
      <c r="AEH27" s="16"/>
      <c r="AEI27" s="16"/>
      <c r="AEJ27" s="16"/>
      <c r="AEK27" s="16"/>
      <c r="AEL27" s="16"/>
      <c r="AEM27" s="16"/>
      <c r="AEN27" s="16"/>
      <c r="AEO27" s="16"/>
      <c r="AEP27" s="16"/>
      <c r="AEQ27" s="16"/>
      <c r="AER27" s="16"/>
      <c r="AES27" s="16"/>
      <c r="AET27" s="16"/>
      <c r="AEU27" s="16"/>
      <c r="AEV27" s="16"/>
      <c r="AEW27" s="16"/>
      <c r="AEX27" s="16"/>
      <c r="AEY27" s="16"/>
      <c r="AEZ27" s="16"/>
      <c r="AFA27" s="16"/>
      <c r="AFB27" s="16"/>
      <c r="AFC27" s="16"/>
      <c r="AFD27" s="16"/>
      <c r="AFE27" s="16"/>
      <c r="AFF27" s="16"/>
      <c r="AFG27" s="16"/>
      <c r="AFH27" s="16"/>
      <c r="AFI27" s="16"/>
      <c r="AFJ27" s="16"/>
      <c r="AFK27" s="16"/>
      <c r="AFL27" s="16"/>
      <c r="AFM27" s="16"/>
      <c r="AFN27" s="16"/>
      <c r="AFO27" s="16"/>
      <c r="AFP27" s="16"/>
      <c r="AFQ27" s="16"/>
      <c r="AFR27" s="16"/>
      <c r="AFS27" s="16"/>
      <c r="AFT27" s="16"/>
      <c r="AFU27" s="16"/>
      <c r="AFV27" s="16"/>
      <c r="AFW27" s="16"/>
      <c r="AFX27" s="16"/>
      <c r="AFY27" s="16"/>
      <c r="AFZ27" s="16"/>
      <c r="AGA27" s="16"/>
      <c r="AGB27" s="16"/>
      <c r="AGC27" s="16"/>
      <c r="AGD27" s="16"/>
      <c r="AGE27" s="16"/>
      <c r="AGF27" s="16"/>
      <c r="AGG27" s="16"/>
      <c r="AGH27" s="16"/>
      <c r="AGI27" s="16"/>
      <c r="AGJ27" s="16"/>
    </row>
    <row r="28" spans="1:868" s="6" customFormat="1">
      <c r="A28" s="151" t="s">
        <v>386</v>
      </c>
      <c r="B28" s="34" t="s">
        <v>286</v>
      </c>
      <c r="C28" s="1084" t="s">
        <v>139</v>
      </c>
      <c r="D28" s="34" t="s">
        <v>139</v>
      </c>
      <c r="E28" s="257">
        <v>0.68936446173800259</v>
      </c>
      <c r="F28" s="232">
        <v>2</v>
      </c>
      <c r="G28" s="1084" t="s">
        <v>296</v>
      </c>
      <c r="H28" s="29">
        <v>2</v>
      </c>
      <c r="I28" s="1083"/>
      <c r="J28" s="1083">
        <v>2</v>
      </c>
      <c r="K28" s="1083">
        <v>3</v>
      </c>
      <c r="L28" s="1083">
        <v>3</v>
      </c>
      <c r="M28" s="1083">
        <v>1</v>
      </c>
      <c r="N28" s="1082">
        <f t="shared" si="1"/>
        <v>0.51126068492676302</v>
      </c>
      <c r="O28" s="159" t="str">
        <f t="shared" si="2"/>
        <v/>
      </c>
      <c r="P28" s="63" t="s">
        <v>411</v>
      </c>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c r="ZZ28" s="16"/>
      <c r="AAA28" s="16"/>
      <c r="AAB28" s="16"/>
      <c r="AAC28" s="16"/>
      <c r="AAD28" s="16"/>
      <c r="AAE28" s="16"/>
      <c r="AAF28" s="16"/>
      <c r="AAG28" s="16"/>
      <c r="AAH28" s="16"/>
      <c r="AAI28" s="16"/>
      <c r="AAJ28" s="16"/>
      <c r="AAK28" s="16"/>
      <c r="AAL28" s="16"/>
      <c r="AAM28" s="16"/>
      <c r="AAN28" s="16"/>
      <c r="AAO28" s="16"/>
      <c r="AAP28" s="16"/>
      <c r="AAQ28" s="16"/>
      <c r="AAR28" s="16"/>
      <c r="AAS28" s="16"/>
      <c r="AAT28" s="16"/>
      <c r="AAU28" s="16"/>
      <c r="AAV28" s="16"/>
      <c r="AAW28" s="16"/>
      <c r="AAX28" s="16"/>
      <c r="AAY28" s="16"/>
      <c r="AAZ28" s="16"/>
      <c r="ABA28" s="16"/>
      <c r="ABB28" s="16"/>
      <c r="ABC28" s="16"/>
      <c r="ABD28" s="16"/>
      <c r="ABE28" s="16"/>
      <c r="ABF28" s="16"/>
      <c r="ABG28" s="16"/>
      <c r="ABH28" s="16"/>
      <c r="ABI28" s="16"/>
      <c r="ABJ28" s="16"/>
      <c r="ABK28" s="16"/>
      <c r="ABL28" s="16"/>
      <c r="ABM28" s="16"/>
      <c r="ABN28" s="16"/>
      <c r="ABO28" s="16"/>
      <c r="ABP28" s="16"/>
      <c r="ABQ28" s="16"/>
      <c r="ABR28" s="16"/>
      <c r="ABS28" s="16"/>
      <c r="ABT28" s="16"/>
      <c r="ABU28" s="16"/>
      <c r="ABV28" s="16"/>
      <c r="ABW28" s="16"/>
      <c r="ABX28" s="16"/>
      <c r="ABY28" s="16"/>
      <c r="ABZ28" s="16"/>
      <c r="ACA28" s="16"/>
      <c r="ACB28" s="16"/>
      <c r="ACC28" s="16"/>
      <c r="ACD28" s="16"/>
      <c r="ACE28" s="16"/>
      <c r="ACF28" s="16"/>
      <c r="ACG28" s="16"/>
      <c r="ACH28" s="16"/>
      <c r="ACI28" s="16"/>
      <c r="ACJ28" s="16"/>
      <c r="ACK28" s="16"/>
      <c r="ACL28" s="16"/>
      <c r="ACM28" s="16"/>
      <c r="ACN28" s="16"/>
      <c r="ACO28" s="16"/>
      <c r="ACP28" s="16"/>
      <c r="ACQ28" s="16"/>
      <c r="ACR28" s="16"/>
      <c r="ACS28" s="16"/>
      <c r="ACT28" s="16"/>
      <c r="ACU28" s="16"/>
      <c r="ACV28" s="16"/>
      <c r="ACW28" s="16"/>
      <c r="ACX28" s="16"/>
      <c r="ACY28" s="16"/>
      <c r="ACZ28" s="16"/>
      <c r="ADA28" s="16"/>
      <c r="ADB28" s="16"/>
      <c r="ADC28" s="16"/>
      <c r="ADD28" s="16"/>
      <c r="ADE28" s="16"/>
      <c r="ADF28" s="16"/>
      <c r="ADG28" s="16"/>
      <c r="ADH28" s="16"/>
      <c r="ADI28" s="16"/>
      <c r="ADJ28" s="16"/>
      <c r="ADK28" s="16"/>
      <c r="ADL28" s="16"/>
      <c r="ADM28" s="16"/>
      <c r="ADN28" s="16"/>
      <c r="ADO28" s="16"/>
      <c r="ADP28" s="16"/>
      <c r="ADQ28" s="16"/>
      <c r="ADR28" s="16"/>
      <c r="ADS28" s="16"/>
      <c r="ADT28" s="16"/>
      <c r="ADU28" s="16"/>
      <c r="ADV28" s="16"/>
      <c r="ADW28" s="16"/>
      <c r="ADX28" s="16"/>
      <c r="ADY28" s="16"/>
      <c r="ADZ28" s="16"/>
      <c r="AEA28" s="16"/>
      <c r="AEB28" s="16"/>
      <c r="AEC28" s="16"/>
      <c r="AED28" s="16"/>
      <c r="AEE28" s="16"/>
      <c r="AEF28" s="16"/>
      <c r="AEG28" s="16"/>
      <c r="AEH28" s="16"/>
      <c r="AEI28" s="16"/>
      <c r="AEJ28" s="16"/>
      <c r="AEK28" s="16"/>
      <c r="AEL28" s="16"/>
      <c r="AEM28" s="16"/>
      <c r="AEN28" s="16"/>
      <c r="AEO28" s="16"/>
      <c r="AEP28" s="16"/>
      <c r="AEQ28" s="16"/>
      <c r="AER28" s="16"/>
      <c r="AES28" s="16"/>
      <c r="AET28" s="16"/>
      <c r="AEU28" s="16"/>
      <c r="AEV28" s="16"/>
      <c r="AEW28" s="16"/>
      <c r="AEX28" s="16"/>
      <c r="AEY28" s="16"/>
      <c r="AEZ28" s="16"/>
      <c r="AFA28" s="16"/>
      <c r="AFB28" s="16"/>
      <c r="AFC28" s="16"/>
      <c r="AFD28" s="16"/>
      <c r="AFE28" s="16"/>
      <c r="AFF28" s="16"/>
      <c r="AFG28" s="16"/>
      <c r="AFH28" s="16"/>
      <c r="AFI28" s="16"/>
      <c r="AFJ28" s="16"/>
      <c r="AFK28" s="16"/>
      <c r="AFL28" s="16"/>
      <c r="AFM28" s="16"/>
      <c r="AFN28" s="16"/>
      <c r="AFO28" s="16"/>
      <c r="AFP28" s="16"/>
      <c r="AFQ28" s="16"/>
      <c r="AFR28" s="16"/>
      <c r="AFS28" s="16"/>
      <c r="AFT28" s="16"/>
      <c r="AFU28" s="16"/>
      <c r="AFV28" s="16"/>
      <c r="AFW28" s="16"/>
      <c r="AFX28" s="16"/>
      <c r="AFY28" s="16"/>
      <c r="AFZ28" s="16"/>
      <c r="AGA28" s="16"/>
      <c r="AGB28" s="16"/>
      <c r="AGC28" s="16"/>
      <c r="AGD28" s="16"/>
      <c r="AGE28" s="16"/>
      <c r="AGF28" s="16"/>
      <c r="AGG28" s="16"/>
      <c r="AGH28" s="16"/>
      <c r="AGI28" s="16"/>
      <c r="AGJ28" s="16"/>
    </row>
    <row r="29" spans="1:868" s="6" customFormat="1">
      <c r="A29" s="151" t="s">
        <v>402</v>
      </c>
      <c r="B29" s="34" t="s">
        <v>286</v>
      </c>
      <c r="C29" s="1084" t="s">
        <v>139</v>
      </c>
      <c r="D29" s="34" t="s">
        <v>139</v>
      </c>
      <c r="E29" s="257">
        <v>0.72974745818301079</v>
      </c>
      <c r="F29" s="232">
        <v>2</v>
      </c>
      <c r="G29" s="1084" t="s">
        <v>290</v>
      </c>
      <c r="H29" s="29">
        <v>2</v>
      </c>
      <c r="I29" s="1083"/>
      <c r="J29" s="1083">
        <v>2</v>
      </c>
      <c r="K29" s="1083">
        <v>3</v>
      </c>
      <c r="L29" s="1083">
        <v>3</v>
      </c>
      <c r="M29" s="1083">
        <v>1</v>
      </c>
      <c r="N29" s="1082">
        <f t="shared" si="1"/>
        <v>0.51126068492676302</v>
      </c>
      <c r="O29" s="159" t="str">
        <f t="shared" si="2"/>
        <v/>
      </c>
      <c r="P29" s="63" t="s">
        <v>412</v>
      </c>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c r="MX29" s="16"/>
      <c r="MY29" s="16"/>
      <c r="MZ29" s="16"/>
      <c r="NA29" s="16"/>
      <c r="NB29" s="16"/>
      <c r="NC29" s="16"/>
      <c r="ND29" s="16"/>
      <c r="NE29" s="16"/>
      <c r="NF29" s="16"/>
      <c r="NG29" s="16"/>
      <c r="NH29" s="16"/>
      <c r="NI29" s="16"/>
      <c r="NJ29" s="16"/>
      <c r="NK29" s="16"/>
      <c r="NL29" s="16"/>
      <c r="NM29" s="16"/>
      <c r="NN29" s="16"/>
      <c r="NO29" s="16"/>
      <c r="NP29" s="16"/>
      <c r="NQ29" s="16"/>
      <c r="NR29" s="16"/>
      <c r="NS29" s="16"/>
      <c r="NT29" s="16"/>
      <c r="NU29" s="16"/>
      <c r="NV29" s="16"/>
      <c r="NW29" s="16"/>
      <c r="NX29" s="16"/>
      <c r="NY29" s="16"/>
      <c r="NZ29" s="16"/>
      <c r="OA29" s="16"/>
      <c r="OB29" s="16"/>
      <c r="OC29" s="16"/>
      <c r="OD29" s="16"/>
      <c r="OE29" s="16"/>
      <c r="OF29" s="16"/>
      <c r="OG29" s="16"/>
      <c r="OH29" s="16"/>
      <c r="OI29" s="16"/>
      <c r="OJ29" s="16"/>
      <c r="OK29" s="16"/>
      <c r="OL29" s="16"/>
      <c r="OM29" s="16"/>
      <c r="ON29" s="16"/>
      <c r="OO29" s="16"/>
      <c r="OP29" s="16"/>
      <c r="OQ29" s="16"/>
      <c r="OR29" s="16"/>
      <c r="OS29" s="16"/>
      <c r="OT29" s="16"/>
      <c r="OU29" s="16"/>
      <c r="OV29" s="16"/>
      <c r="OW29" s="16"/>
      <c r="OX29" s="16"/>
      <c r="OY29" s="16"/>
      <c r="OZ29" s="16"/>
      <c r="PA29" s="16"/>
      <c r="PB29" s="16"/>
      <c r="PC29" s="16"/>
      <c r="PD29" s="16"/>
      <c r="PE29" s="16"/>
      <c r="PF29" s="16"/>
      <c r="PG29" s="16"/>
      <c r="PH29" s="16"/>
      <c r="PI29" s="16"/>
      <c r="PJ29" s="16"/>
      <c r="PK29" s="16"/>
      <c r="PL29" s="16"/>
      <c r="PM29" s="16"/>
      <c r="PN29" s="16"/>
      <c r="PO29" s="16"/>
      <c r="PP29" s="16"/>
      <c r="PQ29" s="16"/>
      <c r="PR29" s="16"/>
      <c r="PS29" s="16"/>
      <c r="PT29" s="16"/>
      <c r="PU29" s="16"/>
      <c r="PV29" s="16"/>
      <c r="PW29" s="16"/>
      <c r="PX29" s="16"/>
      <c r="PY29" s="16"/>
      <c r="PZ29" s="16"/>
      <c r="QA29" s="16"/>
      <c r="QB29" s="16"/>
      <c r="QC29" s="16"/>
      <c r="QD29" s="16"/>
      <c r="QE29" s="16"/>
      <c r="QF29" s="16"/>
      <c r="QG29" s="16"/>
      <c r="QH29" s="16"/>
      <c r="QI29" s="16"/>
      <c r="QJ29" s="16"/>
      <c r="QK29" s="16"/>
      <c r="QL29" s="16"/>
      <c r="QM29" s="16"/>
      <c r="QN29" s="16"/>
      <c r="QO29" s="16"/>
      <c r="QP29" s="16"/>
      <c r="QQ29" s="16"/>
      <c r="QR29" s="16"/>
      <c r="QS29" s="16"/>
      <c r="QT29" s="16"/>
      <c r="QU29" s="16"/>
      <c r="QV29" s="16"/>
      <c r="QW29" s="16"/>
      <c r="QX29" s="16"/>
      <c r="QY29" s="16"/>
      <c r="QZ29" s="16"/>
      <c r="RA29" s="16"/>
      <c r="RB29" s="16"/>
      <c r="RC29" s="16"/>
      <c r="RD29" s="16"/>
      <c r="RE29" s="16"/>
      <c r="RF29" s="16"/>
      <c r="RG29" s="16"/>
      <c r="RH29" s="16"/>
      <c r="RI29" s="16"/>
      <c r="RJ29" s="16"/>
      <c r="RK29" s="16"/>
      <c r="RL29" s="16"/>
      <c r="RM29" s="16"/>
      <c r="RN29" s="16"/>
      <c r="RO29" s="16"/>
      <c r="RP29" s="16"/>
      <c r="RQ29" s="16"/>
      <c r="RR29" s="16"/>
      <c r="RS29" s="16"/>
      <c r="RT29" s="16"/>
      <c r="RU29" s="16"/>
      <c r="RV29" s="16"/>
      <c r="RW29" s="16"/>
      <c r="RX29" s="16"/>
      <c r="RY29" s="16"/>
      <c r="RZ29" s="16"/>
      <c r="SA29" s="16"/>
      <c r="SB29" s="16"/>
      <c r="SC29" s="16"/>
      <c r="SD29" s="16"/>
      <c r="SE29" s="16"/>
      <c r="SF29" s="16"/>
      <c r="SG29" s="16"/>
      <c r="SH29" s="16"/>
      <c r="SI29" s="16"/>
      <c r="SJ29" s="16"/>
      <c r="SK29" s="16"/>
      <c r="SL29" s="16"/>
      <c r="SM29" s="16"/>
      <c r="SN29" s="16"/>
      <c r="SO29" s="16"/>
      <c r="SP29" s="16"/>
      <c r="SQ29" s="16"/>
      <c r="SR29" s="16"/>
      <c r="SS29" s="16"/>
      <c r="ST29" s="16"/>
      <c r="SU29" s="16"/>
      <c r="SV29" s="16"/>
      <c r="SW29" s="16"/>
      <c r="SX29" s="16"/>
      <c r="SY29" s="16"/>
      <c r="SZ29" s="16"/>
      <c r="TA29" s="16"/>
      <c r="TB29" s="16"/>
      <c r="TC29" s="16"/>
      <c r="TD29" s="16"/>
      <c r="TE29" s="16"/>
      <c r="TF29" s="16"/>
      <c r="TG29" s="16"/>
      <c r="TH29" s="16"/>
      <c r="TI29" s="16"/>
      <c r="TJ29" s="16"/>
      <c r="TK29" s="16"/>
      <c r="TL29" s="16"/>
      <c r="TM29" s="16"/>
      <c r="TN29" s="16"/>
      <c r="TO29" s="16"/>
      <c r="TP29" s="16"/>
      <c r="TQ29" s="16"/>
      <c r="TR29" s="16"/>
      <c r="TS29" s="16"/>
      <c r="TT29" s="16"/>
      <c r="TU29" s="16"/>
      <c r="TV29" s="16"/>
      <c r="TW29" s="16"/>
      <c r="TX29" s="16"/>
      <c r="TY29" s="16"/>
      <c r="TZ29" s="16"/>
      <c r="UA29" s="16"/>
      <c r="UB29" s="16"/>
      <c r="UC29" s="16"/>
      <c r="UD29" s="16"/>
      <c r="UE29" s="16"/>
      <c r="UF29" s="16"/>
      <c r="UG29" s="16"/>
      <c r="UH29" s="16"/>
      <c r="UI29" s="16"/>
      <c r="UJ29" s="16"/>
      <c r="UK29" s="16"/>
      <c r="UL29" s="16"/>
      <c r="UM29" s="16"/>
      <c r="UN29" s="16"/>
      <c r="UO29" s="16"/>
      <c r="UP29" s="16"/>
      <c r="UQ29" s="16"/>
      <c r="UR29" s="16"/>
      <c r="US29" s="16"/>
      <c r="UT29" s="16"/>
      <c r="UU29" s="16"/>
      <c r="UV29" s="16"/>
      <c r="UW29" s="16"/>
      <c r="UX29" s="16"/>
      <c r="UY29" s="16"/>
      <c r="UZ29" s="16"/>
      <c r="VA29" s="16"/>
      <c r="VB29" s="16"/>
      <c r="VC29" s="16"/>
      <c r="VD29" s="16"/>
      <c r="VE29" s="16"/>
      <c r="VF29" s="16"/>
      <c r="VG29" s="16"/>
      <c r="VH29" s="16"/>
      <c r="VI29" s="16"/>
      <c r="VJ29" s="16"/>
      <c r="VK29" s="16"/>
      <c r="VL29" s="16"/>
      <c r="VM29" s="16"/>
      <c r="VN29" s="16"/>
      <c r="VO29" s="16"/>
      <c r="VP29" s="16"/>
      <c r="VQ29" s="16"/>
      <c r="VR29" s="16"/>
      <c r="VS29" s="16"/>
      <c r="VT29" s="16"/>
      <c r="VU29" s="16"/>
      <c r="VV29" s="16"/>
      <c r="VW29" s="16"/>
      <c r="VX29" s="16"/>
      <c r="VY29" s="16"/>
      <c r="VZ29" s="16"/>
      <c r="WA29" s="16"/>
      <c r="WB29" s="16"/>
      <c r="WC29" s="16"/>
      <c r="WD29" s="16"/>
      <c r="WE29" s="16"/>
      <c r="WF29" s="16"/>
      <c r="WG29" s="16"/>
      <c r="WH29" s="16"/>
      <c r="WI29" s="16"/>
      <c r="WJ29" s="16"/>
      <c r="WK29" s="16"/>
      <c r="WL29" s="16"/>
      <c r="WM29" s="16"/>
      <c r="WN29" s="16"/>
      <c r="WO29" s="16"/>
      <c r="WP29" s="16"/>
      <c r="WQ29" s="16"/>
      <c r="WR29" s="16"/>
      <c r="WS29" s="16"/>
      <c r="WT29" s="16"/>
      <c r="WU29" s="16"/>
      <c r="WV29" s="16"/>
      <c r="WW29" s="16"/>
      <c r="WX29" s="16"/>
      <c r="WY29" s="16"/>
      <c r="WZ29" s="16"/>
      <c r="XA29" s="16"/>
      <c r="XB29" s="16"/>
      <c r="XC29" s="16"/>
      <c r="XD29" s="16"/>
      <c r="XE29" s="16"/>
      <c r="XF29" s="16"/>
      <c r="XG29" s="16"/>
      <c r="XH29" s="16"/>
      <c r="XI29" s="16"/>
      <c r="XJ29" s="16"/>
      <c r="XK29" s="16"/>
      <c r="XL29" s="16"/>
      <c r="XM29" s="16"/>
      <c r="XN29" s="16"/>
      <c r="XO29" s="16"/>
      <c r="XP29" s="16"/>
      <c r="XQ29" s="16"/>
      <c r="XR29" s="16"/>
      <c r="XS29" s="16"/>
      <c r="XT29" s="16"/>
      <c r="XU29" s="16"/>
      <c r="XV29" s="16"/>
      <c r="XW29" s="16"/>
      <c r="XX29" s="16"/>
      <c r="XY29" s="16"/>
      <c r="XZ29" s="16"/>
      <c r="YA29" s="16"/>
      <c r="YB29" s="16"/>
      <c r="YC29" s="16"/>
      <c r="YD29" s="16"/>
      <c r="YE29" s="16"/>
      <c r="YF29" s="16"/>
      <c r="YG29" s="16"/>
      <c r="YH29" s="16"/>
      <c r="YI29" s="16"/>
      <c r="YJ29" s="16"/>
      <c r="YK29" s="16"/>
      <c r="YL29" s="16"/>
      <c r="YM29" s="16"/>
      <c r="YN29" s="16"/>
      <c r="YO29" s="16"/>
      <c r="YP29" s="16"/>
      <c r="YQ29" s="16"/>
      <c r="YR29" s="16"/>
      <c r="YS29" s="16"/>
      <c r="YT29" s="16"/>
      <c r="YU29" s="16"/>
      <c r="YV29" s="16"/>
      <c r="YW29" s="16"/>
      <c r="YX29" s="16"/>
      <c r="YY29" s="16"/>
      <c r="YZ29" s="16"/>
      <c r="ZA29" s="16"/>
      <c r="ZB29" s="16"/>
      <c r="ZC29" s="16"/>
      <c r="ZD29" s="16"/>
      <c r="ZE29" s="16"/>
      <c r="ZF29" s="16"/>
      <c r="ZG29" s="16"/>
      <c r="ZH29" s="16"/>
      <c r="ZI29" s="16"/>
      <c r="ZJ29" s="16"/>
      <c r="ZK29" s="16"/>
      <c r="ZL29" s="16"/>
      <c r="ZM29" s="16"/>
      <c r="ZN29" s="16"/>
      <c r="ZO29" s="16"/>
      <c r="ZP29" s="16"/>
      <c r="ZQ29" s="16"/>
      <c r="ZR29" s="16"/>
      <c r="ZS29" s="16"/>
      <c r="ZT29" s="16"/>
      <c r="ZU29" s="16"/>
      <c r="ZV29" s="16"/>
      <c r="ZW29" s="16"/>
      <c r="ZX29" s="16"/>
      <c r="ZY29" s="16"/>
      <c r="ZZ29" s="16"/>
      <c r="AAA29" s="16"/>
      <c r="AAB29" s="16"/>
      <c r="AAC29" s="16"/>
      <c r="AAD29" s="16"/>
      <c r="AAE29" s="16"/>
      <c r="AAF29" s="16"/>
      <c r="AAG29" s="16"/>
      <c r="AAH29" s="16"/>
      <c r="AAI29" s="16"/>
      <c r="AAJ29" s="16"/>
      <c r="AAK29" s="16"/>
      <c r="AAL29" s="16"/>
      <c r="AAM29" s="16"/>
      <c r="AAN29" s="16"/>
      <c r="AAO29" s="16"/>
      <c r="AAP29" s="16"/>
      <c r="AAQ29" s="16"/>
      <c r="AAR29" s="16"/>
      <c r="AAS29" s="16"/>
      <c r="AAT29" s="16"/>
      <c r="AAU29" s="16"/>
      <c r="AAV29" s="16"/>
      <c r="AAW29" s="16"/>
      <c r="AAX29" s="16"/>
      <c r="AAY29" s="16"/>
      <c r="AAZ29" s="16"/>
      <c r="ABA29" s="16"/>
      <c r="ABB29" s="16"/>
      <c r="ABC29" s="16"/>
      <c r="ABD29" s="16"/>
      <c r="ABE29" s="16"/>
      <c r="ABF29" s="16"/>
      <c r="ABG29" s="16"/>
      <c r="ABH29" s="16"/>
      <c r="ABI29" s="16"/>
      <c r="ABJ29" s="16"/>
      <c r="ABK29" s="16"/>
      <c r="ABL29" s="16"/>
      <c r="ABM29" s="16"/>
      <c r="ABN29" s="16"/>
      <c r="ABO29" s="16"/>
      <c r="ABP29" s="16"/>
      <c r="ABQ29" s="16"/>
      <c r="ABR29" s="16"/>
      <c r="ABS29" s="16"/>
      <c r="ABT29" s="16"/>
      <c r="ABU29" s="16"/>
      <c r="ABV29" s="16"/>
      <c r="ABW29" s="16"/>
      <c r="ABX29" s="16"/>
      <c r="ABY29" s="16"/>
      <c r="ABZ29" s="16"/>
      <c r="ACA29" s="16"/>
      <c r="ACB29" s="16"/>
      <c r="ACC29" s="16"/>
      <c r="ACD29" s="16"/>
      <c r="ACE29" s="16"/>
      <c r="ACF29" s="16"/>
      <c r="ACG29" s="16"/>
      <c r="ACH29" s="16"/>
      <c r="ACI29" s="16"/>
      <c r="ACJ29" s="16"/>
      <c r="ACK29" s="16"/>
      <c r="ACL29" s="16"/>
      <c r="ACM29" s="16"/>
      <c r="ACN29" s="16"/>
      <c r="ACO29" s="16"/>
      <c r="ACP29" s="16"/>
      <c r="ACQ29" s="16"/>
      <c r="ACR29" s="16"/>
      <c r="ACS29" s="16"/>
      <c r="ACT29" s="16"/>
      <c r="ACU29" s="16"/>
      <c r="ACV29" s="16"/>
      <c r="ACW29" s="16"/>
      <c r="ACX29" s="16"/>
      <c r="ACY29" s="16"/>
      <c r="ACZ29" s="16"/>
      <c r="ADA29" s="16"/>
      <c r="ADB29" s="16"/>
      <c r="ADC29" s="16"/>
      <c r="ADD29" s="16"/>
      <c r="ADE29" s="16"/>
      <c r="ADF29" s="16"/>
      <c r="ADG29" s="16"/>
      <c r="ADH29" s="16"/>
      <c r="ADI29" s="16"/>
      <c r="ADJ29" s="16"/>
      <c r="ADK29" s="16"/>
      <c r="ADL29" s="16"/>
      <c r="ADM29" s="16"/>
      <c r="ADN29" s="16"/>
      <c r="ADO29" s="16"/>
      <c r="ADP29" s="16"/>
      <c r="ADQ29" s="16"/>
      <c r="ADR29" s="16"/>
      <c r="ADS29" s="16"/>
      <c r="ADT29" s="16"/>
      <c r="ADU29" s="16"/>
      <c r="ADV29" s="16"/>
      <c r="ADW29" s="16"/>
      <c r="ADX29" s="16"/>
      <c r="ADY29" s="16"/>
      <c r="ADZ29" s="16"/>
      <c r="AEA29" s="16"/>
      <c r="AEB29" s="16"/>
      <c r="AEC29" s="16"/>
      <c r="AED29" s="16"/>
      <c r="AEE29" s="16"/>
      <c r="AEF29" s="16"/>
      <c r="AEG29" s="16"/>
      <c r="AEH29" s="16"/>
      <c r="AEI29" s="16"/>
      <c r="AEJ29" s="16"/>
      <c r="AEK29" s="16"/>
      <c r="AEL29" s="16"/>
      <c r="AEM29" s="16"/>
      <c r="AEN29" s="16"/>
      <c r="AEO29" s="16"/>
      <c r="AEP29" s="16"/>
      <c r="AEQ29" s="16"/>
      <c r="AER29" s="16"/>
      <c r="AES29" s="16"/>
      <c r="AET29" s="16"/>
      <c r="AEU29" s="16"/>
      <c r="AEV29" s="16"/>
      <c r="AEW29" s="16"/>
      <c r="AEX29" s="16"/>
      <c r="AEY29" s="16"/>
      <c r="AEZ29" s="16"/>
      <c r="AFA29" s="16"/>
      <c r="AFB29" s="16"/>
      <c r="AFC29" s="16"/>
      <c r="AFD29" s="16"/>
      <c r="AFE29" s="16"/>
      <c r="AFF29" s="16"/>
      <c r="AFG29" s="16"/>
      <c r="AFH29" s="16"/>
      <c r="AFI29" s="16"/>
      <c r="AFJ29" s="16"/>
      <c r="AFK29" s="16"/>
      <c r="AFL29" s="16"/>
      <c r="AFM29" s="16"/>
      <c r="AFN29" s="16"/>
      <c r="AFO29" s="16"/>
      <c r="AFP29" s="16"/>
      <c r="AFQ29" s="16"/>
      <c r="AFR29" s="16"/>
      <c r="AFS29" s="16"/>
      <c r="AFT29" s="16"/>
      <c r="AFU29" s="16"/>
      <c r="AFV29" s="16"/>
      <c r="AFW29" s="16"/>
      <c r="AFX29" s="16"/>
      <c r="AFY29" s="16"/>
      <c r="AFZ29" s="16"/>
      <c r="AGA29" s="16"/>
      <c r="AGB29" s="16"/>
      <c r="AGC29" s="16"/>
      <c r="AGD29" s="16"/>
      <c r="AGE29" s="16"/>
      <c r="AGF29" s="16"/>
      <c r="AGG29" s="16"/>
      <c r="AGH29" s="16"/>
      <c r="AGI29" s="16"/>
      <c r="AGJ29" s="16"/>
    </row>
    <row r="30" spans="1:868" s="6" customFormat="1">
      <c r="A30" s="151" t="s">
        <v>402</v>
      </c>
      <c r="B30" s="34" t="s">
        <v>286</v>
      </c>
      <c r="C30" s="1084" t="s">
        <v>139</v>
      </c>
      <c r="D30" s="34" t="s">
        <v>139</v>
      </c>
      <c r="E30" s="257">
        <v>7.0000000000000007E-2</v>
      </c>
      <c r="F30" s="232">
        <v>2</v>
      </c>
      <c r="G30" s="1084" t="s">
        <v>294</v>
      </c>
      <c r="H30" s="29">
        <v>2</v>
      </c>
      <c r="I30" s="1083"/>
      <c r="J30" s="1083">
        <v>2</v>
      </c>
      <c r="K30" s="1083">
        <v>3</v>
      </c>
      <c r="L30" s="1083">
        <v>3</v>
      </c>
      <c r="M30" s="1083">
        <v>1</v>
      </c>
      <c r="N30" s="1082">
        <f t="shared" si="1"/>
        <v>0.51126068492676302</v>
      </c>
      <c r="O30" s="159" t="str">
        <f t="shared" si="2"/>
        <v/>
      </c>
      <c r="P30" s="63"/>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c r="IX30" s="16"/>
      <c r="IY30" s="16"/>
      <c r="IZ30" s="16"/>
      <c r="JA30" s="16"/>
      <c r="JB30" s="16"/>
      <c r="JC30" s="16"/>
      <c r="JD30" s="16"/>
      <c r="JE30" s="16"/>
      <c r="JF30" s="16"/>
      <c r="JG30" s="16"/>
      <c r="JH30" s="16"/>
      <c r="JI30" s="16"/>
      <c r="JJ30" s="16"/>
      <c r="JK30" s="16"/>
      <c r="JL30" s="16"/>
      <c r="JM30" s="16"/>
      <c r="JN30" s="16"/>
      <c r="JO30" s="16"/>
      <c r="JP30" s="16"/>
      <c r="JQ30" s="16"/>
      <c r="JR30" s="16"/>
      <c r="JS30" s="16"/>
      <c r="JT30" s="16"/>
      <c r="JU30" s="16"/>
      <c r="JV30" s="16"/>
      <c r="JW30" s="16"/>
      <c r="JX30" s="16"/>
      <c r="JY30" s="16"/>
      <c r="JZ30" s="16"/>
      <c r="KA30" s="16"/>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c r="MX30" s="16"/>
      <c r="MY30" s="16"/>
      <c r="MZ30" s="16"/>
      <c r="NA30" s="16"/>
      <c r="NB30" s="16"/>
      <c r="NC30" s="16"/>
      <c r="ND30" s="16"/>
      <c r="NE30" s="16"/>
      <c r="NF30" s="16"/>
      <c r="NG30" s="16"/>
      <c r="NH30" s="16"/>
      <c r="NI30" s="16"/>
      <c r="NJ30" s="16"/>
      <c r="NK30" s="16"/>
      <c r="NL30" s="16"/>
      <c r="NM30" s="16"/>
      <c r="NN30" s="16"/>
      <c r="NO30" s="16"/>
      <c r="NP30" s="16"/>
      <c r="NQ30" s="16"/>
      <c r="NR30" s="16"/>
      <c r="NS30" s="16"/>
      <c r="NT30" s="16"/>
      <c r="NU30" s="16"/>
      <c r="NV30" s="16"/>
      <c r="NW30" s="16"/>
      <c r="NX30" s="16"/>
      <c r="NY30" s="16"/>
      <c r="NZ30" s="16"/>
      <c r="OA30" s="16"/>
      <c r="OB30" s="16"/>
      <c r="OC30" s="16"/>
      <c r="OD30" s="16"/>
      <c r="OE30" s="16"/>
      <c r="OF30" s="16"/>
      <c r="OG30" s="16"/>
      <c r="OH30" s="16"/>
      <c r="OI30" s="16"/>
      <c r="OJ30" s="16"/>
      <c r="OK30" s="16"/>
      <c r="OL30" s="16"/>
      <c r="OM30" s="16"/>
      <c r="ON30" s="16"/>
      <c r="OO30" s="16"/>
      <c r="OP30" s="16"/>
      <c r="OQ30" s="16"/>
      <c r="OR30" s="16"/>
      <c r="OS30" s="16"/>
      <c r="OT30" s="16"/>
      <c r="OU30" s="16"/>
      <c r="OV30" s="16"/>
      <c r="OW30" s="16"/>
      <c r="OX30" s="16"/>
      <c r="OY30" s="16"/>
      <c r="OZ30" s="16"/>
      <c r="PA30" s="16"/>
      <c r="PB30" s="16"/>
      <c r="PC30" s="16"/>
      <c r="PD30" s="16"/>
      <c r="PE30" s="16"/>
      <c r="PF30" s="16"/>
      <c r="PG30" s="16"/>
      <c r="PH30" s="16"/>
      <c r="PI30" s="16"/>
      <c r="PJ30" s="16"/>
      <c r="PK30" s="16"/>
      <c r="PL30" s="16"/>
      <c r="PM30" s="16"/>
      <c r="PN30" s="16"/>
      <c r="PO30" s="16"/>
      <c r="PP30" s="16"/>
      <c r="PQ30" s="16"/>
      <c r="PR30" s="16"/>
      <c r="PS30" s="16"/>
      <c r="PT30" s="16"/>
      <c r="PU30" s="16"/>
      <c r="PV30" s="16"/>
      <c r="PW30" s="16"/>
      <c r="PX30" s="16"/>
      <c r="PY30" s="16"/>
      <c r="PZ30" s="16"/>
      <c r="QA30" s="16"/>
      <c r="QB30" s="16"/>
      <c r="QC30" s="16"/>
      <c r="QD30" s="16"/>
      <c r="QE30" s="16"/>
      <c r="QF30" s="16"/>
      <c r="QG30" s="16"/>
      <c r="QH30" s="16"/>
      <c r="QI30" s="16"/>
      <c r="QJ30" s="16"/>
      <c r="QK30" s="16"/>
      <c r="QL30" s="16"/>
      <c r="QM30" s="16"/>
      <c r="QN30" s="16"/>
      <c r="QO30" s="16"/>
      <c r="QP30" s="16"/>
      <c r="QQ30" s="16"/>
      <c r="QR30" s="16"/>
      <c r="QS30" s="16"/>
      <c r="QT30" s="16"/>
      <c r="QU30" s="16"/>
      <c r="QV30" s="16"/>
      <c r="QW30" s="16"/>
      <c r="QX30" s="16"/>
      <c r="QY30" s="16"/>
      <c r="QZ30" s="16"/>
      <c r="RA30" s="16"/>
      <c r="RB30" s="16"/>
      <c r="RC30" s="16"/>
      <c r="RD30" s="16"/>
      <c r="RE30" s="16"/>
      <c r="RF30" s="16"/>
      <c r="RG30" s="16"/>
      <c r="RH30" s="16"/>
      <c r="RI30" s="16"/>
      <c r="RJ30" s="16"/>
      <c r="RK30" s="16"/>
      <c r="RL30" s="16"/>
      <c r="RM30" s="16"/>
      <c r="RN30" s="16"/>
      <c r="RO30" s="16"/>
      <c r="RP30" s="16"/>
      <c r="RQ30" s="16"/>
      <c r="RR30" s="16"/>
      <c r="RS30" s="16"/>
      <c r="RT30" s="16"/>
      <c r="RU30" s="16"/>
      <c r="RV30" s="16"/>
      <c r="RW30" s="16"/>
      <c r="RX30" s="16"/>
      <c r="RY30" s="16"/>
      <c r="RZ30" s="16"/>
      <c r="SA30" s="16"/>
      <c r="SB30" s="16"/>
      <c r="SC30" s="16"/>
      <c r="SD30" s="16"/>
      <c r="SE30" s="16"/>
      <c r="SF30" s="16"/>
      <c r="SG30" s="16"/>
      <c r="SH30" s="16"/>
      <c r="SI30" s="16"/>
      <c r="SJ30" s="16"/>
      <c r="SK30" s="16"/>
      <c r="SL30" s="16"/>
      <c r="SM30" s="16"/>
      <c r="SN30" s="16"/>
      <c r="SO30" s="16"/>
      <c r="SP30" s="16"/>
      <c r="SQ30" s="16"/>
      <c r="SR30" s="16"/>
      <c r="SS30" s="16"/>
      <c r="ST30" s="16"/>
      <c r="SU30" s="16"/>
      <c r="SV30" s="16"/>
      <c r="SW30" s="16"/>
      <c r="SX30" s="16"/>
      <c r="SY30" s="16"/>
      <c r="SZ30" s="16"/>
      <c r="TA30" s="16"/>
      <c r="TB30" s="16"/>
      <c r="TC30" s="16"/>
      <c r="TD30" s="16"/>
      <c r="TE30" s="16"/>
      <c r="TF30" s="16"/>
      <c r="TG30" s="16"/>
      <c r="TH30" s="16"/>
      <c r="TI30" s="16"/>
      <c r="TJ30" s="16"/>
      <c r="TK30" s="16"/>
      <c r="TL30" s="16"/>
      <c r="TM30" s="16"/>
      <c r="TN30" s="16"/>
      <c r="TO30" s="16"/>
      <c r="TP30" s="16"/>
      <c r="TQ30" s="16"/>
      <c r="TR30" s="16"/>
      <c r="TS30" s="16"/>
      <c r="TT30" s="16"/>
      <c r="TU30" s="16"/>
      <c r="TV30" s="16"/>
      <c r="TW30" s="16"/>
      <c r="TX30" s="16"/>
      <c r="TY30" s="16"/>
      <c r="TZ30" s="16"/>
      <c r="UA30" s="16"/>
      <c r="UB30" s="16"/>
      <c r="UC30" s="16"/>
      <c r="UD30" s="16"/>
      <c r="UE30" s="16"/>
      <c r="UF30" s="16"/>
      <c r="UG30" s="16"/>
      <c r="UH30" s="16"/>
      <c r="UI30" s="16"/>
      <c r="UJ30" s="16"/>
      <c r="UK30" s="16"/>
      <c r="UL30" s="16"/>
      <c r="UM30" s="16"/>
      <c r="UN30" s="16"/>
      <c r="UO30" s="16"/>
      <c r="UP30" s="16"/>
      <c r="UQ30" s="16"/>
      <c r="UR30" s="16"/>
      <c r="US30" s="16"/>
      <c r="UT30" s="16"/>
      <c r="UU30" s="16"/>
      <c r="UV30" s="16"/>
      <c r="UW30" s="16"/>
      <c r="UX30" s="16"/>
      <c r="UY30" s="16"/>
      <c r="UZ30" s="16"/>
      <c r="VA30" s="16"/>
      <c r="VB30" s="16"/>
      <c r="VC30" s="16"/>
      <c r="VD30" s="16"/>
      <c r="VE30" s="16"/>
      <c r="VF30" s="16"/>
      <c r="VG30" s="16"/>
      <c r="VH30" s="16"/>
      <c r="VI30" s="16"/>
      <c r="VJ30" s="16"/>
      <c r="VK30" s="16"/>
      <c r="VL30" s="16"/>
      <c r="VM30" s="16"/>
      <c r="VN30" s="16"/>
      <c r="VO30" s="16"/>
      <c r="VP30" s="16"/>
      <c r="VQ30" s="16"/>
      <c r="VR30" s="16"/>
      <c r="VS30" s="16"/>
      <c r="VT30" s="16"/>
      <c r="VU30" s="16"/>
      <c r="VV30" s="16"/>
      <c r="VW30" s="16"/>
      <c r="VX30" s="16"/>
      <c r="VY30" s="16"/>
      <c r="VZ30" s="16"/>
      <c r="WA30" s="16"/>
      <c r="WB30" s="16"/>
      <c r="WC30" s="16"/>
      <c r="WD30" s="16"/>
      <c r="WE30" s="16"/>
      <c r="WF30" s="16"/>
      <c r="WG30" s="16"/>
      <c r="WH30" s="16"/>
      <c r="WI30" s="16"/>
      <c r="WJ30" s="16"/>
      <c r="WK30" s="16"/>
      <c r="WL30" s="16"/>
      <c r="WM30" s="16"/>
      <c r="WN30" s="16"/>
      <c r="WO30" s="16"/>
      <c r="WP30" s="16"/>
      <c r="WQ30" s="16"/>
      <c r="WR30" s="16"/>
      <c r="WS30" s="16"/>
      <c r="WT30" s="16"/>
      <c r="WU30" s="16"/>
      <c r="WV30" s="16"/>
      <c r="WW30" s="16"/>
      <c r="WX30" s="16"/>
      <c r="WY30" s="16"/>
      <c r="WZ30" s="16"/>
      <c r="XA30" s="16"/>
      <c r="XB30" s="16"/>
      <c r="XC30" s="16"/>
      <c r="XD30" s="16"/>
      <c r="XE30" s="16"/>
      <c r="XF30" s="16"/>
      <c r="XG30" s="16"/>
      <c r="XH30" s="16"/>
      <c r="XI30" s="16"/>
      <c r="XJ30" s="16"/>
      <c r="XK30" s="16"/>
      <c r="XL30" s="16"/>
      <c r="XM30" s="16"/>
      <c r="XN30" s="16"/>
      <c r="XO30" s="16"/>
      <c r="XP30" s="16"/>
      <c r="XQ30" s="16"/>
      <c r="XR30" s="16"/>
      <c r="XS30" s="16"/>
      <c r="XT30" s="16"/>
      <c r="XU30" s="16"/>
      <c r="XV30" s="16"/>
      <c r="XW30" s="16"/>
      <c r="XX30" s="16"/>
      <c r="XY30" s="16"/>
      <c r="XZ30" s="16"/>
      <c r="YA30" s="16"/>
      <c r="YB30" s="16"/>
      <c r="YC30" s="16"/>
      <c r="YD30" s="16"/>
      <c r="YE30" s="16"/>
      <c r="YF30" s="16"/>
      <c r="YG30" s="16"/>
      <c r="YH30" s="16"/>
      <c r="YI30" s="16"/>
      <c r="YJ30" s="16"/>
      <c r="YK30" s="16"/>
      <c r="YL30" s="16"/>
      <c r="YM30" s="16"/>
      <c r="YN30" s="16"/>
      <c r="YO30" s="16"/>
      <c r="YP30" s="16"/>
      <c r="YQ30" s="16"/>
      <c r="YR30" s="16"/>
      <c r="YS30" s="16"/>
      <c r="YT30" s="16"/>
      <c r="YU30" s="16"/>
      <c r="YV30" s="16"/>
      <c r="YW30" s="16"/>
      <c r="YX30" s="16"/>
      <c r="YY30" s="16"/>
      <c r="YZ30" s="16"/>
      <c r="ZA30" s="16"/>
      <c r="ZB30" s="16"/>
      <c r="ZC30" s="16"/>
      <c r="ZD30" s="16"/>
      <c r="ZE30" s="16"/>
      <c r="ZF30" s="16"/>
      <c r="ZG30" s="16"/>
      <c r="ZH30" s="16"/>
      <c r="ZI30" s="16"/>
      <c r="ZJ30" s="16"/>
      <c r="ZK30" s="16"/>
      <c r="ZL30" s="16"/>
      <c r="ZM30" s="16"/>
      <c r="ZN30" s="16"/>
      <c r="ZO30" s="16"/>
      <c r="ZP30" s="16"/>
      <c r="ZQ30" s="16"/>
      <c r="ZR30" s="16"/>
      <c r="ZS30" s="16"/>
      <c r="ZT30" s="16"/>
      <c r="ZU30" s="16"/>
      <c r="ZV30" s="16"/>
      <c r="ZW30" s="16"/>
      <c r="ZX30" s="16"/>
      <c r="ZY30" s="16"/>
      <c r="ZZ30" s="16"/>
      <c r="AAA30" s="16"/>
      <c r="AAB30" s="16"/>
      <c r="AAC30" s="16"/>
      <c r="AAD30" s="16"/>
      <c r="AAE30" s="16"/>
      <c r="AAF30" s="16"/>
      <c r="AAG30" s="16"/>
      <c r="AAH30" s="16"/>
      <c r="AAI30" s="16"/>
      <c r="AAJ30" s="16"/>
      <c r="AAK30" s="16"/>
      <c r="AAL30" s="16"/>
      <c r="AAM30" s="16"/>
      <c r="AAN30" s="16"/>
      <c r="AAO30" s="16"/>
      <c r="AAP30" s="16"/>
      <c r="AAQ30" s="16"/>
      <c r="AAR30" s="16"/>
      <c r="AAS30" s="16"/>
      <c r="AAT30" s="16"/>
      <c r="AAU30" s="16"/>
      <c r="AAV30" s="16"/>
      <c r="AAW30" s="16"/>
      <c r="AAX30" s="16"/>
      <c r="AAY30" s="16"/>
      <c r="AAZ30" s="16"/>
      <c r="ABA30" s="16"/>
      <c r="ABB30" s="16"/>
      <c r="ABC30" s="16"/>
      <c r="ABD30" s="16"/>
      <c r="ABE30" s="16"/>
      <c r="ABF30" s="16"/>
      <c r="ABG30" s="16"/>
      <c r="ABH30" s="16"/>
      <c r="ABI30" s="16"/>
      <c r="ABJ30" s="16"/>
      <c r="ABK30" s="16"/>
      <c r="ABL30" s="16"/>
      <c r="ABM30" s="16"/>
      <c r="ABN30" s="16"/>
      <c r="ABO30" s="16"/>
      <c r="ABP30" s="16"/>
      <c r="ABQ30" s="16"/>
      <c r="ABR30" s="16"/>
      <c r="ABS30" s="16"/>
      <c r="ABT30" s="16"/>
      <c r="ABU30" s="16"/>
      <c r="ABV30" s="16"/>
      <c r="ABW30" s="16"/>
      <c r="ABX30" s="16"/>
      <c r="ABY30" s="16"/>
      <c r="ABZ30" s="16"/>
      <c r="ACA30" s="16"/>
      <c r="ACB30" s="16"/>
      <c r="ACC30" s="16"/>
      <c r="ACD30" s="16"/>
      <c r="ACE30" s="16"/>
      <c r="ACF30" s="16"/>
      <c r="ACG30" s="16"/>
      <c r="ACH30" s="16"/>
      <c r="ACI30" s="16"/>
      <c r="ACJ30" s="16"/>
      <c r="ACK30" s="16"/>
      <c r="ACL30" s="16"/>
      <c r="ACM30" s="16"/>
      <c r="ACN30" s="16"/>
      <c r="ACO30" s="16"/>
      <c r="ACP30" s="16"/>
      <c r="ACQ30" s="16"/>
      <c r="ACR30" s="16"/>
      <c r="ACS30" s="16"/>
      <c r="ACT30" s="16"/>
      <c r="ACU30" s="16"/>
      <c r="ACV30" s="16"/>
      <c r="ACW30" s="16"/>
      <c r="ACX30" s="16"/>
      <c r="ACY30" s="16"/>
      <c r="ACZ30" s="16"/>
      <c r="ADA30" s="16"/>
      <c r="ADB30" s="16"/>
      <c r="ADC30" s="16"/>
      <c r="ADD30" s="16"/>
      <c r="ADE30" s="16"/>
      <c r="ADF30" s="16"/>
      <c r="ADG30" s="16"/>
      <c r="ADH30" s="16"/>
      <c r="ADI30" s="16"/>
      <c r="ADJ30" s="16"/>
      <c r="ADK30" s="16"/>
      <c r="ADL30" s="16"/>
      <c r="ADM30" s="16"/>
      <c r="ADN30" s="16"/>
      <c r="ADO30" s="16"/>
      <c r="ADP30" s="16"/>
      <c r="ADQ30" s="16"/>
      <c r="ADR30" s="16"/>
      <c r="ADS30" s="16"/>
      <c r="ADT30" s="16"/>
      <c r="ADU30" s="16"/>
      <c r="ADV30" s="16"/>
      <c r="ADW30" s="16"/>
      <c r="ADX30" s="16"/>
      <c r="ADY30" s="16"/>
      <c r="ADZ30" s="16"/>
      <c r="AEA30" s="16"/>
      <c r="AEB30" s="16"/>
      <c r="AEC30" s="16"/>
      <c r="AED30" s="16"/>
      <c r="AEE30" s="16"/>
      <c r="AEF30" s="16"/>
      <c r="AEG30" s="16"/>
      <c r="AEH30" s="16"/>
      <c r="AEI30" s="16"/>
      <c r="AEJ30" s="16"/>
      <c r="AEK30" s="16"/>
      <c r="AEL30" s="16"/>
      <c r="AEM30" s="16"/>
      <c r="AEN30" s="16"/>
      <c r="AEO30" s="16"/>
      <c r="AEP30" s="16"/>
      <c r="AEQ30" s="16"/>
      <c r="AER30" s="16"/>
      <c r="AES30" s="16"/>
      <c r="AET30" s="16"/>
      <c r="AEU30" s="16"/>
      <c r="AEV30" s="16"/>
      <c r="AEW30" s="16"/>
      <c r="AEX30" s="16"/>
      <c r="AEY30" s="16"/>
      <c r="AEZ30" s="16"/>
      <c r="AFA30" s="16"/>
      <c r="AFB30" s="16"/>
      <c r="AFC30" s="16"/>
      <c r="AFD30" s="16"/>
      <c r="AFE30" s="16"/>
      <c r="AFF30" s="16"/>
      <c r="AFG30" s="16"/>
      <c r="AFH30" s="16"/>
      <c r="AFI30" s="16"/>
      <c r="AFJ30" s="16"/>
      <c r="AFK30" s="16"/>
      <c r="AFL30" s="16"/>
      <c r="AFM30" s="16"/>
      <c r="AFN30" s="16"/>
      <c r="AFO30" s="16"/>
      <c r="AFP30" s="16"/>
      <c r="AFQ30" s="16"/>
      <c r="AFR30" s="16"/>
      <c r="AFS30" s="16"/>
      <c r="AFT30" s="16"/>
      <c r="AFU30" s="16"/>
      <c r="AFV30" s="16"/>
      <c r="AFW30" s="16"/>
      <c r="AFX30" s="16"/>
      <c r="AFY30" s="16"/>
      <c r="AFZ30" s="16"/>
      <c r="AGA30" s="16"/>
      <c r="AGB30" s="16"/>
      <c r="AGC30" s="16"/>
      <c r="AGD30" s="16"/>
      <c r="AGE30" s="16"/>
      <c r="AGF30" s="16"/>
      <c r="AGG30" s="16"/>
      <c r="AGH30" s="16"/>
      <c r="AGI30" s="16"/>
      <c r="AGJ30" s="16"/>
    </row>
    <row r="31" spans="1:868" s="6" customFormat="1">
      <c r="A31" s="151" t="s">
        <v>402</v>
      </c>
      <c r="B31" s="34" t="s">
        <v>286</v>
      </c>
      <c r="C31" s="1084" t="s">
        <v>139</v>
      </c>
      <c r="D31" s="34" t="s">
        <v>139</v>
      </c>
      <c r="E31" s="257">
        <v>0.2</v>
      </c>
      <c r="F31" s="232">
        <v>2</v>
      </c>
      <c r="G31" s="1084" t="s">
        <v>294</v>
      </c>
      <c r="H31" s="29">
        <v>2</v>
      </c>
      <c r="I31" s="1083"/>
      <c r="J31" s="1083">
        <v>2</v>
      </c>
      <c r="K31" s="1083">
        <v>3</v>
      </c>
      <c r="L31" s="1083">
        <v>3</v>
      </c>
      <c r="M31" s="1083">
        <v>1</v>
      </c>
      <c r="N31" s="1082">
        <f t="shared" si="1"/>
        <v>0.51126068492676302</v>
      </c>
      <c r="O31" s="159" t="str">
        <f t="shared" si="2"/>
        <v/>
      </c>
      <c r="P31" s="63"/>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6"/>
      <c r="TT31" s="16"/>
      <c r="TU31" s="16"/>
      <c r="TV31" s="16"/>
      <c r="TW31" s="16"/>
      <c r="TX31" s="16"/>
      <c r="TY31" s="16"/>
      <c r="TZ31" s="16"/>
      <c r="UA31" s="16"/>
      <c r="UB31" s="16"/>
      <c r="UC31" s="16"/>
      <c r="UD31" s="16"/>
      <c r="UE31" s="16"/>
      <c r="UF31" s="16"/>
      <c r="UG31" s="16"/>
      <c r="UH31" s="16"/>
      <c r="UI31" s="16"/>
      <c r="UJ31" s="16"/>
      <c r="UK31" s="16"/>
      <c r="UL31" s="16"/>
      <c r="UM31" s="16"/>
      <c r="UN31" s="16"/>
      <c r="UO31" s="16"/>
      <c r="UP31" s="16"/>
      <c r="UQ31" s="16"/>
      <c r="UR31" s="16"/>
      <c r="US31" s="16"/>
      <c r="UT31" s="16"/>
      <c r="UU31" s="16"/>
      <c r="UV31" s="16"/>
      <c r="UW31" s="16"/>
      <c r="UX31" s="16"/>
      <c r="UY31" s="16"/>
      <c r="UZ31" s="16"/>
      <c r="VA31" s="16"/>
      <c r="VB31" s="16"/>
      <c r="VC31" s="16"/>
      <c r="VD31" s="16"/>
      <c r="VE31" s="16"/>
      <c r="VF31" s="16"/>
      <c r="VG31" s="16"/>
      <c r="VH31" s="16"/>
      <c r="VI31" s="16"/>
      <c r="VJ31" s="16"/>
      <c r="VK31" s="16"/>
      <c r="VL31" s="16"/>
      <c r="VM31" s="16"/>
      <c r="VN31" s="16"/>
      <c r="VO31" s="16"/>
      <c r="VP31" s="16"/>
      <c r="VQ31" s="16"/>
      <c r="VR31" s="16"/>
      <c r="VS31" s="16"/>
      <c r="VT31" s="16"/>
      <c r="VU31" s="16"/>
      <c r="VV31" s="16"/>
      <c r="VW31" s="16"/>
      <c r="VX31" s="16"/>
      <c r="VY31" s="16"/>
      <c r="VZ31" s="16"/>
      <c r="WA31" s="16"/>
      <c r="WB31" s="16"/>
      <c r="WC31" s="16"/>
      <c r="WD31" s="16"/>
      <c r="WE31" s="16"/>
      <c r="WF31" s="16"/>
      <c r="WG31" s="16"/>
      <c r="WH31" s="16"/>
      <c r="WI31" s="16"/>
      <c r="WJ31" s="16"/>
      <c r="WK31" s="16"/>
      <c r="WL31" s="16"/>
      <c r="WM31" s="16"/>
      <c r="WN31" s="16"/>
      <c r="WO31" s="16"/>
      <c r="WP31" s="16"/>
      <c r="WQ31" s="16"/>
      <c r="WR31" s="16"/>
      <c r="WS31" s="16"/>
      <c r="WT31" s="16"/>
      <c r="WU31" s="16"/>
      <c r="WV31" s="16"/>
      <c r="WW31" s="16"/>
      <c r="WX31" s="16"/>
      <c r="WY31" s="16"/>
      <c r="WZ31" s="16"/>
      <c r="XA31" s="16"/>
      <c r="XB31" s="16"/>
      <c r="XC31" s="16"/>
      <c r="XD31" s="16"/>
      <c r="XE31" s="16"/>
      <c r="XF31" s="16"/>
      <c r="XG31" s="16"/>
      <c r="XH31" s="16"/>
      <c r="XI31" s="16"/>
      <c r="XJ31" s="16"/>
      <c r="XK31" s="16"/>
      <c r="XL31" s="16"/>
      <c r="XM31" s="16"/>
      <c r="XN31" s="16"/>
      <c r="XO31" s="16"/>
      <c r="XP31" s="16"/>
      <c r="XQ31" s="16"/>
      <c r="XR31" s="16"/>
      <c r="XS31" s="16"/>
      <c r="XT31" s="16"/>
      <c r="XU31" s="16"/>
      <c r="XV31" s="16"/>
      <c r="XW31" s="16"/>
      <c r="XX31" s="16"/>
      <c r="XY31" s="16"/>
      <c r="XZ31" s="16"/>
      <c r="YA31" s="16"/>
      <c r="YB31" s="16"/>
      <c r="YC31" s="16"/>
      <c r="YD31" s="16"/>
      <c r="YE31" s="16"/>
      <c r="YF31" s="16"/>
      <c r="YG31" s="16"/>
      <c r="YH31" s="16"/>
      <c r="YI31" s="16"/>
      <c r="YJ31" s="16"/>
      <c r="YK31" s="16"/>
      <c r="YL31" s="16"/>
      <c r="YM31" s="16"/>
      <c r="YN31" s="16"/>
      <c r="YO31" s="16"/>
      <c r="YP31" s="16"/>
      <c r="YQ31" s="16"/>
      <c r="YR31" s="16"/>
      <c r="YS31" s="16"/>
      <c r="YT31" s="16"/>
      <c r="YU31" s="16"/>
      <c r="YV31" s="16"/>
      <c r="YW31" s="16"/>
      <c r="YX31" s="16"/>
      <c r="YY31" s="16"/>
      <c r="YZ31" s="16"/>
      <c r="ZA31" s="16"/>
      <c r="ZB31" s="16"/>
      <c r="ZC31" s="16"/>
      <c r="ZD31" s="16"/>
      <c r="ZE31" s="16"/>
      <c r="ZF31" s="16"/>
      <c r="ZG31" s="16"/>
      <c r="ZH31" s="16"/>
      <c r="ZI31" s="16"/>
      <c r="ZJ31" s="16"/>
      <c r="ZK31" s="16"/>
      <c r="ZL31" s="16"/>
      <c r="ZM31" s="16"/>
      <c r="ZN31" s="16"/>
      <c r="ZO31" s="16"/>
      <c r="ZP31" s="16"/>
      <c r="ZQ31" s="16"/>
      <c r="ZR31" s="16"/>
      <c r="ZS31" s="16"/>
      <c r="ZT31" s="16"/>
      <c r="ZU31" s="16"/>
      <c r="ZV31" s="16"/>
      <c r="ZW31" s="16"/>
      <c r="ZX31" s="16"/>
      <c r="ZY31" s="16"/>
      <c r="ZZ31" s="16"/>
      <c r="AAA31" s="16"/>
      <c r="AAB31" s="16"/>
      <c r="AAC31" s="16"/>
      <c r="AAD31" s="16"/>
      <c r="AAE31" s="16"/>
      <c r="AAF31" s="16"/>
      <c r="AAG31" s="16"/>
      <c r="AAH31" s="16"/>
      <c r="AAI31" s="16"/>
      <c r="AAJ31" s="16"/>
      <c r="AAK31" s="16"/>
      <c r="AAL31" s="16"/>
      <c r="AAM31" s="16"/>
      <c r="AAN31" s="16"/>
      <c r="AAO31" s="16"/>
      <c r="AAP31" s="16"/>
      <c r="AAQ31" s="16"/>
      <c r="AAR31" s="16"/>
      <c r="AAS31" s="16"/>
      <c r="AAT31" s="16"/>
      <c r="AAU31" s="16"/>
      <c r="AAV31" s="16"/>
      <c r="AAW31" s="16"/>
      <c r="AAX31" s="16"/>
      <c r="AAY31" s="16"/>
      <c r="AAZ31" s="16"/>
      <c r="ABA31" s="16"/>
      <c r="ABB31" s="16"/>
      <c r="ABC31" s="16"/>
      <c r="ABD31" s="16"/>
      <c r="ABE31" s="16"/>
      <c r="ABF31" s="16"/>
      <c r="ABG31" s="16"/>
      <c r="ABH31" s="16"/>
      <c r="ABI31" s="16"/>
      <c r="ABJ31" s="16"/>
      <c r="ABK31" s="16"/>
      <c r="ABL31" s="16"/>
      <c r="ABM31" s="16"/>
      <c r="ABN31" s="16"/>
      <c r="ABO31" s="16"/>
      <c r="ABP31" s="16"/>
      <c r="ABQ31" s="16"/>
      <c r="ABR31" s="16"/>
      <c r="ABS31" s="16"/>
      <c r="ABT31" s="16"/>
      <c r="ABU31" s="16"/>
      <c r="ABV31" s="16"/>
      <c r="ABW31" s="16"/>
      <c r="ABX31" s="16"/>
      <c r="ABY31" s="16"/>
      <c r="ABZ31" s="16"/>
      <c r="ACA31" s="16"/>
      <c r="ACB31" s="16"/>
      <c r="ACC31" s="16"/>
      <c r="ACD31" s="16"/>
      <c r="ACE31" s="16"/>
      <c r="ACF31" s="16"/>
      <c r="ACG31" s="16"/>
      <c r="ACH31" s="16"/>
      <c r="ACI31" s="16"/>
      <c r="ACJ31" s="16"/>
      <c r="ACK31" s="16"/>
      <c r="ACL31" s="16"/>
      <c r="ACM31" s="16"/>
      <c r="ACN31" s="16"/>
      <c r="ACO31" s="16"/>
      <c r="ACP31" s="16"/>
      <c r="ACQ31" s="16"/>
      <c r="ACR31" s="16"/>
      <c r="ACS31" s="16"/>
      <c r="ACT31" s="16"/>
      <c r="ACU31" s="16"/>
      <c r="ACV31" s="16"/>
      <c r="ACW31" s="16"/>
      <c r="ACX31" s="16"/>
      <c r="ACY31" s="16"/>
      <c r="ACZ31" s="16"/>
      <c r="ADA31" s="16"/>
      <c r="ADB31" s="16"/>
      <c r="ADC31" s="16"/>
      <c r="ADD31" s="16"/>
      <c r="ADE31" s="16"/>
      <c r="ADF31" s="16"/>
      <c r="ADG31" s="16"/>
      <c r="ADH31" s="16"/>
      <c r="ADI31" s="16"/>
      <c r="ADJ31" s="16"/>
      <c r="ADK31" s="16"/>
      <c r="ADL31" s="16"/>
      <c r="ADM31" s="16"/>
      <c r="ADN31" s="16"/>
      <c r="ADO31" s="16"/>
      <c r="ADP31" s="16"/>
      <c r="ADQ31" s="16"/>
      <c r="ADR31" s="16"/>
      <c r="ADS31" s="16"/>
      <c r="ADT31" s="16"/>
      <c r="ADU31" s="16"/>
      <c r="ADV31" s="16"/>
      <c r="ADW31" s="16"/>
      <c r="ADX31" s="16"/>
      <c r="ADY31" s="16"/>
      <c r="ADZ31" s="16"/>
      <c r="AEA31" s="16"/>
      <c r="AEB31" s="16"/>
      <c r="AEC31" s="16"/>
      <c r="AED31" s="16"/>
      <c r="AEE31" s="16"/>
      <c r="AEF31" s="16"/>
      <c r="AEG31" s="16"/>
      <c r="AEH31" s="16"/>
      <c r="AEI31" s="16"/>
      <c r="AEJ31" s="16"/>
      <c r="AEK31" s="16"/>
      <c r="AEL31" s="16"/>
      <c r="AEM31" s="16"/>
      <c r="AEN31" s="16"/>
      <c r="AEO31" s="16"/>
      <c r="AEP31" s="16"/>
      <c r="AEQ31" s="16"/>
      <c r="AER31" s="16"/>
      <c r="AES31" s="16"/>
      <c r="AET31" s="16"/>
      <c r="AEU31" s="16"/>
      <c r="AEV31" s="16"/>
      <c r="AEW31" s="16"/>
      <c r="AEX31" s="16"/>
      <c r="AEY31" s="16"/>
      <c r="AEZ31" s="16"/>
      <c r="AFA31" s="16"/>
      <c r="AFB31" s="16"/>
      <c r="AFC31" s="16"/>
      <c r="AFD31" s="16"/>
      <c r="AFE31" s="16"/>
      <c r="AFF31" s="16"/>
      <c r="AFG31" s="16"/>
      <c r="AFH31" s="16"/>
      <c r="AFI31" s="16"/>
      <c r="AFJ31" s="16"/>
      <c r="AFK31" s="16"/>
      <c r="AFL31" s="16"/>
      <c r="AFM31" s="16"/>
      <c r="AFN31" s="16"/>
      <c r="AFO31" s="16"/>
      <c r="AFP31" s="16"/>
      <c r="AFQ31" s="16"/>
      <c r="AFR31" s="16"/>
      <c r="AFS31" s="16"/>
      <c r="AFT31" s="16"/>
      <c r="AFU31" s="16"/>
      <c r="AFV31" s="16"/>
      <c r="AFW31" s="16"/>
      <c r="AFX31" s="16"/>
      <c r="AFY31" s="16"/>
      <c r="AFZ31" s="16"/>
      <c r="AGA31" s="16"/>
      <c r="AGB31" s="16"/>
      <c r="AGC31" s="16"/>
      <c r="AGD31" s="16"/>
      <c r="AGE31" s="16"/>
      <c r="AGF31" s="16"/>
      <c r="AGG31" s="16"/>
      <c r="AGH31" s="16"/>
      <c r="AGI31" s="16"/>
      <c r="AGJ31" s="16"/>
    </row>
    <row r="32" spans="1:868" s="6" customFormat="1">
      <c r="A32" s="151" t="s">
        <v>402</v>
      </c>
      <c r="B32" s="34" t="s">
        <v>286</v>
      </c>
      <c r="C32" s="1084" t="s">
        <v>139</v>
      </c>
      <c r="D32" s="34" t="s">
        <v>139</v>
      </c>
      <c r="E32" s="257">
        <v>0.28601252609603334</v>
      </c>
      <c r="F32" s="232">
        <v>2</v>
      </c>
      <c r="G32" s="1084" t="s">
        <v>296</v>
      </c>
      <c r="H32" s="29">
        <v>2</v>
      </c>
      <c r="I32" s="1083"/>
      <c r="J32" s="1083">
        <v>2</v>
      </c>
      <c r="K32" s="1083">
        <v>3</v>
      </c>
      <c r="L32" s="1083">
        <v>3</v>
      </c>
      <c r="M32" s="1083">
        <v>1</v>
      </c>
      <c r="N32" s="1082">
        <f t="shared" si="1"/>
        <v>0.51126068492676302</v>
      </c>
      <c r="O32" s="159" t="str">
        <f t="shared" si="2"/>
        <v/>
      </c>
      <c r="P32" s="63" t="s">
        <v>413</v>
      </c>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c r="ZZ32" s="16"/>
      <c r="AAA32" s="16"/>
      <c r="AAB32" s="16"/>
      <c r="AAC32" s="16"/>
      <c r="AAD32" s="16"/>
      <c r="AAE32" s="16"/>
      <c r="AAF32" s="16"/>
      <c r="AAG32" s="16"/>
      <c r="AAH32" s="16"/>
      <c r="AAI32" s="16"/>
      <c r="AAJ32" s="16"/>
      <c r="AAK32" s="16"/>
      <c r="AAL32" s="16"/>
      <c r="AAM32" s="16"/>
      <c r="AAN32" s="16"/>
      <c r="AAO32" s="16"/>
      <c r="AAP32" s="16"/>
      <c r="AAQ32" s="16"/>
      <c r="AAR32" s="16"/>
      <c r="AAS32" s="16"/>
      <c r="AAT32" s="16"/>
      <c r="AAU32" s="16"/>
      <c r="AAV32" s="16"/>
      <c r="AAW32" s="16"/>
      <c r="AAX32" s="16"/>
      <c r="AAY32" s="16"/>
      <c r="AAZ32" s="16"/>
      <c r="ABA32" s="16"/>
      <c r="ABB32" s="16"/>
      <c r="ABC32" s="16"/>
      <c r="ABD32" s="16"/>
      <c r="ABE32" s="16"/>
      <c r="ABF32" s="16"/>
      <c r="ABG32" s="16"/>
      <c r="ABH32" s="16"/>
      <c r="ABI32" s="16"/>
      <c r="ABJ32" s="16"/>
      <c r="ABK32" s="16"/>
      <c r="ABL32" s="16"/>
      <c r="ABM32" s="16"/>
      <c r="ABN32" s="16"/>
      <c r="ABO32" s="16"/>
      <c r="ABP32" s="16"/>
      <c r="ABQ32" s="16"/>
      <c r="ABR32" s="16"/>
      <c r="ABS32" s="16"/>
      <c r="ABT32" s="16"/>
      <c r="ABU32" s="16"/>
      <c r="ABV32" s="16"/>
      <c r="ABW32" s="16"/>
      <c r="ABX32" s="16"/>
      <c r="ABY32" s="16"/>
      <c r="ABZ32" s="16"/>
      <c r="ACA32" s="16"/>
      <c r="ACB32" s="16"/>
      <c r="ACC32" s="16"/>
      <c r="ACD32" s="16"/>
      <c r="ACE32" s="16"/>
      <c r="ACF32" s="16"/>
      <c r="ACG32" s="16"/>
      <c r="ACH32" s="16"/>
      <c r="ACI32" s="16"/>
      <c r="ACJ32" s="16"/>
      <c r="ACK32" s="16"/>
      <c r="ACL32" s="16"/>
      <c r="ACM32" s="16"/>
      <c r="ACN32" s="16"/>
      <c r="ACO32" s="16"/>
      <c r="ACP32" s="16"/>
      <c r="ACQ32" s="16"/>
      <c r="ACR32" s="16"/>
      <c r="ACS32" s="16"/>
      <c r="ACT32" s="16"/>
      <c r="ACU32" s="16"/>
      <c r="ACV32" s="16"/>
      <c r="ACW32" s="16"/>
      <c r="ACX32" s="16"/>
      <c r="ACY32" s="16"/>
      <c r="ACZ32" s="16"/>
      <c r="ADA32" s="16"/>
      <c r="ADB32" s="16"/>
      <c r="ADC32" s="16"/>
      <c r="ADD32" s="16"/>
      <c r="ADE32" s="16"/>
      <c r="ADF32" s="16"/>
      <c r="ADG32" s="16"/>
      <c r="ADH32" s="16"/>
      <c r="ADI32" s="16"/>
      <c r="ADJ32" s="16"/>
      <c r="ADK32" s="16"/>
      <c r="ADL32" s="16"/>
      <c r="ADM32" s="16"/>
      <c r="ADN32" s="16"/>
      <c r="ADO32" s="16"/>
      <c r="ADP32" s="16"/>
      <c r="ADQ32" s="16"/>
      <c r="ADR32" s="16"/>
      <c r="ADS32" s="16"/>
      <c r="ADT32" s="16"/>
      <c r="ADU32" s="16"/>
      <c r="ADV32" s="16"/>
      <c r="ADW32" s="16"/>
      <c r="ADX32" s="16"/>
      <c r="ADY32" s="16"/>
      <c r="ADZ32" s="16"/>
      <c r="AEA32" s="16"/>
      <c r="AEB32" s="16"/>
      <c r="AEC32" s="16"/>
      <c r="AED32" s="16"/>
      <c r="AEE32" s="16"/>
      <c r="AEF32" s="16"/>
      <c r="AEG32" s="16"/>
      <c r="AEH32" s="16"/>
      <c r="AEI32" s="16"/>
      <c r="AEJ32" s="16"/>
      <c r="AEK32" s="16"/>
      <c r="AEL32" s="16"/>
      <c r="AEM32" s="16"/>
      <c r="AEN32" s="16"/>
      <c r="AEO32" s="16"/>
      <c r="AEP32" s="16"/>
      <c r="AEQ32" s="16"/>
      <c r="AER32" s="16"/>
      <c r="AES32" s="16"/>
      <c r="AET32" s="16"/>
      <c r="AEU32" s="16"/>
      <c r="AEV32" s="16"/>
      <c r="AEW32" s="16"/>
      <c r="AEX32" s="16"/>
      <c r="AEY32" s="16"/>
      <c r="AEZ32" s="16"/>
      <c r="AFA32" s="16"/>
      <c r="AFB32" s="16"/>
      <c r="AFC32" s="16"/>
      <c r="AFD32" s="16"/>
      <c r="AFE32" s="16"/>
      <c r="AFF32" s="16"/>
      <c r="AFG32" s="16"/>
      <c r="AFH32" s="16"/>
      <c r="AFI32" s="16"/>
      <c r="AFJ32" s="16"/>
      <c r="AFK32" s="16"/>
      <c r="AFL32" s="16"/>
      <c r="AFM32" s="16"/>
      <c r="AFN32" s="16"/>
      <c r="AFO32" s="16"/>
      <c r="AFP32" s="16"/>
      <c r="AFQ32" s="16"/>
      <c r="AFR32" s="16"/>
      <c r="AFS32" s="16"/>
      <c r="AFT32" s="16"/>
      <c r="AFU32" s="16"/>
      <c r="AFV32" s="16"/>
      <c r="AFW32" s="16"/>
      <c r="AFX32" s="16"/>
      <c r="AFY32" s="16"/>
      <c r="AFZ32" s="16"/>
      <c r="AGA32" s="16"/>
      <c r="AGB32" s="16"/>
      <c r="AGC32" s="16"/>
      <c r="AGD32" s="16"/>
      <c r="AGE32" s="16"/>
      <c r="AGF32" s="16"/>
      <c r="AGG32" s="16"/>
      <c r="AGH32" s="16"/>
      <c r="AGI32" s="16"/>
      <c r="AGJ32" s="16"/>
    </row>
    <row r="33" spans="1:868" s="6" customFormat="1">
      <c r="A33" s="151" t="s">
        <v>402</v>
      </c>
      <c r="B33" s="34" t="s">
        <v>286</v>
      </c>
      <c r="C33" s="1084" t="s">
        <v>139</v>
      </c>
      <c r="D33" s="34" t="s">
        <v>139</v>
      </c>
      <c r="E33" s="257">
        <v>0.81</v>
      </c>
      <c r="F33" s="232">
        <v>2</v>
      </c>
      <c r="G33" s="1084" t="s">
        <v>295</v>
      </c>
      <c r="H33" s="29">
        <v>1</v>
      </c>
      <c r="I33" s="1083"/>
      <c r="J33" s="1083">
        <v>2</v>
      </c>
      <c r="K33" s="1083">
        <v>3</v>
      </c>
      <c r="L33" s="1083">
        <v>3</v>
      </c>
      <c r="M33" s="1083">
        <v>1</v>
      </c>
      <c r="N33" s="1082">
        <f t="shared" si="1"/>
        <v>0.50042652380814845</v>
      </c>
      <c r="O33" s="159" t="str">
        <f t="shared" si="2"/>
        <v/>
      </c>
      <c r="P33" s="63"/>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c r="IX33" s="16"/>
      <c r="IY33" s="16"/>
      <c r="IZ33" s="16"/>
      <c r="JA33" s="16"/>
      <c r="JB33" s="16"/>
      <c r="JC33" s="16"/>
      <c r="JD33" s="16"/>
      <c r="JE33" s="16"/>
      <c r="JF33" s="16"/>
      <c r="JG33" s="16"/>
      <c r="JH33" s="16"/>
      <c r="JI33" s="16"/>
      <c r="JJ33" s="16"/>
      <c r="JK33" s="16"/>
      <c r="JL33" s="16"/>
      <c r="JM33" s="16"/>
      <c r="JN33" s="16"/>
      <c r="JO33" s="16"/>
      <c r="JP33" s="16"/>
      <c r="JQ33" s="16"/>
      <c r="JR33" s="16"/>
      <c r="JS33" s="16"/>
      <c r="JT33" s="16"/>
      <c r="JU33" s="16"/>
      <c r="JV33" s="16"/>
      <c r="JW33" s="16"/>
      <c r="JX33" s="16"/>
      <c r="JY33" s="16"/>
      <c r="JZ33" s="16"/>
      <c r="KA33" s="16"/>
      <c r="KB33" s="16"/>
      <c r="KC33" s="16"/>
      <c r="KD33" s="16"/>
      <c r="KE33" s="16"/>
      <c r="KF33" s="16"/>
      <c r="KG33" s="16"/>
      <c r="KH33" s="16"/>
      <c r="KI33" s="16"/>
      <c r="KJ33" s="16"/>
      <c r="KK33" s="16"/>
      <c r="KL33" s="16"/>
      <c r="KM33" s="16"/>
      <c r="KN33" s="16"/>
      <c r="KO33" s="16"/>
      <c r="KP33" s="16"/>
      <c r="KQ33" s="16"/>
      <c r="KR33" s="16"/>
      <c r="KS33" s="16"/>
      <c r="KT33" s="16"/>
      <c r="KU33" s="16"/>
      <c r="KV33" s="16"/>
      <c r="KW33" s="16"/>
      <c r="KX33" s="16"/>
      <c r="KY33" s="16"/>
      <c r="KZ33" s="16"/>
      <c r="LA33" s="16"/>
      <c r="LB33" s="16"/>
      <c r="LC33" s="16"/>
      <c r="LD33" s="16"/>
      <c r="LE33" s="16"/>
      <c r="LF33" s="16"/>
      <c r="LG33" s="16"/>
      <c r="LH33" s="16"/>
      <c r="LI33" s="16"/>
      <c r="LJ33" s="16"/>
      <c r="LK33" s="16"/>
      <c r="LL33" s="16"/>
      <c r="LM33" s="16"/>
      <c r="LN33" s="16"/>
      <c r="LO33" s="16"/>
      <c r="LP33" s="16"/>
      <c r="LQ33" s="16"/>
      <c r="LR33" s="16"/>
      <c r="LS33" s="16"/>
      <c r="LT33" s="16"/>
      <c r="LU33" s="16"/>
      <c r="LV33" s="16"/>
      <c r="LW33" s="16"/>
      <c r="LX33" s="16"/>
      <c r="LY33" s="16"/>
      <c r="LZ33" s="16"/>
      <c r="MA33" s="16"/>
      <c r="MB33" s="16"/>
      <c r="MC33" s="16"/>
      <c r="MD33" s="16"/>
      <c r="ME33" s="16"/>
      <c r="MF33" s="16"/>
      <c r="MG33" s="16"/>
      <c r="MH33" s="16"/>
      <c r="MI33" s="16"/>
      <c r="MJ33" s="16"/>
      <c r="MK33" s="16"/>
      <c r="ML33" s="16"/>
      <c r="MM33" s="16"/>
      <c r="MN33" s="16"/>
      <c r="MO33" s="16"/>
      <c r="MP33" s="16"/>
      <c r="MQ33" s="16"/>
      <c r="MR33" s="16"/>
      <c r="MS33" s="16"/>
      <c r="MT33" s="16"/>
      <c r="MU33" s="16"/>
      <c r="MV33" s="16"/>
      <c r="MW33" s="16"/>
      <c r="MX33" s="16"/>
      <c r="MY33" s="16"/>
      <c r="MZ33" s="16"/>
      <c r="NA33" s="16"/>
      <c r="NB33" s="16"/>
      <c r="NC33" s="16"/>
      <c r="ND33" s="16"/>
      <c r="NE33" s="16"/>
      <c r="NF33" s="16"/>
      <c r="NG33" s="16"/>
      <c r="NH33" s="16"/>
      <c r="NI33" s="16"/>
      <c r="NJ33" s="16"/>
      <c r="NK33" s="16"/>
      <c r="NL33" s="16"/>
      <c r="NM33" s="16"/>
      <c r="NN33" s="16"/>
      <c r="NO33" s="16"/>
      <c r="NP33" s="16"/>
      <c r="NQ33" s="16"/>
      <c r="NR33" s="16"/>
      <c r="NS33" s="16"/>
      <c r="NT33" s="16"/>
      <c r="NU33" s="16"/>
      <c r="NV33" s="16"/>
      <c r="NW33" s="16"/>
      <c r="NX33" s="16"/>
      <c r="NY33" s="16"/>
      <c r="NZ33" s="16"/>
      <c r="OA33" s="16"/>
      <c r="OB33" s="16"/>
      <c r="OC33" s="16"/>
      <c r="OD33" s="16"/>
      <c r="OE33" s="16"/>
      <c r="OF33" s="16"/>
      <c r="OG33" s="16"/>
      <c r="OH33" s="16"/>
      <c r="OI33" s="16"/>
      <c r="OJ33" s="16"/>
      <c r="OK33" s="16"/>
      <c r="OL33" s="16"/>
      <c r="OM33" s="16"/>
      <c r="ON33" s="16"/>
      <c r="OO33" s="16"/>
      <c r="OP33" s="16"/>
      <c r="OQ33" s="16"/>
      <c r="OR33" s="16"/>
      <c r="OS33" s="16"/>
      <c r="OT33" s="16"/>
      <c r="OU33" s="16"/>
      <c r="OV33" s="16"/>
      <c r="OW33" s="16"/>
      <c r="OX33" s="16"/>
      <c r="OY33" s="16"/>
      <c r="OZ33" s="16"/>
      <c r="PA33" s="16"/>
      <c r="PB33" s="16"/>
      <c r="PC33" s="16"/>
      <c r="PD33" s="16"/>
      <c r="PE33" s="16"/>
      <c r="PF33" s="16"/>
      <c r="PG33" s="16"/>
      <c r="PH33" s="16"/>
      <c r="PI33" s="16"/>
      <c r="PJ33" s="16"/>
      <c r="PK33" s="16"/>
      <c r="PL33" s="16"/>
      <c r="PM33" s="16"/>
      <c r="PN33" s="16"/>
      <c r="PO33" s="16"/>
      <c r="PP33" s="16"/>
      <c r="PQ33" s="16"/>
      <c r="PR33" s="16"/>
      <c r="PS33" s="16"/>
      <c r="PT33" s="16"/>
      <c r="PU33" s="16"/>
      <c r="PV33" s="16"/>
      <c r="PW33" s="16"/>
      <c r="PX33" s="16"/>
      <c r="PY33" s="16"/>
      <c r="PZ33" s="16"/>
      <c r="QA33" s="16"/>
      <c r="QB33" s="16"/>
      <c r="QC33" s="16"/>
      <c r="QD33" s="16"/>
      <c r="QE33" s="16"/>
      <c r="QF33" s="16"/>
      <c r="QG33" s="16"/>
      <c r="QH33" s="16"/>
      <c r="QI33" s="16"/>
      <c r="QJ33" s="16"/>
      <c r="QK33" s="16"/>
      <c r="QL33" s="16"/>
      <c r="QM33" s="16"/>
      <c r="QN33" s="16"/>
      <c r="QO33" s="16"/>
      <c r="QP33" s="16"/>
      <c r="QQ33" s="16"/>
      <c r="QR33" s="16"/>
      <c r="QS33" s="16"/>
      <c r="QT33" s="16"/>
      <c r="QU33" s="16"/>
      <c r="QV33" s="16"/>
      <c r="QW33" s="16"/>
      <c r="QX33" s="16"/>
      <c r="QY33" s="16"/>
      <c r="QZ33" s="16"/>
      <c r="RA33" s="16"/>
      <c r="RB33" s="16"/>
      <c r="RC33" s="16"/>
      <c r="RD33" s="16"/>
      <c r="RE33" s="16"/>
      <c r="RF33" s="16"/>
      <c r="RG33" s="16"/>
      <c r="RH33" s="16"/>
      <c r="RI33" s="16"/>
      <c r="RJ33" s="16"/>
      <c r="RK33" s="16"/>
      <c r="RL33" s="16"/>
      <c r="RM33" s="16"/>
      <c r="RN33" s="16"/>
      <c r="RO33" s="16"/>
      <c r="RP33" s="16"/>
      <c r="RQ33" s="16"/>
      <c r="RR33" s="16"/>
      <c r="RS33" s="16"/>
      <c r="RT33" s="16"/>
      <c r="RU33" s="16"/>
      <c r="RV33" s="16"/>
      <c r="RW33" s="16"/>
      <c r="RX33" s="16"/>
      <c r="RY33" s="16"/>
      <c r="RZ33" s="16"/>
      <c r="SA33" s="16"/>
      <c r="SB33" s="16"/>
      <c r="SC33" s="16"/>
      <c r="SD33" s="16"/>
      <c r="SE33" s="16"/>
      <c r="SF33" s="16"/>
      <c r="SG33" s="16"/>
      <c r="SH33" s="16"/>
      <c r="SI33" s="16"/>
      <c r="SJ33" s="16"/>
      <c r="SK33" s="16"/>
      <c r="SL33" s="16"/>
      <c r="SM33" s="16"/>
      <c r="SN33" s="16"/>
      <c r="SO33" s="16"/>
      <c r="SP33" s="16"/>
      <c r="SQ33" s="16"/>
      <c r="SR33" s="16"/>
      <c r="SS33" s="16"/>
      <c r="ST33" s="16"/>
      <c r="SU33" s="16"/>
      <c r="SV33" s="16"/>
      <c r="SW33" s="16"/>
      <c r="SX33" s="16"/>
      <c r="SY33" s="16"/>
      <c r="SZ33" s="16"/>
      <c r="TA33" s="16"/>
      <c r="TB33" s="16"/>
      <c r="TC33" s="16"/>
      <c r="TD33" s="16"/>
      <c r="TE33" s="16"/>
      <c r="TF33" s="16"/>
      <c r="TG33" s="16"/>
      <c r="TH33" s="16"/>
      <c r="TI33" s="16"/>
      <c r="TJ33" s="16"/>
      <c r="TK33" s="16"/>
      <c r="TL33" s="16"/>
      <c r="TM33" s="16"/>
      <c r="TN33" s="16"/>
      <c r="TO33" s="16"/>
      <c r="TP33" s="16"/>
      <c r="TQ33" s="16"/>
      <c r="TR33" s="16"/>
      <c r="TS33" s="16"/>
      <c r="TT33" s="16"/>
      <c r="TU33" s="16"/>
      <c r="TV33" s="16"/>
      <c r="TW33" s="16"/>
      <c r="TX33" s="16"/>
      <c r="TY33" s="16"/>
      <c r="TZ33" s="16"/>
      <c r="UA33" s="16"/>
      <c r="UB33" s="16"/>
      <c r="UC33" s="16"/>
      <c r="UD33" s="16"/>
      <c r="UE33" s="16"/>
      <c r="UF33" s="16"/>
      <c r="UG33" s="16"/>
      <c r="UH33" s="16"/>
      <c r="UI33" s="16"/>
      <c r="UJ33" s="16"/>
      <c r="UK33" s="16"/>
      <c r="UL33" s="16"/>
      <c r="UM33" s="16"/>
      <c r="UN33" s="16"/>
      <c r="UO33" s="16"/>
      <c r="UP33" s="16"/>
      <c r="UQ33" s="16"/>
      <c r="UR33" s="16"/>
      <c r="US33" s="16"/>
      <c r="UT33" s="16"/>
      <c r="UU33" s="16"/>
      <c r="UV33" s="16"/>
      <c r="UW33" s="16"/>
      <c r="UX33" s="16"/>
      <c r="UY33" s="16"/>
      <c r="UZ33" s="16"/>
      <c r="VA33" s="16"/>
      <c r="VB33" s="16"/>
      <c r="VC33" s="16"/>
      <c r="VD33" s="16"/>
      <c r="VE33" s="16"/>
      <c r="VF33" s="16"/>
      <c r="VG33" s="16"/>
      <c r="VH33" s="16"/>
      <c r="VI33" s="16"/>
      <c r="VJ33" s="16"/>
      <c r="VK33" s="16"/>
      <c r="VL33" s="16"/>
      <c r="VM33" s="16"/>
      <c r="VN33" s="16"/>
      <c r="VO33" s="16"/>
      <c r="VP33" s="16"/>
      <c r="VQ33" s="16"/>
      <c r="VR33" s="16"/>
      <c r="VS33" s="16"/>
      <c r="VT33" s="16"/>
      <c r="VU33" s="16"/>
      <c r="VV33" s="16"/>
      <c r="VW33" s="16"/>
      <c r="VX33" s="16"/>
      <c r="VY33" s="16"/>
      <c r="VZ33" s="16"/>
      <c r="WA33" s="16"/>
      <c r="WB33" s="16"/>
      <c r="WC33" s="16"/>
      <c r="WD33" s="16"/>
      <c r="WE33" s="16"/>
      <c r="WF33" s="16"/>
      <c r="WG33" s="16"/>
      <c r="WH33" s="16"/>
      <c r="WI33" s="16"/>
      <c r="WJ33" s="16"/>
      <c r="WK33" s="16"/>
      <c r="WL33" s="16"/>
      <c r="WM33" s="16"/>
      <c r="WN33" s="16"/>
      <c r="WO33" s="16"/>
      <c r="WP33" s="16"/>
      <c r="WQ33" s="16"/>
      <c r="WR33" s="16"/>
      <c r="WS33" s="16"/>
      <c r="WT33" s="16"/>
      <c r="WU33" s="16"/>
      <c r="WV33" s="16"/>
      <c r="WW33" s="16"/>
      <c r="WX33" s="16"/>
      <c r="WY33" s="16"/>
      <c r="WZ33" s="16"/>
      <c r="XA33" s="16"/>
      <c r="XB33" s="16"/>
      <c r="XC33" s="16"/>
      <c r="XD33" s="16"/>
      <c r="XE33" s="16"/>
      <c r="XF33" s="16"/>
      <c r="XG33" s="16"/>
      <c r="XH33" s="16"/>
      <c r="XI33" s="16"/>
      <c r="XJ33" s="16"/>
      <c r="XK33" s="16"/>
      <c r="XL33" s="16"/>
      <c r="XM33" s="16"/>
      <c r="XN33" s="16"/>
      <c r="XO33" s="16"/>
      <c r="XP33" s="16"/>
      <c r="XQ33" s="16"/>
      <c r="XR33" s="16"/>
      <c r="XS33" s="16"/>
      <c r="XT33" s="16"/>
      <c r="XU33" s="16"/>
      <c r="XV33" s="16"/>
      <c r="XW33" s="16"/>
      <c r="XX33" s="16"/>
      <c r="XY33" s="16"/>
      <c r="XZ33" s="16"/>
      <c r="YA33" s="16"/>
      <c r="YB33" s="16"/>
      <c r="YC33" s="16"/>
      <c r="YD33" s="16"/>
      <c r="YE33" s="16"/>
      <c r="YF33" s="16"/>
      <c r="YG33" s="16"/>
      <c r="YH33" s="16"/>
      <c r="YI33" s="16"/>
      <c r="YJ33" s="16"/>
      <c r="YK33" s="16"/>
      <c r="YL33" s="16"/>
      <c r="YM33" s="16"/>
      <c r="YN33" s="16"/>
      <c r="YO33" s="16"/>
      <c r="YP33" s="16"/>
      <c r="YQ33" s="16"/>
      <c r="YR33" s="16"/>
      <c r="YS33" s="16"/>
      <c r="YT33" s="16"/>
      <c r="YU33" s="16"/>
      <c r="YV33" s="16"/>
      <c r="YW33" s="16"/>
      <c r="YX33" s="16"/>
      <c r="YY33" s="16"/>
      <c r="YZ33" s="16"/>
      <c r="ZA33" s="16"/>
      <c r="ZB33" s="16"/>
      <c r="ZC33" s="16"/>
      <c r="ZD33" s="16"/>
      <c r="ZE33" s="16"/>
      <c r="ZF33" s="16"/>
      <c r="ZG33" s="16"/>
      <c r="ZH33" s="16"/>
      <c r="ZI33" s="16"/>
      <c r="ZJ33" s="16"/>
      <c r="ZK33" s="16"/>
      <c r="ZL33" s="16"/>
      <c r="ZM33" s="16"/>
      <c r="ZN33" s="16"/>
      <c r="ZO33" s="16"/>
      <c r="ZP33" s="16"/>
      <c r="ZQ33" s="16"/>
      <c r="ZR33" s="16"/>
      <c r="ZS33" s="16"/>
      <c r="ZT33" s="16"/>
      <c r="ZU33" s="16"/>
      <c r="ZV33" s="16"/>
      <c r="ZW33" s="16"/>
      <c r="ZX33" s="16"/>
      <c r="ZY33" s="16"/>
      <c r="ZZ33" s="16"/>
      <c r="AAA33" s="16"/>
      <c r="AAB33" s="16"/>
      <c r="AAC33" s="16"/>
      <c r="AAD33" s="16"/>
      <c r="AAE33" s="16"/>
      <c r="AAF33" s="16"/>
      <c r="AAG33" s="16"/>
      <c r="AAH33" s="16"/>
      <c r="AAI33" s="16"/>
      <c r="AAJ33" s="16"/>
      <c r="AAK33" s="16"/>
      <c r="AAL33" s="16"/>
      <c r="AAM33" s="16"/>
      <c r="AAN33" s="16"/>
      <c r="AAO33" s="16"/>
      <c r="AAP33" s="16"/>
      <c r="AAQ33" s="16"/>
      <c r="AAR33" s="16"/>
      <c r="AAS33" s="16"/>
      <c r="AAT33" s="16"/>
      <c r="AAU33" s="16"/>
      <c r="AAV33" s="16"/>
      <c r="AAW33" s="16"/>
      <c r="AAX33" s="16"/>
      <c r="AAY33" s="16"/>
      <c r="AAZ33" s="16"/>
      <c r="ABA33" s="16"/>
      <c r="ABB33" s="16"/>
      <c r="ABC33" s="16"/>
      <c r="ABD33" s="16"/>
      <c r="ABE33" s="16"/>
      <c r="ABF33" s="16"/>
      <c r="ABG33" s="16"/>
      <c r="ABH33" s="16"/>
      <c r="ABI33" s="16"/>
      <c r="ABJ33" s="16"/>
      <c r="ABK33" s="16"/>
      <c r="ABL33" s="16"/>
      <c r="ABM33" s="16"/>
      <c r="ABN33" s="16"/>
      <c r="ABO33" s="16"/>
      <c r="ABP33" s="16"/>
      <c r="ABQ33" s="16"/>
      <c r="ABR33" s="16"/>
      <c r="ABS33" s="16"/>
      <c r="ABT33" s="16"/>
      <c r="ABU33" s="16"/>
      <c r="ABV33" s="16"/>
      <c r="ABW33" s="16"/>
      <c r="ABX33" s="16"/>
      <c r="ABY33" s="16"/>
      <c r="ABZ33" s="16"/>
      <c r="ACA33" s="16"/>
      <c r="ACB33" s="16"/>
      <c r="ACC33" s="16"/>
      <c r="ACD33" s="16"/>
      <c r="ACE33" s="16"/>
      <c r="ACF33" s="16"/>
      <c r="ACG33" s="16"/>
      <c r="ACH33" s="16"/>
      <c r="ACI33" s="16"/>
      <c r="ACJ33" s="16"/>
      <c r="ACK33" s="16"/>
      <c r="ACL33" s="16"/>
      <c r="ACM33" s="16"/>
      <c r="ACN33" s="16"/>
      <c r="ACO33" s="16"/>
      <c r="ACP33" s="16"/>
      <c r="ACQ33" s="16"/>
      <c r="ACR33" s="16"/>
      <c r="ACS33" s="16"/>
      <c r="ACT33" s="16"/>
      <c r="ACU33" s="16"/>
      <c r="ACV33" s="16"/>
      <c r="ACW33" s="16"/>
      <c r="ACX33" s="16"/>
      <c r="ACY33" s="16"/>
      <c r="ACZ33" s="16"/>
      <c r="ADA33" s="16"/>
      <c r="ADB33" s="16"/>
      <c r="ADC33" s="16"/>
      <c r="ADD33" s="16"/>
      <c r="ADE33" s="16"/>
      <c r="ADF33" s="16"/>
      <c r="ADG33" s="16"/>
      <c r="ADH33" s="16"/>
      <c r="ADI33" s="16"/>
      <c r="ADJ33" s="16"/>
      <c r="ADK33" s="16"/>
      <c r="ADL33" s="16"/>
      <c r="ADM33" s="16"/>
      <c r="ADN33" s="16"/>
      <c r="ADO33" s="16"/>
      <c r="ADP33" s="16"/>
      <c r="ADQ33" s="16"/>
      <c r="ADR33" s="16"/>
      <c r="ADS33" s="16"/>
      <c r="ADT33" s="16"/>
      <c r="ADU33" s="16"/>
      <c r="ADV33" s="16"/>
      <c r="ADW33" s="16"/>
      <c r="ADX33" s="16"/>
      <c r="ADY33" s="16"/>
      <c r="ADZ33" s="16"/>
      <c r="AEA33" s="16"/>
      <c r="AEB33" s="16"/>
      <c r="AEC33" s="16"/>
      <c r="AED33" s="16"/>
      <c r="AEE33" s="16"/>
      <c r="AEF33" s="16"/>
      <c r="AEG33" s="16"/>
      <c r="AEH33" s="16"/>
      <c r="AEI33" s="16"/>
      <c r="AEJ33" s="16"/>
      <c r="AEK33" s="16"/>
      <c r="AEL33" s="16"/>
      <c r="AEM33" s="16"/>
      <c r="AEN33" s="16"/>
      <c r="AEO33" s="16"/>
      <c r="AEP33" s="16"/>
      <c r="AEQ33" s="16"/>
      <c r="AER33" s="16"/>
      <c r="AES33" s="16"/>
      <c r="AET33" s="16"/>
      <c r="AEU33" s="16"/>
      <c r="AEV33" s="16"/>
      <c r="AEW33" s="16"/>
      <c r="AEX33" s="16"/>
      <c r="AEY33" s="16"/>
      <c r="AEZ33" s="16"/>
      <c r="AFA33" s="16"/>
      <c r="AFB33" s="16"/>
      <c r="AFC33" s="16"/>
      <c r="AFD33" s="16"/>
      <c r="AFE33" s="16"/>
      <c r="AFF33" s="16"/>
      <c r="AFG33" s="16"/>
      <c r="AFH33" s="16"/>
      <c r="AFI33" s="16"/>
      <c r="AFJ33" s="16"/>
      <c r="AFK33" s="16"/>
      <c r="AFL33" s="16"/>
      <c r="AFM33" s="16"/>
      <c r="AFN33" s="16"/>
      <c r="AFO33" s="16"/>
      <c r="AFP33" s="16"/>
      <c r="AFQ33" s="16"/>
      <c r="AFR33" s="16"/>
      <c r="AFS33" s="16"/>
      <c r="AFT33" s="16"/>
      <c r="AFU33" s="16"/>
      <c r="AFV33" s="16"/>
      <c r="AFW33" s="16"/>
      <c r="AFX33" s="16"/>
      <c r="AFY33" s="16"/>
      <c r="AFZ33" s="16"/>
      <c r="AGA33" s="16"/>
      <c r="AGB33" s="16"/>
      <c r="AGC33" s="16"/>
      <c r="AGD33" s="16"/>
      <c r="AGE33" s="16"/>
      <c r="AGF33" s="16"/>
      <c r="AGG33" s="16"/>
      <c r="AGH33" s="16"/>
      <c r="AGI33" s="16"/>
      <c r="AGJ33" s="16"/>
    </row>
    <row r="34" spans="1:868" s="6" customFormat="1">
      <c r="A34" s="151" t="s">
        <v>386</v>
      </c>
      <c r="B34" s="34" t="s">
        <v>258</v>
      </c>
      <c r="C34" s="1084" t="s">
        <v>139</v>
      </c>
      <c r="D34" s="34" t="s">
        <v>139</v>
      </c>
      <c r="E34" s="257">
        <v>0</v>
      </c>
      <c r="F34" s="232">
        <v>2</v>
      </c>
      <c r="G34" s="1084" t="s">
        <v>419</v>
      </c>
      <c r="H34" s="29"/>
      <c r="I34" s="1083"/>
      <c r="J34" s="1083"/>
      <c r="K34" s="1083"/>
      <c r="L34" s="1083"/>
      <c r="M34" s="1083"/>
      <c r="N34" s="1082" t="str">
        <f t="shared" si="1"/>
        <v/>
      </c>
      <c r="O34" s="159" t="str">
        <f t="shared" si="2"/>
        <v/>
      </c>
      <c r="P34" s="63" t="s">
        <v>401</v>
      </c>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row>
    <row r="35" spans="1:868" s="6" customFormat="1">
      <c r="A35" s="151" t="s">
        <v>402</v>
      </c>
      <c r="B35" s="34" t="s">
        <v>258</v>
      </c>
      <c r="C35" s="1084" t="s">
        <v>139</v>
      </c>
      <c r="D35" s="34" t="s">
        <v>139</v>
      </c>
      <c r="E35" s="257">
        <v>0</v>
      </c>
      <c r="F35" s="232">
        <v>2</v>
      </c>
      <c r="G35" s="1084" t="s">
        <v>419</v>
      </c>
      <c r="H35" s="29"/>
      <c r="I35" s="1083"/>
      <c r="J35" s="1083"/>
      <c r="K35" s="1083"/>
      <c r="L35" s="1083"/>
      <c r="M35" s="1083"/>
      <c r="N35" s="1082" t="str">
        <f t="shared" si="1"/>
        <v/>
      </c>
      <c r="O35" s="159" t="str">
        <f t="shared" si="2"/>
        <v/>
      </c>
      <c r="P35" s="63" t="s">
        <v>420</v>
      </c>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row>
    <row r="36" spans="1:868" s="6" customFormat="1">
      <c r="A36" s="151" t="s">
        <v>289</v>
      </c>
      <c r="B36" s="34" t="s">
        <v>258</v>
      </c>
      <c r="C36" s="1084" t="s">
        <v>139</v>
      </c>
      <c r="D36" s="34" t="s">
        <v>139</v>
      </c>
      <c r="E36" s="257" t="s">
        <v>150</v>
      </c>
      <c r="F36" s="232">
        <v>1</v>
      </c>
      <c r="G36" s="1084"/>
      <c r="H36" s="29"/>
      <c r="I36" s="1083"/>
      <c r="J36" s="1083"/>
      <c r="K36" s="1083"/>
      <c r="L36" s="1083"/>
      <c r="M36" s="1083"/>
      <c r="N36" s="1082" t="str">
        <f t="shared" si="1"/>
        <v/>
      </c>
      <c r="O36" s="159" t="str">
        <f t="shared" si="2"/>
        <v/>
      </c>
      <c r="P36" s="63"/>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6"/>
      <c r="HI36" s="16"/>
      <c r="HJ36" s="16"/>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16"/>
      <c r="IU36" s="16"/>
      <c r="IV36" s="16"/>
      <c r="IW36" s="16"/>
      <c r="IX36" s="16"/>
      <c r="IY36" s="16"/>
      <c r="IZ36" s="16"/>
      <c r="JA36" s="16"/>
      <c r="JB36" s="16"/>
      <c r="JC36" s="16"/>
      <c r="JD36" s="16"/>
      <c r="JE36" s="16"/>
      <c r="JF36" s="16"/>
      <c r="JG36" s="16"/>
      <c r="JH36" s="16"/>
      <c r="JI36" s="16"/>
      <c r="JJ36" s="16"/>
      <c r="JK36" s="16"/>
      <c r="JL36" s="16"/>
      <c r="JM36" s="16"/>
      <c r="JN36" s="16"/>
      <c r="JO36" s="16"/>
      <c r="JP36" s="16"/>
      <c r="JQ36" s="16"/>
      <c r="JR36" s="16"/>
      <c r="JS36" s="16"/>
      <c r="JT36" s="16"/>
      <c r="JU36" s="16"/>
      <c r="JV36" s="16"/>
      <c r="JW36" s="16"/>
      <c r="JX36" s="16"/>
      <c r="JY36" s="16"/>
      <c r="JZ36" s="16"/>
      <c r="KA36" s="16"/>
      <c r="KB36" s="16"/>
      <c r="KC36" s="16"/>
      <c r="KD36" s="16"/>
      <c r="KE36" s="16"/>
      <c r="KF36" s="16"/>
      <c r="KG36" s="16"/>
      <c r="KH36" s="16"/>
      <c r="KI36" s="16"/>
      <c r="KJ36" s="16"/>
      <c r="KK36" s="16"/>
      <c r="KL36" s="16"/>
      <c r="KM36" s="16"/>
      <c r="KN36" s="16"/>
      <c r="KO36" s="16"/>
      <c r="KP36" s="16"/>
      <c r="KQ36" s="16"/>
      <c r="KR36" s="16"/>
      <c r="KS36" s="16"/>
      <c r="KT36" s="16"/>
      <c r="KU36" s="16"/>
      <c r="KV36" s="16"/>
      <c r="KW36" s="16"/>
      <c r="KX36" s="16"/>
      <c r="KY36" s="16"/>
      <c r="KZ36" s="16"/>
      <c r="LA36" s="16"/>
      <c r="LB36" s="16"/>
      <c r="LC36" s="16"/>
      <c r="LD36" s="16"/>
      <c r="LE36" s="16"/>
      <c r="LF36" s="16"/>
      <c r="LG36" s="16"/>
      <c r="LH36" s="16"/>
      <c r="LI36" s="16"/>
      <c r="LJ36" s="16"/>
      <c r="LK36" s="16"/>
      <c r="LL36" s="16"/>
      <c r="LM36" s="16"/>
      <c r="LN36" s="16"/>
      <c r="LO36" s="16"/>
      <c r="LP36" s="16"/>
      <c r="LQ36" s="16"/>
      <c r="LR36" s="16"/>
      <c r="LS36" s="16"/>
      <c r="LT36" s="16"/>
      <c r="LU36" s="16"/>
      <c r="LV36" s="16"/>
      <c r="LW36" s="16"/>
      <c r="LX36" s="16"/>
      <c r="LY36" s="16"/>
      <c r="LZ36" s="16"/>
      <c r="MA36" s="16"/>
      <c r="MB36" s="16"/>
      <c r="MC36" s="16"/>
      <c r="MD36" s="16"/>
      <c r="ME36" s="16"/>
      <c r="MF36" s="16"/>
      <c r="MG36" s="16"/>
      <c r="MH36" s="16"/>
      <c r="MI36" s="16"/>
      <c r="MJ36" s="16"/>
      <c r="MK36" s="16"/>
      <c r="ML36" s="16"/>
      <c r="MM36" s="16"/>
      <c r="MN36" s="16"/>
      <c r="MO36" s="16"/>
      <c r="MP36" s="16"/>
      <c r="MQ36" s="16"/>
      <c r="MR36" s="16"/>
      <c r="MS36" s="16"/>
      <c r="MT36" s="16"/>
      <c r="MU36" s="16"/>
      <c r="MV36" s="16"/>
      <c r="MW36" s="16"/>
      <c r="MX36" s="16"/>
      <c r="MY36" s="16"/>
      <c r="MZ36" s="16"/>
      <c r="NA36" s="16"/>
      <c r="NB36" s="16"/>
      <c r="NC36" s="16"/>
      <c r="ND36" s="16"/>
      <c r="NE36" s="16"/>
      <c r="NF36" s="16"/>
      <c r="NG36" s="16"/>
      <c r="NH36" s="16"/>
      <c r="NI36" s="16"/>
      <c r="NJ36" s="16"/>
      <c r="NK36" s="16"/>
      <c r="NL36" s="16"/>
      <c r="NM36" s="16"/>
      <c r="NN36" s="16"/>
      <c r="NO36" s="16"/>
      <c r="NP36" s="16"/>
      <c r="NQ36" s="16"/>
      <c r="NR36" s="16"/>
      <c r="NS36" s="16"/>
      <c r="NT36" s="16"/>
      <c r="NU36" s="16"/>
      <c r="NV36" s="16"/>
      <c r="NW36" s="16"/>
      <c r="NX36" s="16"/>
      <c r="NY36" s="16"/>
      <c r="NZ36" s="16"/>
      <c r="OA36" s="16"/>
      <c r="OB36" s="16"/>
      <c r="OC36" s="16"/>
      <c r="OD36" s="16"/>
      <c r="OE36" s="16"/>
      <c r="OF36" s="16"/>
      <c r="OG36" s="16"/>
      <c r="OH36" s="16"/>
      <c r="OI36" s="16"/>
      <c r="OJ36" s="16"/>
      <c r="OK36" s="16"/>
      <c r="OL36" s="16"/>
      <c r="OM36" s="16"/>
      <c r="ON36" s="16"/>
      <c r="OO36" s="16"/>
      <c r="OP36" s="16"/>
      <c r="OQ36" s="16"/>
      <c r="OR36" s="16"/>
      <c r="OS36" s="16"/>
      <c r="OT36" s="16"/>
      <c r="OU36" s="16"/>
      <c r="OV36" s="16"/>
      <c r="OW36" s="16"/>
      <c r="OX36" s="16"/>
      <c r="OY36" s="16"/>
      <c r="OZ36" s="16"/>
      <c r="PA36" s="16"/>
      <c r="PB36" s="16"/>
      <c r="PC36" s="16"/>
      <c r="PD36" s="16"/>
      <c r="PE36" s="16"/>
      <c r="PF36" s="16"/>
      <c r="PG36" s="16"/>
      <c r="PH36" s="16"/>
      <c r="PI36" s="16"/>
      <c r="PJ36" s="16"/>
      <c r="PK36" s="16"/>
      <c r="PL36" s="16"/>
      <c r="PM36" s="16"/>
      <c r="PN36" s="16"/>
      <c r="PO36" s="16"/>
      <c r="PP36" s="16"/>
      <c r="PQ36" s="16"/>
      <c r="PR36" s="16"/>
      <c r="PS36" s="16"/>
      <c r="PT36" s="16"/>
      <c r="PU36" s="16"/>
      <c r="PV36" s="16"/>
      <c r="PW36" s="16"/>
      <c r="PX36" s="16"/>
      <c r="PY36" s="16"/>
      <c r="PZ36" s="16"/>
      <c r="QA36" s="16"/>
      <c r="QB36" s="16"/>
      <c r="QC36" s="16"/>
      <c r="QD36" s="16"/>
      <c r="QE36" s="16"/>
      <c r="QF36" s="16"/>
      <c r="QG36" s="16"/>
      <c r="QH36" s="16"/>
      <c r="QI36" s="16"/>
      <c r="QJ36" s="16"/>
      <c r="QK36" s="16"/>
      <c r="QL36" s="16"/>
      <c r="QM36" s="16"/>
      <c r="QN36" s="16"/>
      <c r="QO36" s="16"/>
      <c r="QP36" s="16"/>
      <c r="QQ36" s="16"/>
      <c r="QR36" s="16"/>
      <c r="QS36" s="16"/>
      <c r="QT36" s="16"/>
      <c r="QU36" s="16"/>
      <c r="QV36" s="16"/>
      <c r="QW36" s="16"/>
      <c r="QX36" s="16"/>
      <c r="QY36" s="16"/>
      <c r="QZ36" s="16"/>
      <c r="RA36" s="16"/>
      <c r="RB36" s="16"/>
      <c r="RC36" s="16"/>
      <c r="RD36" s="16"/>
      <c r="RE36" s="16"/>
      <c r="RF36" s="16"/>
      <c r="RG36" s="16"/>
      <c r="RH36" s="16"/>
      <c r="RI36" s="16"/>
      <c r="RJ36" s="16"/>
      <c r="RK36" s="16"/>
      <c r="RL36" s="16"/>
      <c r="RM36" s="16"/>
      <c r="RN36" s="16"/>
      <c r="RO36" s="16"/>
      <c r="RP36" s="16"/>
      <c r="RQ36" s="16"/>
      <c r="RR36" s="16"/>
      <c r="RS36" s="16"/>
      <c r="RT36" s="16"/>
      <c r="RU36" s="16"/>
      <c r="RV36" s="16"/>
      <c r="RW36" s="16"/>
      <c r="RX36" s="16"/>
      <c r="RY36" s="16"/>
      <c r="RZ36" s="16"/>
      <c r="SA36" s="16"/>
      <c r="SB36" s="16"/>
      <c r="SC36" s="16"/>
      <c r="SD36" s="16"/>
      <c r="SE36" s="16"/>
      <c r="SF36" s="16"/>
      <c r="SG36" s="16"/>
      <c r="SH36" s="16"/>
      <c r="SI36" s="16"/>
      <c r="SJ36" s="16"/>
      <c r="SK36" s="16"/>
      <c r="SL36" s="16"/>
      <c r="SM36" s="16"/>
      <c r="SN36" s="16"/>
      <c r="SO36" s="16"/>
      <c r="SP36" s="16"/>
      <c r="SQ36" s="16"/>
      <c r="SR36" s="16"/>
      <c r="SS36" s="16"/>
      <c r="ST36" s="16"/>
      <c r="SU36" s="16"/>
      <c r="SV36" s="16"/>
      <c r="SW36" s="16"/>
      <c r="SX36" s="16"/>
      <c r="SY36" s="16"/>
      <c r="SZ36" s="16"/>
      <c r="TA36" s="16"/>
      <c r="TB36" s="16"/>
      <c r="TC36" s="16"/>
      <c r="TD36" s="16"/>
      <c r="TE36" s="16"/>
      <c r="TF36" s="16"/>
      <c r="TG36" s="16"/>
      <c r="TH36" s="16"/>
      <c r="TI36" s="16"/>
      <c r="TJ36" s="16"/>
      <c r="TK36" s="16"/>
      <c r="TL36" s="16"/>
      <c r="TM36" s="16"/>
      <c r="TN36" s="16"/>
      <c r="TO36" s="16"/>
      <c r="TP36" s="16"/>
      <c r="TQ36" s="16"/>
      <c r="TR36" s="16"/>
      <c r="TS36" s="16"/>
      <c r="TT36" s="16"/>
      <c r="TU36" s="16"/>
      <c r="TV36" s="16"/>
      <c r="TW36" s="16"/>
      <c r="TX36" s="16"/>
      <c r="TY36" s="16"/>
      <c r="TZ36" s="16"/>
      <c r="UA36" s="16"/>
      <c r="UB36" s="16"/>
      <c r="UC36" s="16"/>
      <c r="UD36" s="16"/>
      <c r="UE36" s="16"/>
      <c r="UF36" s="16"/>
      <c r="UG36" s="16"/>
      <c r="UH36" s="16"/>
      <c r="UI36" s="16"/>
      <c r="UJ36" s="16"/>
      <c r="UK36" s="16"/>
      <c r="UL36" s="16"/>
      <c r="UM36" s="16"/>
      <c r="UN36" s="16"/>
      <c r="UO36" s="16"/>
      <c r="UP36" s="16"/>
      <c r="UQ36" s="16"/>
      <c r="UR36" s="16"/>
      <c r="US36" s="16"/>
      <c r="UT36" s="16"/>
      <c r="UU36" s="16"/>
      <c r="UV36" s="16"/>
      <c r="UW36" s="16"/>
      <c r="UX36" s="16"/>
      <c r="UY36" s="16"/>
      <c r="UZ36" s="16"/>
      <c r="VA36" s="16"/>
      <c r="VB36" s="16"/>
      <c r="VC36" s="16"/>
      <c r="VD36" s="16"/>
      <c r="VE36" s="16"/>
      <c r="VF36" s="16"/>
      <c r="VG36" s="16"/>
      <c r="VH36" s="16"/>
      <c r="VI36" s="16"/>
      <c r="VJ36" s="16"/>
      <c r="VK36" s="16"/>
      <c r="VL36" s="16"/>
      <c r="VM36" s="16"/>
      <c r="VN36" s="16"/>
      <c r="VO36" s="16"/>
      <c r="VP36" s="16"/>
      <c r="VQ36" s="16"/>
      <c r="VR36" s="16"/>
      <c r="VS36" s="16"/>
      <c r="VT36" s="16"/>
      <c r="VU36" s="16"/>
      <c r="VV36" s="16"/>
      <c r="VW36" s="16"/>
      <c r="VX36" s="16"/>
      <c r="VY36" s="16"/>
      <c r="VZ36" s="16"/>
      <c r="WA36" s="16"/>
      <c r="WB36" s="16"/>
      <c r="WC36" s="16"/>
      <c r="WD36" s="16"/>
      <c r="WE36" s="16"/>
      <c r="WF36" s="16"/>
      <c r="WG36" s="16"/>
      <c r="WH36" s="16"/>
      <c r="WI36" s="16"/>
      <c r="WJ36" s="16"/>
      <c r="WK36" s="16"/>
      <c r="WL36" s="16"/>
      <c r="WM36" s="16"/>
      <c r="WN36" s="16"/>
      <c r="WO36" s="16"/>
      <c r="WP36" s="16"/>
      <c r="WQ36" s="16"/>
      <c r="WR36" s="16"/>
      <c r="WS36" s="16"/>
      <c r="WT36" s="16"/>
      <c r="WU36" s="16"/>
      <c r="WV36" s="16"/>
      <c r="WW36" s="16"/>
      <c r="WX36" s="16"/>
      <c r="WY36" s="16"/>
      <c r="WZ36" s="16"/>
      <c r="XA36" s="16"/>
      <c r="XB36" s="16"/>
      <c r="XC36" s="16"/>
      <c r="XD36" s="16"/>
      <c r="XE36" s="16"/>
      <c r="XF36" s="16"/>
      <c r="XG36" s="16"/>
      <c r="XH36" s="16"/>
      <c r="XI36" s="16"/>
      <c r="XJ36" s="16"/>
      <c r="XK36" s="16"/>
      <c r="XL36" s="16"/>
      <c r="XM36" s="16"/>
      <c r="XN36" s="16"/>
      <c r="XO36" s="16"/>
      <c r="XP36" s="16"/>
      <c r="XQ36" s="16"/>
      <c r="XR36" s="16"/>
      <c r="XS36" s="16"/>
      <c r="XT36" s="16"/>
      <c r="XU36" s="16"/>
      <c r="XV36" s="16"/>
      <c r="XW36" s="16"/>
      <c r="XX36" s="16"/>
      <c r="XY36" s="16"/>
      <c r="XZ36" s="16"/>
      <c r="YA36" s="16"/>
      <c r="YB36" s="16"/>
      <c r="YC36" s="16"/>
      <c r="YD36" s="16"/>
      <c r="YE36" s="16"/>
      <c r="YF36" s="16"/>
      <c r="YG36" s="16"/>
      <c r="YH36" s="16"/>
      <c r="YI36" s="16"/>
      <c r="YJ36" s="16"/>
      <c r="YK36" s="16"/>
      <c r="YL36" s="16"/>
      <c r="YM36" s="16"/>
      <c r="YN36" s="16"/>
      <c r="YO36" s="16"/>
      <c r="YP36" s="16"/>
      <c r="YQ36" s="16"/>
      <c r="YR36" s="16"/>
      <c r="YS36" s="16"/>
      <c r="YT36" s="16"/>
      <c r="YU36" s="16"/>
      <c r="YV36" s="16"/>
      <c r="YW36" s="16"/>
      <c r="YX36" s="16"/>
      <c r="YY36" s="16"/>
      <c r="YZ36" s="16"/>
      <c r="ZA36" s="16"/>
      <c r="ZB36" s="16"/>
      <c r="ZC36" s="16"/>
      <c r="ZD36" s="16"/>
      <c r="ZE36" s="16"/>
      <c r="ZF36" s="16"/>
      <c r="ZG36" s="16"/>
      <c r="ZH36" s="16"/>
      <c r="ZI36" s="16"/>
      <c r="ZJ36" s="16"/>
      <c r="ZK36" s="16"/>
      <c r="ZL36" s="16"/>
      <c r="ZM36" s="16"/>
      <c r="ZN36" s="16"/>
      <c r="ZO36" s="16"/>
      <c r="ZP36" s="16"/>
      <c r="ZQ36" s="16"/>
      <c r="ZR36" s="16"/>
      <c r="ZS36" s="16"/>
      <c r="ZT36" s="16"/>
      <c r="ZU36" s="16"/>
      <c r="ZV36" s="16"/>
      <c r="ZW36" s="16"/>
      <c r="ZX36" s="16"/>
      <c r="ZY36" s="16"/>
      <c r="ZZ36" s="16"/>
      <c r="AAA36" s="16"/>
      <c r="AAB36" s="16"/>
      <c r="AAC36" s="16"/>
      <c r="AAD36" s="16"/>
      <c r="AAE36" s="16"/>
      <c r="AAF36" s="16"/>
      <c r="AAG36" s="16"/>
      <c r="AAH36" s="16"/>
      <c r="AAI36" s="16"/>
      <c r="AAJ36" s="16"/>
      <c r="AAK36" s="16"/>
      <c r="AAL36" s="16"/>
      <c r="AAM36" s="16"/>
      <c r="AAN36" s="16"/>
      <c r="AAO36" s="16"/>
      <c r="AAP36" s="16"/>
      <c r="AAQ36" s="16"/>
      <c r="AAR36" s="16"/>
      <c r="AAS36" s="16"/>
      <c r="AAT36" s="16"/>
      <c r="AAU36" s="16"/>
      <c r="AAV36" s="16"/>
      <c r="AAW36" s="16"/>
      <c r="AAX36" s="16"/>
      <c r="AAY36" s="16"/>
      <c r="AAZ36" s="16"/>
      <c r="ABA36" s="16"/>
      <c r="ABB36" s="16"/>
      <c r="ABC36" s="16"/>
      <c r="ABD36" s="16"/>
      <c r="ABE36" s="16"/>
      <c r="ABF36" s="16"/>
      <c r="ABG36" s="16"/>
      <c r="ABH36" s="16"/>
      <c r="ABI36" s="16"/>
      <c r="ABJ36" s="16"/>
      <c r="ABK36" s="16"/>
      <c r="ABL36" s="16"/>
      <c r="ABM36" s="16"/>
      <c r="ABN36" s="16"/>
      <c r="ABO36" s="16"/>
      <c r="ABP36" s="16"/>
      <c r="ABQ36" s="16"/>
      <c r="ABR36" s="16"/>
      <c r="ABS36" s="16"/>
      <c r="ABT36" s="16"/>
      <c r="ABU36" s="16"/>
      <c r="ABV36" s="16"/>
      <c r="ABW36" s="16"/>
      <c r="ABX36" s="16"/>
      <c r="ABY36" s="16"/>
      <c r="ABZ36" s="16"/>
      <c r="ACA36" s="16"/>
      <c r="ACB36" s="16"/>
      <c r="ACC36" s="16"/>
      <c r="ACD36" s="16"/>
      <c r="ACE36" s="16"/>
      <c r="ACF36" s="16"/>
      <c r="ACG36" s="16"/>
      <c r="ACH36" s="16"/>
      <c r="ACI36" s="16"/>
      <c r="ACJ36" s="16"/>
      <c r="ACK36" s="16"/>
      <c r="ACL36" s="16"/>
      <c r="ACM36" s="16"/>
      <c r="ACN36" s="16"/>
      <c r="ACO36" s="16"/>
      <c r="ACP36" s="16"/>
      <c r="ACQ36" s="16"/>
      <c r="ACR36" s="16"/>
      <c r="ACS36" s="16"/>
      <c r="ACT36" s="16"/>
      <c r="ACU36" s="16"/>
      <c r="ACV36" s="16"/>
      <c r="ACW36" s="16"/>
      <c r="ACX36" s="16"/>
      <c r="ACY36" s="16"/>
      <c r="ACZ36" s="16"/>
      <c r="ADA36" s="16"/>
      <c r="ADB36" s="16"/>
      <c r="ADC36" s="16"/>
      <c r="ADD36" s="16"/>
      <c r="ADE36" s="16"/>
      <c r="ADF36" s="16"/>
      <c r="ADG36" s="16"/>
      <c r="ADH36" s="16"/>
      <c r="ADI36" s="16"/>
      <c r="ADJ36" s="16"/>
      <c r="ADK36" s="16"/>
      <c r="ADL36" s="16"/>
      <c r="ADM36" s="16"/>
      <c r="ADN36" s="16"/>
      <c r="ADO36" s="16"/>
      <c r="ADP36" s="16"/>
      <c r="ADQ36" s="16"/>
      <c r="ADR36" s="16"/>
      <c r="ADS36" s="16"/>
      <c r="ADT36" s="16"/>
      <c r="ADU36" s="16"/>
      <c r="ADV36" s="16"/>
      <c r="ADW36" s="16"/>
      <c r="ADX36" s="16"/>
      <c r="ADY36" s="16"/>
      <c r="ADZ36" s="16"/>
      <c r="AEA36" s="16"/>
      <c r="AEB36" s="16"/>
      <c r="AEC36" s="16"/>
      <c r="AED36" s="16"/>
      <c r="AEE36" s="16"/>
      <c r="AEF36" s="16"/>
      <c r="AEG36" s="16"/>
      <c r="AEH36" s="16"/>
      <c r="AEI36" s="16"/>
      <c r="AEJ36" s="16"/>
      <c r="AEK36" s="16"/>
      <c r="AEL36" s="16"/>
      <c r="AEM36" s="16"/>
      <c r="AEN36" s="16"/>
      <c r="AEO36" s="16"/>
      <c r="AEP36" s="16"/>
      <c r="AEQ36" s="16"/>
      <c r="AER36" s="16"/>
      <c r="AES36" s="16"/>
      <c r="AET36" s="16"/>
      <c r="AEU36" s="16"/>
      <c r="AEV36" s="16"/>
      <c r="AEW36" s="16"/>
      <c r="AEX36" s="16"/>
      <c r="AEY36" s="16"/>
      <c r="AEZ36" s="16"/>
      <c r="AFA36" s="16"/>
      <c r="AFB36" s="16"/>
      <c r="AFC36" s="16"/>
      <c r="AFD36" s="16"/>
      <c r="AFE36" s="16"/>
      <c r="AFF36" s="16"/>
      <c r="AFG36" s="16"/>
      <c r="AFH36" s="16"/>
      <c r="AFI36" s="16"/>
      <c r="AFJ36" s="16"/>
      <c r="AFK36" s="16"/>
      <c r="AFL36" s="16"/>
      <c r="AFM36" s="16"/>
      <c r="AFN36" s="16"/>
      <c r="AFO36" s="16"/>
      <c r="AFP36" s="16"/>
      <c r="AFQ36" s="16"/>
      <c r="AFR36" s="16"/>
      <c r="AFS36" s="16"/>
      <c r="AFT36" s="16"/>
      <c r="AFU36" s="16"/>
      <c r="AFV36" s="16"/>
      <c r="AFW36" s="16"/>
      <c r="AFX36" s="16"/>
      <c r="AFY36" s="16"/>
      <c r="AFZ36" s="16"/>
      <c r="AGA36" s="16"/>
      <c r="AGB36" s="16"/>
      <c r="AGC36" s="16"/>
      <c r="AGD36" s="16"/>
      <c r="AGE36" s="16"/>
      <c r="AGF36" s="16"/>
      <c r="AGG36" s="16"/>
      <c r="AGH36" s="16"/>
      <c r="AGI36" s="16"/>
      <c r="AGJ36" s="16"/>
    </row>
    <row r="37" spans="1:868" s="210" customFormat="1" ht="15.75" thickBot="1">
      <c r="A37" s="151" t="s">
        <v>402</v>
      </c>
      <c r="B37" s="34" t="s">
        <v>289</v>
      </c>
      <c r="C37" s="1084" t="s">
        <v>139</v>
      </c>
      <c r="D37" s="34" t="s">
        <v>139</v>
      </c>
      <c r="E37" s="257">
        <v>0</v>
      </c>
      <c r="F37" s="232">
        <v>2</v>
      </c>
      <c r="G37" s="1084" t="s">
        <v>419</v>
      </c>
      <c r="H37" s="29"/>
      <c r="I37" s="1083"/>
      <c r="J37" s="1083"/>
      <c r="K37" s="1083"/>
      <c r="L37" s="1083"/>
      <c r="M37" s="1083"/>
      <c r="N37" s="1082" t="str">
        <f t="shared" si="1"/>
        <v/>
      </c>
      <c r="O37" s="159" t="str">
        <f t="shared" si="2"/>
        <v/>
      </c>
      <c r="P37" s="63" t="s">
        <v>421</v>
      </c>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c r="MX37" s="16"/>
      <c r="MY37" s="16"/>
      <c r="MZ37" s="16"/>
      <c r="NA37" s="16"/>
      <c r="NB37" s="16"/>
      <c r="NC37" s="16"/>
      <c r="ND37" s="16"/>
      <c r="NE37" s="16"/>
      <c r="NF37" s="16"/>
      <c r="NG37" s="16"/>
      <c r="NH37" s="16"/>
      <c r="NI37" s="16"/>
      <c r="NJ37" s="16"/>
      <c r="NK37" s="16"/>
      <c r="NL37" s="16"/>
      <c r="NM37" s="16"/>
      <c r="NN37" s="16"/>
      <c r="NO37" s="16"/>
      <c r="NP37" s="16"/>
      <c r="NQ37" s="16"/>
      <c r="NR37" s="16"/>
      <c r="NS37" s="16"/>
      <c r="NT37" s="16"/>
      <c r="NU37" s="16"/>
      <c r="NV37" s="16"/>
      <c r="NW37" s="16"/>
      <c r="NX37" s="16"/>
      <c r="NY37" s="16"/>
      <c r="NZ37" s="16"/>
      <c r="OA37" s="16"/>
      <c r="OB37" s="16"/>
      <c r="OC37" s="16"/>
      <c r="OD37" s="16"/>
      <c r="OE37" s="16"/>
      <c r="OF37" s="16"/>
      <c r="OG37" s="16"/>
      <c r="OH37" s="16"/>
      <c r="OI37" s="16"/>
      <c r="OJ37" s="16"/>
      <c r="OK37" s="16"/>
      <c r="OL37" s="16"/>
      <c r="OM37" s="16"/>
      <c r="ON37" s="16"/>
      <c r="OO37" s="16"/>
      <c r="OP37" s="16"/>
      <c r="OQ37" s="16"/>
      <c r="OR37" s="16"/>
      <c r="OS37" s="16"/>
      <c r="OT37" s="16"/>
      <c r="OU37" s="16"/>
      <c r="OV37" s="16"/>
      <c r="OW37" s="16"/>
      <c r="OX37" s="16"/>
      <c r="OY37" s="16"/>
      <c r="OZ37" s="16"/>
      <c r="PA37" s="16"/>
      <c r="PB37" s="16"/>
      <c r="PC37" s="16"/>
      <c r="PD37" s="16"/>
      <c r="PE37" s="16"/>
      <c r="PF37" s="16"/>
      <c r="PG37" s="16"/>
      <c r="PH37" s="16"/>
      <c r="PI37" s="16"/>
      <c r="PJ37" s="16"/>
      <c r="PK37" s="16"/>
      <c r="PL37" s="16"/>
      <c r="PM37" s="16"/>
      <c r="PN37" s="16"/>
      <c r="PO37" s="16"/>
      <c r="PP37" s="16"/>
      <c r="PQ37" s="16"/>
      <c r="PR37" s="16"/>
      <c r="PS37" s="16"/>
      <c r="PT37" s="16"/>
      <c r="PU37" s="16"/>
      <c r="PV37" s="16"/>
      <c r="PW37" s="16"/>
      <c r="PX37" s="16"/>
      <c r="PY37" s="16"/>
      <c r="PZ37" s="16"/>
      <c r="QA37" s="16"/>
      <c r="QB37" s="16"/>
      <c r="QC37" s="16"/>
      <c r="QD37" s="16"/>
      <c r="QE37" s="16"/>
      <c r="QF37" s="16"/>
      <c r="QG37" s="16"/>
      <c r="QH37" s="16"/>
      <c r="QI37" s="16"/>
      <c r="QJ37" s="16"/>
      <c r="QK37" s="16"/>
      <c r="QL37" s="16"/>
      <c r="QM37" s="16"/>
      <c r="QN37" s="16"/>
      <c r="QO37" s="16"/>
      <c r="QP37" s="16"/>
      <c r="QQ37" s="16"/>
      <c r="QR37" s="16"/>
      <c r="QS37" s="16"/>
      <c r="QT37" s="16"/>
      <c r="QU37" s="16"/>
      <c r="QV37" s="16"/>
      <c r="QW37" s="16"/>
      <c r="QX37" s="16"/>
      <c r="QY37" s="16"/>
      <c r="QZ37" s="16"/>
      <c r="RA37" s="16"/>
      <c r="RB37" s="16"/>
      <c r="RC37" s="16"/>
      <c r="RD37" s="16"/>
      <c r="RE37" s="16"/>
      <c r="RF37" s="16"/>
      <c r="RG37" s="16"/>
      <c r="RH37" s="16"/>
      <c r="RI37" s="16"/>
      <c r="RJ37" s="16"/>
      <c r="RK37" s="16"/>
      <c r="RL37" s="16"/>
      <c r="RM37" s="16"/>
      <c r="RN37" s="16"/>
      <c r="RO37" s="16"/>
      <c r="RP37" s="16"/>
      <c r="RQ37" s="16"/>
      <c r="RR37" s="16"/>
      <c r="RS37" s="16"/>
      <c r="RT37" s="16"/>
      <c r="RU37" s="16"/>
      <c r="RV37" s="16"/>
      <c r="RW37" s="16"/>
      <c r="RX37" s="16"/>
      <c r="RY37" s="16"/>
      <c r="RZ37" s="16"/>
      <c r="SA37" s="16"/>
      <c r="SB37" s="16"/>
      <c r="SC37" s="16"/>
      <c r="SD37" s="16"/>
      <c r="SE37" s="16"/>
      <c r="SF37" s="16"/>
      <c r="SG37" s="16"/>
      <c r="SH37" s="16"/>
      <c r="SI37" s="16"/>
      <c r="SJ37" s="16"/>
      <c r="SK37" s="16"/>
      <c r="SL37" s="16"/>
      <c r="SM37" s="16"/>
      <c r="SN37" s="16"/>
      <c r="SO37" s="16"/>
      <c r="SP37" s="16"/>
      <c r="SQ37" s="16"/>
      <c r="SR37" s="16"/>
      <c r="SS37" s="16"/>
      <c r="ST37" s="16"/>
      <c r="SU37" s="16"/>
      <c r="SV37" s="16"/>
      <c r="SW37" s="16"/>
      <c r="SX37" s="16"/>
      <c r="SY37" s="16"/>
      <c r="SZ37" s="16"/>
      <c r="TA37" s="16"/>
      <c r="TB37" s="16"/>
      <c r="TC37" s="16"/>
      <c r="TD37" s="16"/>
      <c r="TE37" s="16"/>
      <c r="TF37" s="16"/>
      <c r="TG37" s="16"/>
      <c r="TH37" s="16"/>
      <c r="TI37" s="16"/>
      <c r="TJ37" s="16"/>
      <c r="TK37" s="16"/>
      <c r="TL37" s="16"/>
      <c r="TM37" s="16"/>
      <c r="TN37" s="16"/>
      <c r="TO37" s="16"/>
      <c r="TP37" s="16"/>
      <c r="TQ37" s="16"/>
      <c r="TR37" s="16"/>
      <c r="TS37" s="16"/>
      <c r="TT37" s="16"/>
      <c r="TU37" s="16"/>
      <c r="TV37" s="16"/>
      <c r="TW37" s="16"/>
      <c r="TX37" s="16"/>
      <c r="TY37" s="16"/>
      <c r="TZ37" s="16"/>
      <c r="UA37" s="16"/>
      <c r="UB37" s="16"/>
      <c r="UC37" s="16"/>
      <c r="UD37" s="16"/>
      <c r="UE37" s="16"/>
      <c r="UF37" s="16"/>
      <c r="UG37" s="16"/>
      <c r="UH37" s="16"/>
      <c r="UI37" s="16"/>
      <c r="UJ37" s="16"/>
      <c r="UK37" s="16"/>
      <c r="UL37" s="16"/>
      <c r="UM37" s="16"/>
      <c r="UN37" s="16"/>
      <c r="UO37" s="16"/>
      <c r="UP37" s="16"/>
      <c r="UQ37" s="16"/>
      <c r="UR37" s="16"/>
      <c r="US37" s="16"/>
      <c r="UT37" s="16"/>
      <c r="UU37" s="16"/>
      <c r="UV37" s="16"/>
      <c r="UW37" s="16"/>
      <c r="UX37" s="16"/>
      <c r="UY37" s="16"/>
      <c r="UZ37" s="16"/>
      <c r="VA37" s="16"/>
      <c r="VB37" s="16"/>
      <c r="VC37" s="16"/>
      <c r="VD37" s="16"/>
      <c r="VE37" s="16"/>
      <c r="VF37" s="16"/>
      <c r="VG37" s="16"/>
      <c r="VH37" s="16"/>
      <c r="VI37" s="16"/>
      <c r="VJ37" s="16"/>
      <c r="VK37" s="16"/>
      <c r="VL37" s="16"/>
      <c r="VM37" s="16"/>
      <c r="VN37" s="16"/>
      <c r="VO37" s="16"/>
      <c r="VP37" s="16"/>
      <c r="VQ37" s="16"/>
      <c r="VR37" s="16"/>
      <c r="VS37" s="16"/>
      <c r="VT37" s="16"/>
      <c r="VU37" s="16"/>
      <c r="VV37" s="16"/>
      <c r="VW37" s="16"/>
      <c r="VX37" s="16"/>
      <c r="VY37" s="16"/>
      <c r="VZ37" s="16"/>
      <c r="WA37" s="16"/>
      <c r="WB37" s="16"/>
      <c r="WC37" s="16"/>
      <c r="WD37" s="16"/>
      <c r="WE37" s="16"/>
      <c r="WF37" s="16"/>
      <c r="WG37" s="16"/>
      <c r="WH37" s="16"/>
      <c r="WI37" s="16"/>
      <c r="WJ37" s="16"/>
      <c r="WK37" s="16"/>
      <c r="WL37" s="16"/>
      <c r="WM37" s="16"/>
      <c r="WN37" s="16"/>
      <c r="WO37" s="16"/>
      <c r="WP37" s="16"/>
      <c r="WQ37" s="16"/>
      <c r="WR37" s="16"/>
      <c r="WS37" s="16"/>
      <c r="WT37" s="16"/>
      <c r="WU37" s="16"/>
      <c r="WV37" s="16"/>
      <c r="WW37" s="16"/>
      <c r="WX37" s="16"/>
      <c r="WY37" s="16"/>
      <c r="WZ37" s="16"/>
      <c r="XA37" s="16"/>
      <c r="XB37" s="16"/>
      <c r="XC37" s="16"/>
      <c r="XD37" s="16"/>
      <c r="XE37" s="16"/>
      <c r="XF37" s="16"/>
      <c r="XG37" s="16"/>
      <c r="XH37" s="16"/>
      <c r="XI37" s="16"/>
      <c r="XJ37" s="16"/>
      <c r="XK37" s="16"/>
      <c r="XL37" s="16"/>
      <c r="XM37" s="16"/>
      <c r="XN37" s="16"/>
      <c r="XO37" s="16"/>
      <c r="XP37" s="16"/>
      <c r="XQ37" s="16"/>
      <c r="XR37" s="16"/>
      <c r="XS37" s="16"/>
      <c r="XT37" s="16"/>
      <c r="XU37" s="16"/>
      <c r="XV37" s="16"/>
      <c r="XW37" s="16"/>
      <c r="XX37" s="16"/>
      <c r="XY37" s="16"/>
      <c r="XZ37" s="16"/>
      <c r="YA37" s="16"/>
      <c r="YB37" s="16"/>
      <c r="YC37" s="16"/>
      <c r="YD37" s="16"/>
      <c r="YE37" s="16"/>
      <c r="YF37" s="16"/>
      <c r="YG37" s="16"/>
      <c r="YH37" s="16"/>
      <c r="YI37" s="16"/>
      <c r="YJ37" s="16"/>
      <c r="YK37" s="16"/>
      <c r="YL37" s="16"/>
      <c r="YM37" s="16"/>
      <c r="YN37" s="16"/>
      <c r="YO37" s="16"/>
      <c r="YP37" s="16"/>
      <c r="YQ37" s="16"/>
      <c r="YR37" s="16"/>
      <c r="YS37" s="16"/>
      <c r="YT37" s="16"/>
      <c r="YU37" s="16"/>
      <c r="YV37" s="16"/>
      <c r="YW37" s="16"/>
      <c r="YX37" s="16"/>
      <c r="YY37" s="16"/>
      <c r="YZ37" s="16"/>
      <c r="ZA37" s="16"/>
      <c r="ZB37" s="16"/>
      <c r="ZC37" s="16"/>
      <c r="ZD37" s="16"/>
      <c r="ZE37" s="16"/>
      <c r="ZF37" s="16"/>
      <c r="ZG37" s="16"/>
      <c r="ZH37" s="16"/>
      <c r="ZI37" s="16"/>
      <c r="ZJ37" s="16"/>
      <c r="ZK37" s="16"/>
      <c r="ZL37" s="16"/>
      <c r="ZM37" s="16"/>
      <c r="ZN37" s="16"/>
      <c r="ZO37" s="16"/>
      <c r="ZP37" s="16"/>
      <c r="ZQ37" s="16"/>
      <c r="ZR37" s="16"/>
      <c r="ZS37" s="16"/>
      <c r="ZT37" s="16"/>
      <c r="ZU37" s="16"/>
      <c r="ZV37" s="16"/>
      <c r="ZW37" s="16"/>
      <c r="ZX37" s="16"/>
      <c r="ZY37" s="16"/>
      <c r="ZZ37" s="16"/>
      <c r="AAA37" s="16"/>
      <c r="AAB37" s="16"/>
      <c r="AAC37" s="16"/>
      <c r="AAD37" s="16"/>
      <c r="AAE37" s="16"/>
      <c r="AAF37" s="16"/>
      <c r="AAG37" s="16"/>
      <c r="AAH37" s="16"/>
      <c r="AAI37" s="16"/>
      <c r="AAJ37" s="16"/>
      <c r="AAK37" s="16"/>
      <c r="AAL37" s="16"/>
      <c r="AAM37" s="16"/>
      <c r="AAN37" s="16"/>
      <c r="AAO37" s="16"/>
      <c r="AAP37" s="16"/>
      <c r="AAQ37" s="16"/>
      <c r="AAR37" s="16"/>
      <c r="AAS37" s="16"/>
      <c r="AAT37" s="16"/>
      <c r="AAU37" s="16"/>
      <c r="AAV37" s="16"/>
      <c r="AAW37" s="16"/>
      <c r="AAX37" s="16"/>
      <c r="AAY37" s="16"/>
      <c r="AAZ37" s="16"/>
      <c r="ABA37" s="16"/>
      <c r="ABB37" s="16"/>
      <c r="ABC37" s="16"/>
      <c r="ABD37" s="16"/>
      <c r="ABE37" s="16"/>
      <c r="ABF37" s="16"/>
      <c r="ABG37" s="16"/>
      <c r="ABH37" s="16"/>
      <c r="ABI37" s="16"/>
      <c r="ABJ37" s="16"/>
      <c r="ABK37" s="16"/>
      <c r="ABL37" s="16"/>
      <c r="ABM37" s="16"/>
      <c r="ABN37" s="16"/>
      <c r="ABO37" s="16"/>
      <c r="ABP37" s="16"/>
      <c r="ABQ37" s="16"/>
      <c r="ABR37" s="16"/>
      <c r="ABS37" s="16"/>
      <c r="ABT37" s="16"/>
      <c r="ABU37" s="16"/>
      <c r="ABV37" s="16"/>
      <c r="ABW37" s="16"/>
      <c r="ABX37" s="16"/>
      <c r="ABY37" s="16"/>
      <c r="ABZ37" s="16"/>
      <c r="ACA37" s="16"/>
      <c r="ACB37" s="16"/>
      <c r="ACC37" s="16"/>
      <c r="ACD37" s="16"/>
      <c r="ACE37" s="16"/>
      <c r="ACF37" s="16"/>
      <c r="ACG37" s="16"/>
      <c r="ACH37" s="16"/>
      <c r="ACI37" s="16"/>
      <c r="ACJ37" s="16"/>
      <c r="ACK37" s="16"/>
      <c r="ACL37" s="16"/>
      <c r="ACM37" s="16"/>
      <c r="ACN37" s="16"/>
      <c r="ACO37" s="16"/>
      <c r="ACP37" s="16"/>
      <c r="ACQ37" s="16"/>
      <c r="ACR37" s="16"/>
      <c r="ACS37" s="16"/>
      <c r="ACT37" s="16"/>
      <c r="ACU37" s="16"/>
      <c r="ACV37" s="16"/>
      <c r="ACW37" s="16"/>
      <c r="ACX37" s="16"/>
      <c r="ACY37" s="16"/>
      <c r="ACZ37" s="16"/>
      <c r="ADA37" s="16"/>
      <c r="ADB37" s="16"/>
      <c r="ADC37" s="16"/>
      <c r="ADD37" s="16"/>
      <c r="ADE37" s="16"/>
      <c r="ADF37" s="16"/>
      <c r="ADG37" s="16"/>
      <c r="ADH37" s="16"/>
      <c r="ADI37" s="16"/>
      <c r="ADJ37" s="16"/>
      <c r="ADK37" s="16"/>
      <c r="ADL37" s="16"/>
      <c r="ADM37" s="16"/>
      <c r="ADN37" s="16"/>
      <c r="ADO37" s="16"/>
      <c r="ADP37" s="16"/>
      <c r="ADQ37" s="16"/>
      <c r="ADR37" s="16"/>
      <c r="ADS37" s="16"/>
      <c r="ADT37" s="16"/>
      <c r="ADU37" s="16"/>
      <c r="ADV37" s="16"/>
      <c r="ADW37" s="16"/>
      <c r="ADX37" s="16"/>
      <c r="ADY37" s="16"/>
      <c r="ADZ37" s="16"/>
      <c r="AEA37" s="16"/>
      <c r="AEB37" s="16"/>
      <c r="AEC37" s="16"/>
      <c r="AED37" s="16"/>
      <c r="AEE37" s="16"/>
      <c r="AEF37" s="16"/>
      <c r="AEG37" s="16"/>
      <c r="AEH37" s="16"/>
      <c r="AEI37" s="16"/>
      <c r="AEJ37" s="16"/>
      <c r="AEK37" s="16"/>
      <c r="AEL37" s="16"/>
      <c r="AEM37" s="16"/>
      <c r="AEN37" s="16"/>
      <c r="AEO37" s="16"/>
      <c r="AEP37" s="16"/>
      <c r="AEQ37" s="16"/>
      <c r="AER37" s="16"/>
      <c r="AES37" s="16"/>
      <c r="AET37" s="16"/>
      <c r="AEU37" s="16"/>
      <c r="AEV37" s="16"/>
      <c r="AEW37" s="16"/>
      <c r="AEX37" s="16"/>
      <c r="AEY37" s="16"/>
      <c r="AEZ37" s="16"/>
      <c r="AFA37" s="16"/>
      <c r="AFB37" s="16"/>
      <c r="AFC37" s="16"/>
      <c r="AFD37" s="16"/>
      <c r="AFE37" s="16"/>
      <c r="AFF37" s="16"/>
      <c r="AFG37" s="16"/>
      <c r="AFH37" s="16"/>
      <c r="AFI37" s="16"/>
      <c r="AFJ37" s="16"/>
      <c r="AFK37" s="16"/>
      <c r="AFL37" s="16"/>
      <c r="AFM37" s="16"/>
      <c r="AFN37" s="16"/>
      <c r="AFO37" s="16"/>
      <c r="AFP37" s="16"/>
      <c r="AFQ37" s="16"/>
      <c r="AFR37" s="16"/>
      <c r="AFS37" s="16"/>
      <c r="AFT37" s="16"/>
      <c r="AFU37" s="16"/>
      <c r="AFV37" s="16"/>
      <c r="AFW37" s="16"/>
      <c r="AFX37" s="16"/>
      <c r="AFY37" s="16"/>
      <c r="AFZ37" s="16"/>
      <c r="AGA37" s="16"/>
      <c r="AGB37" s="16"/>
      <c r="AGC37" s="16"/>
      <c r="AGD37" s="16"/>
      <c r="AGE37" s="16"/>
      <c r="AGF37" s="16"/>
      <c r="AGG37" s="16"/>
      <c r="AGH37" s="16"/>
      <c r="AGI37" s="16"/>
      <c r="AGJ37" s="16"/>
    </row>
  </sheetData>
  <conditionalFormatting sqref="H16:M21">
    <cfRule type="cellIs" dxfId="43" priority="37" stopIfTrue="1" operator="notBetween">
      <formula>1</formula>
      <formula>4</formula>
    </cfRule>
  </conditionalFormatting>
  <conditionalFormatting sqref="H16:M21">
    <cfRule type="dataBar" priority="38">
      <dataBar>
        <cfvo type="min"/>
        <cfvo type="num" val="4"/>
        <color rgb="FFFFC000"/>
      </dataBar>
      <extLst>
        <ext xmlns:x14="http://schemas.microsoft.com/office/spreadsheetml/2009/9/main" uri="{B025F937-C7B1-47D3-B67F-A62EFF666E3E}">
          <x14:id>{CED4BDB8-2B43-46F9-A7BC-62DAEBD774F1}</x14:id>
        </ext>
      </extLst>
    </cfRule>
  </conditionalFormatting>
  <conditionalFormatting sqref="H16:O21">
    <cfRule type="containsBlanks" dxfId="42" priority="35" stopIfTrue="1">
      <formula>LEN(TRIM(H16))=0</formula>
    </cfRule>
  </conditionalFormatting>
  <conditionalFormatting sqref="N16:O21">
    <cfRule type="dataBar" priority="39">
      <dataBar>
        <cfvo type="min"/>
        <cfvo type="max"/>
        <color rgb="FF3FCDFF"/>
      </dataBar>
      <extLst>
        <ext xmlns:x14="http://schemas.microsoft.com/office/spreadsheetml/2009/9/main" uri="{B025F937-C7B1-47D3-B67F-A62EFF666E3E}">
          <x14:id>{9E01D811-CF35-4F9E-9AA3-C8ED5C186500}</x14:id>
        </ext>
      </extLst>
    </cfRule>
  </conditionalFormatting>
  <conditionalFormatting sqref="P16:P21">
    <cfRule type="containsText" dxfId="41" priority="36" operator="containsText" text="Actual TC">
      <formula>NOT(ISERROR(SEARCH("Actual TC",P16)))</formula>
    </cfRule>
  </conditionalFormatting>
  <conditionalFormatting sqref="H22:M22">
    <cfRule type="cellIs" dxfId="40" priority="32" stopIfTrue="1" operator="notBetween">
      <formula>1</formula>
      <formula>4</formula>
    </cfRule>
  </conditionalFormatting>
  <conditionalFormatting sqref="H22:M22">
    <cfRule type="dataBar" priority="33">
      <dataBar>
        <cfvo type="min"/>
        <cfvo type="num" val="4"/>
        <color rgb="FFFFC000"/>
      </dataBar>
      <extLst>
        <ext xmlns:x14="http://schemas.microsoft.com/office/spreadsheetml/2009/9/main" uri="{B025F937-C7B1-47D3-B67F-A62EFF666E3E}">
          <x14:id>{6C25D8CA-56B5-4400-862C-8467A76A9AE7}</x14:id>
        </ext>
      </extLst>
    </cfRule>
  </conditionalFormatting>
  <conditionalFormatting sqref="H22:O22">
    <cfRule type="containsBlanks" dxfId="39" priority="30" stopIfTrue="1">
      <formula>LEN(TRIM(H22))=0</formula>
    </cfRule>
  </conditionalFormatting>
  <conditionalFormatting sqref="N22:O22">
    <cfRule type="dataBar" priority="34">
      <dataBar>
        <cfvo type="min"/>
        <cfvo type="max"/>
        <color rgb="FF3FCDFF"/>
      </dataBar>
      <extLst>
        <ext xmlns:x14="http://schemas.microsoft.com/office/spreadsheetml/2009/9/main" uri="{B025F937-C7B1-47D3-B67F-A62EFF666E3E}">
          <x14:id>{47076DB0-82E6-4E89-A42F-8DB7DD1E5C55}</x14:id>
        </ext>
      </extLst>
    </cfRule>
  </conditionalFormatting>
  <conditionalFormatting sqref="P22">
    <cfRule type="containsText" dxfId="38" priority="31" operator="containsText" text="Actual TC">
      <formula>NOT(ISERROR(SEARCH("Actual TC",P22)))</formula>
    </cfRule>
  </conditionalFormatting>
  <conditionalFormatting sqref="H23:M33">
    <cfRule type="cellIs" dxfId="37" priority="27" stopIfTrue="1" operator="notBetween">
      <formula>1</formula>
      <formula>4</formula>
    </cfRule>
  </conditionalFormatting>
  <conditionalFormatting sqref="H23:M33">
    <cfRule type="dataBar" priority="28">
      <dataBar>
        <cfvo type="min"/>
        <cfvo type="num" val="4"/>
        <color rgb="FFFFC000"/>
      </dataBar>
      <extLst>
        <ext xmlns:x14="http://schemas.microsoft.com/office/spreadsheetml/2009/9/main" uri="{B025F937-C7B1-47D3-B67F-A62EFF666E3E}">
          <x14:id>{0C838D9C-D6AC-4434-8762-857AB02CE660}</x14:id>
        </ext>
      </extLst>
    </cfRule>
  </conditionalFormatting>
  <conditionalFormatting sqref="H23:O33">
    <cfRule type="containsBlanks" dxfId="36" priority="25" stopIfTrue="1">
      <formula>LEN(TRIM(H23))=0</formula>
    </cfRule>
  </conditionalFormatting>
  <conditionalFormatting sqref="N23:O33">
    <cfRule type="dataBar" priority="29">
      <dataBar>
        <cfvo type="min"/>
        <cfvo type="max"/>
        <color rgb="FF3FCDFF"/>
      </dataBar>
      <extLst>
        <ext xmlns:x14="http://schemas.microsoft.com/office/spreadsheetml/2009/9/main" uri="{B025F937-C7B1-47D3-B67F-A62EFF666E3E}">
          <x14:id>{72973EDC-0280-40D6-8D90-0C8C305408DC}</x14:id>
        </ext>
      </extLst>
    </cfRule>
  </conditionalFormatting>
  <conditionalFormatting sqref="P23:P33">
    <cfRule type="containsText" dxfId="35" priority="26" operator="containsText" text="Actual TC">
      <formula>NOT(ISERROR(SEARCH("Actual TC",P23)))</formula>
    </cfRule>
  </conditionalFormatting>
  <conditionalFormatting sqref="H34:M35">
    <cfRule type="cellIs" dxfId="34" priority="22" stopIfTrue="1" operator="notBetween">
      <formula>1</formula>
      <formula>4</formula>
    </cfRule>
  </conditionalFormatting>
  <conditionalFormatting sqref="H34:M35">
    <cfRule type="dataBar" priority="23">
      <dataBar>
        <cfvo type="min"/>
        <cfvo type="num" val="4"/>
        <color rgb="FFFFC000"/>
      </dataBar>
      <extLst>
        <ext xmlns:x14="http://schemas.microsoft.com/office/spreadsheetml/2009/9/main" uri="{B025F937-C7B1-47D3-B67F-A62EFF666E3E}">
          <x14:id>{85E7BA30-E1AA-483F-9475-FAD4BF812939}</x14:id>
        </ext>
      </extLst>
    </cfRule>
  </conditionalFormatting>
  <conditionalFormatting sqref="H34:O35">
    <cfRule type="containsBlanks" dxfId="33" priority="20" stopIfTrue="1">
      <formula>LEN(TRIM(H34))=0</formula>
    </cfRule>
  </conditionalFormatting>
  <conditionalFormatting sqref="N34:O35">
    <cfRule type="dataBar" priority="24">
      <dataBar>
        <cfvo type="min"/>
        <cfvo type="max"/>
        <color rgb="FF3FCDFF"/>
      </dataBar>
      <extLst>
        <ext xmlns:x14="http://schemas.microsoft.com/office/spreadsheetml/2009/9/main" uri="{B025F937-C7B1-47D3-B67F-A62EFF666E3E}">
          <x14:id>{2CA96A5B-1AA2-4D79-A3E8-322DB5080269}</x14:id>
        </ext>
      </extLst>
    </cfRule>
  </conditionalFormatting>
  <conditionalFormatting sqref="P34:P35">
    <cfRule type="containsText" dxfId="32" priority="21" operator="containsText" text="Actual TC">
      <formula>NOT(ISERROR(SEARCH("Actual TC",P34)))</formula>
    </cfRule>
  </conditionalFormatting>
  <conditionalFormatting sqref="H36:M36">
    <cfRule type="cellIs" dxfId="31" priority="17" stopIfTrue="1" operator="notBetween">
      <formula>1</formula>
      <formula>4</formula>
    </cfRule>
  </conditionalFormatting>
  <conditionalFormatting sqref="H36:M36">
    <cfRule type="dataBar" priority="18">
      <dataBar>
        <cfvo type="min"/>
        <cfvo type="num" val="4"/>
        <color rgb="FFFFC000"/>
      </dataBar>
      <extLst>
        <ext xmlns:x14="http://schemas.microsoft.com/office/spreadsheetml/2009/9/main" uri="{B025F937-C7B1-47D3-B67F-A62EFF666E3E}">
          <x14:id>{AB61AEBD-9CD8-408D-A3DE-9E7533FC1F80}</x14:id>
        </ext>
      </extLst>
    </cfRule>
  </conditionalFormatting>
  <conditionalFormatting sqref="H36:O36">
    <cfRule type="containsBlanks" dxfId="30" priority="15" stopIfTrue="1">
      <formula>LEN(TRIM(H36))=0</formula>
    </cfRule>
  </conditionalFormatting>
  <conditionalFormatting sqref="N36:O36">
    <cfRule type="dataBar" priority="19">
      <dataBar>
        <cfvo type="min"/>
        <cfvo type="max"/>
        <color rgb="FF3FCDFF"/>
      </dataBar>
      <extLst>
        <ext xmlns:x14="http://schemas.microsoft.com/office/spreadsheetml/2009/9/main" uri="{B025F937-C7B1-47D3-B67F-A62EFF666E3E}">
          <x14:id>{49942011-9816-4CD9-B909-7A74FD757376}</x14:id>
        </ext>
      </extLst>
    </cfRule>
  </conditionalFormatting>
  <conditionalFormatting sqref="P36">
    <cfRule type="containsText" dxfId="29" priority="16" operator="containsText" text="Actual TC">
      <formula>NOT(ISERROR(SEARCH("Actual TC",P36)))</formula>
    </cfRule>
  </conditionalFormatting>
  <conditionalFormatting sqref="H37:M37">
    <cfRule type="cellIs" dxfId="28" priority="12" stopIfTrue="1" operator="notBetween">
      <formula>1</formula>
      <formula>4</formula>
    </cfRule>
  </conditionalFormatting>
  <conditionalFormatting sqref="H37:M37">
    <cfRule type="dataBar" priority="13">
      <dataBar>
        <cfvo type="min"/>
        <cfvo type="num" val="4"/>
        <color rgb="FFFFC000"/>
      </dataBar>
      <extLst>
        <ext xmlns:x14="http://schemas.microsoft.com/office/spreadsheetml/2009/9/main" uri="{B025F937-C7B1-47D3-B67F-A62EFF666E3E}">
          <x14:id>{828BCDD3-E769-459E-AC9A-BD675F4A6478}</x14:id>
        </ext>
      </extLst>
    </cfRule>
  </conditionalFormatting>
  <conditionalFormatting sqref="H37:O37">
    <cfRule type="containsBlanks" dxfId="27" priority="10" stopIfTrue="1">
      <formula>LEN(TRIM(H37))=0</formula>
    </cfRule>
  </conditionalFormatting>
  <conditionalFormatting sqref="N37:O37">
    <cfRule type="dataBar" priority="14">
      <dataBar>
        <cfvo type="min"/>
        <cfvo type="max"/>
        <color rgb="FF3FCDFF"/>
      </dataBar>
      <extLst>
        <ext xmlns:x14="http://schemas.microsoft.com/office/spreadsheetml/2009/9/main" uri="{B025F937-C7B1-47D3-B67F-A62EFF666E3E}">
          <x14:id>{CA41E25F-12DC-48F8-AA7E-5778934E205E}</x14:id>
        </ext>
      </extLst>
    </cfRule>
  </conditionalFormatting>
  <conditionalFormatting sqref="P37">
    <cfRule type="containsText" dxfId="26" priority="11" operator="containsText" text="Actual TC">
      <formula>NOT(ISERROR(SEARCH("Actual TC",P37)))</formula>
    </cfRule>
  </conditionalFormatting>
  <conditionalFormatting sqref="N3:S8">
    <cfRule type="cellIs" dxfId="5" priority="8" stopIfTrue="1" operator="notBetween">
      <formula>1</formula>
      <formula>4</formula>
    </cfRule>
  </conditionalFormatting>
  <conditionalFormatting sqref="N3:S8">
    <cfRule type="dataBar" priority="9">
      <dataBar>
        <cfvo type="min"/>
        <cfvo type="num" val="4"/>
        <color rgb="FFFFC000"/>
      </dataBar>
      <extLst>
        <ext xmlns:x14="http://schemas.microsoft.com/office/spreadsheetml/2009/9/main" uri="{B025F937-C7B1-47D3-B67F-A62EFF666E3E}">
          <x14:id>{7F2E9E5F-9374-4787-BDB0-DB55407BBA3A}</x14:id>
        </ext>
      </extLst>
    </cfRule>
  </conditionalFormatting>
  <conditionalFormatting sqref="N3:S8">
    <cfRule type="containsBlanks" dxfId="4" priority="7" stopIfTrue="1">
      <formula>LEN(TRIM(N3))=0</formula>
    </cfRule>
  </conditionalFormatting>
  <conditionalFormatting sqref="N9:S9">
    <cfRule type="cellIs" dxfId="3" priority="5" stopIfTrue="1" operator="notBetween">
      <formula>1</formula>
      <formula>4</formula>
    </cfRule>
  </conditionalFormatting>
  <conditionalFormatting sqref="N9:S9">
    <cfRule type="dataBar" priority="6">
      <dataBar>
        <cfvo type="min"/>
        <cfvo type="num" val="4"/>
        <color rgb="FFFFC000"/>
      </dataBar>
      <extLst>
        <ext xmlns:x14="http://schemas.microsoft.com/office/spreadsheetml/2009/9/main" uri="{B025F937-C7B1-47D3-B67F-A62EFF666E3E}">
          <x14:id>{3D60EF11-5011-4E47-8C5D-BDDD19E0C8BC}</x14:id>
        </ext>
      </extLst>
    </cfRule>
  </conditionalFormatting>
  <conditionalFormatting sqref="N9:S9">
    <cfRule type="containsBlanks" dxfId="2" priority="4" stopIfTrue="1">
      <formula>LEN(TRIM(N9))=0</formula>
    </cfRule>
  </conditionalFormatting>
  <conditionalFormatting sqref="N10:S11">
    <cfRule type="cellIs" dxfId="1" priority="2" stopIfTrue="1" operator="notBetween">
      <formula>1</formula>
      <formula>4</formula>
    </cfRule>
  </conditionalFormatting>
  <conditionalFormatting sqref="N10:S11">
    <cfRule type="dataBar" priority="3">
      <dataBar>
        <cfvo type="min"/>
        <cfvo type="num" val="4"/>
        <color rgb="FFFFC000"/>
      </dataBar>
      <extLst>
        <ext xmlns:x14="http://schemas.microsoft.com/office/spreadsheetml/2009/9/main" uri="{B025F937-C7B1-47D3-B67F-A62EFF666E3E}">
          <x14:id>{6A889C20-06E3-4377-81C1-1A9D26BCE6E6}</x14:id>
        </ext>
      </extLst>
    </cfRule>
  </conditionalFormatting>
  <conditionalFormatting sqref="N10:S11">
    <cfRule type="containsBlanks" dxfId="0" priority="1" stopIfTrue="1">
      <formula>LEN(TRIM(N10))=0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ED4BDB8-2B43-46F9-A7BC-62DAEBD774F1}">
            <x14:dataBar minLength="0" maxLength="100" gradient="0">
              <x14:cfvo type="autoMin"/>
              <x14:cfvo type="num">
                <xm:f>4</xm:f>
              </x14:cfvo>
              <x14:negativeFillColor rgb="FFFF0000"/>
              <x14:axisColor rgb="FF000000"/>
            </x14:dataBar>
          </x14:cfRule>
          <xm:sqref>H16:M21</xm:sqref>
        </x14:conditionalFormatting>
        <x14:conditionalFormatting xmlns:xm="http://schemas.microsoft.com/office/excel/2006/main">
          <x14:cfRule type="dataBar" id="{9E01D811-CF35-4F9E-9AA3-C8ED5C186500}">
            <x14:dataBar minLength="0" maxLength="100" gradient="0">
              <x14:cfvo type="autoMin"/>
              <x14:cfvo type="autoMax"/>
              <x14:negativeFillColor rgb="FFFF0000"/>
              <x14:axisColor rgb="FF000000"/>
            </x14:dataBar>
          </x14:cfRule>
          <xm:sqref>N16:O21</xm:sqref>
        </x14:conditionalFormatting>
        <x14:conditionalFormatting xmlns:xm="http://schemas.microsoft.com/office/excel/2006/main">
          <x14:cfRule type="dataBar" id="{6C25D8CA-56B5-4400-862C-8467A76A9AE7}">
            <x14:dataBar minLength="0" maxLength="100" gradient="0">
              <x14:cfvo type="autoMin"/>
              <x14:cfvo type="num">
                <xm:f>4</xm:f>
              </x14:cfvo>
              <x14:negativeFillColor rgb="FFFF0000"/>
              <x14:axisColor rgb="FF000000"/>
            </x14:dataBar>
          </x14:cfRule>
          <xm:sqref>H22:M22</xm:sqref>
        </x14:conditionalFormatting>
        <x14:conditionalFormatting xmlns:xm="http://schemas.microsoft.com/office/excel/2006/main">
          <x14:cfRule type="dataBar" id="{47076DB0-82E6-4E89-A42F-8DB7DD1E5C55}">
            <x14:dataBar minLength="0" maxLength="100" gradient="0">
              <x14:cfvo type="autoMin"/>
              <x14:cfvo type="autoMax"/>
              <x14:negativeFillColor rgb="FFFF0000"/>
              <x14:axisColor rgb="FF000000"/>
            </x14:dataBar>
          </x14:cfRule>
          <xm:sqref>N22:O22</xm:sqref>
        </x14:conditionalFormatting>
        <x14:conditionalFormatting xmlns:xm="http://schemas.microsoft.com/office/excel/2006/main">
          <x14:cfRule type="dataBar" id="{0C838D9C-D6AC-4434-8762-857AB02CE660}">
            <x14:dataBar minLength="0" maxLength="100" gradient="0">
              <x14:cfvo type="autoMin"/>
              <x14:cfvo type="num">
                <xm:f>4</xm:f>
              </x14:cfvo>
              <x14:negativeFillColor rgb="FFFF0000"/>
              <x14:axisColor rgb="FF000000"/>
            </x14:dataBar>
          </x14:cfRule>
          <xm:sqref>H23:M33</xm:sqref>
        </x14:conditionalFormatting>
        <x14:conditionalFormatting xmlns:xm="http://schemas.microsoft.com/office/excel/2006/main">
          <x14:cfRule type="dataBar" id="{72973EDC-0280-40D6-8D90-0C8C305408DC}">
            <x14:dataBar minLength="0" maxLength="100" gradient="0">
              <x14:cfvo type="autoMin"/>
              <x14:cfvo type="autoMax"/>
              <x14:negativeFillColor rgb="FFFF0000"/>
              <x14:axisColor rgb="FF000000"/>
            </x14:dataBar>
          </x14:cfRule>
          <xm:sqref>N23:O33</xm:sqref>
        </x14:conditionalFormatting>
        <x14:conditionalFormatting xmlns:xm="http://schemas.microsoft.com/office/excel/2006/main">
          <x14:cfRule type="dataBar" id="{85E7BA30-E1AA-483F-9475-FAD4BF812939}">
            <x14:dataBar minLength="0" maxLength="100" gradient="0">
              <x14:cfvo type="autoMin"/>
              <x14:cfvo type="num">
                <xm:f>4</xm:f>
              </x14:cfvo>
              <x14:negativeFillColor rgb="FFFF0000"/>
              <x14:axisColor rgb="FF000000"/>
            </x14:dataBar>
          </x14:cfRule>
          <xm:sqref>H34:M35</xm:sqref>
        </x14:conditionalFormatting>
        <x14:conditionalFormatting xmlns:xm="http://schemas.microsoft.com/office/excel/2006/main">
          <x14:cfRule type="dataBar" id="{2CA96A5B-1AA2-4D79-A3E8-322DB5080269}">
            <x14:dataBar minLength="0" maxLength="100" gradient="0">
              <x14:cfvo type="autoMin"/>
              <x14:cfvo type="autoMax"/>
              <x14:negativeFillColor rgb="FFFF0000"/>
              <x14:axisColor rgb="FF000000"/>
            </x14:dataBar>
          </x14:cfRule>
          <xm:sqref>N34:O35</xm:sqref>
        </x14:conditionalFormatting>
        <x14:conditionalFormatting xmlns:xm="http://schemas.microsoft.com/office/excel/2006/main">
          <x14:cfRule type="dataBar" id="{AB61AEBD-9CD8-408D-A3DE-9E7533FC1F80}">
            <x14:dataBar minLength="0" maxLength="100" gradient="0">
              <x14:cfvo type="autoMin"/>
              <x14:cfvo type="num">
                <xm:f>4</xm:f>
              </x14:cfvo>
              <x14:negativeFillColor rgb="FFFF0000"/>
              <x14:axisColor rgb="FF000000"/>
            </x14:dataBar>
          </x14:cfRule>
          <xm:sqref>H36:M36</xm:sqref>
        </x14:conditionalFormatting>
        <x14:conditionalFormatting xmlns:xm="http://schemas.microsoft.com/office/excel/2006/main">
          <x14:cfRule type="dataBar" id="{49942011-9816-4CD9-B909-7A74FD757376}">
            <x14:dataBar minLength="0" maxLength="100" gradient="0">
              <x14:cfvo type="autoMin"/>
              <x14:cfvo type="autoMax"/>
              <x14:negativeFillColor rgb="FFFF0000"/>
              <x14:axisColor rgb="FF000000"/>
            </x14:dataBar>
          </x14:cfRule>
          <xm:sqref>N36:O36</xm:sqref>
        </x14:conditionalFormatting>
        <x14:conditionalFormatting xmlns:xm="http://schemas.microsoft.com/office/excel/2006/main">
          <x14:cfRule type="dataBar" id="{828BCDD3-E769-459E-AC9A-BD675F4A6478}">
            <x14:dataBar minLength="0" maxLength="100" gradient="0">
              <x14:cfvo type="autoMin"/>
              <x14:cfvo type="num">
                <xm:f>4</xm:f>
              </x14:cfvo>
              <x14:negativeFillColor rgb="FFFF0000"/>
              <x14:axisColor rgb="FF000000"/>
            </x14:dataBar>
          </x14:cfRule>
          <xm:sqref>H37:M37</xm:sqref>
        </x14:conditionalFormatting>
        <x14:conditionalFormatting xmlns:xm="http://schemas.microsoft.com/office/excel/2006/main">
          <x14:cfRule type="dataBar" id="{CA41E25F-12DC-48F8-AA7E-5778934E205E}">
            <x14:dataBar minLength="0" maxLength="100" gradient="0">
              <x14:cfvo type="autoMin"/>
              <x14:cfvo type="autoMax"/>
              <x14:negativeFillColor rgb="FFFF0000"/>
              <x14:axisColor rgb="FF000000"/>
            </x14:dataBar>
          </x14:cfRule>
          <xm:sqref>N37:O37</xm:sqref>
        </x14:conditionalFormatting>
        <x14:conditionalFormatting xmlns:xm="http://schemas.microsoft.com/office/excel/2006/main">
          <x14:cfRule type="dataBar" id="{7F2E9E5F-9374-4787-BDB0-DB55407BBA3A}">
            <x14:dataBar minLength="0" maxLength="100" gradient="0">
              <x14:cfvo type="autoMin"/>
              <x14:cfvo type="num">
                <xm:f>4</xm:f>
              </x14:cfvo>
              <x14:negativeFillColor rgb="FFFF0000"/>
              <x14:axisColor rgb="FF000000"/>
            </x14:dataBar>
          </x14:cfRule>
          <xm:sqref>N3:S8</xm:sqref>
        </x14:conditionalFormatting>
        <x14:conditionalFormatting xmlns:xm="http://schemas.microsoft.com/office/excel/2006/main">
          <x14:cfRule type="dataBar" id="{3D60EF11-5011-4E47-8C5D-BDDD19E0C8BC}">
            <x14:dataBar minLength="0" maxLength="100" gradient="0">
              <x14:cfvo type="autoMin"/>
              <x14:cfvo type="num">
                <xm:f>4</xm:f>
              </x14:cfvo>
              <x14:negativeFillColor rgb="FFFF0000"/>
              <x14:axisColor rgb="FF000000"/>
            </x14:dataBar>
          </x14:cfRule>
          <xm:sqref>N9:S9</xm:sqref>
        </x14:conditionalFormatting>
        <x14:conditionalFormatting xmlns:xm="http://schemas.microsoft.com/office/excel/2006/main">
          <x14:cfRule type="dataBar" id="{6A889C20-06E3-4377-81C1-1A9D26BCE6E6}">
            <x14:dataBar minLength="0" maxLength="100" gradient="0">
              <x14:cfvo type="autoMin"/>
              <x14:cfvo type="num">
                <xm:f>4</xm:f>
              </x14:cfvo>
              <x14:negativeFillColor rgb="FFFF0000"/>
              <x14:axisColor rgb="FF000000"/>
            </x14:dataBar>
          </x14:cfRule>
          <xm:sqref>N10:S11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200" zoomScale="87" zoomScaleNormal="87" workbookViewId="0">
      <selection activeCell="D232" sqref="D232"/>
    </sheetView>
  </sheetViews>
  <sheetFormatPr defaultRowHeight="15"/>
  <cols>
    <col min="1" max="1" width="50.7109375" style="6" customWidth="1"/>
    <col min="2" max="29" width="20.7109375" style="6" customWidth="1"/>
    <col min="30" max="32" width="20.7109375" customWidth="1"/>
  </cols>
  <sheetData>
    <row r="1" spans="1:19" ht="30" customHeight="1">
      <c r="A1" s="1123" t="s">
        <v>799</v>
      </c>
      <c r="B1" s="1124"/>
      <c r="C1" s="1124"/>
      <c r="D1" s="1124"/>
      <c r="E1" s="1124"/>
      <c r="F1" s="1124"/>
      <c r="G1" s="1124"/>
      <c r="H1" s="1124"/>
      <c r="I1" s="1124"/>
      <c r="J1" s="1124"/>
      <c r="K1" s="1124"/>
      <c r="L1" s="1124"/>
      <c r="M1" s="1124"/>
      <c r="N1" s="1124"/>
      <c r="O1" s="1124"/>
      <c r="P1" s="1124"/>
      <c r="Q1" s="1124"/>
      <c r="R1" s="1124"/>
      <c r="S1" s="1124"/>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882</v>
      </c>
      <c r="M2" s="1125" t="s">
        <v>104</v>
      </c>
      <c r="N2" s="1125"/>
      <c r="O2" s="1125"/>
      <c r="P2" s="1125"/>
      <c r="Q2" s="1125"/>
      <c r="R2" s="1125"/>
      <c r="S2" s="1125"/>
    </row>
    <row r="3" spans="1:19">
      <c r="A3" s="212" t="s">
        <v>883</v>
      </c>
      <c r="B3" s="117" t="s">
        <v>884</v>
      </c>
      <c r="C3" s="117" t="s">
        <v>884</v>
      </c>
      <c r="D3" s="213">
        <v>0</v>
      </c>
      <c r="E3" s="213">
        <v>0.01</v>
      </c>
      <c r="F3" s="213">
        <v>0.01</v>
      </c>
      <c r="G3" s="213">
        <v>0</v>
      </c>
      <c r="H3" s="213">
        <v>0</v>
      </c>
      <c r="I3" s="213">
        <v>0</v>
      </c>
      <c r="J3" s="213">
        <v>0.77</v>
      </c>
      <c r="K3" s="213">
        <v>0.12</v>
      </c>
      <c r="L3" s="213">
        <v>0.09</v>
      </c>
      <c r="M3" s="1126" t="s">
        <v>885</v>
      </c>
      <c r="N3" s="1126"/>
      <c r="O3" s="1126"/>
      <c r="P3" s="1126"/>
      <c r="Q3" s="1126"/>
      <c r="R3" s="1126"/>
      <c r="S3" s="1126"/>
    </row>
    <row r="4" spans="1:19">
      <c r="A4" s="212" t="s">
        <v>886</v>
      </c>
      <c r="B4" s="117" t="s">
        <v>884</v>
      </c>
      <c r="C4" s="117" t="s">
        <v>884</v>
      </c>
      <c r="D4" s="213">
        <v>0</v>
      </c>
      <c r="E4" s="213">
        <v>0</v>
      </c>
      <c r="F4" s="213">
        <v>0</v>
      </c>
      <c r="G4" s="213">
        <v>0</v>
      </c>
      <c r="H4" s="213">
        <v>0</v>
      </c>
      <c r="I4" s="213">
        <v>0</v>
      </c>
      <c r="J4" s="213">
        <v>0.5</v>
      </c>
      <c r="K4" s="213">
        <v>0.5</v>
      </c>
      <c r="L4" s="213">
        <v>0</v>
      </c>
      <c r="M4" s="1127" t="s">
        <v>43</v>
      </c>
      <c r="N4" s="1127"/>
      <c r="O4" s="1127"/>
      <c r="P4" s="1127"/>
      <c r="Q4" s="1127"/>
      <c r="R4" s="1127"/>
      <c r="S4" s="1127"/>
    </row>
    <row r="5" spans="1:19">
      <c r="A5" s="212" t="s">
        <v>337</v>
      </c>
      <c r="B5" s="117" t="s">
        <v>884</v>
      </c>
      <c r="C5" s="117" t="s">
        <v>884</v>
      </c>
      <c r="D5" s="213">
        <v>0</v>
      </c>
      <c r="E5" s="213">
        <v>0.5</v>
      </c>
      <c r="F5" s="213">
        <v>0</v>
      </c>
      <c r="G5" s="213">
        <v>0</v>
      </c>
      <c r="H5" s="213">
        <v>0</v>
      </c>
      <c r="I5" s="213">
        <v>0</v>
      </c>
      <c r="J5" s="213">
        <v>0.5</v>
      </c>
      <c r="K5" s="213">
        <v>0</v>
      </c>
      <c r="L5" s="213">
        <v>0</v>
      </c>
      <c r="M5" s="1127" t="s">
        <v>43</v>
      </c>
      <c r="N5" s="1127"/>
      <c r="O5" s="1127"/>
      <c r="P5" s="1127"/>
      <c r="Q5" s="1127"/>
      <c r="R5" s="1127"/>
      <c r="S5" s="1127"/>
    </row>
    <row r="6" spans="1:19">
      <c r="A6" s="212" t="s">
        <v>241</v>
      </c>
      <c r="B6" s="117" t="s">
        <v>884</v>
      </c>
      <c r="C6" s="117" t="s">
        <v>884</v>
      </c>
      <c r="D6" s="213">
        <v>0</v>
      </c>
      <c r="E6" s="213">
        <v>0.5</v>
      </c>
      <c r="F6" s="213">
        <v>0</v>
      </c>
      <c r="G6" s="213">
        <v>0</v>
      </c>
      <c r="H6" s="213">
        <v>0</v>
      </c>
      <c r="I6" s="213">
        <v>0</v>
      </c>
      <c r="J6" s="213">
        <v>0.5</v>
      </c>
      <c r="K6" s="213">
        <v>0</v>
      </c>
      <c r="L6" s="213">
        <v>0</v>
      </c>
      <c r="M6" s="1127" t="s">
        <v>43</v>
      </c>
      <c r="N6" s="1127"/>
      <c r="O6" s="1127"/>
      <c r="P6" s="1127"/>
      <c r="Q6" s="1127"/>
      <c r="R6" s="1127"/>
      <c r="S6" s="1127"/>
    </row>
    <row r="7" spans="1:19">
      <c r="A7" s="212" t="s">
        <v>239</v>
      </c>
      <c r="B7" s="117" t="s">
        <v>884</v>
      </c>
      <c r="C7" s="117" t="s">
        <v>884</v>
      </c>
      <c r="D7" s="213">
        <v>0</v>
      </c>
      <c r="E7" s="213">
        <v>0</v>
      </c>
      <c r="F7" s="213">
        <v>1</v>
      </c>
      <c r="G7" s="213">
        <v>0</v>
      </c>
      <c r="H7" s="213">
        <v>0</v>
      </c>
      <c r="I7" s="213">
        <v>0</v>
      </c>
      <c r="J7" s="213">
        <v>0</v>
      </c>
      <c r="K7" s="213">
        <v>0</v>
      </c>
      <c r="L7" s="213">
        <v>0</v>
      </c>
      <c r="M7" s="1127" t="s">
        <v>43</v>
      </c>
      <c r="N7" s="1127"/>
      <c r="O7" s="1127"/>
      <c r="P7" s="1127"/>
      <c r="Q7" s="1127"/>
      <c r="R7" s="1127"/>
      <c r="S7" s="1127"/>
    </row>
    <row r="8" spans="1:19">
      <c r="A8" s="212" t="s">
        <v>240</v>
      </c>
      <c r="B8" s="117" t="s">
        <v>884</v>
      </c>
      <c r="C8" s="117" t="s">
        <v>884</v>
      </c>
      <c r="D8" s="213">
        <v>0</v>
      </c>
      <c r="E8" s="213">
        <f>1/3</f>
        <v>0.33333333333333331</v>
      </c>
      <c r="F8" s="213">
        <f>1/3</f>
        <v>0.33333333333333331</v>
      </c>
      <c r="G8" s="213">
        <v>0</v>
      </c>
      <c r="H8" s="213">
        <v>0</v>
      </c>
      <c r="I8" s="213">
        <v>0</v>
      </c>
      <c r="J8" s="213">
        <f>1/3</f>
        <v>0.33333333333333331</v>
      </c>
      <c r="K8" s="213">
        <v>0</v>
      </c>
      <c r="L8" s="213">
        <v>0</v>
      </c>
      <c r="M8" s="1127" t="s">
        <v>43</v>
      </c>
      <c r="N8" s="1127"/>
      <c r="O8" s="1127"/>
      <c r="P8" s="1127"/>
      <c r="Q8" s="1127"/>
      <c r="R8" s="1127"/>
      <c r="S8" s="1127"/>
    </row>
    <row r="9" spans="1:19">
      <c r="A9" s="212" t="s">
        <v>191</v>
      </c>
      <c r="B9" s="117" t="s">
        <v>884</v>
      </c>
      <c r="C9" s="117" t="s">
        <v>884</v>
      </c>
      <c r="D9" s="213">
        <v>0</v>
      </c>
      <c r="E9" s="213">
        <v>0.01</v>
      </c>
      <c r="F9" s="213">
        <v>0.01</v>
      </c>
      <c r="G9" s="213">
        <v>0</v>
      </c>
      <c r="H9" s="213">
        <v>0</v>
      </c>
      <c r="I9" s="213">
        <v>0</v>
      </c>
      <c r="J9" s="213">
        <v>0.77</v>
      </c>
      <c r="K9" s="213">
        <v>0.12</v>
      </c>
      <c r="L9" s="213">
        <v>0.09</v>
      </c>
      <c r="M9" s="1126" t="s">
        <v>885</v>
      </c>
      <c r="N9" s="1126"/>
      <c r="O9" s="1126"/>
      <c r="P9" s="1126"/>
      <c r="Q9" s="1126"/>
      <c r="R9" s="1126"/>
      <c r="S9" s="1126"/>
    </row>
    <row r="10" spans="1:19">
      <c r="A10" s="212" t="s">
        <v>356</v>
      </c>
      <c r="B10" s="117" t="s">
        <v>884</v>
      </c>
      <c r="C10" s="117" t="s">
        <v>884</v>
      </c>
      <c r="D10" s="213">
        <v>0</v>
      </c>
      <c r="E10" s="213">
        <v>0</v>
      </c>
      <c r="F10" s="213">
        <v>0.2</v>
      </c>
      <c r="G10" s="213">
        <v>0</v>
      </c>
      <c r="H10" s="213">
        <v>0</v>
      </c>
      <c r="I10" s="213">
        <v>0</v>
      </c>
      <c r="J10" s="213">
        <v>0.25</v>
      </c>
      <c r="K10" s="213">
        <v>0.5</v>
      </c>
      <c r="L10" s="213">
        <v>0.05</v>
      </c>
      <c r="M10" s="1126" t="s">
        <v>887</v>
      </c>
      <c r="N10" s="1126"/>
      <c r="O10" s="1126"/>
      <c r="P10" s="1126"/>
      <c r="Q10" s="1126"/>
      <c r="R10" s="1126"/>
      <c r="S10" s="1126"/>
    </row>
    <row r="11" spans="1:19">
      <c r="A11" s="212" t="s">
        <v>346</v>
      </c>
      <c r="B11" s="117" t="s">
        <v>884</v>
      </c>
      <c r="C11" s="117" t="s">
        <v>884</v>
      </c>
      <c r="D11" s="213">
        <v>0</v>
      </c>
      <c r="E11" s="213">
        <v>0</v>
      </c>
      <c r="F11" s="213">
        <v>0.25</v>
      </c>
      <c r="G11" s="213">
        <v>0</v>
      </c>
      <c r="H11" s="213">
        <v>0</v>
      </c>
      <c r="I11" s="213">
        <v>0</v>
      </c>
      <c r="J11" s="213">
        <v>0.25</v>
      </c>
      <c r="K11" s="213">
        <v>0.25</v>
      </c>
      <c r="L11" s="213">
        <v>0.25</v>
      </c>
      <c r="M11" s="1127" t="s">
        <v>888</v>
      </c>
      <c r="N11" s="1127"/>
      <c r="O11" s="1127"/>
      <c r="P11" s="1127"/>
      <c r="Q11" s="1127"/>
      <c r="R11" s="1127"/>
      <c r="S11" s="1127"/>
    </row>
    <row r="12" spans="1:19">
      <c r="A12" s="212" t="s">
        <v>889</v>
      </c>
      <c r="B12" s="117" t="s">
        <v>884</v>
      </c>
      <c r="C12" s="117" t="s">
        <v>884</v>
      </c>
      <c r="D12" s="213">
        <v>0</v>
      </c>
      <c r="E12" s="213">
        <v>0</v>
      </c>
      <c r="F12" s="213">
        <f>1/3</f>
        <v>0.33333333333333331</v>
      </c>
      <c r="G12" s="213">
        <v>0</v>
      </c>
      <c r="H12" s="213">
        <v>0</v>
      </c>
      <c r="I12" s="213">
        <v>0</v>
      </c>
      <c r="J12" s="213">
        <f>1/3</f>
        <v>0.33333333333333331</v>
      </c>
      <c r="K12" s="213">
        <f>1/3</f>
        <v>0.33333333333333331</v>
      </c>
      <c r="L12" s="213">
        <v>0</v>
      </c>
      <c r="M12" s="1127" t="s">
        <v>43</v>
      </c>
      <c r="N12" s="1127"/>
      <c r="O12" s="1127"/>
      <c r="P12" s="1127"/>
      <c r="Q12" s="1127"/>
      <c r="R12" s="1127"/>
      <c r="S12" s="1127"/>
    </row>
    <row r="13" spans="1:19">
      <c r="A13" s="212" t="s">
        <v>348</v>
      </c>
      <c r="B13" s="117" t="s">
        <v>884</v>
      </c>
      <c r="C13" s="117" t="s">
        <v>884</v>
      </c>
      <c r="D13" s="213">
        <v>0</v>
      </c>
      <c r="E13" s="213">
        <v>0</v>
      </c>
      <c r="F13" s="213">
        <f>1/3</f>
        <v>0.33333333333333331</v>
      </c>
      <c r="G13" s="213">
        <v>0</v>
      </c>
      <c r="H13" s="213">
        <v>0</v>
      </c>
      <c r="I13" s="213">
        <v>0</v>
      </c>
      <c r="J13" s="213">
        <f>1/3</f>
        <v>0.33333333333333331</v>
      </c>
      <c r="K13" s="213">
        <f>1/3</f>
        <v>0.33333333333333331</v>
      </c>
      <c r="L13" s="213">
        <v>0</v>
      </c>
      <c r="M13" s="1127" t="s">
        <v>43</v>
      </c>
      <c r="N13" s="1127"/>
      <c r="O13" s="1127"/>
      <c r="P13" s="1127"/>
      <c r="Q13" s="1127"/>
      <c r="R13" s="1127"/>
      <c r="S13" s="1127"/>
    </row>
    <row r="14" spans="1:19">
      <c r="A14" s="212" t="s">
        <v>890</v>
      </c>
      <c r="B14" s="117" t="s">
        <v>884</v>
      </c>
      <c r="C14" s="117" t="s">
        <v>884</v>
      </c>
      <c r="D14" s="213">
        <v>0</v>
      </c>
      <c r="E14" s="213">
        <v>0.02</v>
      </c>
      <c r="F14" s="213">
        <v>0.92</v>
      </c>
      <c r="G14" s="213">
        <v>0</v>
      </c>
      <c r="H14" s="213">
        <v>0</v>
      </c>
      <c r="I14" s="213">
        <v>0</v>
      </c>
      <c r="J14" s="213">
        <v>0.05</v>
      </c>
      <c r="K14" s="213">
        <v>0.01</v>
      </c>
      <c r="L14" s="213">
        <v>0</v>
      </c>
      <c r="M14" s="1127" t="s">
        <v>891</v>
      </c>
      <c r="N14" s="1127"/>
      <c r="O14" s="1127"/>
      <c r="P14" s="1127"/>
      <c r="Q14" s="1127"/>
      <c r="R14" s="1127"/>
      <c r="S14" s="1127"/>
    </row>
    <row r="15" spans="1:19">
      <c r="A15" s="212" t="s">
        <v>892</v>
      </c>
      <c r="B15" s="117" t="s">
        <v>884</v>
      </c>
      <c r="C15" s="117" t="s">
        <v>884</v>
      </c>
      <c r="D15" s="213">
        <v>0</v>
      </c>
      <c r="E15" s="213">
        <v>0</v>
      </c>
      <c r="F15" s="213">
        <f>1/3</f>
        <v>0.33333333333333331</v>
      </c>
      <c r="G15" s="213">
        <v>0</v>
      </c>
      <c r="H15" s="213">
        <v>0</v>
      </c>
      <c r="I15" s="213">
        <v>0</v>
      </c>
      <c r="J15" s="213">
        <f>1/3</f>
        <v>0.33333333333333331</v>
      </c>
      <c r="K15" s="213">
        <f>1/3</f>
        <v>0.33333333333333331</v>
      </c>
      <c r="L15" s="213">
        <v>0</v>
      </c>
      <c r="M15" s="1127" t="s">
        <v>43</v>
      </c>
      <c r="N15" s="1127"/>
      <c r="O15" s="1127"/>
      <c r="P15" s="1127"/>
      <c r="Q15" s="1127"/>
      <c r="R15" s="1127"/>
      <c r="S15" s="1127"/>
    </row>
    <row r="16" spans="1:19">
      <c r="A16" s="212" t="s">
        <v>238</v>
      </c>
      <c r="B16" s="117" t="s">
        <v>884</v>
      </c>
      <c r="C16" s="117" t="s">
        <v>884</v>
      </c>
      <c r="D16" s="213">
        <v>0</v>
      </c>
      <c r="E16" s="213">
        <v>0</v>
      </c>
      <c r="F16" s="213">
        <f>1/3</f>
        <v>0.33333333333333331</v>
      </c>
      <c r="G16" s="213">
        <v>0</v>
      </c>
      <c r="H16" s="213">
        <v>0</v>
      </c>
      <c r="I16" s="213">
        <v>0</v>
      </c>
      <c r="J16" s="213">
        <f>1/3</f>
        <v>0.33333333333333331</v>
      </c>
      <c r="K16" s="213">
        <f>1/3</f>
        <v>0.33333333333333331</v>
      </c>
      <c r="L16" s="213">
        <v>0</v>
      </c>
      <c r="M16" s="1127" t="s">
        <v>43</v>
      </c>
      <c r="N16" s="1127"/>
      <c r="O16" s="1127"/>
      <c r="P16" s="1127"/>
      <c r="Q16" s="1127"/>
      <c r="R16" s="1127"/>
      <c r="S16" s="1127"/>
    </row>
    <row r="17" spans="1:19">
      <c r="A17" s="212" t="s">
        <v>893</v>
      </c>
      <c r="B17" s="117" t="s">
        <v>884</v>
      </c>
      <c r="C17" s="117" t="s">
        <v>884</v>
      </c>
      <c r="D17" s="213">
        <v>0</v>
      </c>
      <c r="E17" s="213">
        <v>0</v>
      </c>
      <c r="F17" s="213">
        <v>0</v>
      </c>
      <c r="G17" s="213">
        <v>0</v>
      </c>
      <c r="H17" s="213">
        <v>0</v>
      </c>
      <c r="I17" s="213">
        <v>1</v>
      </c>
      <c r="J17" s="213">
        <v>0</v>
      </c>
      <c r="K17" s="213">
        <v>0</v>
      </c>
      <c r="L17" s="213">
        <v>0</v>
      </c>
      <c r="M17" s="1127" t="s">
        <v>43</v>
      </c>
      <c r="N17" s="1127"/>
      <c r="O17" s="1127"/>
      <c r="P17" s="1127"/>
      <c r="Q17" s="1127"/>
      <c r="R17" s="1127"/>
      <c r="S17" s="1127"/>
    </row>
    <row r="19" spans="1:19" s="6" customFormat="1" ht="30" customHeight="1">
      <c r="A19" s="1123" t="s">
        <v>767</v>
      </c>
      <c r="B19" s="1124"/>
      <c r="C19" s="1124"/>
      <c r="D19" s="1124"/>
      <c r="E19" s="1124"/>
      <c r="F19" s="1124"/>
      <c r="G19" s="1124"/>
      <c r="H19" s="1124"/>
      <c r="I19" s="1124"/>
      <c r="J19" s="1124"/>
      <c r="K19" s="1124"/>
      <c r="L19" s="1124"/>
      <c r="M19" s="1124"/>
      <c r="N19" s="1124"/>
      <c r="O19" s="1124"/>
      <c r="P19" s="1124"/>
      <c r="Q19" s="1124"/>
      <c r="R19" s="1124"/>
      <c r="S19" s="1124"/>
    </row>
    <row r="20" spans="1:19" ht="30" customHeight="1">
      <c r="A20" s="140" t="s">
        <v>100</v>
      </c>
      <c r="B20" s="140" t="s">
        <v>101</v>
      </c>
      <c r="C20" s="140" t="s">
        <v>131</v>
      </c>
      <c r="D20" s="140" t="s">
        <v>894</v>
      </c>
      <c r="E20" s="1125" t="s">
        <v>895</v>
      </c>
      <c r="F20" s="1125"/>
      <c r="G20" s="1129" t="s">
        <v>104</v>
      </c>
      <c r="H20" s="1130"/>
      <c r="I20" s="1125" t="s">
        <v>896</v>
      </c>
      <c r="J20" s="1125"/>
      <c r="K20" s="1125" t="s">
        <v>123</v>
      </c>
      <c r="L20" s="1125"/>
      <c r="M20" s="1125"/>
      <c r="N20" s="1125"/>
      <c r="O20" s="1125"/>
      <c r="P20" s="1125"/>
      <c r="Q20" s="1125"/>
      <c r="R20" s="1125"/>
      <c r="S20" s="1125"/>
    </row>
    <row r="21" spans="1:19">
      <c r="A21" s="212" t="s">
        <v>883</v>
      </c>
      <c r="B21" s="310">
        <v>2019</v>
      </c>
      <c r="C21" s="117" t="s">
        <v>180</v>
      </c>
      <c r="D21" s="183">
        <v>29.57</v>
      </c>
      <c r="E21" s="1128">
        <f>D21/$D$36</f>
        <v>7.2653562653562653E-2</v>
      </c>
      <c r="F21" s="1128"/>
      <c r="G21" s="1131" t="s">
        <v>897</v>
      </c>
      <c r="H21" s="1131"/>
      <c r="I21" s="1132"/>
      <c r="J21" s="1132"/>
      <c r="K21" s="1132"/>
      <c r="L21" s="1132"/>
      <c r="M21" s="1132"/>
      <c r="N21" s="1132"/>
      <c r="O21" s="1132"/>
      <c r="P21" s="1132"/>
      <c r="Q21" s="1132"/>
      <c r="R21" s="1132"/>
      <c r="S21" s="1132"/>
    </row>
    <row r="22" spans="1:19">
      <c r="A22" s="212" t="s">
        <v>886</v>
      </c>
      <c r="B22" s="310">
        <v>2017</v>
      </c>
      <c r="C22" s="117" t="s">
        <v>180</v>
      </c>
      <c r="D22" s="183">
        <v>1.63</v>
      </c>
      <c r="E22" s="1128">
        <f t="shared" ref="E22:E35" si="0">D22/$D$36</f>
        <v>4.004914004914005E-3</v>
      </c>
      <c r="F22" s="1128"/>
      <c r="G22" s="1131" t="s">
        <v>43</v>
      </c>
      <c r="H22" s="1131"/>
      <c r="I22" s="1132"/>
      <c r="J22" s="1132"/>
      <c r="K22" s="1132"/>
      <c r="L22" s="1132"/>
      <c r="M22" s="1132"/>
      <c r="N22" s="1132"/>
      <c r="O22" s="1132"/>
      <c r="P22" s="1132"/>
      <c r="Q22" s="1132"/>
      <c r="R22" s="1132"/>
      <c r="S22" s="1132"/>
    </row>
    <row r="23" spans="1:19">
      <c r="A23" s="212" t="s">
        <v>337</v>
      </c>
      <c r="B23" s="310">
        <v>2017</v>
      </c>
      <c r="C23" s="117" t="s">
        <v>180</v>
      </c>
      <c r="D23" s="183">
        <v>5.7</v>
      </c>
      <c r="E23" s="1128">
        <f t="shared" si="0"/>
        <v>1.4004914004914005E-2</v>
      </c>
      <c r="F23" s="1128"/>
      <c r="G23" s="1131" t="s">
        <v>43</v>
      </c>
      <c r="H23" s="1131"/>
      <c r="I23" s="1132"/>
      <c r="J23" s="1132"/>
      <c r="K23" s="1132"/>
      <c r="L23" s="1132"/>
      <c r="M23" s="1132"/>
      <c r="N23" s="1132"/>
      <c r="O23" s="1132"/>
      <c r="P23" s="1132"/>
      <c r="Q23" s="1132"/>
      <c r="R23" s="1132"/>
      <c r="S23" s="1132"/>
    </row>
    <row r="24" spans="1:19">
      <c r="A24" s="212" t="s">
        <v>241</v>
      </c>
      <c r="B24" s="310">
        <v>2017</v>
      </c>
      <c r="C24" s="117" t="s">
        <v>180</v>
      </c>
      <c r="D24" s="183">
        <v>1.22</v>
      </c>
      <c r="E24" s="1128">
        <f t="shared" si="0"/>
        <v>2.9975429975429976E-3</v>
      </c>
      <c r="F24" s="1128"/>
      <c r="G24" s="1131" t="s">
        <v>43</v>
      </c>
      <c r="H24" s="1131"/>
      <c r="I24" s="1132"/>
      <c r="J24" s="1132"/>
      <c r="K24" s="1132"/>
      <c r="L24" s="1132"/>
      <c r="M24" s="1132"/>
      <c r="N24" s="1132"/>
      <c r="O24" s="1132"/>
      <c r="P24" s="1132"/>
      <c r="Q24" s="1132"/>
      <c r="R24" s="1132"/>
      <c r="S24" s="1132"/>
    </row>
    <row r="25" spans="1:19">
      <c r="A25" s="212" t="s">
        <v>239</v>
      </c>
      <c r="B25" s="310">
        <v>2017</v>
      </c>
      <c r="C25" s="117" t="s">
        <v>180</v>
      </c>
      <c r="D25" s="183">
        <v>0.41</v>
      </c>
      <c r="E25" s="1128">
        <f t="shared" si="0"/>
        <v>1.0073710073710074E-3</v>
      </c>
      <c r="F25" s="1128"/>
      <c r="G25" s="1131" t="s">
        <v>43</v>
      </c>
      <c r="H25" s="1131"/>
      <c r="I25" s="1132"/>
      <c r="J25" s="1132"/>
      <c r="K25" s="1132"/>
      <c r="L25" s="1132"/>
      <c r="M25" s="1132"/>
      <c r="N25" s="1132"/>
      <c r="O25" s="1132"/>
      <c r="P25" s="1132"/>
      <c r="Q25" s="1132"/>
      <c r="R25" s="1132"/>
      <c r="S25" s="1132"/>
    </row>
    <row r="26" spans="1:19">
      <c r="A26" s="212" t="s">
        <v>240</v>
      </c>
      <c r="B26" s="310">
        <v>2017</v>
      </c>
      <c r="C26" s="117" t="s">
        <v>180</v>
      </c>
      <c r="D26" s="183">
        <v>10.58</v>
      </c>
      <c r="E26" s="1128">
        <f t="shared" si="0"/>
        <v>2.5995085995085994E-2</v>
      </c>
      <c r="F26" s="1128"/>
      <c r="G26" s="1131" t="s">
        <v>43</v>
      </c>
      <c r="H26" s="1131"/>
      <c r="I26" s="1132"/>
      <c r="J26" s="1132"/>
      <c r="K26" s="1132"/>
      <c r="L26" s="1132"/>
      <c r="M26" s="1132"/>
      <c r="N26" s="1132"/>
      <c r="O26" s="1132"/>
      <c r="P26" s="1132"/>
      <c r="Q26" s="1132"/>
      <c r="R26" s="1132"/>
      <c r="S26" s="1132"/>
    </row>
    <row r="27" spans="1:19">
      <c r="A27" s="212" t="s">
        <v>191</v>
      </c>
      <c r="B27" s="310">
        <v>2019</v>
      </c>
      <c r="C27" s="117" t="s">
        <v>180</v>
      </c>
      <c r="D27" s="183">
        <v>28.97</v>
      </c>
      <c r="E27" s="1128">
        <f t="shared" si="0"/>
        <v>7.1179361179361175E-2</v>
      </c>
      <c r="F27" s="1128"/>
      <c r="G27" s="1131" t="s">
        <v>897</v>
      </c>
      <c r="H27" s="1131"/>
      <c r="I27" s="1132"/>
      <c r="J27" s="1132"/>
      <c r="K27" s="1132"/>
      <c r="L27" s="1132"/>
      <c r="M27" s="1132"/>
      <c r="N27" s="1132"/>
      <c r="O27" s="1132"/>
      <c r="P27" s="1132"/>
      <c r="Q27" s="1132"/>
      <c r="R27" s="1132"/>
      <c r="S27" s="1132"/>
    </row>
    <row r="28" spans="1:19">
      <c r="A28" s="212" t="s">
        <v>356</v>
      </c>
      <c r="B28" s="310">
        <v>2019</v>
      </c>
      <c r="C28" s="117" t="s">
        <v>180</v>
      </c>
      <c r="D28" s="183">
        <v>108.41</v>
      </c>
      <c r="E28" s="1128">
        <f t="shared" si="0"/>
        <v>0.26636363636363636</v>
      </c>
      <c r="F28" s="1128"/>
      <c r="G28" s="1131" t="s">
        <v>897</v>
      </c>
      <c r="H28" s="1131"/>
      <c r="I28" s="1132"/>
      <c r="J28" s="1132"/>
      <c r="K28" s="1132"/>
      <c r="L28" s="1132"/>
      <c r="M28" s="1132"/>
      <c r="N28" s="1132"/>
      <c r="O28" s="1132"/>
      <c r="P28" s="1132"/>
      <c r="Q28" s="1132"/>
      <c r="R28" s="1132"/>
      <c r="S28" s="1132"/>
    </row>
    <row r="29" spans="1:19">
      <c r="A29" s="212" t="s">
        <v>346</v>
      </c>
      <c r="B29" s="117">
        <v>2017</v>
      </c>
      <c r="C29" s="117" t="s">
        <v>180</v>
      </c>
      <c r="D29" s="183">
        <v>56.98</v>
      </c>
      <c r="E29" s="1128">
        <f>D29/$D$36</f>
        <v>0.13999999999999999</v>
      </c>
      <c r="F29" s="1128"/>
      <c r="G29" s="1131" t="s">
        <v>43</v>
      </c>
      <c r="H29" s="1131"/>
      <c r="I29" s="1132"/>
      <c r="J29" s="1132"/>
      <c r="K29" s="1132"/>
      <c r="L29" s="1132"/>
      <c r="M29" s="1132"/>
      <c r="N29" s="1132"/>
      <c r="O29" s="1132"/>
      <c r="P29" s="1132"/>
      <c r="Q29" s="1132"/>
      <c r="R29" s="1132"/>
      <c r="S29" s="1132"/>
    </row>
    <row r="30" spans="1:19">
      <c r="A30" s="212" t="s">
        <v>889</v>
      </c>
      <c r="B30" s="117">
        <v>2017</v>
      </c>
      <c r="C30" s="117" t="s">
        <v>180</v>
      </c>
      <c r="D30" s="183">
        <v>40.29</v>
      </c>
      <c r="E30" s="1128">
        <f t="shared" si="0"/>
        <v>9.8992628992628992E-2</v>
      </c>
      <c r="F30" s="1128"/>
      <c r="G30" s="1131" t="s">
        <v>43</v>
      </c>
      <c r="H30" s="1131"/>
      <c r="I30" s="1132"/>
      <c r="J30" s="1132"/>
      <c r="K30" s="1132"/>
      <c r="L30" s="1132"/>
      <c r="M30" s="1132"/>
      <c r="N30" s="1132"/>
      <c r="O30" s="1132"/>
      <c r="P30" s="1132"/>
      <c r="Q30" s="1132"/>
      <c r="R30" s="1132"/>
      <c r="S30" s="1132"/>
    </row>
    <row r="31" spans="1:19">
      <c r="A31" s="212" t="s">
        <v>348</v>
      </c>
      <c r="B31" s="117">
        <v>2017</v>
      </c>
      <c r="C31" s="117" t="s">
        <v>180</v>
      </c>
      <c r="D31" s="183">
        <v>47.62</v>
      </c>
      <c r="E31" s="1128">
        <f t="shared" si="0"/>
        <v>0.117002457002457</v>
      </c>
      <c r="F31" s="1128"/>
      <c r="G31" s="1131" t="s">
        <v>43</v>
      </c>
      <c r="H31" s="1131"/>
      <c r="I31" s="1132"/>
      <c r="J31" s="1132"/>
      <c r="K31" s="1132"/>
      <c r="L31" s="1132"/>
      <c r="M31" s="1132"/>
      <c r="N31" s="1132"/>
      <c r="O31" s="1132"/>
      <c r="P31" s="1132"/>
      <c r="Q31" s="1132"/>
      <c r="R31" s="1132"/>
      <c r="S31" s="1132"/>
    </row>
    <row r="32" spans="1:19">
      <c r="A32" s="212" t="s">
        <v>890</v>
      </c>
      <c r="B32" s="117">
        <v>2022</v>
      </c>
      <c r="C32" s="117" t="s">
        <v>180</v>
      </c>
      <c r="D32" s="183">
        <v>11.4</v>
      </c>
      <c r="E32" s="1128">
        <f t="shared" si="0"/>
        <v>2.800982800982801E-2</v>
      </c>
      <c r="F32" s="1128"/>
      <c r="G32" s="1131" t="s">
        <v>898</v>
      </c>
      <c r="H32" s="1131"/>
      <c r="I32" s="1132"/>
      <c r="J32" s="1132"/>
      <c r="K32" s="1132"/>
      <c r="L32" s="1132"/>
      <c r="M32" s="1132"/>
      <c r="N32" s="1132"/>
      <c r="O32" s="1132"/>
      <c r="P32" s="1132"/>
      <c r="Q32" s="1132"/>
      <c r="R32" s="1132"/>
      <c r="S32" s="1132"/>
    </row>
    <row r="33" spans="1:32">
      <c r="A33" s="212" t="s">
        <v>892</v>
      </c>
      <c r="B33" s="117">
        <v>2017</v>
      </c>
      <c r="C33" s="117" t="s">
        <v>180</v>
      </c>
      <c r="D33" s="183">
        <v>15.06</v>
      </c>
      <c r="E33" s="1128">
        <f t="shared" si="0"/>
        <v>3.7002457002457002E-2</v>
      </c>
      <c r="F33" s="1128"/>
      <c r="G33" s="1131" t="s">
        <v>43</v>
      </c>
      <c r="H33" s="1131"/>
      <c r="I33" s="1132"/>
      <c r="J33" s="1132"/>
      <c r="K33" s="1132"/>
      <c r="L33" s="1132"/>
      <c r="M33" s="1132"/>
      <c r="N33" s="1132"/>
      <c r="O33" s="1132"/>
      <c r="P33" s="1132"/>
      <c r="Q33" s="1132"/>
      <c r="R33" s="1132"/>
      <c r="S33" s="1132"/>
    </row>
    <row r="34" spans="1:32">
      <c r="A34" s="212" t="s">
        <v>238</v>
      </c>
      <c r="B34" s="117">
        <v>2017</v>
      </c>
      <c r="C34" s="117" t="s">
        <v>180</v>
      </c>
      <c r="D34" s="183">
        <f>D36-(SUM(D21:D33,D35))</f>
        <v>38.980000000000018</v>
      </c>
      <c r="E34" s="1128">
        <f t="shared" si="0"/>
        <v>9.5773955773955824E-2</v>
      </c>
      <c r="F34" s="1128"/>
      <c r="G34" s="1131"/>
      <c r="H34" s="1131"/>
      <c r="I34" s="1132"/>
      <c r="J34" s="1132"/>
      <c r="K34" s="1132" t="s">
        <v>899</v>
      </c>
      <c r="L34" s="1132"/>
      <c r="M34" s="1132"/>
      <c r="N34" s="1132"/>
      <c r="O34" s="1132"/>
      <c r="P34" s="1132"/>
      <c r="Q34" s="1132"/>
      <c r="R34" s="1132"/>
      <c r="S34" s="1132"/>
    </row>
    <row r="35" spans="1:32">
      <c r="A35" s="212" t="s">
        <v>893</v>
      </c>
      <c r="B35" s="117">
        <v>2017</v>
      </c>
      <c r="C35" s="117" t="s">
        <v>180</v>
      </c>
      <c r="D35" s="183">
        <v>10.18</v>
      </c>
      <c r="E35" s="1128">
        <f t="shared" si="0"/>
        <v>2.5012285012285012E-2</v>
      </c>
      <c r="F35" s="1128"/>
      <c r="G35" s="1131" t="s">
        <v>43</v>
      </c>
      <c r="H35" s="1131"/>
      <c r="I35" s="1132"/>
      <c r="J35" s="1132"/>
      <c r="K35" s="1132"/>
      <c r="L35" s="1132"/>
      <c r="M35" s="1132"/>
      <c r="N35" s="1132"/>
      <c r="O35" s="1132"/>
      <c r="P35" s="1132"/>
      <c r="Q35" s="1132"/>
      <c r="R35" s="1132"/>
      <c r="S35" s="1132"/>
    </row>
    <row r="36" spans="1:32">
      <c r="A36" s="138" t="s">
        <v>900</v>
      </c>
      <c r="B36" s="127">
        <v>2017</v>
      </c>
      <c r="C36" s="127" t="s">
        <v>180</v>
      </c>
      <c r="D36" s="137">
        <v>407</v>
      </c>
      <c r="E36" s="1133">
        <f>SUM(E21:E35)</f>
        <v>1</v>
      </c>
      <c r="F36" s="1133"/>
      <c r="G36" s="1131"/>
      <c r="H36" s="1131"/>
      <c r="I36" s="1132"/>
      <c r="J36" s="1132"/>
      <c r="K36" s="1132"/>
      <c r="L36" s="1132"/>
      <c r="M36" s="1132"/>
      <c r="N36" s="1132"/>
      <c r="O36" s="1132"/>
      <c r="P36" s="1132"/>
      <c r="Q36" s="1132"/>
      <c r="R36" s="1132"/>
      <c r="S36" s="1132"/>
    </row>
    <row r="38" spans="1:32" ht="30" customHeight="1">
      <c r="A38" s="140" t="s">
        <v>901</v>
      </c>
      <c r="B38" s="140" t="s">
        <v>101</v>
      </c>
      <c r="C38" s="140" t="s">
        <v>131</v>
      </c>
      <c r="D38" s="189" t="s">
        <v>902</v>
      </c>
      <c r="E38" s="189" t="s">
        <v>903</v>
      </c>
      <c r="F38" s="189" t="s">
        <v>904</v>
      </c>
      <c r="G38" s="189" t="s">
        <v>905</v>
      </c>
      <c r="H38" s="189" t="s">
        <v>906</v>
      </c>
      <c r="I38" s="189" t="s">
        <v>907</v>
      </c>
      <c r="J38" s="189" t="s">
        <v>908</v>
      </c>
      <c r="K38" s="189" t="s">
        <v>909</v>
      </c>
      <c r="L38" s="189" t="s">
        <v>910</v>
      </c>
      <c r="M38" s="1125" t="s">
        <v>123</v>
      </c>
      <c r="N38" s="1125"/>
      <c r="O38" s="1125"/>
      <c r="P38" s="1125"/>
      <c r="Q38" s="1125"/>
      <c r="R38" s="1125"/>
      <c r="S38" s="1125"/>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122" t="s">
        <v>911</v>
      </c>
      <c r="N39" s="1122"/>
      <c r="O39" s="1122"/>
      <c r="P39" s="1122"/>
      <c r="Q39" s="1122"/>
      <c r="R39" s="1122"/>
      <c r="S39" s="1122"/>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140" t="s">
        <v>912</v>
      </c>
      <c r="N40" s="1141"/>
      <c r="O40" s="1141"/>
      <c r="P40" s="1141"/>
      <c r="Q40" s="1141"/>
      <c r="R40" s="1141"/>
      <c r="S40" s="1142"/>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140" t="s">
        <v>913</v>
      </c>
      <c r="N41" s="1141"/>
      <c r="O41" s="1141"/>
      <c r="P41" s="1141"/>
      <c r="Q41" s="1141"/>
      <c r="R41" s="1141"/>
      <c r="S41" s="1142"/>
    </row>
    <row r="42" spans="1:32">
      <c r="A42" s="1139" t="s">
        <v>914</v>
      </c>
      <c r="B42" s="1139"/>
      <c r="C42" s="1139"/>
      <c r="D42" s="1139"/>
      <c r="E42" s="1139"/>
      <c r="F42" s="1139"/>
      <c r="G42" s="1139"/>
      <c r="H42" s="1139"/>
      <c r="I42" s="1139"/>
      <c r="J42" s="1139"/>
      <c r="K42" s="1139"/>
      <c r="L42" s="1139"/>
      <c r="M42" s="1139"/>
      <c r="N42" s="1139"/>
      <c r="O42" s="1139"/>
      <c r="P42" s="1139"/>
      <c r="Q42" s="1139"/>
      <c r="R42" s="1139"/>
      <c r="S42" s="1139"/>
      <c r="AD42" s="6"/>
      <c r="AE42" s="6"/>
      <c r="AF42" s="6"/>
    </row>
    <row r="43" spans="1:32" ht="30" customHeight="1">
      <c r="A43" s="214"/>
      <c r="B43" s="140" t="s">
        <v>101</v>
      </c>
      <c r="C43" s="140" t="s">
        <v>131</v>
      </c>
      <c r="D43" s="1129" t="s">
        <v>915</v>
      </c>
      <c r="E43" s="1130"/>
      <c r="F43" s="1146"/>
      <c r="G43" s="1129" t="s">
        <v>916</v>
      </c>
      <c r="H43" s="1130"/>
      <c r="I43" s="1146"/>
      <c r="J43" s="1129" t="s">
        <v>917</v>
      </c>
      <c r="K43" s="1130"/>
      <c r="L43" s="1146"/>
      <c r="M43" s="1125" t="s">
        <v>123</v>
      </c>
      <c r="N43" s="1125"/>
      <c r="O43" s="1125"/>
      <c r="P43" s="1125"/>
      <c r="Q43" s="1125"/>
      <c r="R43" s="1125"/>
      <c r="S43" s="1125"/>
      <c r="AD43" s="6"/>
      <c r="AE43" s="6"/>
      <c r="AF43" s="6"/>
    </row>
    <row r="44" spans="1:32">
      <c r="A44" s="142" t="s">
        <v>85</v>
      </c>
      <c r="B44" s="117"/>
      <c r="C44" s="117" t="s">
        <v>180</v>
      </c>
      <c r="D44" s="1147">
        <f>D39</f>
        <v>0</v>
      </c>
      <c r="E44" s="1148"/>
      <c r="F44" s="1149"/>
      <c r="G44" s="1150">
        <f>D40</f>
        <v>0</v>
      </c>
      <c r="H44" s="1151"/>
      <c r="I44" s="1152"/>
      <c r="J44" s="1150">
        <f>D41</f>
        <v>0</v>
      </c>
      <c r="K44" s="1151"/>
      <c r="L44" s="1152"/>
      <c r="M44" s="1122"/>
      <c r="N44" s="1122"/>
      <c r="O44" s="1122"/>
      <c r="P44" s="1122"/>
      <c r="Q44" s="1122"/>
      <c r="R44" s="1122"/>
      <c r="S44" s="1122"/>
    </row>
    <row r="45" spans="1:32">
      <c r="A45" s="142" t="s">
        <v>86</v>
      </c>
      <c r="B45" s="117"/>
      <c r="C45" s="117" t="s">
        <v>180</v>
      </c>
      <c r="D45" s="1147">
        <f>E39</f>
        <v>0.29570000000000002</v>
      </c>
      <c r="E45" s="1148"/>
      <c r="F45" s="1149"/>
      <c r="G45" s="1150">
        <f>E40</f>
        <v>7.2763666666666662</v>
      </c>
      <c r="H45" s="1151"/>
      <c r="I45" s="1152"/>
      <c r="J45" s="1150">
        <f>E41</f>
        <v>0.22800000000000001</v>
      </c>
      <c r="K45" s="1151"/>
      <c r="L45" s="1152"/>
      <c r="M45" s="1122"/>
      <c r="N45" s="1122"/>
      <c r="O45" s="1122"/>
      <c r="P45" s="1122"/>
      <c r="Q45" s="1122"/>
      <c r="R45" s="1122"/>
      <c r="S45" s="1122"/>
    </row>
    <row r="46" spans="1:32">
      <c r="A46" s="142" t="s">
        <v>87</v>
      </c>
      <c r="B46" s="117"/>
      <c r="C46" s="117" t="s">
        <v>180</v>
      </c>
      <c r="D46" s="1147">
        <f>F39</f>
        <v>0.29570000000000002</v>
      </c>
      <c r="E46" s="1148"/>
      <c r="F46" s="1149"/>
      <c r="G46" s="1150">
        <f>F40</f>
        <v>4.2263666666666664</v>
      </c>
      <c r="H46" s="1151"/>
      <c r="I46" s="1152"/>
      <c r="J46" s="1150">
        <f>F41</f>
        <v>93.731666666666669</v>
      </c>
      <c r="K46" s="1151"/>
      <c r="L46" s="1152"/>
      <c r="M46" s="1122"/>
      <c r="N46" s="1122"/>
      <c r="O46" s="1122"/>
      <c r="P46" s="1122"/>
      <c r="Q46" s="1122"/>
      <c r="R46" s="1122"/>
      <c r="S46" s="1122"/>
    </row>
    <row r="47" spans="1:32">
      <c r="A47" s="142" t="s">
        <v>88</v>
      </c>
      <c r="B47" s="117"/>
      <c r="C47" s="117" t="s">
        <v>180</v>
      </c>
      <c r="D47" s="1147">
        <f>G39</f>
        <v>0</v>
      </c>
      <c r="E47" s="1148"/>
      <c r="F47" s="1149"/>
      <c r="G47" s="1150">
        <f>G40</f>
        <v>0</v>
      </c>
      <c r="H47" s="1151"/>
      <c r="I47" s="1152"/>
      <c r="J47" s="1150">
        <f>G41</f>
        <v>0</v>
      </c>
      <c r="K47" s="1151"/>
      <c r="L47" s="1152"/>
      <c r="M47" s="1122"/>
      <c r="N47" s="1122"/>
      <c r="O47" s="1122"/>
      <c r="P47" s="1122"/>
      <c r="Q47" s="1122"/>
      <c r="R47" s="1122"/>
      <c r="S47" s="1122"/>
    </row>
    <row r="48" spans="1:32">
      <c r="A48" s="142" t="s">
        <v>89</v>
      </c>
      <c r="B48" s="117"/>
      <c r="C48" s="117" t="s">
        <v>180</v>
      </c>
      <c r="D48" s="1147">
        <f>H39</f>
        <v>0</v>
      </c>
      <c r="E48" s="1148"/>
      <c r="F48" s="1149"/>
      <c r="G48" s="1150">
        <f>H40</f>
        <v>0</v>
      </c>
      <c r="H48" s="1151"/>
      <c r="I48" s="1152"/>
      <c r="J48" s="1150">
        <f>H41</f>
        <v>0</v>
      </c>
      <c r="K48" s="1151"/>
      <c r="L48" s="1152"/>
      <c r="M48" s="1122"/>
      <c r="N48" s="1122"/>
      <c r="O48" s="1122"/>
      <c r="P48" s="1122"/>
      <c r="Q48" s="1122"/>
      <c r="R48" s="1122"/>
      <c r="S48" s="1122"/>
    </row>
    <row r="49" spans="1:19">
      <c r="A49" s="142" t="s">
        <v>90</v>
      </c>
      <c r="B49" s="117"/>
      <c r="C49" s="117" t="s">
        <v>180</v>
      </c>
      <c r="D49" s="1147">
        <f>I39</f>
        <v>0</v>
      </c>
      <c r="E49" s="1148"/>
      <c r="F49" s="1149"/>
      <c r="G49" s="1150">
        <f>I40</f>
        <v>0</v>
      </c>
      <c r="H49" s="1151"/>
      <c r="I49" s="1152"/>
      <c r="J49" s="1150">
        <f>I41</f>
        <v>10.18</v>
      </c>
      <c r="K49" s="1151"/>
      <c r="L49" s="1152"/>
      <c r="M49" s="1122"/>
      <c r="N49" s="1122"/>
      <c r="O49" s="1122"/>
      <c r="P49" s="1122"/>
      <c r="Q49" s="1122"/>
      <c r="R49" s="1122"/>
      <c r="S49" s="1122"/>
    </row>
    <row r="50" spans="1:19">
      <c r="A50" s="142" t="s">
        <v>91</v>
      </c>
      <c r="B50" s="117"/>
      <c r="C50" s="117" t="s">
        <v>180</v>
      </c>
      <c r="D50" s="1147">
        <f>J39</f>
        <v>22.768900000000002</v>
      </c>
      <c r="E50" s="1148"/>
      <c r="F50" s="1149"/>
      <c r="G50" s="1150">
        <f>J40</f>
        <v>30.108566666666665</v>
      </c>
      <c r="H50" s="1151"/>
      <c r="I50" s="1152"/>
      <c r="J50" s="1150">
        <f>J41</f>
        <v>89.234166666666653</v>
      </c>
      <c r="K50" s="1151"/>
      <c r="L50" s="1152"/>
      <c r="M50" s="1122"/>
      <c r="N50" s="1122"/>
      <c r="O50" s="1122"/>
      <c r="P50" s="1122"/>
      <c r="Q50" s="1122"/>
      <c r="R50" s="1122"/>
      <c r="S50" s="1122"/>
    </row>
    <row r="51" spans="1:19">
      <c r="A51" s="215" t="s">
        <v>95</v>
      </c>
      <c r="B51" s="117"/>
      <c r="C51" s="117" t="s">
        <v>180</v>
      </c>
      <c r="D51" s="1147">
        <f>K39</f>
        <v>3.5484</v>
      </c>
      <c r="E51" s="1148"/>
      <c r="F51" s="1149"/>
      <c r="G51" s="1150">
        <f>K40</f>
        <v>4.2913999999999994</v>
      </c>
      <c r="H51" s="1151"/>
      <c r="I51" s="1152"/>
      <c r="J51" s="1150">
        <f>K41</f>
        <v>115.88066666666667</v>
      </c>
      <c r="K51" s="1151"/>
      <c r="L51" s="1152"/>
      <c r="M51" s="1122"/>
      <c r="N51" s="1122"/>
      <c r="O51" s="1122"/>
      <c r="P51" s="1122"/>
      <c r="Q51" s="1122"/>
      <c r="R51" s="1122"/>
      <c r="S51" s="1122"/>
    </row>
    <row r="52" spans="1:19">
      <c r="A52" s="142" t="s">
        <v>882</v>
      </c>
      <c r="B52" s="117"/>
      <c r="C52" s="117" t="s">
        <v>180</v>
      </c>
      <c r="D52" s="1147">
        <f>L39</f>
        <v>2.6612999999999998</v>
      </c>
      <c r="E52" s="1148"/>
      <c r="F52" s="1149"/>
      <c r="G52" s="1150">
        <f>L40</f>
        <v>2.6073</v>
      </c>
      <c r="H52" s="1151"/>
      <c r="I52" s="1152"/>
      <c r="J52" s="1150">
        <f>L41</f>
        <v>19.665500000000002</v>
      </c>
      <c r="K52" s="1151"/>
      <c r="L52" s="1152"/>
      <c r="M52" s="1122"/>
      <c r="N52" s="1122"/>
      <c r="O52" s="1122"/>
      <c r="P52" s="1122"/>
      <c r="Q52" s="1122"/>
      <c r="R52" s="1122"/>
      <c r="S52" s="1122"/>
    </row>
    <row r="54" spans="1:19" ht="30" customHeight="1">
      <c r="A54" s="140" t="s">
        <v>100</v>
      </c>
      <c r="B54" s="140" t="s">
        <v>101</v>
      </c>
      <c r="C54" s="140" t="s">
        <v>131</v>
      </c>
      <c r="D54" s="189" t="s">
        <v>902</v>
      </c>
      <c r="E54" s="189" t="s">
        <v>903</v>
      </c>
      <c r="F54" s="189" t="s">
        <v>904</v>
      </c>
      <c r="G54" s="189" t="s">
        <v>905</v>
      </c>
      <c r="H54" s="189" t="s">
        <v>906</v>
      </c>
      <c r="I54" s="189" t="s">
        <v>907</v>
      </c>
      <c r="J54" s="189" t="s">
        <v>908</v>
      </c>
      <c r="K54" s="189" t="s">
        <v>909</v>
      </c>
      <c r="L54" s="189" t="s">
        <v>910</v>
      </c>
      <c r="M54" s="1125" t="s">
        <v>123</v>
      </c>
      <c r="N54" s="1125"/>
      <c r="O54" s="1125"/>
      <c r="P54" s="1125"/>
      <c r="Q54" s="1125"/>
      <c r="R54" s="1125"/>
      <c r="S54" s="1125"/>
    </row>
    <row r="55" spans="1:19">
      <c r="A55" s="212" t="s">
        <v>883</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122"/>
      <c r="N55" s="1122"/>
      <c r="O55" s="1122"/>
      <c r="P55" s="1122"/>
      <c r="Q55" s="1122"/>
      <c r="R55" s="1122"/>
      <c r="S55" s="1122"/>
    </row>
    <row r="56" spans="1:19">
      <c r="A56" s="212" t="s">
        <v>886</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122"/>
      <c r="N56" s="1122"/>
      <c r="O56" s="1122"/>
      <c r="P56" s="1122"/>
      <c r="Q56" s="1122"/>
      <c r="R56" s="1122"/>
      <c r="S56" s="1122"/>
    </row>
    <row r="57" spans="1:19">
      <c r="A57" s="212" t="s">
        <v>337</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122"/>
      <c r="N57" s="1122"/>
      <c r="O57" s="1122"/>
      <c r="P57" s="1122"/>
      <c r="Q57" s="1122"/>
      <c r="R57" s="1122"/>
      <c r="S57" s="1122"/>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122"/>
      <c r="N58" s="1122"/>
      <c r="O58" s="1122"/>
      <c r="P58" s="1122"/>
      <c r="Q58" s="1122"/>
      <c r="R58" s="1122"/>
      <c r="S58" s="1122"/>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122"/>
      <c r="N59" s="1122"/>
      <c r="O59" s="1122"/>
      <c r="P59" s="1122"/>
      <c r="Q59" s="1122"/>
      <c r="R59" s="1122"/>
      <c r="S59" s="1122"/>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122"/>
      <c r="N60" s="1122"/>
      <c r="O60" s="1122"/>
      <c r="P60" s="1122"/>
      <c r="Q60" s="1122"/>
      <c r="R60" s="1122"/>
      <c r="S60" s="1122"/>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122"/>
      <c r="N61" s="1122"/>
      <c r="O61" s="1122"/>
      <c r="P61" s="1122"/>
      <c r="Q61" s="1122"/>
      <c r="R61" s="1122"/>
      <c r="S61" s="1122"/>
    </row>
    <row r="62" spans="1:19">
      <c r="A62" s="212" t="s">
        <v>356</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122"/>
      <c r="N62" s="1122"/>
      <c r="O62" s="1122"/>
      <c r="P62" s="1122"/>
      <c r="Q62" s="1122"/>
      <c r="R62" s="1122"/>
      <c r="S62" s="1122"/>
    </row>
    <row r="63" spans="1:19">
      <c r="A63" s="212" t="s">
        <v>346</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122"/>
      <c r="N63" s="1122"/>
      <c r="O63" s="1122"/>
      <c r="P63" s="1122"/>
      <c r="Q63" s="1122"/>
      <c r="R63" s="1122"/>
      <c r="S63" s="1122"/>
    </row>
    <row r="64" spans="1:19">
      <c r="A64" s="212" t="s">
        <v>889</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122"/>
      <c r="N64" s="1122"/>
      <c r="O64" s="1122"/>
      <c r="P64" s="1122"/>
      <c r="Q64" s="1122"/>
      <c r="R64" s="1122"/>
      <c r="S64" s="1122"/>
    </row>
    <row r="65" spans="1:19">
      <c r="A65" s="212" t="s">
        <v>348</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122"/>
      <c r="N65" s="1122"/>
      <c r="O65" s="1122"/>
      <c r="P65" s="1122"/>
      <c r="Q65" s="1122"/>
      <c r="R65" s="1122"/>
      <c r="S65" s="1122"/>
    </row>
    <row r="66" spans="1:19">
      <c r="A66" s="212" t="s">
        <v>890</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122"/>
      <c r="N66" s="1122"/>
      <c r="O66" s="1122"/>
      <c r="P66" s="1122"/>
      <c r="Q66" s="1122"/>
      <c r="R66" s="1122"/>
      <c r="S66" s="1122"/>
    </row>
    <row r="67" spans="1:19">
      <c r="A67" s="212" t="s">
        <v>892</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122"/>
      <c r="N67" s="1122"/>
      <c r="O67" s="1122"/>
      <c r="P67" s="1122"/>
      <c r="Q67" s="1122"/>
      <c r="R67" s="1122"/>
      <c r="S67" s="1122"/>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122"/>
      <c r="N68" s="1122"/>
      <c r="O68" s="1122"/>
      <c r="P68" s="1122"/>
      <c r="Q68" s="1122"/>
      <c r="R68" s="1122"/>
      <c r="S68" s="1122"/>
    </row>
    <row r="69" spans="1:19">
      <c r="A69" s="212" t="s">
        <v>893</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122"/>
      <c r="N69" s="1122"/>
      <c r="O69" s="1122"/>
      <c r="P69" s="1122"/>
      <c r="Q69" s="1122"/>
      <c r="R69" s="1122"/>
      <c r="S69" s="1122"/>
    </row>
    <row r="71" spans="1:19" s="6" customFormat="1" ht="30" customHeight="1">
      <c r="A71" s="1137" t="s">
        <v>785</v>
      </c>
      <c r="B71" s="1137"/>
      <c r="C71" s="1137"/>
      <c r="D71" s="1137"/>
      <c r="E71" s="1137"/>
      <c r="F71" s="1137"/>
      <c r="G71" s="1137"/>
      <c r="H71" s="1137"/>
      <c r="I71" s="1137"/>
      <c r="J71" s="1137"/>
      <c r="K71" s="1137"/>
      <c r="L71" s="1137"/>
      <c r="M71" s="1137"/>
      <c r="N71" s="1137"/>
      <c r="O71" s="1137"/>
      <c r="P71" s="1137"/>
      <c r="Q71" s="1137"/>
      <c r="R71" s="1137"/>
      <c r="S71" s="1137"/>
    </row>
    <row r="72" spans="1:19" ht="30" customHeight="1">
      <c r="A72" s="139" t="s">
        <v>100</v>
      </c>
      <c r="B72" s="139" t="s">
        <v>101</v>
      </c>
      <c r="C72" s="139" t="s">
        <v>131</v>
      </c>
      <c r="D72" s="139" t="s">
        <v>894</v>
      </c>
      <c r="E72" s="1143" t="s">
        <v>104</v>
      </c>
      <c r="F72" s="1144"/>
      <c r="G72" s="1144"/>
      <c r="H72" s="1145"/>
      <c r="I72" s="1138" t="s">
        <v>896</v>
      </c>
      <c r="J72" s="1138"/>
      <c r="K72" s="1138" t="s">
        <v>123</v>
      </c>
      <c r="L72" s="1138"/>
      <c r="M72" s="1138"/>
      <c r="N72" s="1138"/>
      <c r="O72" s="1138"/>
      <c r="P72" s="1138"/>
      <c r="Q72" s="1138"/>
      <c r="R72" s="1138"/>
      <c r="S72" s="1138"/>
    </row>
    <row r="73" spans="1:19">
      <c r="A73" s="212" t="s">
        <v>883</v>
      </c>
      <c r="B73" s="117">
        <v>2017</v>
      </c>
      <c r="C73" s="117" t="s">
        <v>182</v>
      </c>
      <c r="D73" s="183">
        <f t="shared" ref="D73:D87" si="18">E21*$D$88</f>
        <v>606.73285145454543</v>
      </c>
      <c r="E73" s="1134"/>
      <c r="F73" s="1135"/>
      <c r="G73" s="1135"/>
      <c r="H73" s="1136"/>
      <c r="I73" s="1132"/>
      <c r="J73" s="1132"/>
      <c r="K73" s="1132" t="s">
        <v>125</v>
      </c>
      <c r="L73" s="1132"/>
      <c r="M73" s="1132"/>
      <c r="N73" s="1132"/>
      <c r="O73" s="1132"/>
      <c r="P73" s="1132"/>
      <c r="Q73" s="1132"/>
      <c r="R73" s="1132"/>
      <c r="S73" s="1132"/>
    </row>
    <row r="74" spans="1:19">
      <c r="A74" s="212" t="s">
        <v>886</v>
      </c>
      <c r="B74" s="117">
        <v>2017</v>
      </c>
      <c r="C74" s="117" t="s">
        <v>182</v>
      </c>
      <c r="D74" s="183">
        <f t="shared" si="18"/>
        <v>33.44519945454546</v>
      </c>
      <c r="E74" s="1134"/>
      <c r="F74" s="1135"/>
      <c r="G74" s="1135"/>
      <c r="H74" s="1136"/>
      <c r="I74" s="1132"/>
      <c r="J74" s="1132"/>
      <c r="K74" s="1132" t="s">
        <v>125</v>
      </c>
      <c r="L74" s="1132"/>
      <c r="M74" s="1132"/>
      <c r="N74" s="1132"/>
      <c r="O74" s="1132"/>
      <c r="P74" s="1132"/>
      <c r="Q74" s="1132"/>
      <c r="R74" s="1132"/>
      <c r="S74" s="1132"/>
    </row>
    <row r="75" spans="1:19">
      <c r="A75" s="212" t="s">
        <v>337</v>
      </c>
      <c r="B75" s="117">
        <v>2017</v>
      </c>
      <c r="C75" s="117" t="s">
        <v>182</v>
      </c>
      <c r="D75" s="183">
        <f t="shared" si="18"/>
        <v>116.95560545454546</v>
      </c>
      <c r="E75" s="1134"/>
      <c r="F75" s="1135"/>
      <c r="G75" s="1135"/>
      <c r="H75" s="1136"/>
      <c r="I75" s="1132"/>
      <c r="J75" s="1132"/>
      <c r="K75" s="1132" t="s">
        <v>125</v>
      </c>
      <c r="L75" s="1132"/>
      <c r="M75" s="1132"/>
      <c r="N75" s="1132"/>
      <c r="O75" s="1132"/>
      <c r="P75" s="1132"/>
      <c r="Q75" s="1132"/>
      <c r="R75" s="1132"/>
      <c r="S75" s="1132"/>
    </row>
    <row r="76" spans="1:19">
      <c r="A76" s="212" t="s">
        <v>241</v>
      </c>
      <c r="B76" s="117">
        <v>2017</v>
      </c>
      <c r="C76" s="117" t="s">
        <v>182</v>
      </c>
      <c r="D76" s="183">
        <f t="shared" si="18"/>
        <v>25.032603272727275</v>
      </c>
      <c r="E76" s="1134"/>
      <c r="F76" s="1135"/>
      <c r="G76" s="1135"/>
      <c r="H76" s="1136"/>
      <c r="I76" s="1132"/>
      <c r="J76" s="1132"/>
      <c r="K76" s="1132" t="s">
        <v>125</v>
      </c>
      <c r="L76" s="1132"/>
      <c r="M76" s="1132"/>
      <c r="N76" s="1132"/>
      <c r="O76" s="1132"/>
      <c r="P76" s="1132"/>
      <c r="Q76" s="1132"/>
      <c r="R76" s="1132"/>
      <c r="S76" s="1132"/>
    </row>
    <row r="77" spans="1:19">
      <c r="A77" s="212" t="s">
        <v>239</v>
      </c>
      <c r="B77" s="117">
        <v>2017</v>
      </c>
      <c r="C77" s="117" t="s">
        <v>182</v>
      </c>
      <c r="D77" s="183">
        <f t="shared" si="18"/>
        <v>8.4125961818181825</v>
      </c>
      <c r="E77" s="1134"/>
      <c r="F77" s="1135"/>
      <c r="G77" s="1135"/>
      <c r="H77" s="1136"/>
      <c r="I77" s="1132"/>
      <c r="J77" s="1132"/>
      <c r="K77" s="1132" t="s">
        <v>125</v>
      </c>
      <c r="L77" s="1132"/>
      <c r="M77" s="1132"/>
      <c r="N77" s="1132"/>
      <c r="O77" s="1132"/>
      <c r="P77" s="1132"/>
      <c r="Q77" s="1132"/>
      <c r="R77" s="1132"/>
      <c r="S77" s="1132"/>
    </row>
    <row r="78" spans="1:19">
      <c r="A78" s="212" t="s">
        <v>240</v>
      </c>
      <c r="B78" s="117">
        <v>2017</v>
      </c>
      <c r="C78" s="117" t="s">
        <v>182</v>
      </c>
      <c r="D78" s="183">
        <f t="shared" si="18"/>
        <v>217.08601854545455</v>
      </c>
      <c r="E78" s="1134"/>
      <c r="F78" s="1135"/>
      <c r="G78" s="1135"/>
      <c r="H78" s="1136"/>
      <c r="I78" s="1132"/>
      <c r="J78" s="1132"/>
      <c r="K78" s="1132" t="s">
        <v>125</v>
      </c>
      <c r="L78" s="1132"/>
      <c r="M78" s="1132"/>
      <c r="N78" s="1132"/>
      <c r="O78" s="1132"/>
      <c r="P78" s="1132"/>
      <c r="Q78" s="1132"/>
      <c r="R78" s="1132"/>
      <c r="S78" s="1132"/>
    </row>
    <row r="79" spans="1:19">
      <c r="A79" s="212" t="s">
        <v>191</v>
      </c>
      <c r="B79" s="117">
        <v>2017</v>
      </c>
      <c r="C79" s="117" t="s">
        <v>182</v>
      </c>
      <c r="D79" s="183">
        <f t="shared" si="18"/>
        <v>594.42173509090912</v>
      </c>
      <c r="E79" s="1134"/>
      <c r="F79" s="1135"/>
      <c r="G79" s="1135"/>
      <c r="H79" s="1136"/>
      <c r="I79" s="1132"/>
      <c r="J79" s="1132"/>
      <c r="K79" s="1132" t="s">
        <v>125</v>
      </c>
      <c r="L79" s="1132"/>
      <c r="M79" s="1132"/>
      <c r="N79" s="1132"/>
      <c r="O79" s="1132"/>
      <c r="P79" s="1132"/>
      <c r="Q79" s="1132"/>
      <c r="R79" s="1132"/>
      <c r="S79" s="1132"/>
    </row>
    <row r="80" spans="1:19">
      <c r="A80" s="212" t="s">
        <v>356</v>
      </c>
      <c r="B80" s="117">
        <v>2017</v>
      </c>
      <c r="C80" s="117" t="s">
        <v>182</v>
      </c>
      <c r="D80" s="183">
        <f t="shared" si="18"/>
        <v>2224.4135416363638</v>
      </c>
      <c r="E80" s="1134"/>
      <c r="F80" s="1135"/>
      <c r="G80" s="1135"/>
      <c r="H80" s="1136"/>
      <c r="I80" s="1132"/>
      <c r="J80" s="1132"/>
      <c r="K80" s="1132" t="s">
        <v>125</v>
      </c>
      <c r="L80" s="1132"/>
      <c r="M80" s="1132"/>
      <c r="N80" s="1132"/>
      <c r="O80" s="1132"/>
      <c r="P80" s="1132"/>
      <c r="Q80" s="1132"/>
      <c r="R80" s="1132"/>
      <c r="S80" s="1132"/>
    </row>
    <row r="81" spans="1:19">
      <c r="A81" s="212" t="s">
        <v>346</v>
      </c>
      <c r="B81" s="117">
        <v>2017</v>
      </c>
      <c r="C81" s="117" t="s">
        <v>182</v>
      </c>
      <c r="D81" s="183">
        <f t="shared" si="18"/>
        <v>1169.1456839999998</v>
      </c>
      <c r="E81" s="1134"/>
      <c r="F81" s="1135"/>
      <c r="G81" s="1135"/>
      <c r="H81" s="1136"/>
      <c r="I81" s="1132"/>
      <c r="J81" s="1132"/>
      <c r="K81" s="1132" t="s">
        <v>125</v>
      </c>
      <c r="L81" s="1132"/>
      <c r="M81" s="1132"/>
      <c r="N81" s="1132"/>
      <c r="O81" s="1132"/>
      <c r="P81" s="1132"/>
      <c r="Q81" s="1132"/>
      <c r="R81" s="1132"/>
      <c r="S81" s="1132"/>
    </row>
    <row r="82" spans="1:19">
      <c r="A82" s="212" t="s">
        <v>889</v>
      </c>
      <c r="B82" s="117">
        <v>2017</v>
      </c>
      <c r="C82" s="117" t="s">
        <v>182</v>
      </c>
      <c r="D82" s="183">
        <f t="shared" si="18"/>
        <v>826.69146381818189</v>
      </c>
      <c r="E82" s="1134"/>
      <c r="F82" s="1135"/>
      <c r="G82" s="1135"/>
      <c r="H82" s="1136"/>
      <c r="I82" s="1132"/>
      <c r="J82" s="1132"/>
      <c r="K82" s="1132" t="s">
        <v>125</v>
      </c>
      <c r="L82" s="1132"/>
      <c r="M82" s="1132"/>
      <c r="N82" s="1132"/>
      <c r="O82" s="1132"/>
      <c r="P82" s="1132"/>
      <c r="Q82" s="1132"/>
      <c r="R82" s="1132"/>
      <c r="S82" s="1132"/>
    </row>
    <row r="83" spans="1:19">
      <c r="A83" s="212" t="s">
        <v>348</v>
      </c>
      <c r="B83" s="117">
        <v>2017</v>
      </c>
      <c r="C83" s="117" t="s">
        <v>182</v>
      </c>
      <c r="D83" s="183">
        <f t="shared" si="18"/>
        <v>977.09226872727277</v>
      </c>
      <c r="E83" s="1134"/>
      <c r="F83" s="1135"/>
      <c r="G83" s="1135"/>
      <c r="H83" s="1136"/>
      <c r="I83" s="1132"/>
      <c r="J83" s="1132"/>
      <c r="K83" s="1132" t="s">
        <v>125</v>
      </c>
      <c r="L83" s="1132"/>
      <c r="M83" s="1132"/>
      <c r="N83" s="1132"/>
      <c r="O83" s="1132"/>
      <c r="P83" s="1132"/>
      <c r="Q83" s="1132"/>
      <c r="R83" s="1132"/>
      <c r="S83" s="1132"/>
    </row>
    <row r="84" spans="1:19">
      <c r="A84" s="212" t="s">
        <v>890</v>
      </c>
      <c r="B84" s="117">
        <v>2017</v>
      </c>
      <c r="C84" s="117" t="s">
        <v>182</v>
      </c>
      <c r="D84" s="183">
        <v>200</v>
      </c>
      <c r="E84" s="1134"/>
      <c r="F84" s="1135"/>
      <c r="G84" s="1135"/>
      <c r="H84" s="1136"/>
      <c r="I84" s="1132"/>
      <c r="J84" s="1132"/>
      <c r="K84" s="1132" t="s">
        <v>125</v>
      </c>
      <c r="L84" s="1132"/>
      <c r="M84" s="1132"/>
      <c r="N84" s="1132"/>
      <c r="O84" s="1132"/>
      <c r="P84" s="1132"/>
      <c r="Q84" s="1132"/>
      <c r="R84" s="1132"/>
      <c r="S84" s="1132"/>
    </row>
    <row r="85" spans="1:19">
      <c r="A85" s="212" t="s">
        <v>892</v>
      </c>
      <c r="B85" s="117">
        <v>2017</v>
      </c>
      <c r="C85" s="117" t="s">
        <v>182</v>
      </c>
      <c r="D85" s="183">
        <f t="shared" si="18"/>
        <v>309.00902072727274</v>
      </c>
      <c r="E85" s="1134"/>
      <c r="F85" s="1135"/>
      <c r="G85" s="1135"/>
      <c r="H85" s="1136"/>
      <c r="I85" s="1132"/>
      <c r="J85" s="1132"/>
      <c r="K85" s="1132" t="s">
        <v>125</v>
      </c>
      <c r="L85" s="1132"/>
      <c r="M85" s="1132"/>
      <c r="N85" s="1132"/>
      <c r="O85" s="1132"/>
      <c r="P85" s="1132"/>
      <c r="Q85" s="1132"/>
      <c r="R85" s="1132"/>
      <c r="S85" s="1132"/>
    </row>
    <row r="86" spans="1:19">
      <c r="A86" s="212" t="s">
        <v>238</v>
      </c>
      <c r="B86" s="117">
        <v>2017</v>
      </c>
      <c r="C86" s="117" t="s">
        <v>182</v>
      </c>
      <c r="D86" s="183">
        <f>D88-(SUM(D73:D85,D87))</f>
        <v>833.7234040000003</v>
      </c>
      <c r="E86" s="1134"/>
      <c r="F86" s="1135"/>
      <c r="G86" s="1135"/>
      <c r="H86" s="1136"/>
      <c r="I86" s="1132"/>
      <c r="J86" s="1132"/>
      <c r="K86" s="1132" t="s">
        <v>125</v>
      </c>
      <c r="L86" s="1132"/>
      <c r="M86" s="1132"/>
      <c r="N86" s="1132"/>
      <c r="O86" s="1132"/>
      <c r="P86" s="1132"/>
      <c r="Q86" s="1132"/>
      <c r="R86" s="1132"/>
      <c r="S86" s="1132"/>
    </row>
    <row r="87" spans="1:19">
      <c r="A87" s="212" t="s">
        <v>893</v>
      </c>
      <c r="B87" s="117">
        <v>2017</v>
      </c>
      <c r="C87" s="117" t="s">
        <v>182</v>
      </c>
      <c r="D87" s="183">
        <f t="shared" si="18"/>
        <v>208.87860763636365</v>
      </c>
      <c r="E87" s="1134"/>
      <c r="F87" s="1135"/>
      <c r="G87" s="1135"/>
      <c r="H87" s="1136"/>
      <c r="I87" s="1132"/>
      <c r="J87" s="1132"/>
      <c r="K87" s="1132" t="s">
        <v>125</v>
      </c>
      <c r="L87" s="1132"/>
      <c r="M87" s="1132"/>
      <c r="N87" s="1132"/>
      <c r="O87" s="1132"/>
      <c r="P87" s="1132"/>
      <c r="Q87" s="1132"/>
      <c r="R87" s="1132"/>
      <c r="S87" s="1132"/>
    </row>
    <row r="88" spans="1:19">
      <c r="A88" s="138" t="s">
        <v>900</v>
      </c>
      <c r="B88" s="127">
        <v>2017</v>
      </c>
      <c r="C88" s="117" t="s">
        <v>182</v>
      </c>
      <c r="D88" s="184">
        <f>(25.9*511800000/1000000)*0.63</f>
        <v>8351.0406000000003</v>
      </c>
      <c r="E88" s="1134" t="s">
        <v>124</v>
      </c>
      <c r="F88" s="1135"/>
      <c r="G88" s="1135" t="s">
        <v>124</v>
      </c>
      <c r="H88" s="1136"/>
      <c r="I88" s="1132"/>
      <c r="J88" s="1132"/>
      <c r="K88" s="1132"/>
      <c r="L88" s="1132"/>
      <c r="M88" s="1132"/>
      <c r="N88" s="1132"/>
      <c r="O88" s="1132"/>
      <c r="P88" s="1132"/>
      <c r="Q88" s="1132"/>
      <c r="R88" s="1132"/>
      <c r="S88" s="1132"/>
    </row>
    <row r="90" spans="1:19" ht="30" customHeight="1">
      <c r="A90" s="140" t="s">
        <v>901</v>
      </c>
      <c r="B90" s="140" t="s">
        <v>101</v>
      </c>
      <c r="C90" s="140" t="s">
        <v>131</v>
      </c>
      <c r="D90" s="189" t="s">
        <v>902</v>
      </c>
      <c r="E90" s="189" t="s">
        <v>903</v>
      </c>
      <c r="F90" s="189" t="s">
        <v>904</v>
      </c>
      <c r="G90" s="189" t="s">
        <v>905</v>
      </c>
      <c r="H90" s="189" t="s">
        <v>906</v>
      </c>
      <c r="I90" s="189" t="s">
        <v>907</v>
      </c>
      <c r="J90" s="189" t="s">
        <v>908</v>
      </c>
      <c r="K90" s="189" t="s">
        <v>909</v>
      </c>
      <c r="L90" s="189" t="s">
        <v>910</v>
      </c>
      <c r="M90" s="1125" t="s">
        <v>123</v>
      </c>
      <c r="N90" s="1125"/>
      <c r="O90" s="1125"/>
      <c r="P90" s="1125"/>
      <c r="Q90" s="1125"/>
      <c r="R90" s="1125"/>
      <c r="S90" s="1125"/>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122" t="s">
        <v>911</v>
      </c>
      <c r="N91" s="1122"/>
      <c r="O91" s="1122"/>
      <c r="P91" s="1122"/>
      <c r="Q91" s="1122"/>
      <c r="R91" s="1122"/>
      <c r="S91" s="1122"/>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140" t="s">
        <v>912</v>
      </c>
      <c r="N92" s="1141"/>
      <c r="O92" s="1141"/>
      <c r="P92" s="1141"/>
      <c r="Q92" s="1141"/>
      <c r="R92" s="1141"/>
      <c r="S92" s="1142"/>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140" t="s">
        <v>918</v>
      </c>
      <c r="N93" s="1141"/>
      <c r="O93" s="1141"/>
      <c r="P93" s="1141"/>
      <c r="Q93" s="1141"/>
      <c r="R93" s="1141"/>
      <c r="S93" s="1142"/>
    </row>
    <row r="94" spans="1:19">
      <c r="A94" s="1139" t="s">
        <v>914</v>
      </c>
      <c r="B94" s="1139"/>
      <c r="C94" s="1139"/>
      <c r="D94" s="1139"/>
      <c r="E94" s="1139"/>
      <c r="F94" s="1139"/>
      <c r="G94" s="1139"/>
      <c r="H94" s="1139"/>
      <c r="I94" s="1139"/>
      <c r="J94" s="1139"/>
      <c r="K94" s="1139"/>
      <c r="L94" s="1139"/>
      <c r="M94" s="1139"/>
      <c r="N94" s="1139"/>
      <c r="O94" s="1139"/>
      <c r="P94" s="1139"/>
      <c r="Q94" s="1139"/>
      <c r="R94" s="1139"/>
      <c r="S94" s="1139"/>
    </row>
    <row r="95" spans="1:19" ht="30" customHeight="1">
      <c r="A95" s="214"/>
      <c r="B95" s="140" t="s">
        <v>101</v>
      </c>
      <c r="C95" s="140" t="s">
        <v>131</v>
      </c>
      <c r="D95" s="1129" t="s">
        <v>915</v>
      </c>
      <c r="E95" s="1130"/>
      <c r="F95" s="1146"/>
      <c r="G95" s="1129" t="s">
        <v>916</v>
      </c>
      <c r="H95" s="1130"/>
      <c r="I95" s="1146"/>
      <c r="J95" s="1129" t="s">
        <v>917</v>
      </c>
      <c r="K95" s="1130"/>
      <c r="L95" s="1146"/>
      <c r="M95" s="1125" t="s">
        <v>123</v>
      </c>
      <c r="N95" s="1125"/>
      <c r="O95" s="1125"/>
      <c r="P95" s="1125"/>
      <c r="Q95" s="1125"/>
      <c r="R95" s="1125"/>
      <c r="S95" s="1125"/>
    </row>
    <row r="96" spans="1:19">
      <c r="A96" s="142" t="s">
        <v>85</v>
      </c>
      <c r="B96" s="117">
        <v>2017</v>
      </c>
      <c r="C96" s="117" t="s">
        <v>182</v>
      </c>
      <c r="D96" s="1150">
        <f>D91</f>
        <v>0</v>
      </c>
      <c r="E96" s="1151"/>
      <c r="F96" s="1152"/>
      <c r="G96" s="1150">
        <f>D92</f>
        <v>0</v>
      </c>
      <c r="H96" s="1151"/>
      <c r="I96" s="1152"/>
      <c r="J96" s="1150">
        <f>D93</f>
        <v>0</v>
      </c>
      <c r="K96" s="1151"/>
      <c r="L96" s="1152"/>
      <c r="M96" s="1122"/>
      <c r="N96" s="1122"/>
      <c r="O96" s="1122"/>
      <c r="P96" s="1122"/>
      <c r="Q96" s="1122"/>
      <c r="R96" s="1122"/>
      <c r="S96" s="1122"/>
    </row>
    <row r="97" spans="1:19">
      <c r="A97" s="142" t="s">
        <v>86</v>
      </c>
      <c r="B97" s="117">
        <v>2017</v>
      </c>
      <c r="C97" s="117" t="s">
        <v>182</v>
      </c>
      <c r="D97" s="1150">
        <f>E91</f>
        <v>6.0673285145454541</v>
      </c>
      <c r="E97" s="1151"/>
      <c r="F97" s="1152"/>
      <c r="G97" s="1150">
        <f>E92</f>
        <v>149.30032789636365</v>
      </c>
      <c r="H97" s="1151"/>
      <c r="I97" s="1152"/>
      <c r="J97" s="1150">
        <f>E93</f>
        <v>4</v>
      </c>
      <c r="K97" s="1151"/>
      <c r="L97" s="1152"/>
      <c r="M97" s="1122"/>
      <c r="N97" s="1122"/>
      <c r="O97" s="1122"/>
      <c r="P97" s="1122"/>
      <c r="Q97" s="1122"/>
      <c r="R97" s="1122"/>
      <c r="S97" s="1122"/>
    </row>
    <row r="98" spans="1:19">
      <c r="A98" s="142" t="s">
        <v>87</v>
      </c>
      <c r="B98" s="117">
        <v>2017</v>
      </c>
      <c r="C98" s="117" t="s">
        <v>182</v>
      </c>
      <c r="D98" s="1150">
        <f>F91</f>
        <v>6.0673285145454541</v>
      </c>
      <c r="E98" s="1151"/>
      <c r="F98" s="1152"/>
      <c r="G98" s="1150">
        <f>F92</f>
        <v>86.718819714545447</v>
      </c>
      <c r="H98" s="1151"/>
      <c r="I98" s="1152"/>
      <c r="J98" s="1150">
        <f>F93</f>
        <v>1903.3411817515153</v>
      </c>
      <c r="K98" s="1151"/>
      <c r="L98" s="1152"/>
      <c r="M98" s="1122"/>
      <c r="N98" s="1122"/>
      <c r="O98" s="1122"/>
      <c r="P98" s="1122"/>
      <c r="Q98" s="1122"/>
      <c r="R98" s="1122"/>
      <c r="S98" s="1122"/>
    </row>
    <row r="99" spans="1:19">
      <c r="A99" s="142" t="s">
        <v>88</v>
      </c>
      <c r="B99" s="117">
        <v>2017</v>
      </c>
      <c r="C99" s="117" t="s">
        <v>182</v>
      </c>
      <c r="D99" s="1150">
        <f>G91</f>
        <v>0</v>
      </c>
      <c r="E99" s="1151"/>
      <c r="F99" s="1152"/>
      <c r="G99" s="1150">
        <f>G92</f>
        <v>0</v>
      </c>
      <c r="H99" s="1151"/>
      <c r="I99" s="1152"/>
      <c r="J99" s="1150">
        <f>G93</f>
        <v>0</v>
      </c>
      <c r="K99" s="1151"/>
      <c r="L99" s="1152"/>
      <c r="M99" s="1122"/>
      <c r="N99" s="1122"/>
      <c r="O99" s="1122"/>
      <c r="P99" s="1122"/>
      <c r="Q99" s="1122"/>
      <c r="R99" s="1122"/>
      <c r="S99" s="1122"/>
    </row>
    <row r="100" spans="1:19">
      <c r="A100" s="142" t="s">
        <v>89</v>
      </c>
      <c r="B100" s="117">
        <v>2017</v>
      </c>
      <c r="C100" s="117" t="s">
        <v>182</v>
      </c>
      <c r="D100" s="1150">
        <f>H91</f>
        <v>0</v>
      </c>
      <c r="E100" s="1151"/>
      <c r="F100" s="1152"/>
      <c r="G100" s="1150">
        <f>H92</f>
        <v>0</v>
      </c>
      <c r="H100" s="1151"/>
      <c r="I100" s="1152"/>
      <c r="J100" s="1150">
        <f>H93</f>
        <v>0</v>
      </c>
      <c r="K100" s="1151"/>
      <c r="L100" s="1152"/>
      <c r="M100" s="1122"/>
      <c r="N100" s="1122"/>
      <c r="O100" s="1122"/>
      <c r="P100" s="1122"/>
      <c r="Q100" s="1122"/>
      <c r="R100" s="1122"/>
      <c r="S100" s="1122"/>
    </row>
    <row r="101" spans="1:19">
      <c r="A101" s="142" t="s">
        <v>90</v>
      </c>
      <c r="B101" s="117">
        <v>2017</v>
      </c>
      <c r="C101" s="117" t="s">
        <v>182</v>
      </c>
      <c r="D101" s="1150">
        <f>I91</f>
        <v>0</v>
      </c>
      <c r="E101" s="1151"/>
      <c r="F101" s="1152"/>
      <c r="G101" s="1150">
        <f>I92</f>
        <v>0</v>
      </c>
      <c r="H101" s="1151"/>
      <c r="I101" s="1152"/>
      <c r="J101" s="1150">
        <f>I93</f>
        <v>208.87860763636365</v>
      </c>
      <c r="K101" s="1151"/>
      <c r="L101" s="1152"/>
      <c r="M101" s="1122"/>
      <c r="N101" s="1122"/>
      <c r="O101" s="1122"/>
      <c r="P101" s="1122"/>
      <c r="Q101" s="1122"/>
      <c r="R101" s="1122"/>
      <c r="S101" s="1122"/>
    </row>
    <row r="102" spans="1:19">
      <c r="A102" s="142" t="s">
        <v>91</v>
      </c>
      <c r="B102" s="117">
        <v>2017</v>
      </c>
      <c r="C102" s="117" t="s">
        <v>182</v>
      </c>
      <c r="D102" s="1150">
        <f>J91</f>
        <v>467.18429562</v>
      </c>
      <c r="E102" s="1151"/>
      <c r="F102" s="1152"/>
      <c r="G102" s="1150">
        <f>J92</f>
        <v>617.78344629272738</v>
      </c>
      <c r="H102" s="1151"/>
      <c r="I102" s="1152"/>
      <c r="J102" s="1150">
        <f>J93</f>
        <v>1840.5618588333332</v>
      </c>
      <c r="K102" s="1151"/>
      <c r="L102" s="1152"/>
      <c r="M102" s="1122"/>
      <c r="N102" s="1122"/>
      <c r="O102" s="1122"/>
      <c r="P102" s="1122"/>
      <c r="Q102" s="1122"/>
      <c r="R102" s="1122"/>
      <c r="S102" s="1122"/>
    </row>
    <row r="103" spans="1:19">
      <c r="A103" s="215" t="s">
        <v>95</v>
      </c>
      <c r="B103" s="117">
        <v>2017</v>
      </c>
      <c r="C103" s="117" t="s">
        <v>182</v>
      </c>
      <c r="D103" s="1150">
        <f>K91</f>
        <v>72.807942174545445</v>
      </c>
      <c r="E103" s="1151"/>
      <c r="F103" s="1152"/>
      <c r="G103" s="1150">
        <f>K92</f>
        <v>88.053207938181828</v>
      </c>
      <c r="H103" s="1151"/>
      <c r="I103" s="1152"/>
      <c r="J103" s="1150">
        <f>K93</f>
        <v>2388.6652442424243</v>
      </c>
      <c r="K103" s="1151"/>
      <c r="L103" s="1152"/>
      <c r="M103" s="1122"/>
      <c r="N103" s="1122"/>
      <c r="O103" s="1122"/>
      <c r="P103" s="1122"/>
      <c r="Q103" s="1122"/>
      <c r="R103" s="1122"/>
      <c r="S103" s="1122"/>
    </row>
    <row r="104" spans="1:19">
      <c r="A104" s="142" t="s">
        <v>882</v>
      </c>
      <c r="B104" s="117">
        <v>2017</v>
      </c>
      <c r="C104" s="117" t="s">
        <v>182</v>
      </c>
      <c r="D104" s="1150">
        <f>L91</f>
        <v>54.605956630909084</v>
      </c>
      <c r="E104" s="1151"/>
      <c r="F104" s="1152"/>
      <c r="G104" s="1150">
        <f>L92</f>
        <v>53.497956158181822</v>
      </c>
      <c r="H104" s="1151"/>
      <c r="I104" s="1152"/>
      <c r="J104" s="1150">
        <f>L93</f>
        <v>403.50709808181819</v>
      </c>
      <c r="K104" s="1151"/>
      <c r="L104" s="1152"/>
      <c r="M104" s="1122"/>
      <c r="N104" s="1122"/>
      <c r="O104" s="1122"/>
      <c r="P104" s="1122"/>
      <c r="Q104" s="1122"/>
      <c r="R104" s="1122"/>
      <c r="S104" s="1122"/>
    </row>
    <row r="106" spans="1:19" s="6" customFormat="1" ht="30" customHeight="1">
      <c r="A106" s="1137" t="s">
        <v>15</v>
      </c>
      <c r="B106" s="1137"/>
      <c r="C106" s="1137"/>
      <c r="D106" s="1137"/>
      <c r="E106" s="1137"/>
      <c r="F106" s="1137"/>
      <c r="G106" s="1137"/>
      <c r="H106" s="1137"/>
      <c r="I106" s="1137"/>
      <c r="J106" s="1137"/>
      <c r="K106" s="1137"/>
      <c r="L106" s="1137"/>
      <c r="M106" s="1137"/>
      <c r="N106" s="1137"/>
      <c r="O106" s="1137"/>
      <c r="P106" s="1137"/>
      <c r="Q106" s="1137"/>
      <c r="R106" s="1137"/>
      <c r="S106" s="1137"/>
    </row>
    <row r="107" spans="1:19">
      <c r="A107" s="1139" t="s">
        <v>919</v>
      </c>
      <c r="B107" s="1139"/>
      <c r="C107" s="1139"/>
      <c r="D107" s="1139"/>
      <c r="E107" s="1139"/>
      <c r="F107" s="1139"/>
      <c r="G107" s="1139"/>
      <c r="H107" s="1139"/>
      <c r="I107" s="1139"/>
      <c r="J107" s="1139"/>
      <c r="K107" s="1139"/>
      <c r="L107" s="1139"/>
      <c r="M107" s="1139"/>
      <c r="N107" s="1139"/>
      <c r="O107" s="1139"/>
      <c r="P107" s="1139"/>
      <c r="Q107" s="1139"/>
      <c r="R107" s="1139"/>
      <c r="S107" s="1139"/>
    </row>
    <row r="108" spans="1:19" ht="30" customHeight="1">
      <c r="A108" s="140" t="s">
        <v>129</v>
      </c>
      <c r="B108" s="1129" t="s">
        <v>130</v>
      </c>
      <c r="C108" s="1146"/>
      <c r="D108" s="140" t="s">
        <v>131</v>
      </c>
      <c r="E108" s="189" t="s">
        <v>85</v>
      </c>
      <c r="F108" s="189" t="s">
        <v>86</v>
      </c>
      <c r="G108" s="189" t="s">
        <v>87</v>
      </c>
      <c r="H108" s="189" t="s">
        <v>88</v>
      </c>
      <c r="I108" s="189" t="s">
        <v>89</v>
      </c>
      <c r="J108" s="189" t="s">
        <v>90</v>
      </c>
      <c r="K108" s="189" t="s">
        <v>91</v>
      </c>
      <c r="L108" s="189" t="s">
        <v>95</v>
      </c>
      <c r="M108" s="189" t="s">
        <v>882</v>
      </c>
      <c r="N108" s="1125" t="s">
        <v>123</v>
      </c>
      <c r="O108" s="1125"/>
      <c r="P108" s="1125"/>
      <c r="Q108" s="1125"/>
      <c r="R108" s="1125"/>
      <c r="S108" s="1125"/>
    </row>
    <row r="109" spans="1:19">
      <c r="A109" s="212" t="s">
        <v>108</v>
      </c>
      <c r="B109" s="1153" t="s">
        <v>196</v>
      </c>
      <c r="C109" s="1153"/>
      <c r="D109" s="117" t="s">
        <v>920</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132"/>
      <c r="O109" s="1132"/>
      <c r="P109" s="1132"/>
      <c r="Q109" s="1132"/>
      <c r="R109" s="1132"/>
      <c r="S109" s="1132"/>
    </row>
    <row r="110" spans="1:19">
      <c r="A110" s="212" t="s">
        <v>112</v>
      </c>
      <c r="B110" s="1153" t="s">
        <v>886</v>
      </c>
      <c r="C110" s="1153"/>
      <c r="D110" s="117" t="s">
        <v>920</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132"/>
      <c r="O110" s="1132"/>
      <c r="P110" s="1132"/>
      <c r="Q110" s="1132"/>
      <c r="R110" s="1132"/>
      <c r="S110" s="1132"/>
    </row>
    <row r="111" spans="1:19">
      <c r="A111" s="212" t="s">
        <v>112</v>
      </c>
      <c r="B111" s="1153" t="s">
        <v>337</v>
      </c>
      <c r="C111" s="1153"/>
      <c r="D111" s="117" t="s">
        <v>920</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132"/>
      <c r="O111" s="1132"/>
      <c r="P111" s="1132"/>
      <c r="Q111" s="1132"/>
      <c r="R111" s="1132"/>
      <c r="S111" s="1132"/>
    </row>
    <row r="112" spans="1:19">
      <c r="A112" s="212" t="s">
        <v>112</v>
      </c>
      <c r="B112" s="1153" t="s">
        <v>241</v>
      </c>
      <c r="C112" s="1153"/>
      <c r="D112" s="117" t="s">
        <v>920</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132"/>
      <c r="O112" s="1132"/>
      <c r="P112" s="1132"/>
      <c r="Q112" s="1132"/>
      <c r="R112" s="1132"/>
      <c r="S112" s="1132"/>
    </row>
    <row r="113" spans="1:32">
      <c r="A113" s="212" t="s">
        <v>112</v>
      </c>
      <c r="B113" s="1153" t="s">
        <v>239</v>
      </c>
      <c r="C113" s="1153"/>
      <c r="D113" s="117" t="s">
        <v>920</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132"/>
      <c r="O113" s="1132"/>
      <c r="P113" s="1132"/>
      <c r="Q113" s="1132"/>
      <c r="R113" s="1132"/>
      <c r="S113" s="1132"/>
    </row>
    <row r="114" spans="1:32">
      <c r="A114" s="212" t="s">
        <v>112</v>
      </c>
      <c r="B114" s="1153" t="s">
        <v>240</v>
      </c>
      <c r="C114" s="1153"/>
      <c r="D114" s="117" t="s">
        <v>920</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132"/>
      <c r="O114" s="1132"/>
      <c r="P114" s="1132"/>
      <c r="Q114" s="1132"/>
      <c r="R114" s="1132"/>
      <c r="S114" s="1132"/>
    </row>
    <row r="115" spans="1:32">
      <c r="A115" s="212" t="s">
        <v>112</v>
      </c>
      <c r="B115" s="1153" t="s">
        <v>191</v>
      </c>
      <c r="C115" s="1153"/>
      <c r="D115" s="117" t="s">
        <v>920</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132"/>
      <c r="O115" s="1132"/>
      <c r="P115" s="1132"/>
      <c r="Q115" s="1132"/>
      <c r="R115" s="1132"/>
      <c r="S115" s="1132"/>
    </row>
    <row r="116" spans="1:32">
      <c r="A116" s="212" t="s">
        <v>121</v>
      </c>
      <c r="B116" s="1153" t="s">
        <v>356</v>
      </c>
      <c r="C116" s="1153"/>
      <c r="D116" s="117" t="s">
        <v>920</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132"/>
      <c r="O116" s="1132"/>
      <c r="P116" s="1132"/>
      <c r="Q116" s="1132"/>
      <c r="R116" s="1132"/>
      <c r="S116" s="1132"/>
    </row>
    <row r="117" spans="1:32">
      <c r="A117" s="143" t="s">
        <v>121</v>
      </c>
      <c r="B117" s="1153" t="s">
        <v>346</v>
      </c>
      <c r="C117" s="1153"/>
      <c r="D117" s="117" t="s">
        <v>920</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132"/>
      <c r="O117" s="1132"/>
      <c r="P117" s="1132"/>
      <c r="Q117" s="1132"/>
      <c r="R117" s="1132"/>
      <c r="S117" s="1132"/>
    </row>
    <row r="118" spans="1:32">
      <c r="A118" s="143" t="s">
        <v>121</v>
      </c>
      <c r="B118" s="1153" t="s">
        <v>162</v>
      </c>
      <c r="C118" s="1153"/>
      <c r="D118" s="117" t="s">
        <v>920</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132"/>
      <c r="O118" s="1132"/>
      <c r="P118" s="1132"/>
      <c r="Q118" s="1132"/>
      <c r="R118" s="1132"/>
      <c r="S118" s="1132"/>
    </row>
    <row r="119" spans="1:32">
      <c r="A119" s="143" t="s">
        <v>121</v>
      </c>
      <c r="B119" s="1153" t="s">
        <v>348</v>
      </c>
      <c r="C119" s="1153"/>
      <c r="D119" s="117" t="s">
        <v>920</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132"/>
      <c r="O119" s="1132"/>
      <c r="P119" s="1132"/>
      <c r="Q119" s="1132"/>
      <c r="R119" s="1132"/>
      <c r="S119" s="1132"/>
    </row>
    <row r="120" spans="1:32">
      <c r="A120" s="143" t="s">
        <v>121</v>
      </c>
      <c r="B120" s="1153" t="s">
        <v>187</v>
      </c>
      <c r="C120" s="1153"/>
      <c r="D120" s="117" t="s">
        <v>920</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132"/>
      <c r="O120" s="1132"/>
      <c r="P120" s="1132"/>
      <c r="Q120" s="1132"/>
      <c r="R120" s="1132"/>
      <c r="S120" s="1132"/>
    </row>
    <row r="121" spans="1:32">
      <c r="A121" s="143" t="s">
        <v>121</v>
      </c>
      <c r="B121" s="1153" t="s">
        <v>172</v>
      </c>
      <c r="C121" s="1153"/>
      <c r="D121" s="117" t="s">
        <v>920</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132"/>
      <c r="O121" s="1132"/>
      <c r="P121" s="1132"/>
      <c r="Q121" s="1132"/>
      <c r="R121" s="1132"/>
      <c r="S121" s="1132"/>
    </row>
    <row r="122" spans="1:32">
      <c r="A122" s="143" t="s">
        <v>121</v>
      </c>
      <c r="B122" s="1153" t="s">
        <v>238</v>
      </c>
      <c r="C122" s="1153"/>
      <c r="D122" s="117" t="s">
        <v>920</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132"/>
      <c r="O122" s="1132"/>
      <c r="P122" s="1132"/>
      <c r="Q122" s="1132"/>
      <c r="R122" s="1132"/>
      <c r="S122" s="1132"/>
    </row>
    <row r="123" spans="1:32">
      <c r="A123" s="143" t="s">
        <v>121</v>
      </c>
      <c r="B123" s="1153" t="s">
        <v>360</v>
      </c>
      <c r="C123" s="1153"/>
      <c r="D123" s="117" t="s">
        <v>920</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132"/>
      <c r="O123" s="1132"/>
      <c r="P123" s="1132"/>
      <c r="Q123" s="1132"/>
      <c r="R123" s="1132"/>
      <c r="S123" s="1132"/>
      <c r="AD123" s="6"/>
      <c r="AE123" s="6"/>
      <c r="AF123" s="6"/>
    </row>
    <row r="124" spans="1:32">
      <c r="A124" s="1139" t="s">
        <v>914</v>
      </c>
      <c r="B124" s="1139"/>
      <c r="C124" s="1139"/>
      <c r="D124" s="1139"/>
      <c r="E124" s="1139"/>
      <c r="F124" s="1139"/>
      <c r="G124" s="1139"/>
      <c r="H124" s="1139"/>
      <c r="I124" s="1139"/>
      <c r="J124" s="1139"/>
      <c r="K124" s="1139"/>
      <c r="L124" s="1139"/>
      <c r="M124" s="1139"/>
      <c r="N124" s="1139"/>
      <c r="O124" s="1139"/>
      <c r="P124" s="1139"/>
      <c r="Q124" s="1139"/>
      <c r="R124" s="1139"/>
      <c r="S124" s="1139"/>
      <c r="AD124" s="6"/>
      <c r="AE124" s="6"/>
      <c r="AF124" s="6"/>
    </row>
    <row r="125" spans="1:32">
      <c r="A125" s="140" t="s">
        <v>129</v>
      </c>
      <c r="B125" s="1155" t="s">
        <v>108</v>
      </c>
      <c r="C125" s="1155"/>
      <c r="D125" s="1155" t="s">
        <v>112</v>
      </c>
      <c r="E125" s="1155"/>
      <c r="F125" s="1155" t="s">
        <v>112</v>
      </c>
      <c r="G125" s="1155"/>
      <c r="H125" s="1155" t="s">
        <v>112</v>
      </c>
      <c r="I125" s="1155"/>
      <c r="J125" s="1155" t="s">
        <v>112</v>
      </c>
      <c r="K125" s="1155"/>
      <c r="L125" s="1155" t="s">
        <v>112</v>
      </c>
      <c r="M125" s="1155"/>
      <c r="N125" s="1155" t="s">
        <v>112</v>
      </c>
      <c r="O125" s="1155"/>
      <c r="P125" s="1155" t="s">
        <v>121</v>
      </c>
      <c r="Q125" s="1155"/>
      <c r="R125" s="1155" t="s">
        <v>121</v>
      </c>
      <c r="S125" s="1155"/>
      <c r="T125" s="1120" t="s">
        <v>121</v>
      </c>
      <c r="U125" s="1121"/>
      <c r="V125" s="1120" t="s">
        <v>121</v>
      </c>
      <c r="W125" s="1121"/>
      <c r="X125" s="1120" t="s">
        <v>121</v>
      </c>
      <c r="Y125" s="1121"/>
      <c r="Z125" s="1155" t="s">
        <v>121</v>
      </c>
      <c r="AA125" s="1155"/>
      <c r="AB125" s="1155" t="s">
        <v>121</v>
      </c>
      <c r="AC125" s="1155"/>
      <c r="AD125" s="1155" t="s">
        <v>121</v>
      </c>
      <c r="AE125" s="1155"/>
    </row>
    <row r="126" spans="1:32">
      <c r="A126" s="140" t="s">
        <v>130</v>
      </c>
      <c r="B126" s="1155" t="s">
        <v>196</v>
      </c>
      <c r="C126" s="1155"/>
      <c r="D126" s="1155" t="s">
        <v>886</v>
      </c>
      <c r="E126" s="1155"/>
      <c r="F126" s="1155" t="s">
        <v>337</v>
      </c>
      <c r="G126" s="1155"/>
      <c r="H126" s="1155" t="s">
        <v>241</v>
      </c>
      <c r="I126" s="1155"/>
      <c r="J126" s="1155" t="s">
        <v>239</v>
      </c>
      <c r="K126" s="1155"/>
      <c r="L126" s="1155" t="s">
        <v>240</v>
      </c>
      <c r="M126" s="1155"/>
      <c r="N126" s="1155" t="s">
        <v>191</v>
      </c>
      <c r="O126" s="1155"/>
      <c r="P126" s="1155" t="s">
        <v>356</v>
      </c>
      <c r="Q126" s="1155"/>
      <c r="R126" s="1155" t="s">
        <v>346</v>
      </c>
      <c r="S126" s="1155"/>
      <c r="T126" s="1155" t="s">
        <v>162</v>
      </c>
      <c r="U126" s="1155"/>
      <c r="V126" s="1155" t="s">
        <v>348</v>
      </c>
      <c r="W126" s="1155"/>
      <c r="X126" s="1155" t="s">
        <v>187</v>
      </c>
      <c r="Y126" s="1155"/>
      <c r="Z126" s="1155" t="s">
        <v>172</v>
      </c>
      <c r="AA126" s="1155"/>
      <c r="AB126" s="1155" t="s">
        <v>238</v>
      </c>
      <c r="AC126" s="1155"/>
      <c r="AD126" s="1155" t="s">
        <v>360</v>
      </c>
      <c r="AE126" s="1155"/>
    </row>
    <row r="127" spans="1:32">
      <c r="A127" s="215" t="s">
        <v>85</v>
      </c>
      <c r="B127" s="1154">
        <f>E109</f>
        <v>0</v>
      </c>
      <c r="C127" s="1154"/>
      <c r="D127" s="1154">
        <f>E110</f>
        <v>0</v>
      </c>
      <c r="E127" s="1154"/>
      <c r="F127" s="1154">
        <f>E111</f>
        <v>0</v>
      </c>
      <c r="G127" s="1154"/>
      <c r="H127" s="1154">
        <f>E112</f>
        <v>0</v>
      </c>
      <c r="I127" s="1154"/>
      <c r="J127" s="1154">
        <f>E113</f>
        <v>0</v>
      </c>
      <c r="K127" s="1154"/>
      <c r="L127" s="1154">
        <f>E114</f>
        <v>0</v>
      </c>
      <c r="M127" s="1154"/>
      <c r="N127" s="1154">
        <f>E115</f>
        <v>0</v>
      </c>
      <c r="O127" s="1154"/>
      <c r="P127" s="1154">
        <f>E116</f>
        <v>0</v>
      </c>
      <c r="Q127" s="1154"/>
      <c r="R127" s="1154">
        <f>E117</f>
        <v>0</v>
      </c>
      <c r="S127" s="1154"/>
      <c r="T127" s="1154">
        <f>E118</f>
        <v>0</v>
      </c>
      <c r="U127" s="1154"/>
      <c r="V127" s="1154">
        <f>E119</f>
        <v>0</v>
      </c>
      <c r="W127" s="1154"/>
      <c r="X127" s="1154">
        <f>E120</f>
        <v>0</v>
      </c>
      <c r="Y127" s="1154"/>
      <c r="Z127" s="1154">
        <f>E121</f>
        <v>0</v>
      </c>
      <c r="AA127" s="1154"/>
      <c r="AB127" s="1154">
        <f>E122</f>
        <v>0</v>
      </c>
      <c r="AC127" s="1154"/>
      <c r="AD127" s="1154">
        <f>E123</f>
        <v>0</v>
      </c>
      <c r="AE127" s="1154"/>
    </row>
    <row r="128" spans="1:32">
      <c r="A128" s="215" t="s">
        <v>86</v>
      </c>
      <c r="B128" s="1154">
        <f>F109</f>
        <v>1</v>
      </c>
      <c r="C128" s="1154"/>
      <c r="D128" s="1154">
        <f>F110</f>
        <v>0</v>
      </c>
      <c r="E128" s="1154"/>
      <c r="F128" s="1154">
        <f>F111</f>
        <v>0.39167899730176692</v>
      </c>
      <c r="G128" s="1154"/>
      <c r="H128" s="1154">
        <f>F112</f>
        <v>8.3833048545290459E-2</v>
      </c>
      <c r="I128" s="1154"/>
      <c r="J128" s="1154">
        <f>F113</f>
        <v>0</v>
      </c>
      <c r="K128" s="1154"/>
      <c r="L128" s="1154">
        <f>F114</f>
        <v>0.48467412765528584</v>
      </c>
      <c r="M128" s="1154"/>
      <c r="N128" s="1154">
        <f>F115</f>
        <v>3.9813826497656801E-2</v>
      </c>
      <c r="O128" s="1154"/>
      <c r="P128" s="1154">
        <f>F116</f>
        <v>0</v>
      </c>
      <c r="Q128" s="1154"/>
      <c r="R128" s="1154">
        <f>F117</f>
        <v>0</v>
      </c>
      <c r="S128" s="1154"/>
      <c r="T128" s="1154">
        <f>F118</f>
        <v>0</v>
      </c>
      <c r="U128" s="1154"/>
      <c r="V128" s="1154">
        <f>F119</f>
        <v>0</v>
      </c>
      <c r="W128" s="1154"/>
      <c r="X128" s="1154">
        <f>F120</f>
        <v>1</v>
      </c>
      <c r="Y128" s="1154"/>
      <c r="Z128" s="1154">
        <f>F121</f>
        <v>0</v>
      </c>
      <c r="AA128" s="1154"/>
      <c r="AB128" s="1154">
        <f>F122</f>
        <v>0</v>
      </c>
      <c r="AC128" s="1154"/>
      <c r="AD128" s="1154">
        <f>F123</f>
        <v>0</v>
      </c>
      <c r="AE128" s="1154"/>
    </row>
    <row r="129" spans="1:31">
      <c r="A129" s="215" t="s">
        <v>87</v>
      </c>
      <c r="B129" s="1154">
        <f>G109</f>
        <v>1</v>
      </c>
      <c r="C129" s="1154"/>
      <c r="D129" s="1154">
        <f>G110</f>
        <v>0</v>
      </c>
      <c r="E129" s="1154"/>
      <c r="F129" s="1154">
        <f>G111</f>
        <v>0</v>
      </c>
      <c r="G129" s="1154"/>
      <c r="H129" s="1154">
        <f>G112</f>
        <v>0</v>
      </c>
      <c r="I129" s="1154"/>
      <c r="J129" s="1154">
        <f>G113</f>
        <v>9.7010040144805229E-2</v>
      </c>
      <c r="K129" s="1154"/>
      <c r="L129" s="1154">
        <f>G114</f>
        <v>0.8344440851479995</v>
      </c>
      <c r="M129" s="1154"/>
      <c r="N129" s="1154">
        <f>G115</f>
        <v>6.8545874707195309E-2</v>
      </c>
      <c r="O129" s="1154"/>
      <c r="P129" s="1154">
        <f>G116</f>
        <v>0.23131990255872262</v>
      </c>
      <c r="Q129" s="1154"/>
      <c r="R129" s="1154">
        <f>G117</f>
        <v>0.15197638649335868</v>
      </c>
      <c r="S129" s="1154"/>
      <c r="T129" s="1154">
        <f>G118</f>
        <v>0.14328135279788046</v>
      </c>
      <c r="U129" s="1154"/>
      <c r="V129" s="1154">
        <f>G119</f>
        <v>0.16934867262931416</v>
      </c>
      <c r="W129" s="1154"/>
      <c r="X129" s="1154">
        <f>G120</f>
        <v>0.11189388147015418</v>
      </c>
      <c r="Y129" s="1154"/>
      <c r="Z129" s="1154">
        <f>G121</f>
        <v>5.3557140062945638E-2</v>
      </c>
      <c r="AA129" s="1154"/>
      <c r="AB129" s="1156">
        <f>G122</f>
        <v>0.13862266398762429</v>
      </c>
      <c r="AC129" s="1157"/>
      <c r="AD129" s="1156">
        <f>G123</f>
        <v>0</v>
      </c>
      <c r="AE129" s="1157"/>
    </row>
    <row r="130" spans="1:31">
      <c r="A130" s="215" t="s">
        <v>88</v>
      </c>
      <c r="B130" s="1154">
        <f>H109</f>
        <v>0</v>
      </c>
      <c r="C130" s="1154"/>
      <c r="D130" s="1154">
        <f>H110</f>
        <v>0</v>
      </c>
      <c r="E130" s="1154"/>
      <c r="F130" s="1154">
        <f>H111</f>
        <v>0</v>
      </c>
      <c r="G130" s="1154"/>
      <c r="H130" s="1154">
        <f>H112</f>
        <v>0</v>
      </c>
      <c r="I130" s="1154"/>
      <c r="J130" s="1154">
        <f>H113</f>
        <v>0</v>
      </c>
      <c r="K130" s="1154"/>
      <c r="L130" s="1154">
        <f>H114</f>
        <v>0</v>
      </c>
      <c r="M130" s="1154"/>
      <c r="N130" s="1154">
        <f>H115</f>
        <v>0</v>
      </c>
      <c r="O130" s="1154"/>
      <c r="P130" s="1154">
        <f>H116</f>
        <v>0</v>
      </c>
      <c r="Q130" s="1154"/>
      <c r="R130" s="1154">
        <f>H117</f>
        <v>0</v>
      </c>
      <c r="S130" s="1154"/>
      <c r="T130" s="1154">
        <f>H118</f>
        <v>0</v>
      </c>
      <c r="U130" s="1154"/>
      <c r="V130" s="1154">
        <f>H119</f>
        <v>0</v>
      </c>
      <c r="W130" s="1154"/>
      <c r="X130" s="1154">
        <f>H120</f>
        <v>0</v>
      </c>
      <c r="Y130" s="1154"/>
      <c r="Z130" s="1154">
        <f>H121</f>
        <v>0</v>
      </c>
      <c r="AA130" s="1154"/>
      <c r="AB130" s="1154">
        <f>H122</f>
        <v>0</v>
      </c>
      <c r="AC130" s="1154"/>
      <c r="AD130" s="1154">
        <f>H123</f>
        <v>0</v>
      </c>
      <c r="AE130" s="1154"/>
    </row>
    <row r="131" spans="1:31">
      <c r="A131" s="215" t="s">
        <v>89</v>
      </c>
      <c r="B131" s="1154">
        <f>I109</f>
        <v>0</v>
      </c>
      <c r="C131" s="1154"/>
      <c r="D131" s="1154">
        <f>I110</f>
        <v>0</v>
      </c>
      <c r="E131" s="1154"/>
      <c r="F131" s="1154">
        <f>I111</f>
        <v>0</v>
      </c>
      <c r="G131" s="1154"/>
      <c r="H131" s="1154">
        <f>I112</f>
        <v>0</v>
      </c>
      <c r="I131" s="1154"/>
      <c r="J131" s="1154">
        <f>I113</f>
        <v>0</v>
      </c>
      <c r="K131" s="1154"/>
      <c r="L131" s="1154">
        <f>I114</f>
        <v>0</v>
      </c>
      <c r="M131" s="1154"/>
      <c r="N131" s="1154">
        <f>I115</f>
        <v>0</v>
      </c>
      <c r="O131" s="1154"/>
      <c r="P131" s="1154">
        <f>I116</f>
        <v>0</v>
      </c>
      <c r="Q131" s="1154"/>
      <c r="R131" s="1154">
        <f>I117</f>
        <v>0</v>
      </c>
      <c r="S131" s="1154"/>
      <c r="T131" s="1154">
        <f>I118</f>
        <v>0</v>
      </c>
      <c r="U131" s="1154"/>
      <c r="V131" s="1154">
        <f>I119</f>
        <v>0</v>
      </c>
      <c r="W131" s="1154"/>
      <c r="X131" s="1154">
        <f>I120</f>
        <v>0</v>
      </c>
      <c r="Y131" s="1154"/>
      <c r="Z131" s="1154">
        <f>I121</f>
        <v>0</v>
      </c>
      <c r="AA131" s="1154"/>
      <c r="AB131" s="1154">
        <f>I122</f>
        <v>0</v>
      </c>
      <c r="AC131" s="1154"/>
      <c r="AD131" s="1154">
        <f>I123</f>
        <v>0</v>
      </c>
      <c r="AE131" s="1154"/>
    </row>
    <row r="132" spans="1:31">
      <c r="A132" s="215" t="s">
        <v>90</v>
      </c>
      <c r="B132" s="1154">
        <f>J109</f>
        <v>0</v>
      </c>
      <c r="C132" s="1154"/>
      <c r="D132" s="1154">
        <f>J110</f>
        <v>0</v>
      </c>
      <c r="E132" s="1154"/>
      <c r="F132" s="1154">
        <f>J111</f>
        <v>0</v>
      </c>
      <c r="G132" s="1154"/>
      <c r="H132" s="1154">
        <f>J112</f>
        <v>0</v>
      </c>
      <c r="I132" s="1154"/>
      <c r="J132" s="1154">
        <f>J113</f>
        <v>0</v>
      </c>
      <c r="K132" s="1154"/>
      <c r="L132" s="1154">
        <f>J114</f>
        <v>0</v>
      </c>
      <c r="M132" s="1154"/>
      <c r="N132" s="1154">
        <f>J115</f>
        <v>0</v>
      </c>
      <c r="O132" s="1154"/>
      <c r="P132" s="1154">
        <f>J116</f>
        <v>0</v>
      </c>
      <c r="Q132" s="1154"/>
      <c r="R132" s="1154">
        <f>J117</f>
        <v>0</v>
      </c>
      <c r="S132" s="1154"/>
      <c r="T132" s="1154">
        <f>J118</f>
        <v>0</v>
      </c>
      <c r="U132" s="1154"/>
      <c r="V132" s="1154">
        <f>J119</f>
        <v>0</v>
      </c>
      <c r="W132" s="1154"/>
      <c r="X132" s="1154">
        <f>J120</f>
        <v>0</v>
      </c>
      <c r="Y132" s="1154"/>
      <c r="Z132" s="1154">
        <f>J121</f>
        <v>0</v>
      </c>
      <c r="AA132" s="1154"/>
      <c r="AB132" s="1154">
        <f>J122</f>
        <v>0</v>
      </c>
      <c r="AC132" s="1154"/>
      <c r="AD132" s="1154">
        <f>J123</f>
        <v>1</v>
      </c>
      <c r="AE132" s="1154"/>
    </row>
    <row r="133" spans="1:31">
      <c r="A133" s="215" t="s">
        <v>91</v>
      </c>
      <c r="B133" s="1154">
        <f>K109</f>
        <v>1</v>
      </c>
      <c r="C133" s="1154"/>
      <c r="D133" s="1154">
        <f>K110</f>
        <v>2.7068708019976597E-2</v>
      </c>
      <c r="E133" s="1154"/>
      <c r="F133" s="1154">
        <f>K111</f>
        <v>9.4657445223231051E-2</v>
      </c>
      <c r="G133" s="1154"/>
      <c r="H133" s="1154">
        <f>K112</f>
        <v>2.0260014591638925E-2</v>
      </c>
      <c r="I133" s="1154"/>
      <c r="J133" s="1154">
        <f>K113</f>
        <v>0</v>
      </c>
      <c r="K133" s="1154"/>
      <c r="L133" s="1154">
        <f>K114</f>
        <v>0.11713166905985782</v>
      </c>
      <c r="M133" s="1154"/>
      <c r="N133" s="1154">
        <f>K115</f>
        <v>0.74088216310529564</v>
      </c>
      <c r="O133" s="1154"/>
      <c r="P133" s="1154">
        <f>K116</f>
        <v>0.30372334961384378</v>
      </c>
      <c r="Q133" s="1154"/>
      <c r="R133" s="1154">
        <f>K117</f>
        <v>0.15963616327826599</v>
      </c>
      <c r="S133" s="1154"/>
      <c r="T133" s="1154">
        <f>K118</f>
        <v>0.15050289033535363</v>
      </c>
      <c r="U133" s="1154"/>
      <c r="V133" s="1154">
        <f>K119</f>
        <v>0.17788403171430972</v>
      </c>
      <c r="W133" s="1154"/>
      <c r="X133" s="1154">
        <f>K120</f>
        <v>6.387687825104362E-3</v>
      </c>
      <c r="Y133" s="1154"/>
      <c r="Z133" s="1154">
        <f>K121</f>
        <v>5.6256478740392787E-2</v>
      </c>
      <c r="AA133" s="1154"/>
      <c r="AB133" s="1154">
        <f>K122</f>
        <v>0.14560939849272989</v>
      </c>
      <c r="AC133" s="1154"/>
      <c r="AD133" s="1154">
        <f>K123</f>
        <v>0</v>
      </c>
      <c r="AE133" s="1154"/>
    </row>
    <row r="134" spans="1:31">
      <c r="A134" s="215" t="s">
        <v>95</v>
      </c>
      <c r="B134" s="1154">
        <f>L109</f>
        <v>1</v>
      </c>
      <c r="C134" s="1154"/>
      <c r="D134" s="1154">
        <f>L110</f>
        <v>0.18991471314722469</v>
      </c>
      <c r="E134" s="1154"/>
      <c r="F134" s="1154">
        <f>L111</f>
        <v>0</v>
      </c>
      <c r="G134" s="1154"/>
      <c r="H134" s="1154">
        <f>L112</f>
        <v>0</v>
      </c>
      <c r="I134" s="1154"/>
      <c r="J134" s="1154">
        <f>L113</f>
        <v>0</v>
      </c>
      <c r="K134" s="1154"/>
      <c r="L134" s="1154">
        <f>L114</f>
        <v>0</v>
      </c>
      <c r="M134" s="1154"/>
      <c r="N134" s="1154">
        <f>L115</f>
        <v>0.81008528685277537</v>
      </c>
      <c r="O134" s="1154"/>
      <c r="P134" s="1154">
        <f>L116</f>
        <v>0.46776568999142792</v>
      </c>
      <c r="Q134" s="1154"/>
      <c r="R134" s="1154">
        <f>L117</f>
        <v>0.12292818474177457</v>
      </c>
      <c r="S134" s="1154"/>
      <c r="T134" s="1154">
        <f>L118</f>
        <v>0.11589508747504616</v>
      </c>
      <c r="U134" s="1154"/>
      <c r="V134" s="1154">
        <f>L119</f>
        <v>0.13697999666323399</v>
      </c>
      <c r="W134" s="1154"/>
      <c r="X134" s="1154">
        <f>L120</f>
        <v>9.8377066062213417E-4</v>
      </c>
      <c r="Y134" s="1154"/>
      <c r="Z134" s="1154">
        <f>L121</f>
        <v>4.3320427336167665E-2</v>
      </c>
      <c r="AA134" s="1154"/>
      <c r="AB134" s="1154">
        <f>L122</f>
        <v>0.11212684313172752</v>
      </c>
      <c r="AC134" s="1154"/>
      <c r="AD134" s="1154">
        <f>L123</f>
        <v>0</v>
      </c>
      <c r="AE134" s="1154"/>
    </row>
    <row r="135" spans="1:31">
      <c r="A135" s="215" t="s">
        <v>882</v>
      </c>
      <c r="B135" s="1154">
        <f>M109</f>
        <v>1</v>
      </c>
      <c r="C135" s="1154"/>
      <c r="D135" s="1154">
        <f>M110</f>
        <v>0</v>
      </c>
      <c r="E135" s="1154"/>
      <c r="F135" s="1154">
        <f>M111</f>
        <v>0</v>
      </c>
      <c r="G135" s="1154"/>
      <c r="H135" s="1154">
        <f>M112</f>
        <v>0</v>
      </c>
      <c r="I135" s="1154"/>
      <c r="J135" s="1154">
        <f>M113</f>
        <v>0</v>
      </c>
      <c r="K135" s="1154"/>
      <c r="L135" s="1154">
        <f>M114</f>
        <v>0</v>
      </c>
      <c r="M135" s="1154"/>
      <c r="N135" s="1154">
        <f>M115</f>
        <v>1</v>
      </c>
      <c r="O135" s="1154"/>
      <c r="P135" s="1154">
        <f>M116</f>
        <v>0.27563499529633112</v>
      </c>
      <c r="Q135" s="1154"/>
      <c r="R135" s="1154">
        <f>M117</f>
        <v>0.72436500470366871</v>
      </c>
      <c r="S135" s="1154"/>
      <c r="T135" s="1154">
        <f>M118</f>
        <v>0</v>
      </c>
      <c r="U135" s="1154"/>
      <c r="V135" s="1154">
        <f>M119</f>
        <v>0</v>
      </c>
      <c r="W135" s="1154"/>
      <c r="X135" s="1154">
        <f>M120</f>
        <v>0</v>
      </c>
      <c r="Y135" s="1154"/>
      <c r="Z135" s="1154">
        <f>M121</f>
        <v>0</v>
      </c>
      <c r="AA135" s="1154"/>
      <c r="AB135" s="1154">
        <f>M122</f>
        <v>0</v>
      </c>
      <c r="AC135" s="1154"/>
      <c r="AD135" s="1154">
        <f>M123</f>
        <v>0</v>
      </c>
      <c r="AE135" s="1154"/>
    </row>
    <row r="136" spans="1:31">
      <c r="A136" s="64"/>
      <c r="B136" s="64"/>
      <c r="C136" s="64"/>
      <c r="D136" s="64"/>
      <c r="E136" s="246"/>
      <c r="F136" s="64"/>
      <c r="G136" s="64"/>
      <c r="H136" s="64"/>
      <c r="I136" s="64"/>
      <c r="J136" s="64"/>
      <c r="K136" s="64"/>
      <c r="L136" s="64"/>
      <c r="M136" s="64"/>
      <c r="N136" s="106"/>
    </row>
    <row r="137" spans="1:31" ht="60" customHeight="1">
      <c r="A137" s="140" t="s">
        <v>129</v>
      </c>
      <c r="B137" s="1125" t="s">
        <v>130</v>
      </c>
      <c r="C137" s="1125"/>
      <c r="D137" s="140" t="s">
        <v>131</v>
      </c>
      <c r="E137" s="244" t="s">
        <v>921</v>
      </c>
      <c r="F137" s="243" t="s">
        <v>102</v>
      </c>
      <c r="G137" s="243" t="s">
        <v>133</v>
      </c>
      <c r="H137" s="1120" t="s">
        <v>104</v>
      </c>
      <c r="I137" s="1121"/>
      <c r="J137" s="1155" t="s">
        <v>123</v>
      </c>
      <c r="K137" s="1155"/>
      <c r="L137" s="1155"/>
      <c r="M137" s="1155"/>
      <c r="N137" s="1155"/>
      <c r="O137" s="1155"/>
      <c r="P137" s="1155"/>
      <c r="Q137" s="1155"/>
      <c r="R137" s="1155"/>
      <c r="S137" s="1155"/>
    </row>
    <row r="138" spans="1:31" s="1022" customFormat="1">
      <c r="A138" s="1018" t="s">
        <v>196</v>
      </c>
      <c r="B138" s="1158" t="s">
        <v>922</v>
      </c>
      <c r="C138" s="1158"/>
      <c r="D138" s="1018" t="s">
        <v>139</v>
      </c>
      <c r="E138" s="1019">
        <v>3.6999999999999999E-4</v>
      </c>
      <c r="F138" s="1018" t="s">
        <v>139</v>
      </c>
      <c r="G138" s="1020">
        <v>1</v>
      </c>
      <c r="H138" s="1165" t="s">
        <v>163</v>
      </c>
      <c r="I138" s="1166"/>
      <c r="J138" s="1158" t="s">
        <v>923</v>
      </c>
      <c r="K138" s="1158"/>
      <c r="L138" s="1158"/>
      <c r="M138" s="1158"/>
      <c r="N138" s="1158"/>
      <c r="O138" s="1158"/>
      <c r="P138" s="1158"/>
      <c r="Q138" s="1158"/>
      <c r="R138" s="1158"/>
      <c r="S138" s="1158"/>
      <c r="T138" s="1021"/>
      <c r="U138" s="1021"/>
      <c r="V138" s="1021"/>
      <c r="W138" s="1021"/>
      <c r="X138" s="1021"/>
      <c r="Y138" s="1021"/>
      <c r="Z138" s="1021"/>
      <c r="AA138" s="1021"/>
      <c r="AB138" s="1021"/>
      <c r="AC138" s="1021"/>
    </row>
    <row r="139" spans="1:31" s="1022" customFormat="1">
      <c r="A139" s="1018" t="s">
        <v>196</v>
      </c>
      <c r="B139" s="1158" t="s">
        <v>922</v>
      </c>
      <c r="C139" s="1158"/>
      <c r="D139" s="1018" t="s">
        <v>139</v>
      </c>
      <c r="E139" s="1019">
        <v>8.0000000000000002E-3</v>
      </c>
      <c r="F139" s="1018" t="s">
        <v>139</v>
      </c>
      <c r="G139" s="1020">
        <v>1</v>
      </c>
      <c r="H139" s="1165" t="s">
        <v>163</v>
      </c>
      <c r="I139" s="1166"/>
      <c r="J139" s="1158" t="s">
        <v>924</v>
      </c>
      <c r="K139" s="1158"/>
      <c r="L139" s="1158"/>
      <c r="M139" s="1158"/>
      <c r="N139" s="1158"/>
      <c r="O139" s="1158"/>
      <c r="P139" s="1158"/>
      <c r="Q139" s="1158"/>
      <c r="R139" s="1158"/>
      <c r="S139" s="1158"/>
      <c r="T139" s="1021"/>
      <c r="U139" s="1021"/>
      <c r="V139" s="1021"/>
      <c r="W139" s="1021"/>
      <c r="X139" s="1021"/>
      <c r="Y139" s="1021"/>
      <c r="Z139" s="1021"/>
      <c r="AA139" s="1021"/>
      <c r="AB139" s="1021"/>
      <c r="AC139" s="1021"/>
    </row>
    <row r="140" spans="1:31" s="1022" customFormat="1">
      <c r="A140" s="1018" t="s">
        <v>196</v>
      </c>
      <c r="B140" s="1158" t="s">
        <v>922</v>
      </c>
      <c r="C140" s="1158"/>
      <c r="D140" s="1018" t="s">
        <v>139</v>
      </c>
      <c r="E140" s="1019">
        <v>2.5100000000000001E-3</v>
      </c>
      <c r="F140" s="1018" t="s">
        <v>139</v>
      </c>
      <c r="G140" s="1020">
        <v>1</v>
      </c>
      <c r="H140" s="1165" t="s">
        <v>163</v>
      </c>
      <c r="I140" s="1166"/>
      <c r="J140" s="1158" t="s">
        <v>925</v>
      </c>
      <c r="K140" s="1158"/>
      <c r="L140" s="1158"/>
      <c r="M140" s="1158"/>
      <c r="N140" s="1158"/>
      <c r="O140" s="1158"/>
      <c r="P140" s="1158"/>
      <c r="Q140" s="1158"/>
      <c r="R140" s="1158"/>
      <c r="S140" s="1158"/>
      <c r="T140" s="1021"/>
      <c r="U140" s="1021"/>
      <c r="V140" s="1021"/>
      <c r="W140" s="1021"/>
      <c r="X140" s="1021"/>
      <c r="Y140" s="1021"/>
      <c r="Z140" s="1021"/>
      <c r="AA140" s="1021"/>
      <c r="AB140" s="1021"/>
      <c r="AC140" s="1021"/>
    </row>
    <row r="141" spans="1:31" s="1022" customFormat="1">
      <c r="A141" s="1018" t="s">
        <v>196</v>
      </c>
      <c r="B141" s="1158" t="s">
        <v>231</v>
      </c>
      <c r="C141" s="1158"/>
      <c r="D141" s="1018" t="s">
        <v>139</v>
      </c>
      <c r="E141" s="1019">
        <v>3.0000000000000001E-5</v>
      </c>
      <c r="F141" s="1018" t="s">
        <v>139</v>
      </c>
      <c r="G141" s="1020">
        <v>1</v>
      </c>
      <c r="H141" s="1165" t="s">
        <v>163</v>
      </c>
      <c r="I141" s="1166"/>
      <c r="J141" s="1158" t="s">
        <v>926</v>
      </c>
      <c r="K141" s="1158"/>
      <c r="L141" s="1158"/>
      <c r="M141" s="1158"/>
      <c r="N141" s="1158"/>
      <c r="O141" s="1158"/>
      <c r="P141" s="1158"/>
      <c r="Q141" s="1158"/>
      <c r="R141" s="1158"/>
      <c r="S141" s="1158"/>
      <c r="T141" s="1021"/>
      <c r="U141" s="1021"/>
      <c r="V141" s="1021"/>
      <c r="W141" s="1021"/>
      <c r="X141" s="1021"/>
      <c r="Y141" s="1021"/>
      <c r="Z141" s="1021"/>
      <c r="AA141" s="1021"/>
      <c r="AB141" s="1021"/>
      <c r="AC141" s="1021"/>
    </row>
    <row r="142" spans="1:31" s="1022" customFormat="1">
      <c r="A142" s="1018" t="s">
        <v>196</v>
      </c>
      <c r="B142" s="1158" t="s">
        <v>231</v>
      </c>
      <c r="C142" s="1158"/>
      <c r="D142" s="1018" t="s">
        <v>139</v>
      </c>
      <c r="E142" s="1019">
        <v>5.9999999999999995E-4</v>
      </c>
      <c r="F142" s="1018" t="s">
        <v>139</v>
      </c>
      <c r="G142" s="1020">
        <v>1</v>
      </c>
      <c r="H142" s="1165" t="s">
        <v>163</v>
      </c>
      <c r="I142" s="1166"/>
      <c r="J142" s="1158" t="s">
        <v>927</v>
      </c>
      <c r="K142" s="1158"/>
      <c r="L142" s="1158"/>
      <c r="M142" s="1158"/>
      <c r="N142" s="1158"/>
      <c r="O142" s="1158"/>
      <c r="P142" s="1158"/>
      <c r="Q142" s="1158"/>
      <c r="R142" s="1158"/>
      <c r="S142" s="1158"/>
      <c r="T142" s="1021"/>
      <c r="U142" s="1021"/>
      <c r="V142" s="1021"/>
      <c r="W142" s="1021"/>
      <c r="X142" s="1021"/>
      <c r="Y142" s="1021"/>
      <c r="Z142" s="1021"/>
      <c r="AA142" s="1021"/>
      <c r="AB142" s="1021"/>
      <c r="AC142" s="1021"/>
    </row>
    <row r="143" spans="1:31" s="1022" customFormat="1">
      <c r="A143" s="1018" t="s">
        <v>196</v>
      </c>
      <c r="B143" s="1158" t="s">
        <v>231</v>
      </c>
      <c r="C143" s="1158"/>
      <c r="D143" s="1018" t="s">
        <v>139</v>
      </c>
      <c r="E143" s="1019">
        <v>1.9000000000000001E-4</v>
      </c>
      <c r="F143" s="1018" t="s">
        <v>139</v>
      </c>
      <c r="G143" s="1020">
        <v>1</v>
      </c>
      <c r="H143" s="1165" t="s">
        <v>163</v>
      </c>
      <c r="I143" s="1166"/>
      <c r="J143" s="1158" t="s">
        <v>928</v>
      </c>
      <c r="K143" s="1158"/>
      <c r="L143" s="1158"/>
      <c r="M143" s="1158"/>
      <c r="N143" s="1158"/>
      <c r="O143" s="1158"/>
      <c r="P143" s="1158"/>
      <c r="Q143" s="1158"/>
      <c r="R143" s="1158"/>
      <c r="S143" s="1158"/>
      <c r="T143" s="1021"/>
      <c r="U143" s="1021"/>
      <c r="V143" s="1021"/>
      <c r="W143" s="1021"/>
      <c r="X143" s="1021"/>
      <c r="Y143" s="1021"/>
      <c r="Z143" s="1021"/>
      <c r="AA143" s="1021"/>
      <c r="AB143" s="1021"/>
      <c r="AC143" s="1021"/>
    </row>
    <row r="144" spans="1:31" s="1022" customFormat="1">
      <c r="A144" s="1018" t="s">
        <v>196</v>
      </c>
      <c r="B144" s="1158" t="s">
        <v>232</v>
      </c>
      <c r="C144" s="1158"/>
      <c r="D144" s="1018" t="s">
        <v>139</v>
      </c>
      <c r="E144" s="1019">
        <v>1.7569999999999999E-2</v>
      </c>
      <c r="F144" s="1018" t="s">
        <v>139</v>
      </c>
      <c r="G144" s="1020">
        <v>1</v>
      </c>
      <c r="H144" s="1165" t="s">
        <v>168</v>
      </c>
      <c r="I144" s="1166"/>
      <c r="J144" s="1158" t="s">
        <v>929</v>
      </c>
      <c r="K144" s="1158"/>
      <c r="L144" s="1158"/>
      <c r="M144" s="1158"/>
      <c r="N144" s="1158"/>
      <c r="O144" s="1158"/>
      <c r="P144" s="1158"/>
      <c r="Q144" s="1158"/>
      <c r="R144" s="1158"/>
      <c r="S144" s="1158"/>
      <c r="T144" s="1021"/>
      <c r="U144" s="1021"/>
      <c r="V144" s="1021"/>
      <c r="W144" s="1021"/>
      <c r="X144" s="1021"/>
      <c r="Y144" s="1021"/>
      <c r="Z144" s="1021"/>
      <c r="AA144" s="1021"/>
      <c r="AB144" s="1021"/>
      <c r="AC144" s="1021"/>
    </row>
    <row r="145" spans="1:29" s="1022" customFormat="1">
      <c r="A145" s="1018" t="s">
        <v>196</v>
      </c>
      <c r="B145" s="1158" t="s">
        <v>194</v>
      </c>
      <c r="C145" s="1158"/>
      <c r="D145" s="1018" t="s">
        <v>139</v>
      </c>
      <c r="E145" s="1019" t="s">
        <v>150</v>
      </c>
      <c r="F145" s="1018" t="s">
        <v>139</v>
      </c>
      <c r="G145" s="1020">
        <v>1</v>
      </c>
      <c r="H145" s="1165" t="s">
        <v>168</v>
      </c>
      <c r="I145" s="1166"/>
      <c r="J145" s="1158" t="s">
        <v>930</v>
      </c>
      <c r="K145" s="1158"/>
      <c r="L145" s="1158"/>
      <c r="M145" s="1158"/>
      <c r="N145" s="1158"/>
      <c r="O145" s="1158"/>
      <c r="P145" s="1158"/>
      <c r="Q145" s="1158"/>
      <c r="R145" s="1158"/>
      <c r="S145" s="1158"/>
      <c r="T145" s="1021"/>
      <c r="U145" s="1021"/>
      <c r="V145" s="1021"/>
      <c r="W145" s="1021"/>
      <c r="X145" s="1021"/>
      <c r="Y145" s="1021"/>
      <c r="Z145" s="1021"/>
      <c r="AA145" s="1021"/>
      <c r="AB145" s="1021"/>
      <c r="AC145" s="1021"/>
    </row>
    <row r="146" spans="1:29" s="1022" customFormat="1">
      <c r="A146" s="1018" t="s">
        <v>194</v>
      </c>
      <c r="B146" s="1158" t="s">
        <v>204</v>
      </c>
      <c r="C146" s="1158"/>
      <c r="D146" s="1018" t="s">
        <v>139</v>
      </c>
      <c r="E146" s="1019">
        <v>2.7E-4</v>
      </c>
      <c r="F146" s="1018" t="s">
        <v>139</v>
      </c>
      <c r="G146" s="1020">
        <v>2</v>
      </c>
      <c r="H146" s="1165" t="s">
        <v>163</v>
      </c>
      <c r="I146" s="1166"/>
      <c r="J146" s="1158"/>
      <c r="K146" s="1158"/>
      <c r="L146" s="1158"/>
      <c r="M146" s="1158"/>
      <c r="N146" s="1158"/>
      <c r="O146" s="1158"/>
      <c r="P146" s="1158"/>
      <c r="Q146" s="1158"/>
      <c r="R146" s="1158"/>
      <c r="S146" s="1158"/>
      <c r="T146" s="1021"/>
      <c r="U146" s="1021"/>
      <c r="V146" s="1021"/>
      <c r="W146" s="1021"/>
      <c r="X146" s="1021"/>
      <c r="Y146" s="1021"/>
      <c r="Z146" s="1021"/>
      <c r="AA146" s="1021"/>
      <c r="AB146" s="1021"/>
      <c r="AC146" s="1021"/>
    </row>
    <row r="147" spans="1:29" s="1022" customFormat="1">
      <c r="A147" s="1018" t="s">
        <v>194</v>
      </c>
      <c r="B147" s="1158" t="s">
        <v>223</v>
      </c>
      <c r="C147" s="1158"/>
      <c r="D147" s="1018" t="s">
        <v>139</v>
      </c>
      <c r="E147" s="1019">
        <v>0.55385041999999995</v>
      </c>
      <c r="F147" s="1018" t="s">
        <v>139</v>
      </c>
      <c r="G147" s="1020">
        <v>1</v>
      </c>
      <c r="H147" s="1165" t="s">
        <v>224</v>
      </c>
      <c r="I147" s="1166"/>
      <c r="J147" s="1158" t="s">
        <v>931</v>
      </c>
      <c r="K147" s="1158"/>
      <c r="L147" s="1158"/>
      <c r="M147" s="1158"/>
      <c r="N147" s="1158"/>
      <c r="O147" s="1158"/>
      <c r="P147" s="1158"/>
      <c r="Q147" s="1158"/>
      <c r="R147" s="1158"/>
      <c r="S147" s="1158"/>
      <c r="T147" s="1021"/>
      <c r="U147" s="1021"/>
      <c r="V147" s="1021"/>
      <c r="W147" s="1021"/>
      <c r="X147" s="1021"/>
      <c r="Y147" s="1021"/>
      <c r="Z147" s="1021"/>
      <c r="AA147" s="1021"/>
      <c r="AB147" s="1021"/>
      <c r="AC147" s="1021"/>
    </row>
    <row r="148" spans="1:29" s="1022" customFormat="1">
      <c r="A148" s="1018" t="s">
        <v>194</v>
      </c>
      <c r="B148" s="1158" t="s">
        <v>225</v>
      </c>
      <c r="C148" s="1158"/>
      <c r="D148" s="1018" t="s">
        <v>139</v>
      </c>
      <c r="E148" s="1019">
        <v>0.44587958</v>
      </c>
      <c r="F148" s="1018" t="s">
        <v>139</v>
      </c>
      <c r="G148" s="1020">
        <v>1</v>
      </c>
      <c r="H148" s="1165" t="s">
        <v>224</v>
      </c>
      <c r="I148" s="1166"/>
      <c r="J148" s="1158" t="s">
        <v>932</v>
      </c>
      <c r="K148" s="1158"/>
      <c r="L148" s="1158"/>
      <c r="M148" s="1158"/>
      <c r="N148" s="1158"/>
      <c r="O148" s="1158"/>
      <c r="P148" s="1158"/>
      <c r="Q148" s="1158"/>
      <c r="R148" s="1158"/>
      <c r="S148" s="1158"/>
      <c r="T148" s="1021"/>
      <c r="U148" s="1021"/>
      <c r="V148" s="1021"/>
      <c r="W148" s="1021"/>
      <c r="X148" s="1021"/>
      <c r="Y148" s="1021"/>
      <c r="Z148" s="1021"/>
      <c r="AA148" s="1021"/>
      <c r="AB148" s="1021"/>
      <c r="AC148" s="1021"/>
    </row>
    <row r="149" spans="1:29">
      <c r="A149" s="215" t="s">
        <v>886</v>
      </c>
      <c r="B149" s="1159" t="s">
        <v>232</v>
      </c>
      <c r="C149" s="1159"/>
      <c r="D149" s="185" t="s">
        <v>139</v>
      </c>
      <c r="E149" s="241">
        <v>1.7569999999999999E-2</v>
      </c>
      <c r="F149" s="185" t="s">
        <v>139</v>
      </c>
      <c r="G149" s="245">
        <v>1</v>
      </c>
      <c r="H149" s="1163" t="s">
        <v>168</v>
      </c>
      <c r="I149" s="1164"/>
      <c r="J149" s="1160" t="s">
        <v>933</v>
      </c>
      <c r="K149" s="1160"/>
      <c r="L149" s="1160"/>
      <c r="M149" s="1160"/>
      <c r="N149" s="1160"/>
      <c r="O149" s="1160"/>
      <c r="P149" s="1160"/>
      <c r="Q149" s="1160"/>
      <c r="R149" s="1160"/>
      <c r="S149" s="1160"/>
    </row>
    <row r="150" spans="1:29">
      <c r="A150" s="215" t="s">
        <v>886</v>
      </c>
      <c r="B150" s="1159" t="s">
        <v>934</v>
      </c>
      <c r="C150" s="1159"/>
      <c r="D150" s="185" t="s">
        <v>139</v>
      </c>
      <c r="E150" s="241" t="s">
        <v>150</v>
      </c>
      <c r="F150" s="185" t="s">
        <v>139</v>
      </c>
      <c r="G150" s="245">
        <v>1</v>
      </c>
      <c r="H150" s="1163" t="s">
        <v>168</v>
      </c>
      <c r="I150" s="1164"/>
      <c r="J150" s="1160" t="s">
        <v>930</v>
      </c>
      <c r="K150" s="1160"/>
      <c r="L150" s="1160"/>
      <c r="M150" s="1160"/>
      <c r="N150" s="1160"/>
      <c r="O150" s="1160"/>
      <c r="P150" s="1160"/>
      <c r="Q150" s="1160"/>
      <c r="R150" s="1160"/>
      <c r="S150" s="1160"/>
    </row>
    <row r="151" spans="1:29">
      <c r="A151" s="215" t="s">
        <v>934</v>
      </c>
      <c r="B151" s="1159" t="s">
        <v>204</v>
      </c>
      <c r="C151" s="1159"/>
      <c r="D151" s="185" t="s">
        <v>139</v>
      </c>
      <c r="E151" s="241">
        <v>2.7E-4</v>
      </c>
      <c r="F151" s="185" t="s">
        <v>139</v>
      </c>
      <c r="G151" s="245">
        <v>2</v>
      </c>
      <c r="H151" s="1163" t="s">
        <v>163</v>
      </c>
      <c r="I151" s="1164"/>
      <c r="J151" s="1160"/>
      <c r="K151" s="1160"/>
      <c r="L151" s="1160"/>
      <c r="M151" s="1160"/>
      <c r="N151" s="1160"/>
      <c r="O151" s="1160"/>
      <c r="P151" s="1160"/>
      <c r="Q151" s="1160"/>
      <c r="R151" s="1160"/>
      <c r="S151" s="1160"/>
    </row>
    <row r="152" spans="1:29">
      <c r="A152" s="215" t="s">
        <v>934</v>
      </c>
      <c r="B152" s="1159" t="s">
        <v>223</v>
      </c>
      <c r="C152" s="1159"/>
      <c r="D152" s="185" t="s">
        <v>139</v>
      </c>
      <c r="E152" s="241" t="s">
        <v>150</v>
      </c>
      <c r="F152" s="185" t="s">
        <v>139</v>
      </c>
      <c r="G152" s="245">
        <v>1</v>
      </c>
      <c r="H152" s="1163" t="s">
        <v>347</v>
      </c>
      <c r="I152" s="1164"/>
      <c r="J152" s="1160"/>
      <c r="K152" s="1160"/>
      <c r="L152" s="1160"/>
      <c r="M152" s="1160"/>
      <c r="N152" s="1160"/>
      <c r="O152" s="1160"/>
      <c r="P152" s="1160"/>
      <c r="Q152" s="1160"/>
      <c r="R152" s="1160"/>
      <c r="S152" s="1160"/>
    </row>
    <row r="153" spans="1:29">
      <c r="A153" s="215" t="s">
        <v>337</v>
      </c>
      <c r="B153" s="1159" t="s">
        <v>204</v>
      </c>
      <c r="C153" s="1159"/>
      <c r="D153" s="185" t="s">
        <v>139</v>
      </c>
      <c r="E153" s="241">
        <v>2.7E-4</v>
      </c>
      <c r="F153" s="185" t="s">
        <v>139</v>
      </c>
      <c r="G153" s="245">
        <v>2</v>
      </c>
      <c r="H153" s="1163" t="s">
        <v>163</v>
      </c>
      <c r="I153" s="1164"/>
      <c r="J153" s="1160"/>
      <c r="K153" s="1160"/>
      <c r="L153" s="1160"/>
      <c r="M153" s="1160"/>
      <c r="N153" s="1160"/>
      <c r="O153" s="1160"/>
      <c r="P153" s="1160"/>
      <c r="Q153" s="1160"/>
      <c r="R153" s="1160"/>
      <c r="S153" s="1160"/>
    </row>
    <row r="154" spans="1:29">
      <c r="A154" s="215" t="s">
        <v>337</v>
      </c>
      <c r="B154" s="1159" t="s">
        <v>223</v>
      </c>
      <c r="C154" s="1159"/>
      <c r="D154" s="185" t="s">
        <v>139</v>
      </c>
      <c r="E154" s="241" t="s">
        <v>150</v>
      </c>
      <c r="F154" s="185" t="s">
        <v>139</v>
      </c>
      <c r="G154" s="245">
        <v>1</v>
      </c>
      <c r="H154" s="1163" t="s">
        <v>347</v>
      </c>
      <c r="I154" s="1164"/>
      <c r="J154" s="1160"/>
      <c r="K154" s="1160"/>
      <c r="L154" s="1160"/>
      <c r="M154" s="1160"/>
      <c r="N154" s="1160"/>
      <c r="O154" s="1160"/>
      <c r="P154" s="1160"/>
      <c r="Q154" s="1160"/>
      <c r="R154" s="1160"/>
      <c r="S154" s="1160"/>
    </row>
    <row r="155" spans="1:29">
      <c r="A155" s="215" t="s">
        <v>337</v>
      </c>
      <c r="B155" s="1159" t="s">
        <v>363</v>
      </c>
      <c r="C155" s="1159"/>
      <c r="D155" s="185" t="s">
        <v>139</v>
      </c>
      <c r="E155" s="241">
        <v>6.5000000000000002E-2</v>
      </c>
      <c r="F155" s="185" t="s">
        <v>139</v>
      </c>
      <c r="G155" s="245">
        <v>1</v>
      </c>
      <c r="H155" s="1163" t="s">
        <v>427</v>
      </c>
      <c r="I155" s="1164"/>
      <c r="J155" s="1160" t="s">
        <v>935</v>
      </c>
      <c r="K155" s="1160"/>
      <c r="L155" s="1160"/>
      <c r="M155" s="1160"/>
      <c r="N155" s="1160"/>
      <c r="O155" s="1160"/>
      <c r="P155" s="1160"/>
      <c r="Q155" s="1160"/>
      <c r="R155" s="1160"/>
      <c r="S155" s="1160"/>
    </row>
    <row r="156" spans="1:29">
      <c r="A156" s="215" t="s">
        <v>337</v>
      </c>
      <c r="B156" s="1159" t="s">
        <v>363</v>
      </c>
      <c r="C156" s="1159"/>
      <c r="D156" s="185" t="s">
        <v>139</v>
      </c>
      <c r="E156" s="241">
        <v>0.46</v>
      </c>
      <c r="F156" s="185" t="s">
        <v>139</v>
      </c>
      <c r="G156" s="245">
        <v>1</v>
      </c>
      <c r="H156" s="1163" t="s">
        <v>428</v>
      </c>
      <c r="I156" s="1164"/>
      <c r="J156" s="1160" t="s">
        <v>936</v>
      </c>
      <c r="K156" s="1160"/>
      <c r="L156" s="1160"/>
      <c r="M156" s="1160"/>
      <c r="N156" s="1160"/>
      <c r="O156" s="1160"/>
      <c r="P156" s="1160"/>
      <c r="Q156" s="1160"/>
      <c r="R156" s="1160"/>
      <c r="S156" s="1160"/>
    </row>
    <row r="157" spans="1:29">
      <c r="A157" s="215" t="s">
        <v>241</v>
      </c>
      <c r="B157" s="1159" t="s">
        <v>204</v>
      </c>
      <c r="C157" s="1159"/>
      <c r="D157" s="185" t="s">
        <v>139</v>
      </c>
      <c r="E157" s="241">
        <v>2.7E-4</v>
      </c>
      <c r="F157" s="185" t="s">
        <v>139</v>
      </c>
      <c r="G157" s="245">
        <v>2</v>
      </c>
      <c r="H157" s="1163" t="s">
        <v>163</v>
      </c>
      <c r="I157" s="1164"/>
      <c r="J157" s="1160"/>
      <c r="K157" s="1160"/>
      <c r="L157" s="1160"/>
      <c r="M157" s="1160"/>
      <c r="N157" s="1160"/>
      <c r="O157" s="1160"/>
      <c r="P157" s="1160"/>
      <c r="Q157" s="1160"/>
      <c r="R157" s="1160"/>
      <c r="S157" s="1160"/>
    </row>
    <row r="158" spans="1:29">
      <c r="A158" s="215" t="s">
        <v>241</v>
      </c>
      <c r="B158" s="1159" t="s">
        <v>223</v>
      </c>
      <c r="C158" s="1159"/>
      <c r="D158" s="185" t="s">
        <v>139</v>
      </c>
      <c r="E158" s="241" t="s">
        <v>150</v>
      </c>
      <c r="F158" s="185" t="s">
        <v>139</v>
      </c>
      <c r="G158" s="245">
        <v>1</v>
      </c>
      <c r="H158" s="1163" t="s">
        <v>347</v>
      </c>
      <c r="I158" s="1164"/>
      <c r="J158" s="1160"/>
      <c r="K158" s="1160"/>
      <c r="L158" s="1160"/>
      <c r="M158" s="1160"/>
      <c r="N158" s="1160"/>
      <c r="O158" s="1160"/>
      <c r="P158" s="1160"/>
      <c r="Q158" s="1160"/>
      <c r="R158" s="1160"/>
      <c r="S158" s="1160"/>
    </row>
    <row r="159" spans="1:29">
      <c r="A159" s="215" t="s">
        <v>241</v>
      </c>
      <c r="B159" s="1159" t="s">
        <v>363</v>
      </c>
      <c r="C159" s="1159"/>
      <c r="D159" s="185" t="s">
        <v>139</v>
      </c>
      <c r="E159" s="241">
        <v>0.91400000000000003</v>
      </c>
      <c r="F159" s="185" t="s">
        <v>139</v>
      </c>
      <c r="G159" s="245">
        <v>1</v>
      </c>
      <c r="H159" s="1163" t="s">
        <v>427</v>
      </c>
      <c r="I159" s="1164"/>
      <c r="J159" s="1160" t="s">
        <v>935</v>
      </c>
      <c r="K159" s="1160"/>
      <c r="L159" s="1160"/>
      <c r="M159" s="1160"/>
      <c r="N159" s="1160"/>
      <c r="O159" s="1160"/>
      <c r="P159" s="1160"/>
      <c r="Q159" s="1160"/>
      <c r="R159" s="1160"/>
      <c r="S159" s="1160"/>
    </row>
    <row r="160" spans="1:29">
      <c r="A160" s="215" t="s">
        <v>239</v>
      </c>
      <c r="B160" s="1159" t="s">
        <v>204</v>
      </c>
      <c r="C160" s="1159"/>
      <c r="D160" s="185" t="s">
        <v>139</v>
      </c>
      <c r="E160" s="241">
        <v>2.7E-4</v>
      </c>
      <c r="F160" s="185" t="s">
        <v>139</v>
      </c>
      <c r="G160" s="245">
        <v>2</v>
      </c>
      <c r="H160" s="1163" t="s">
        <v>163</v>
      </c>
      <c r="I160" s="1164"/>
      <c r="J160" s="1160"/>
      <c r="K160" s="1160"/>
      <c r="L160" s="1160"/>
      <c r="M160" s="1160"/>
      <c r="N160" s="1160"/>
      <c r="O160" s="1160"/>
      <c r="P160" s="1160"/>
      <c r="Q160" s="1160"/>
      <c r="R160" s="1160"/>
      <c r="S160" s="1160"/>
    </row>
    <row r="161" spans="1:19">
      <c r="A161" s="215" t="s">
        <v>239</v>
      </c>
      <c r="B161" s="1159" t="s">
        <v>223</v>
      </c>
      <c r="C161" s="1159"/>
      <c r="D161" s="185" t="s">
        <v>139</v>
      </c>
      <c r="E161" s="241" t="s">
        <v>150</v>
      </c>
      <c r="F161" s="185" t="s">
        <v>139</v>
      </c>
      <c r="G161" s="245">
        <v>1</v>
      </c>
      <c r="H161" s="1163" t="s">
        <v>347</v>
      </c>
      <c r="I161" s="1164"/>
      <c r="J161" s="1160"/>
      <c r="K161" s="1160"/>
      <c r="L161" s="1160"/>
      <c r="M161" s="1160"/>
      <c r="N161" s="1160"/>
      <c r="O161" s="1160"/>
      <c r="P161" s="1160"/>
      <c r="Q161" s="1160"/>
      <c r="R161" s="1160"/>
      <c r="S161" s="1160"/>
    </row>
    <row r="162" spans="1:19">
      <c r="A162" s="215" t="s">
        <v>239</v>
      </c>
      <c r="B162" s="1159" t="s">
        <v>363</v>
      </c>
      <c r="C162" s="1159"/>
      <c r="D162" s="185" t="s">
        <v>139</v>
      </c>
      <c r="E162" s="241">
        <v>0.16500000000000001</v>
      </c>
      <c r="F162" s="185" t="s">
        <v>139</v>
      </c>
      <c r="G162" s="245">
        <v>1</v>
      </c>
      <c r="H162" s="1163" t="s">
        <v>427</v>
      </c>
      <c r="I162" s="1164"/>
      <c r="J162" s="1160" t="s">
        <v>935</v>
      </c>
      <c r="K162" s="1160"/>
      <c r="L162" s="1160"/>
      <c r="M162" s="1160"/>
      <c r="N162" s="1160"/>
      <c r="O162" s="1160"/>
      <c r="P162" s="1160"/>
      <c r="Q162" s="1160"/>
      <c r="R162" s="1160"/>
      <c r="S162" s="1160"/>
    </row>
    <row r="163" spans="1:19">
      <c r="A163" s="215" t="s">
        <v>239</v>
      </c>
      <c r="B163" s="1159" t="s">
        <v>363</v>
      </c>
      <c r="C163" s="1159"/>
      <c r="D163" s="185" t="s">
        <v>139</v>
      </c>
      <c r="E163" s="241">
        <v>0.52500000000000002</v>
      </c>
      <c r="F163" s="185" t="s">
        <v>139</v>
      </c>
      <c r="G163" s="245">
        <v>1</v>
      </c>
      <c r="H163" s="1163" t="s">
        <v>427</v>
      </c>
      <c r="I163" s="1164"/>
      <c r="J163" s="1160" t="s">
        <v>936</v>
      </c>
      <c r="K163" s="1160"/>
      <c r="L163" s="1160"/>
      <c r="M163" s="1160"/>
      <c r="N163" s="1160"/>
      <c r="O163" s="1160"/>
      <c r="P163" s="1160"/>
      <c r="Q163" s="1160"/>
      <c r="R163" s="1160"/>
      <c r="S163" s="1160"/>
    </row>
    <row r="164" spans="1:19">
      <c r="A164" s="215" t="s">
        <v>240</v>
      </c>
      <c r="B164" s="1159" t="s">
        <v>204</v>
      </c>
      <c r="C164" s="1159"/>
      <c r="D164" s="185" t="s">
        <v>139</v>
      </c>
      <c r="E164" s="241">
        <v>2.7E-4</v>
      </c>
      <c r="F164" s="185" t="s">
        <v>139</v>
      </c>
      <c r="G164" s="245">
        <v>2</v>
      </c>
      <c r="H164" s="1163" t="s">
        <v>163</v>
      </c>
      <c r="I164" s="1164"/>
      <c r="J164" s="1160"/>
      <c r="K164" s="1160"/>
      <c r="L164" s="1160"/>
      <c r="M164" s="1160"/>
      <c r="N164" s="1160"/>
      <c r="O164" s="1160"/>
      <c r="P164" s="1160"/>
      <c r="Q164" s="1160"/>
      <c r="R164" s="1160"/>
      <c r="S164" s="1160"/>
    </row>
    <row r="165" spans="1:19">
      <c r="A165" s="215" t="s">
        <v>240</v>
      </c>
      <c r="B165" s="1159" t="s">
        <v>223</v>
      </c>
      <c r="C165" s="1159"/>
      <c r="D165" s="185" t="s">
        <v>139</v>
      </c>
      <c r="E165" s="241" t="s">
        <v>150</v>
      </c>
      <c r="F165" s="185" t="s">
        <v>139</v>
      </c>
      <c r="G165" s="245">
        <v>1</v>
      </c>
      <c r="H165" s="1163" t="s">
        <v>347</v>
      </c>
      <c r="I165" s="1164"/>
      <c r="J165" s="1160"/>
      <c r="K165" s="1160"/>
      <c r="L165" s="1160"/>
      <c r="M165" s="1160"/>
      <c r="N165" s="1160"/>
      <c r="O165" s="1160"/>
      <c r="P165" s="1160"/>
      <c r="Q165" s="1160"/>
      <c r="R165" s="1160"/>
      <c r="S165" s="1160"/>
    </row>
    <row r="166" spans="1:19">
      <c r="A166" s="215" t="s">
        <v>240</v>
      </c>
      <c r="B166" s="1159" t="s">
        <v>363</v>
      </c>
      <c r="C166" s="1159"/>
      <c r="D166" s="185" t="s">
        <v>139</v>
      </c>
      <c r="E166" s="241">
        <v>6.5000000000000002E-2</v>
      </c>
      <c r="F166" s="185" t="s">
        <v>139</v>
      </c>
      <c r="G166" s="245">
        <v>1</v>
      </c>
      <c r="H166" s="1163" t="s">
        <v>427</v>
      </c>
      <c r="I166" s="1164"/>
      <c r="J166" s="1160" t="s">
        <v>936</v>
      </c>
      <c r="K166" s="1160"/>
      <c r="L166" s="1160"/>
      <c r="M166" s="1160"/>
      <c r="N166" s="1160"/>
      <c r="O166" s="1160"/>
      <c r="P166" s="1160"/>
      <c r="Q166" s="1160"/>
      <c r="R166" s="1160"/>
      <c r="S166" s="1160"/>
    </row>
    <row r="167" spans="1:19">
      <c r="A167" s="215" t="s">
        <v>191</v>
      </c>
      <c r="B167" s="1159" t="s">
        <v>922</v>
      </c>
      <c r="C167" s="1159"/>
      <c r="D167" s="185" t="s">
        <v>139</v>
      </c>
      <c r="E167" s="241">
        <v>1.2999999999999999E-2</v>
      </c>
      <c r="F167" s="185" t="s">
        <v>139</v>
      </c>
      <c r="G167" s="245">
        <v>1</v>
      </c>
      <c r="H167" s="1163" t="s">
        <v>163</v>
      </c>
      <c r="I167" s="1164"/>
      <c r="J167" s="1160" t="s">
        <v>937</v>
      </c>
      <c r="K167" s="1160"/>
      <c r="L167" s="1160"/>
      <c r="M167" s="1160"/>
      <c r="N167" s="1160"/>
      <c r="O167" s="1160"/>
      <c r="P167" s="1160"/>
      <c r="Q167" s="1160"/>
      <c r="R167" s="1160"/>
      <c r="S167" s="1160"/>
    </row>
    <row r="168" spans="1:19">
      <c r="A168" s="215" t="s">
        <v>191</v>
      </c>
      <c r="B168" s="1159" t="s">
        <v>922</v>
      </c>
      <c r="C168" s="1159"/>
      <c r="D168" s="185" t="s">
        <v>139</v>
      </c>
      <c r="E168" s="241">
        <v>8.6E-3</v>
      </c>
      <c r="F168" s="185" t="s">
        <v>139</v>
      </c>
      <c r="G168" s="245">
        <v>1</v>
      </c>
      <c r="H168" s="1163" t="s">
        <v>163</v>
      </c>
      <c r="I168" s="1164"/>
      <c r="J168" s="1160" t="s">
        <v>938</v>
      </c>
      <c r="K168" s="1160"/>
      <c r="L168" s="1160"/>
      <c r="M168" s="1160"/>
      <c r="N168" s="1160"/>
      <c r="O168" s="1160"/>
      <c r="P168" s="1160"/>
      <c r="Q168" s="1160"/>
      <c r="R168" s="1160"/>
      <c r="S168" s="1160"/>
    </row>
    <row r="169" spans="1:19">
      <c r="A169" s="215" t="s">
        <v>191</v>
      </c>
      <c r="B169" s="1159" t="s">
        <v>231</v>
      </c>
      <c r="C169" s="1159"/>
      <c r="D169" s="185" t="s">
        <v>139</v>
      </c>
      <c r="E169" s="241">
        <v>0</v>
      </c>
      <c r="F169" s="185" t="s">
        <v>139</v>
      </c>
      <c r="G169" s="245">
        <v>1</v>
      </c>
      <c r="H169" s="1163" t="s">
        <v>163</v>
      </c>
      <c r="I169" s="1164"/>
      <c r="J169" s="1160"/>
      <c r="K169" s="1160"/>
      <c r="L169" s="1160"/>
      <c r="M169" s="1160"/>
      <c r="N169" s="1160"/>
      <c r="O169" s="1160"/>
      <c r="P169" s="1160"/>
      <c r="Q169" s="1160"/>
      <c r="R169" s="1160"/>
      <c r="S169" s="1160"/>
    </row>
    <row r="170" spans="1:19">
      <c r="A170" s="215" t="s">
        <v>191</v>
      </c>
      <c r="B170" s="1159" t="s">
        <v>232</v>
      </c>
      <c r="C170" s="1159"/>
      <c r="D170" s="185" t="s">
        <v>139</v>
      </c>
      <c r="E170" s="241">
        <v>1.7569999999999999E-2</v>
      </c>
      <c r="F170" s="185" t="s">
        <v>139</v>
      </c>
      <c r="G170" s="245">
        <v>1</v>
      </c>
      <c r="H170" s="1163" t="s">
        <v>168</v>
      </c>
      <c r="I170" s="1164"/>
      <c r="J170" s="1160" t="s">
        <v>933</v>
      </c>
      <c r="K170" s="1160"/>
      <c r="L170" s="1160"/>
      <c r="M170" s="1160"/>
      <c r="N170" s="1160"/>
      <c r="O170" s="1160"/>
      <c r="P170" s="1160"/>
      <c r="Q170" s="1160"/>
      <c r="R170" s="1160"/>
      <c r="S170" s="1160"/>
    </row>
    <row r="171" spans="1:19">
      <c r="A171" s="215" t="s">
        <v>191</v>
      </c>
      <c r="B171" s="1159" t="s">
        <v>190</v>
      </c>
      <c r="C171" s="1159"/>
      <c r="D171" s="185" t="s">
        <v>139</v>
      </c>
      <c r="E171" s="241" t="s">
        <v>150</v>
      </c>
      <c r="F171" s="185" t="s">
        <v>139</v>
      </c>
      <c r="G171" s="245">
        <v>1</v>
      </c>
      <c r="H171" s="1163" t="s">
        <v>168</v>
      </c>
      <c r="I171" s="1164"/>
      <c r="J171" s="1160" t="s">
        <v>930</v>
      </c>
      <c r="K171" s="1160"/>
      <c r="L171" s="1160"/>
      <c r="M171" s="1160"/>
      <c r="N171" s="1160"/>
      <c r="O171" s="1160"/>
      <c r="P171" s="1160"/>
      <c r="Q171" s="1160"/>
      <c r="R171" s="1160"/>
      <c r="S171" s="1160"/>
    </row>
    <row r="172" spans="1:19">
      <c r="A172" s="215" t="s">
        <v>190</v>
      </c>
      <c r="B172" s="1159" t="s">
        <v>204</v>
      </c>
      <c r="C172" s="1159"/>
      <c r="D172" s="185" t="s">
        <v>139</v>
      </c>
      <c r="E172" s="241">
        <v>2.7E-4</v>
      </c>
      <c r="F172" s="185" t="s">
        <v>139</v>
      </c>
      <c r="G172" s="245">
        <v>2</v>
      </c>
      <c r="H172" s="1163" t="s">
        <v>163</v>
      </c>
      <c r="I172" s="1164"/>
      <c r="J172" s="1160"/>
      <c r="K172" s="1160"/>
      <c r="L172" s="1160"/>
      <c r="M172" s="1160"/>
      <c r="N172" s="1160"/>
      <c r="O172" s="1160"/>
      <c r="P172" s="1160"/>
      <c r="Q172" s="1160"/>
      <c r="R172" s="1160"/>
      <c r="S172" s="1160"/>
    </row>
    <row r="173" spans="1:19">
      <c r="A173" s="215" t="s">
        <v>190</v>
      </c>
      <c r="B173" s="1159" t="s">
        <v>223</v>
      </c>
      <c r="C173" s="1159"/>
      <c r="D173" s="185" t="s">
        <v>139</v>
      </c>
      <c r="E173" s="241">
        <v>0.55385041999999995</v>
      </c>
      <c r="F173" s="185" t="s">
        <v>139</v>
      </c>
      <c r="G173" s="245">
        <v>1</v>
      </c>
      <c r="H173" s="1163" t="s">
        <v>224</v>
      </c>
      <c r="I173" s="1164"/>
      <c r="J173" s="1160" t="s">
        <v>939</v>
      </c>
      <c r="K173" s="1160"/>
      <c r="L173" s="1160"/>
      <c r="M173" s="1160"/>
      <c r="N173" s="1160"/>
      <c r="O173" s="1160"/>
      <c r="P173" s="1160"/>
      <c r="Q173" s="1160"/>
      <c r="R173" s="1160"/>
      <c r="S173" s="1160"/>
    </row>
    <row r="174" spans="1:19">
      <c r="A174" s="215" t="s">
        <v>190</v>
      </c>
      <c r="B174" s="1159" t="str">
        <f>'Textile waste collection'!B16</f>
        <v>Home textile waste collection</v>
      </c>
      <c r="C174" s="1159"/>
      <c r="D174" s="185" t="s">
        <v>139</v>
      </c>
      <c r="E174" s="241">
        <f>'Textile waste collection'!E16</f>
        <v>0.50465116279069766</v>
      </c>
      <c r="F174" s="185" t="s">
        <v>139</v>
      </c>
      <c r="G174" s="245">
        <v>1</v>
      </c>
      <c r="H174" s="1163" t="s">
        <v>224</v>
      </c>
      <c r="I174" s="1164"/>
      <c r="J174" s="1160" t="s">
        <v>940</v>
      </c>
      <c r="K174" s="1160"/>
      <c r="L174" s="1160"/>
      <c r="M174" s="1160"/>
      <c r="N174" s="1160"/>
      <c r="O174" s="1160"/>
      <c r="P174" s="1160"/>
      <c r="Q174" s="1160"/>
      <c r="R174" s="1160"/>
      <c r="S174" s="1160"/>
    </row>
    <row r="175" spans="1:19">
      <c r="A175" s="215" t="s">
        <v>356</v>
      </c>
      <c r="B175" s="1159" t="s">
        <v>922</v>
      </c>
      <c r="C175" s="1159"/>
      <c r="D175" s="185" t="s">
        <v>139</v>
      </c>
      <c r="E175" s="241">
        <v>1.2999999999999999E-2</v>
      </c>
      <c r="F175" s="185" t="s">
        <v>139</v>
      </c>
      <c r="G175" s="245">
        <v>1</v>
      </c>
      <c r="H175" s="1163" t="s">
        <v>163</v>
      </c>
      <c r="I175" s="1164"/>
      <c r="J175" s="1160" t="s">
        <v>941</v>
      </c>
      <c r="K175" s="1160"/>
      <c r="L175" s="1160"/>
      <c r="M175" s="1160"/>
      <c r="N175" s="1160"/>
      <c r="O175" s="1160"/>
      <c r="P175" s="1160"/>
      <c r="Q175" s="1160"/>
      <c r="R175" s="1160"/>
      <c r="S175" s="1160"/>
    </row>
    <row r="176" spans="1:19">
      <c r="A176" s="215" t="s">
        <v>356</v>
      </c>
      <c r="B176" s="1159" t="s">
        <v>922</v>
      </c>
      <c r="C176" s="1159"/>
      <c r="D176" s="185" t="s">
        <v>139</v>
      </c>
      <c r="E176" s="241">
        <v>8.6E-3</v>
      </c>
      <c r="F176" s="185" t="s">
        <v>139</v>
      </c>
      <c r="G176" s="245">
        <v>1</v>
      </c>
      <c r="H176" s="1163" t="s">
        <v>163</v>
      </c>
      <c r="I176" s="1164"/>
      <c r="J176" s="1160" t="s">
        <v>942</v>
      </c>
      <c r="K176" s="1160"/>
      <c r="L176" s="1160"/>
      <c r="M176" s="1160"/>
      <c r="N176" s="1160"/>
      <c r="O176" s="1160"/>
      <c r="P176" s="1160"/>
      <c r="Q176" s="1160"/>
      <c r="R176" s="1160"/>
      <c r="S176" s="1160"/>
    </row>
    <row r="177" spans="1:19">
      <c r="A177" s="215" t="s">
        <v>356</v>
      </c>
      <c r="B177" s="1159" t="s">
        <v>231</v>
      </c>
      <c r="C177" s="1159"/>
      <c r="D177" s="185" t="s">
        <v>139</v>
      </c>
      <c r="E177" s="241">
        <v>0</v>
      </c>
      <c r="F177" s="185" t="s">
        <v>139</v>
      </c>
      <c r="G177" s="245">
        <v>1</v>
      </c>
      <c r="H177" s="1163" t="s">
        <v>163</v>
      </c>
      <c r="I177" s="1164"/>
      <c r="J177" s="1160" t="s">
        <v>943</v>
      </c>
      <c r="K177" s="1160"/>
      <c r="L177" s="1160"/>
      <c r="M177" s="1160"/>
      <c r="N177" s="1160"/>
      <c r="O177" s="1160"/>
      <c r="P177" s="1160"/>
      <c r="Q177" s="1160"/>
      <c r="R177" s="1160"/>
      <c r="S177" s="1160"/>
    </row>
    <row r="178" spans="1:19">
      <c r="A178" s="215" t="s">
        <v>356</v>
      </c>
      <c r="B178" s="1159" t="s">
        <v>232</v>
      </c>
      <c r="C178" s="1159"/>
      <c r="D178" s="185" t="s">
        <v>139</v>
      </c>
      <c r="E178" s="241">
        <v>0</v>
      </c>
      <c r="F178" s="185" t="s">
        <v>139</v>
      </c>
      <c r="G178" s="245">
        <v>1</v>
      </c>
      <c r="H178" s="1163" t="s">
        <v>163</v>
      </c>
      <c r="I178" s="1164"/>
      <c r="J178" s="1160" t="s">
        <v>944</v>
      </c>
      <c r="K178" s="1160"/>
      <c r="L178" s="1160"/>
      <c r="M178" s="1160"/>
      <c r="N178" s="1160"/>
      <c r="O178" s="1160"/>
      <c r="P178" s="1160"/>
      <c r="Q178" s="1160"/>
      <c r="R178" s="1160"/>
      <c r="S178" s="1160"/>
    </row>
    <row r="179" spans="1:19">
      <c r="A179" s="215" t="s">
        <v>356</v>
      </c>
      <c r="B179" s="1159" t="s">
        <v>242</v>
      </c>
      <c r="C179" s="1159"/>
      <c r="D179" s="185" t="s">
        <v>139</v>
      </c>
      <c r="E179" s="241" t="s">
        <v>150</v>
      </c>
      <c r="F179" s="185" t="s">
        <v>139</v>
      </c>
      <c r="G179" s="245">
        <v>1</v>
      </c>
      <c r="H179" s="1163" t="s">
        <v>168</v>
      </c>
      <c r="I179" s="1164"/>
      <c r="J179" s="1160" t="s">
        <v>930</v>
      </c>
      <c r="K179" s="1160"/>
      <c r="L179" s="1160"/>
      <c r="M179" s="1160"/>
      <c r="N179" s="1160"/>
      <c r="O179" s="1160"/>
      <c r="P179" s="1160"/>
      <c r="Q179" s="1160"/>
      <c r="R179" s="1160"/>
      <c r="S179" s="1160"/>
    </row>
    <row r="180" spans="1:19">
      <c r="A180" s="215" t="s">
        <v>242</v>
      </c>
      <c r="B180" s="1159" t="s">
        <v>204</v>
      </c>
      <c r="C180" s="1159"/>
      <c r="D180" s="185" t="s">
        <v>139</v>
      </c>
      <c r="E180" s="241">
        <v>2.7E-4</v>
      </c>
      <c r="F180" s="185" t="s">
        <v>139</v>
      </c>
      <c r="G180" s="245">
        <v>2</v>
      </c>
      <c r="H180" s="1163" t="s">
        <v>163</v>
      </c>
      <c r="I180" s="1164"/>
      <c r="J180" s="1160"/>
      <c r="K180" s="1160"/>
      <c r="L180" s="1160"/>
      <c r="M180" s="1160"/>
      <c r="N180" s="1160"/>
      <c r="O180" s="1160"/>
      <c r="P180" s="1160"/>
      <c r="Q180" s="1160"/>
      <c r="R180" s="1160"/>
      <c r="S180" s="1160"/>
    </row>
    <row r="181" spans="1:19">
      <c r="A181" s="215" t="s">
        <v>242</v>
      </c>
      <c r="B181" s="1159" t="s">
        <v>223</v>
      </c>
      <c r="C181" s="1159"/>
      <c r="D181" s="185" t="s">
        <v>139</v>
      </c>
      <c r="E181" s="241">
        <v>0.55385041999999995</v>
      </c>
      <c r="F181" s="185" t="s">
        <v>139</v>
      </c>
      <c r="G181" s="245">
        <v>1</v>
      </c>
      <c r="H181" s="1163" t="s">
        <v>224</v>
      </c>
      <c r="I181" s="1164"/>
      <c r="J181" s="1160" t="s">
        <v>945</v>
      </c>
      <c r="K181" s="1160"/>
      <c r="L181" s="1160"/>
      <c r="M181" s="1160"/>
      <c r="N181" s="1160"/>
      <c r="O181" s="1160"/>
      <c r="P181" s="1160"/>
      <c r="Q181" s="1160"/>
      <c r="R181" s="1160"/>
      <c r="S181" s="1160"/>
    </row>
    <row r="182" spans="1:19">
      <c r="A182" s="215" t="s">
        <v>242</v>
      </c>
      <c r="B182" s="1159" t="str">
        <f>'Textile waste collection'!B17</f>
        <v>Technical textile waste collection</v>
      </c>
      <c r="C182" s="1159"/>
      <c r="D182" s="185" t="s">
        <v>139</v>
      </c>
      <c r="E182" s="241">
        <f>'Textile waste collection'!E17</f>
        <v>0.50465116279069766</v>
      </c>
      <c r="F182" s="185" t="s">
        <v>139</v>
      </c>
      <c r="G182" s="245">
        <v>1</v>
      </c>
      <c r="H182" s="1163" t="s">
        <v>224</v>
      </c>
      <c r="I182" s="1164"/>
      <c r="J182" s="1160" t="s">
        <v>946</v>
      </c>
      <c r="K182" s="1160"/>
      <c r="L182" s="1160"/>
      <c r="M182" s="1160"/>
      <c r="N182" s="1160"/>
      <c r="O182" s="1160"/>
      <c r="P182" s="1160"/>
      <c r="Q182" s="1160"/>
      <c r="R182" s="1160"/>
      <c r="S182" s="1160"/>
    </row>
    <row r="183" spans="1:19">
      <c r="A183" s="215" t="s">
        <v>346</v>
      </c>
      <c r="B183" s="1159" t="s">
        <v>223</v>
      </c>
      <c r="C183" s="1159"/>
      <c r="D183" s="185" t="s">
        <v>139</v>
      </c>
      <c r="E183" s="241">
        <v>1</v>
      </c>
      <c r="F183" s="185" t="s">
        <v>139</v>
      </c>
      <c r="G183" s="245">
        <v>1</v>
      </c>
      <c r="H183" s="1163" t="s">
        <v>163</v>
      </c>
      <c r="I183" s="1164"/>
      <c r="J183" s="1160"/>
      <c r="K183" s="1160"/>
      <c r="L183" s="1160"/>
      <c r="M183" s="1160"/>
      <c r="N183" s="1160"/>
      <c r="O183" s="1160"/>
      <c r="P183" s="1160"/>
      <c r="Q183" s="1160"/>
      <c r="R183" s="1160"/>
      <c r="S183" s="1160"/>
    </row>
    <row r="184" spans="1:19">
      <c r="A184" s="215" t="s">
        <v>162</v>
      </c>
      <c r="B184" s="1159" t="s">
        <v>155</v>
      </c>
      <c r="C184" s="1159"/>
      <c r="D184" s="185" t="s">
        <v>139</v>
      </c>
      <c r="E184" s="241">
        <v>0</v>
      </c>
      <c r="F184" s="185" t="s">
        <v>139</v>
      </c>
      <c r="G184" s="245">
        <v>1</v>
      </c>
      <c r="H184" s="1163" t="s">
        <v>163</v>
      </c>
      <c r="I184" s="1164"/>
      <c r="J184" s="1160" t="s">
        <v>147</v>
      </c>
      <c r="K184" s="1160"/>
      <c r="L184" s="1160"/>
      <c r="M184" s="1160"/>
      <c r="N184" s="1160"/>
      <c r="O184" s="1160"/>
      <c r="P184" s="1160"/>
      <c r="Q184" s="1160"/>
      <c r="R184" s="1160"/>
      <c r="S184" s="1160"/>
    </row>
    <row r="185" spans="1:19">
      <c r="A185" s="215" t="s">
        <v>162</v>
      </c>
      <c r="B185" s="1159" t="s">
        <v>155</v>
      </c>
      <c r="C185" s="1159"/>
      <c r="D185" s="185" t="s">
        <v>139</v>
      </c>
      <c r="E185" s="241">
        <v>1.2999999999999999E-2</v>
      </c>
      <c r="F185" s="185" t="s">
        <v>139</v>
      </c>
      <c r="G185" s="245">
        <v>1</v>
      </c>
      <c r="H185" s="1163" t="s">
        <v>163</v>
      </c>
      <c r="I185" s="1164"/>
      <c r="J185" s="1160" t="s">
        <v>947</v>
      </c>
      <c r="K185" s="1160"/>
      <c r="L185" s="1160"/>
      <c r="M185" s="1160"/>
      <c r="N185" s="1160"/>
      <c r="O185" s="1160"/>
      <c r="P185" s="1160"/>
      <c r="Q185" s="1160"/>
      <c r="R185" s="1160"/>
      <c r="S185" s="1160"/>
    </row>
    <row r="186" spans="1:19">
      <c r="A186" s="215" t="s">
        <v>162</v>
      </c>
      <c r="B186" s="1159" t="s">
        <v>146</v>
      </c>
      <c r="C186" s="1159"/>
      <c r="D186" s="185" t="s">
        <v>139</v>
      </c>
      <c r="E186" s="241">
        <v>0</v>
      </c>
      <c r="F186" s="185" t="s">
        <v>139</v>
      </c>
      <c r="G186" s="245">
        <v>1</v>
      </c>
      <c r="H186" s="1163" t="s">
        <v>163</v>
      </c>
      <c r="I186" s="1164"/>
      <c r="J186" s="1160" t="s">
        <v>147</v>
      </c>
      <c r="K186" s="1160"/>
      <c r="L186" s="1160"/>
      <c r="M186" s="1160"/>
      <c r="N186" s="1160"/>
      <c r="O186" s="1160"/>
      <c r="P186" s="1160"/>
      <c r="Q186" s="1160"/>
      <c r="R186" s="1160"/>
      <c r="S186" s="1160"/>
    </row>
    <row r="187" spans="1:19">
      <c r="A187" s="215" t="s">
        <v>162</v>
      </c>
      <c r="B187" s="1159" t="s">
        <v>146</v>
      </c>
      <c r="C187" s="1159"/>
      <c r="D187" s="185" t="s">
        <v>139</v>
      </c>
      <c r="E187" s="241">
        <v>8.5000000000000006E-2</v>
      </c>
      <c r="F187" s="185" t="s">
        <v>139</v>
      </c>
      <c r="G187" s="245">
        <v>1</v>
      </c>
      <c r="H187" s="1163" t="s">
        <v>163</v>
      </c>
      <c r="I187" s="1164"/>
      <c r="J187" s="1160" t="s">
        <v>148</v>
      </c>
      <c r="K187" s="1160"/>
      <c r="L187" s="1160"/>
      <c r="M187" s="1160"/>
      <c r="N187" s="1160"/>
      <c r="O187" s="1160"/>
      <c r="P187" s="1160"/>
      <c r="Q187" s="1160"/>
      <c r="R187" s="1160"/>
      <c r="S187" s="1160"/>
    </row>
    <row r="188" spans="1:19">
      <c r="A188" s="215" t="s">
        <v>162</v>
      </c>
      <c r="B188" s="1159" t="s">
        <v>153</v>
      </c>
      <c r="C188" s="1159"/>
      <c r="D188" s="185" t="s">
        <v>139</v>
      </c>
      <c r="E188" s="241" t="s">
        <v>150</v>
      </c>
      <c r="F188" s="185" t="s">
        <v>139</v>
      </c>
      <c r="G188" s="245">
        <v>1</v>
      </c>
      <c r="H188" s="1163" t="s">
        <v>168</v>
      </c>
      <c r="I188" s="1164"/>
      <c r="J188" s="1160" t="s">
        <v>930</v>
      </c>
      <c r="K188" s="1160"/>
      <c r="L188" s="1160"/>
      <c r="M188" s="1160"/>
      <c r="N188" s="1160"/>
      <c r="O188" s="1160"/>
      <c r="P188" s="1160"/>
      <c r="Q188" s="1160"/>
      <c r="R188" s="1160"/>
      <c r="S188" s="1160"/>
    </row>
    <row r="189" spans="1:19">
      <c r="A189" s="215" t="s">
        <v>153</v>
      </c>
      <c r="B189" s="1159" t="s">
        <v>165</v>
      </c>
      <c r="C189" s="1159"/>
      <c r="D189" s="185" t="s">
        <v>139</v>
      </c>
      <c r="E189" s="241" t="s">
        <v>150</v>
      </c>
      <c r="F189" s="185" t="s">
        <v>139</v>
      </c>
      <c r="G189" s="245">
        <v>1</v>
      </c>
      <c r="H189" s="1163" t="s">
        <v>163</v>
      </c>
      <c r="I189" s="1164"/>
      <c r="J189" s="1160"/>
      <c r="K189" s="1160"/>
      <c r="L189" s="1160"/>
      <c r="M189" s="1160"/>
      <c r="N189" s="1160"/>
      <c r="O189" s="1160"/>
      <c r="P189" s="1160"/>
      <c r="Q189" s="1160"/>
      <c r="R189" s="1160"/>
      <c r="S189" s="1160"/>
    </row>
    <row r="190" spans="1:19">
      <c r="A190" s="215" t="s">
        <v>153</v>
      </c>
      <c r="B190" s="1159" t="s">
        <v>204</v>
      </c>
      <c r="C190" s="1159"/>
      <c r="D190" s="185" t="s">
        <v>139</v>
      </c>
      <c r="E190" s="241">
        <v>2.7E-4</v>
      </c>
      <c r="F190" s="185" t="s">
        <v>139</v>
      </c>
      <c r="G190" s="245">
        <v>2</v>
      </c>
      <c r="H190" s="1163" t="s">
        <v>163</v>
      </c>
      <c r="I190" s="1164"/>
      <c r="J190" s="1160"/>
      <c r="K190" s="1160"/>
      <c r="L190" s="1160"/>
      <c r="M190" s="1160"/>
      <c r="N190" s="1160"/>
      <c r="O190" s="1160"/>
      <c r="P190" s="1160"/>
      <c r="Q190" s="1160"/>
      <c r="R190" s="1160"/>
      <c r="S190" s="1160"/>
    </row>
    <row r="191" spans="1:19">
      <c r="A191" s="215" t="s">
        <v>153</v>
      </c>
      <c r="B191" s="1159" t="s">
        <v>948</v>
      </c>
      <c r="C191" s="1159"/>
      <c r="D191" s="185" t="s">
        <v>139</v>
      </c>
      <c r="E191" s="241">
        <v>0</v>
      </c>
      <c r="F191" s="185" t="s">
        <v>139</v>
      </c>
      <c r="G191" s="245">
        <v>1</v>
      </c>
      <c r="H191" s="1163" t="s">
        <v>163</v>
      </c>
      <c r="I191" s="1164"/>
      <c r="J191" s="1160"/>
      <c r="K191" s="1160"/>
      <c r="L191" s="1160"/>
      <c r="M191" s="1160"/>
      <c r="N191" s="1160"/>
      <c r="O191" s="1160"/>
      <c r="P191" s="1160"/>
      <c r="Q191" s="1160"/>
      <c r="R191" s="1160"/>
      <c r="S191" s="1160"/>
    </row>
    <row r="192" spans="1:19">
      <c r="A192" s="215" t="s">
        <v>153</v>
      </c>
      <c r="B192" s="1159" t="s">
        <v>949</v>
      </c>
      <c r="C192" s="1159"/>
      <c r="D192" s="185" t="s">
        <v>139</v>
      </c>
      <c r="E192" s="241">
        <v>0</v>
      </c>
      <c r="F192" s="185" t="s">
        <v>139</v>
      </c>
      <c r="G192" s="245">
        <v>1</v>
      </c>
      <c r="H192" s="1163" t="s">
        <v>163</v>
      </c>
      <c r="I192" s="1164"/>
      <c r="J192" s="1160"/>
      <c r="K192" s="1160"/>
      <c r="L192" s="1160"/>
      <c r="M192" s="1160"/>
      <c r="N192" s="1160"/>
      <c r="O192" s="1160"/>
      <c r="P192" s="1160"/>
      <c r="Q192" s="1160"/>
      <c r="R192" s="1160"/>
      <c r="S192" s="1160"/>
    </row>
    <row r="193" spans="1:19">
      <c r="A193" s="215" t="s">
        <v>348</v>
      </c>
      <c r="B193" s="1159" t="s">
        <v>245</v>
      </c>
      <c r="C193" s="1159"/>
      <c r="D193" s="185" t="s">
        <v>139</v>
      </c>
      <c r="E193" s="241">
        <v>0.53527000000000002</v>
      </c>
      <c r="F193" s="185" t="s">
        <v>139</v>
      </c>
      <c r="G193" s="245">
        <v>1</v>
      </c>
      <c r="H193" s="1163" t="s">
        <v>163</v>
      </c>
      <c r="I193" s="1164"/>
      <c r="J193" s="1160"/>
      <c r="K193" s="1160"/>
      <c r="L193" s="1160"/>
      <c r="M193" s="1160"/>
      <c r="N193" s="1160"/>
      <c r="O193" s="1160"/>
      <c r="P193" s="1160"/>
      <c r="Q193" s="1160"/>
      <c r="R193" s="1160"/>
      <c r="S193" s="1160"/>
    </row>
    <row r="194" spans="1:19">
      <c r="A194" s="215" t="s">
        <v>348</v>
      </c>
      <c r="B194" s="1159" t="s">
        <v>178</v>
      </c>
      <c r="C194" s="1159"/>
      <c r="D194" s="185" t="s">
        <v>139</v>
      </c>
      <c r="E194" s="241" t="s">
        <v>150</v>
      </c>
      <c r="F194" s="185" t="s">
        <v>139</v>
      </c>
      <c r="G194" s="245">
        <v>1</v>
      </c>
      <c r="H194" s="1163" t="s">
        <v>163</v>
      </c>
      <c r="I194" s="1164"/>
      <c r="J194" s="1160"/>
      <c r="K194" s="1160"/>
      <c r="L194" s="1160"/>
      <c r="M194" s="1160"/>
      <c r="N194" s="1160"/>
      <c r="O194" s="1160"/>
      <c r="P194" s="1160"/>
      <c r="Q194" s="1160"/>
      <c r="R194" s="1160"/>
      <c r="S194" s="1160"/>
    </row>
    <row r="195" spans="1:19">
      <c r="A195" s="215" t="s">
        <v>187</v>
      </c>
      <c r="B195" s="1159" t="s">
        <v>176</v>
      </c>
      <c r="C195" s="1159"/>
      <c r="D195" s="185" t="s">
        <v>139</v>
      </c>
      <c r="E195" s="241">
        <v>1.2999999999999999E-3</v>
      </c>
      <c r="F195" s="185" t="s">
        <v>139</v>
      </c>
      <c r="G195" s="245">
        <v>1</v>
      </c>
      <c r="H195" s="1163" t="s">
        <v>163</v>
      </c>
      <c r="I195" s="1164"/>
      <c r="J195" s="1160" t="s">
        <v>177</v>
      </c>
      <c r="K195" s="1160"/>
      <c r="L195" s="1160"/>
      <c r="M195" s="1160"/>
      <c r="N195" s="1160"/>
      <c r="O195" s="1160"/>
      <c r="P195" s="1160"/>
      <c r="Q195" s="1160"/>
      <c r="R195" s="1160"/>
      <c r="S195" s="1160"/>
    </row>
    <row r="196" spans="1:19">
      <c r="A196" s="215" t="s">
        <v>187</v>
      </c>
      <c r="B196" s="1159" t="s">
        <v>176</v>
      </c>
      <c r="C196" s="1159"/>
      <c r="D196" s="185" t="s">
        <v>139</v>
      </c>
      <c r="E196" s="241">
        <v>1.47E-2</v>
      </c>
      <c r="F196" s="185" t="s">
        <v>139</v>
      </c>
      <c r="G196" s="245">
        <v>1</v>
      </c>
      <c r="H196" s="1163" t="s">
        <v>163</v>
      </c>
      <c r="I196" s="1164"/>
      <c r="J196" s="1160" t="s">
        <v>177</v>
      </c>
      <c r="K196" s="1160"/>
      <c r="L196" s="1160"/>
      <c r="M196" s="1160"/>
      <c r="N196" s="1160"/>
      <c r="O196" s="1160"/>
      <c r="P196" s="1160"/>
      <c r="Q196" s="1160"/>
      <c r="R196" s="1160"/>
      <c r="S196" s="1160"/>
    </row>
    <row r="197" spans="1:19">
      <c r="A197" s="215" t="s">
        <v>187</v>
      </c>
      <c r="B197" s="1159" t="s">
        <v>188</v>
      </c>
      <c r="C197" s="1159"/>
      <c r="D197" s="185" t="s">
        <v>139</v>
      </c>
      <c r="E197" s="241">
        <v>0</v>
      </c>
      <c r="F197" s="185" t="s">
        <v>139</v>
      </c>
      <c r="G197" s="245">
        <v>1</v>
      </c>
      <c r="H197" s="1163" t="s">
        <v>163</v>
      </c>
      <c r="I197" s="1164"/>
      <c r="J197" s="1160"/>
      <c r="K197" s="1160"/>
      <c r="L197" s="1160"/>
      <c r="M197" s="1160"/>
      <c r="N197" s="1160"/>
      <c r="O197" s="1160"/>
      <c r="P197" s="1160"/>
      <c r="Q197" s="1160"/>
      <c r="R197" s="1160"/>
      <c r="S197" s="1160"/>
    </row>
    <row r="198" spans="1:19">
      <c r="A198" s="215" t="s">
        <v>187</v>
      </c>
      <c r="B198" s="1159" t="s">
        <v>188</v>
      </c>
      <c r="C198" s="1159"/>
      <c r="D198" s="185" t="s">
        <v>139</v>
      </c>
      <c r="E198" s="241">
        <v>1.2E-2</v>
      </c>
      <c r="F198" s="185" t="s">
        <v>139</v>
      </c>
      <c r="G198" s="245">
        <v>1</v>
      </c>
      <c r="H198" s="1163" t="s">
        <v>163</v>
      </c>
      <c r="I198" s="1164"/>
      <c r="J198" s="1160" t="s">
        <v>950</v>
      </c>
      <c r="K198" s="1160"/>
      <c r="L198" s="1160"/>
      <c r="M198" s="1160"/>
      <c r="N198" s="1160"/>
      <c r="O198" s="1160"/>
      <c r="P198" s="1160"/>
      <c r="Q198" s="1160"/>
      <c r="R198" s="1160"/>
      <c r="S198" s="1160"/>
    </row>
    <row r="199" spans="1:19">
      <c r="A199" s="215" t="s">
        <v>187</v>
      </c>
      <c r="B199" s="1159" t="s">
        <v>186</v>
      </c>
      <c r="C199" s="1159"/>
      <c r="D199" s="185" t="s">
        <v>139</v>
      </c>
      <c r="E199" s="241" t="s">
        <v>150</v>
      </c>
      <c r="F199" s="185" t="s">
        <v>139</v>
      </c>
      <c r="G199" s="245">
        <v>1</v>
      </c>
      <c r="H199" s="1163" t="s">
        <v>168</v>
      </c>
      <c r="I199" s="1164"/>
      <c r="J199" s="1160" t="s">
        <v>930</v>
      </c>
      <c r="K199" s="1160"/>
      <c r="L199" s="1160"/>
      <c r="M199" s="1160"/>
      <c r="N199" s="1160"/>
      <c r="O199" s="1160"/>
      <c r="P199" s="1160"/>
      <c r="Q199" s="1160"/>
      <c r="R199" s="1160"/>
      <c r="S199" s="1160"/>
    </row>
    <row r="200" spans="1:19">
      <c r="A200" s="215" t="s">
        <v>186</v>
      </c>
      <c r="B200" s="1159" t="s">
        <v>175</v>
      </c>
      <c r="C200" s="1159"/>
      <c r="D200" s="185" t="s">
        <v>139</v>
      </c>
      <c r="E200" s="241" t="s">
        <v>150</v>
      </c>
      <c r="F200" s="185" t="s">
        <v>139</v>
      </c>
      <c r="G200" s="245">
        <v>1</v>
      </c>
      <c r="H200" s="1163" t="s">
        <v>163</v>
      </c>
      <c r="I200" s="1164"/>
      <c r="J200" s="1160"/>
      <c r="K200" s="1160"/>
      <c r="L200" s="1160"/>
      <c r="M200" s="1160"/>
      <c r="N200" s="1160"/>
      <c r="O200" s="1160"/>
      <c r="P200" s="1160"/>
      <c r="Q200" s="1160"/>
      <c r="R200" s="1160"/>
      <c r="S200" s="1160"/>
    </row>
    <row r="201" spans="1:19">
      <c r="A201" s="215" t="s">
        <v>186</v>
      </c>
      <c r="B201" s="1159" t="s">
        <v>204</v>
      </c>
      <c r="C201" s="1159"/>
      <c r="D201" s="185" t="s">
        <v>139</v>
      </c>
      <c r="E201" s="241">
        <v>2.7E-4</v>
      </c>
      <c r="F201" s="185" t="s">
        <v>139</v>
      </c>
      <c r="G201" s="245">
        <v>2</v>
      </c>
      <c r="H201" s="1163" t="s">
        <v>163</v>
      </c>
      <c r="I201" s="1164"/>
      <c r="J201" s="1160"/>
      <c r="K201" s="1160"/>
      <c r="L201" s="1160"/>
      <c r="M201" s="1160"/>
      <c r="N201" s="1160"/>
      <c r="O201" s="1160"/>
      <c r="P201" s="1160"/>
      <c r="Q201" s="1160"/>
      <c r="R201" s="1160"/>
      <c r="S201" s="1160"/>
    </row>
    <row r="202" spans="1:19">
      <c r="A202" s="215" t="s">
        <v>172</v>
      </c>
      <c r="B202" s="1159" t="s">
        <v>176</v>
      </c>
      <c r="C202" s="1159"/>
      <c r="D202" s="185" t="s">
        <v>139</v>
      </c>
      <c r="E202" s="241">
        <v>1.2999999999999999E-3</v>
      </c>
      <c r="F202" s="185" t="s">
        <v>139</v>
      </c>
      <c r="G202" s="245">
        <v>1</v>
      </c>
      <c r="H202" s="1163" t="s">
        <v>163</v>
      </c>
      <c r="I202" s="1164"/>
      <c r="J202" s="1160" t="s">
        <v>177</v>
      </c>
      <c r="K202" s="1160"/>
      <c r="L202" s="1160"/>
      <c r="M202" s="1160"/>
      <c r="N202" s="1160"/>
      <c r="O202" s="1160"/>
      <c r="P202" s="1160"/>
      <c r="Q202" s="1160"/>
      <c r="R202" s="1160"/>
      <c r="S202" s="1160"/>
    </row>
    <row r="203" spans="1:19">
      <c r="A203" s="215" t="s">
        <v>172</v>
      </c>
      <c r="B203" s="1159" t="s">
        <v>176</v>
      </c>
      <c r="C203" s="1159"/>
      <c r="D203" s="185" t="s">
        <v>139</v>
      </c>
      <c r="E203" s="241">
        <v>1.47E-2</v>
      </c>
      <c r="F203" s="185" t="s">
        <v>139</v>
      </c>
      <c r="G203" s="245">
        <v>1</v>
      </c>
      <c r="H203" s="1163" t="s">
        <v>163</v>
      </c>
      <c r="I203" s="1164"/>
      <c r="J203" s="1160" t="s">
        <v>177</v>
      </c>
      <c r="K203" s="1160"/>
      <c r="L203" s="1160"/>
      <c r="M203" s="1160"/>
      <c r="N203" s="1160"/>
      <c r="O203" s="1160"/>
      <c r="P203" s="1160"/>
      <c r="Q203" s="1160"/>
      <c r="R203" s="1160"/>
      <c r="S203" s="1160"/>
    </row>
    <row r="204" spans="1:19">
      <c r="A204" s="215" t="s">
        <v>172</v>
      </c>
      <c r="B204" s="1159" t="s">
        <v>171</v>
      </c>
      <c r="C204" s="1159"/>
      <c r="D204" s="185" t="s">
        <v>139</v>
      </c>
      <c r="E204" s="241" t="s">
        <v>150</v>
      </c>
      <c r="F204" s="185" t="s">
        <v>139</v>
      </c>
      <c r="G204" s="245">
        <v>1</v>
      </c>
      <c r="H204" s="1163" t="s">
        <v>168</v>
      </c>
      <c r="I204" s="1164"/>
      <c r="J204" s="1160" t="s">
        <v>930</v>
      </c>
      <c r="K204" s="1160"/>
      <c r="L204" s="1160"/>
      <c r="M204" s="1160"/>
      <c r="N204" s="1160"/>
      <c r="O204" s="1160"/>
      <c r="P204" s="1160"/>
      <c r="Q204" s="1160"/>
      <c r="R204" s="1160"/>
      <c r="S204" s="1160"/>
    </row>
    <row r="205" spans="1:19">
      <c r="A205" s="215" t="s">
        <v>171</v>
      </c>
      <c r="B205" s="1159" t="s">
        <v>175</v>
      </c>
      <c r="C205" s="1159"/>
      <c r="D205" s="185" t="s">
        <v>139</v>
      </c>
      <c r="E205" s="241" t="s">
        <v>150</v>
      </c>
      <c r="F205" s="185" t="s">
        <v>139</v>
      </c>
      <c r="G205" s="245">
        <v>1</v>
      </c>
      <c r="H205" s="1163" t="s">
        <v>163</v>
      </c>
      <c r="I205" s="1164"/>
      <c r="J205" s="1160"/>
      <c r="K205" s="1160"/>
      <c r="L205" s="1160"/>
      <c r="M205" s="1160"/>
      <c r="N205" s="1160"/>
      <c r="O205" s="1160"/>
      <c r="P205" s="1160"/>
      <c r="Q205" s="1160"/>
      <c r="R205" s="1160"/>
      <c r="S205" s="1160"/>
    </row>
    <row r="206" spans="1:19">
      <c r="A206" s="215" t="s">
        <v>171</v>
      </c>
      <c r="B206" s="1159" t="s">
        <v>204</v>
      </c>
      <c r="C206" s="1159"/>
      <c r="D206" s="185" t="s">
        <v>139</v>
      </c>
      <c r="E206" s="241">
        <v>2.7E-4</v>
      </c>
      <c r="F206" s="185" t="s">
        <v>139</v>
      </c>
      <c r="G206" s="245">
        <v>2</v>
      </c>
      <c r="H206" s="1163" t="s">
        <v>163</v>
      </c>
      <c r="I206" s="1164"/>
      <c r="J206" s="1160"/>
      <c r="K206" s="1160"/>
      <c r="L206" s="1160"/>
      <c r="M206" s="1160"/>
      <c r="N206" s="1160"/>
      <c r="O206" s="1160"/>
      <c r="P206" s="1160"/>
      <c r="Q206" s="1160"/>
      <c r="R206" s="1160"/>
      <c r="S206" s="1160"/>
    </row>
    <row r="207" spans="1:19">
      <c r="A207" s="215" t="s">
        <v>238</v>
      </c>
      <c r="B207" s="1159" t="s">
        <v>204</v>
      </c>
      <c r="C207" s="1159"/>
      <c r="D207" s="185" t="s">
        <v>139</v>
      </c>
      <c r="E207" s="241">
        <v>2.7E-4</v>
      </c>
      <c r="F207" s="185" t="s">
        <v>139</v>
      </c>
      <c r="G207" s="245">
        <v>2</v>
      </c>
      <c r="H207" s="1163" t="s">
        <v>163</v>
      </c>
      <c r="I207" s="1164"/>
      <c r="J207" s="1160"/>
      <c r="K207" s="1160"/>
      <c r="L207" s="1160"/>
      <c r="M207" s="1160"/>
      <c r="N207" s="1160"/>
      <c r="O207" s="1160"/>
      <c r="P207" s="1160"/>
      <c r="Q207" s="1160"/>
      <c r="R207" s="1160"/>
      <c r="S207" s="1160"/>
    </row>
    <row r="208" spans="1:19">
      <c r="A208" s="215" t="s">
        <v>238</v>
      </c>
      <c r="B208" s="1159" t="s">
        <v>223</v>
      </c>
      <c r="C208" s="1159"/>
      <c r="D208" s="185" t="s">
        <v>139</v>
      </c>
      <c r="E208" s="241" t="s">
        <v>150</v>
      </c>
      <c r="F208" s="185" t="s">
        <v>139</v>
      </c>
      <c r="G208" s="245">
        <v>1</v>
      </c>
      <c r="H208" s="1163" t="s">
        <v>163</v>
      </c>
      <c r="I208" s="1164"/>
      <c r="J208" s="1160"/>
      <c r="K208" s="1160"/>
      <c r="L208" s="1160"/>
      <c r="M208" s="1160"/>
      <c r="N208" s="1160"/>
      <c r="O208" s="1160"/>
      <c r="P208" s="1160"/>
      <c r="Q208" s="1160"/>
      <c r="R208" s="1160"/>
      <c r="S208" s="1160"/>
    </row>
    <row r="209" spans="1:29">
      <c r="A209" s="215" t="s">
        <v>360</v>
      </c>
      <c r="B209" s="1159" t="s">
        <v>231</v>
      </c>
      <c r="C209" s="1159"/>
      <c r="D209" s="185" t="s">
        <v>139</v>
      </c>
      <c r="E209" s="241">
        <v>4.0000000000000002E-4</v>
      </c>
      <c r="F209" s="185" t="s">
        <v>139</v>
      </c>
      <c r="G209" s="245">
        <v>1</v>
      </c>
      <c r="H209" s="1163" t="s">
        <v>163</v>
      </c>
      <c r="I209" s="1164"/>
      <c r="J209" s="1160" t="s">
        <v>951</v>
      </c>
      <c r="K209" s="1160"/>
      <c r="L209" s="1160"/>
      <c r="M209" s="1160"/>
      <c r="N209" s="1160"/>
      <c r="O209" s="1160"/>
      <c r="P209" s="1160"/>
      <c r="Q209" s="1160"/>
      <c r="R209" s="1160"/>
      <c r="S209" s="1160"/>
    </row>
    <row r="210" spans="1:29">
      <c r="A210" s="215" t="s">
        <v>360</v>
      </c>
      <c r="B210" s="1159" t="s">
        <v>231</v>
      </c>
      <c r="C210" s="1159"/>
      <c r="D210" s="185" t="s">
        <v>139</v>
      </c>
      <c r="E210" s="241">
        <v>8.6E-3</v>
      </c>
      <c r="F210" s="185" t="s">
        <v>139</v>
      </c>
      <c r="G210" s="245">
        <v>1</v>
      </c>
      <c r="H210" s="1163" t="s">
        <v>163</v>
      </c>
      <c r="I210" s="1164"/>
      <c r="J210" s="1160" t="s">
        <v>952</v>
      </c>
      <c r="K210" s="1160"/>
      <c r="L210" s="1160"/>
      <c r="M210" s="1160"/>
      <c r="N210" s="1160"/>
      <c r="O210" s="1160"/>
      <c r="P210" s="1160"/>
      <c r="Q210" s="1160"/>
      <c r="R210" s="1160"/>
      <c r="S210" s="1160"/>
    </row>
    <row r="211" spans="1:29">
      <c r="A211" s="215" t="s">
        <v>360</v>
      </c>
      <c r="B211" s="1161" t="s">
        <v>251</v>
      </c>
      <c r="C211" s="1162"/>
      <c r="D211" s="185" t="s">
        <v>139</v>
      </c>
      <c r="E211" s="241">
        <v>2.5000000000000001E-3</v>
      </c>
      <c r="F211" s="185" t="s">
        <v>139</v>
      </c>
      <c r="G211" s="245">
        <v>2</v>
      </c>
      <c r="H211" s="1163" t="s">
        <v>163</v>
      </c>
      <c r="I211" s="1164"/>
      <c r="J211" s="1160" t="s">
        <v>953</v>
      </c>
      <c r="K211" s="1160"/>
      <c r="L211" s="1160"/>
      <c r="M211" s="1160"/>
      <c r="N211" s="1160"/>
      <c r="O211" s="1160"/>
      <c r="P211" s="1160"/>
      <c r="Q211" s="1160"/>
      <c r="R211" s="1160"/>
      <c r="S211" s="1160"/>
    </row>
    <row r="212" spans="1:29">
      <c r="A212" s="215" t="s">
        <v>360</v>
      </c>
      <c r="B212" s="1161" t="s">
        <v>361</v>
      </c>
      <c r="C212" s="1162"/>
      <c r="D212" s="185" t="s">
        <v>139</v>
      </c>
      <c r="E212" s="241">
        <v>2.5000000000000001E-3</v>
      </c>
      <c r="F212" s="185" t="s">
        <v>139</v>
      </c>
      <c r="G212" s="245">
        <v>2</v>
      </c>
      <c r="H212" s="1163" t="s">
        <v>163</v>
      </c>
      <c r="I212" s="1164"/>
      <c r="J212" s="1160" t="s">
        <v>953</v>
      </c>
      <c r="K212" s="1160"/>
      <c r="L212" s="1160"/>
      <c r="M212" s="1160"/>
      <c r="N212" s="1160"/>
      <c r="O212" s="1160"/>
      <c r="P212" s="1160"/>
      <c r="Q212" s="1160"/>
      <c r="R212" s="1160"/>
      <c r="S212" s="1160"/>
    </row>
    <row r="213" spans="1:29">
      <c r="A213" s="215" t="s">
        <v>360</v>
      </c>
      <c r="B213" s="1161" t="s">
        <v>232</v>
      </c>
      <c r="C213" s="1162"/>
      <c r="D213" s="185" t="s">
        <v>139</v>
      </c>
      <c r="E213" s="241">
        <v>2.5000000000000001E-3</v>
      </c>
      <c r="F213" s="185" t="s">
        <v>139</v>
      </c>
      <c r="G213" s="245">
        <v>2</v>
      </c>
      <c r="H213" s="1163" t="s">
        <v>163</v>
      </c>
      <c r="I213" s="1164"/>
      <c r="J213" s="1160" t="s">
        <v>953</v>
      </c>
      <c r="K213" s="1160"/>
      <c r="L213" s="1160"/>
      <c r="M213" s="1160"/>
      <c r="N213" s="1160"/>
      <c r="O213" s="1160"/>
      <c r="P213" s="1160"/>
      <c r="Q213" s="1160"/>
      <c r="R213" s="1160"/>
      <c r="S213" s="1160"/>
    </row>
    <row r="214" spans="1:29">
      <c r="A214" s="215" t="s">
        <v>360</v>
      </c>
      <c r="B214" s="1161" t="s">
        <v>266</v>
      </c>
      <c r="C214" s="1162"/>
      <c r="D214" s="185" t="s">
        <v>139</v>
      </c>
      <c r="E214" s="241">
        <v>2.5000000000000001E-3</v>
      </c>
      <c r="F214" s="185" t="s">
        <v>139</v>
      </c>
      <c r="G214" s="245">
        <v>2</v>
      </c>
      <c r="H214" s="1163" t="s">
        <v>163</v>
      </c>
      <c r="I214" s="1164"/>
      <c r="J214" s="1160" t="s">
        <v>953</v>
      </c>
      <c r="K214" s="1160"/>
      <c r="L214" s="1160"/>
      <c r="M214" s="1160"/>
      <c r="N214" s="1160"/>
      <c r="O214" s="1160"/>
      <c r="P214" s="1160"/>
      <c r="Q214" s="1160"/>
      <c r="R214" s="1160"/>
      <c r="S214" s="1160"/>
    </row>
    <row r="215" spans="1:29">
      <c r="A215" s="215" t="s">
        <v>360</v>
      </c>
      <c r="B215" s="1161" t="s">
        <v>350</v>
      </c>
      <c r="C215" s="1162"/>
      <c r="D215" s="185" t="s">
        <v>139</v>
      </c>
      <c r="E215" s="241" t="s">
        <v>150</v>
      </c>
      <c r="F215" s="185" t="s">
        <v>139</v>
      </c>
      <c r="G215" s="245">
        <v>1</v>
      </c>
      <c r="H215" s="1163" t="s">
        <v>168</v>
      </c>
      <c r="I215" s="1164"/>
      <c r="J215" s="1160" t="s">
        <v>930</v>
      </c>
      <c r="K215" s="1160"/>
      <c r="L215" s="1160"/>
      <c r="M215" s="1160"/>
      <c r="N215" s="1160"/>
      <c r="O215" s="1160"/>
      <c r="P215" s="1160"/>
      <c r="Q215" s="1160"/>
      <c r="R215" s="1160"/>
      <c r="S215" s="1160"/>
    </row>
    <row r="216" spans="1:29">
      <c r="A216" s="215" t="s">
        <v>350</v>
      </c>
      <c r="B216" s="1161" t="s">
        <v>204</v>
      </c>
      <c r="C216" s="1162"/>
      <c r="D216" s="185" t="s">
        <v>139</v>
      </c>
      <c r="E216" s="241">
        <v>2.7E-4</v>
      </c>
      <c r="F216" s="185" t="s">
        <v>139</v>
      </c>
      <c r="G216" s="245">
        <v>2</v>
      </c>
      <c r="H216" s="1163" t="s">
        <v>163</v>
      </c>
      <c r="I216" s="1164"/>
      <c r="J216" s="1160"/>
      <c r="K216" s="1160"/>
      <c r="L216" s="1160"/>
      <c r="M216" s="1160"/>
      <c r="N216" s="1160"/>
      <c r="O216" s="1160"/>
      <c r="P216" s="1160"/>
      <c r="Q216" s="1160"/>
      <c r="R216" s="1160"/>
      <c r="S216" s="1160"/>
    </row>
    <row r="217" spans="1:29">
      <c r="A217" s="215" t="s">
        <v>350</v>
      </c>
      <c r="B217" s="1161" t="s">
        <v>223</v>
      </c>
      <c r="C217" s="1162"/>
      <c r="D217" s="185" t="s">
        <v>139</v>
      </c>
      <c r="E217" s="241" t="s">
        <v>150</v>
      </c>
      <c r="F217" s="185" t="s">
        <v>139</v>
      </c>
      <c r="G217" s="245">
        <v>1</v>
      </c>
      <c r="H217" s="1163" t="s">
        <v>163</v>
      </c>
      <c r="I217" s="1164"/>
      <c r="J217" s="1160"/>
      <c r="K217" s="1160"/>
      <c r="L217" s="1160"/>
      <c r="M217" s="1160"/>
      <c r="N217" s="1160"/>
      <c r="O217" s="1160"/>
      <c r="P217" s="1160"/>
      <c r="Q217" s="1160"/>
      <c r="R217" s="1160"/>
      <c r="S217" s="1160"/>
    </row>
    <row r="218" spans="1:29">
      <c r="A218" s="215" t="s">
        <v>350</v>
      </c>
      <c r="B218" s="1161" t="s">
        <v>225</v>
      </c>
      <c r="C218" s="1162"/>
      <c r="D218" s="185" t="s">
        <v>139</v>
      </c>
      <c r="E218" s="241">
        <f>'Textile waste collection'!E18</f>
        <v>0.33810000000000001</v>
      </c>
      <c r="F218" s="185" t="s">
        <v>139</v>
      </c>
      <c r="G218" s="245">
        <v>1</v>
      </c>
      <c r="H218" s="1163" t="s">
        <v>163</v>
      </c>
      <c r="I218" s="1164"/>
      <c r="J218" s="1160" t="s">
        <v>426</v>
      </c>
      <c r="K218" s="1160"/>
      <c r="L218" s="1160"/>
      <c r="M218" s="1160"/>
      <c r="N218" s="1160"/>
      <c r="O218" s="1160"/>
      <c r="P218" s="1160"/>
      <c r="Q218" s="1160"/>
      <c r="R218" s="1160"/>
      <c r="S218" s="1160"/>
    </row>
    <row r="219" spans="1:29" s="1022" customFormat="1">
      <c r="A219" s="1018" t="s">
        <v>225</v>
      </c>
      <c r="B219" s="1158" t="s">
        <v>248</v>
      </c>
      <c r="C219" s="1158"/>
      <c r="D219" s="1018" t="s">
        <v>139</v>
      </c>
      <c r="E219" s="1019">
        <v>1.44E-2</v>
      </c>
      <c r="F219" s="1018" t="s">
        <v>139</v>
      </c>
      <c r="G219" s="1020">
        <v>1</v>
      </c>
      <c r="H219" s="1165" t="s">
        <v>224</v>
      </c>
      <c r="I219" s="1166"/>
      <c r="J219" s="1158"/>
      <c r="K219" s="1158"/>
      <c r="L219" s="1158"/>
      <c r="M219" s="1158"/>
      <c r="N219" s="1158"/>
      <c r="O219" s="1158"/>
      <c r="P219" s="1158"/>
      <c r="Q219" s="1158"/>
      <c r="R219" s="1158"/>
      <c r="S219" s="1158"/>
      <c r="T219" s="1021"/>
      <c r="U219" s="1021"/>
      <c r="V219" s="1021"/>
      <c r="W219" s="1021"/>
      <c r="X219" s="1021"/>
      <c r="Y219" s="1021"/>
      <c r="Z219" s="1021"/>
      <c r="AA219" s="1021"/>
      <c r="AB219" s="1021"/>
      <c r="AC219" s="1021"/>
    </row>
    <row r="220" spans="1:29" s="1022" customFormat="1">
      <c r="A220" s="1018" t="s">
        <v>225</v>
      </c>
      <c r="B220" s="1158" t="s">
        <v>245</v>
      </c>
      <c r="C220" s="1158"/>
      <c r="D220" s="1018" t="s">
        <v>139</v>
      </c>
      <c r="E220" s="1019">
        <v>0.84</v>
      </c>
      <c r="F220" s="1018" t="s">
        <v>139</v>
      </c>
      <c r="G220" s="1020">
        <v>1</v>
      </c>
      <c r="H220" s="1165" t="s">
        <v>224</v>
      </c>
      <c r="I220" s="1166"/>
      <c r="J220" s="1158"/>
      <c r="K220" s="1158"/>
      <c r="L220" s="1158"/>
      <c r="M220" s="1158"/>
      <c r="N220" s="1158"/>
      <c r="O220" s="1158"/>
      <c r="P220" s="1158"/>
      <c r="Q220" s="1158"/>
      <c r="R220" s="1158"/>
      <c r="S220" s="1158"/>
      <c r="T220" s="1021"/>
      <c r="U220" s="1021"/>
      <c r="V220" s="1021"/>
      <c r="W220" s="1021"/>
      <c r="X220" s="1021"/>
      <c r="Y220" s="1021"/>
      <c r="Z220" s="1021"/>
      <c r="AA220" s="1021"/>
      <c r="AB220" s="1021"/>
      <c r="AC220" s="1021"/>
    </row>
    <row r="221" spans="1:29" s="1022" customFormat="1">
      <c r="A221" s="1018" t="s">
        <v>225</v>
      </c>
      <c r="B221" s="1158" t="s">
        <v>425</v>
      </c>
      <c r="C221" s="1158"/>
      <c r="D221" s="1018" t="s">
        <v>139</v>
      </c>
      <c r="E221" s="1019">
        <v>4.48E-2</v>
      </c>
      <c r="F221" s="1018" t="s">
        <v>139</v>
      </c>
      <c r="G221" s="1020">
        <v>1</v>
      </c>
      <c r="H221" s="1165" t="s">
        <v>224</v>
      </c>
      <c r="I221" s="1166"/>
      <c r="J221" s="1158"/>
      <c r="K221" s="1158"/>
      <c r="L221" s="1158"/>
      <c r="M221" s="1158"/>
      <c r="N221" s="1158"/>
      <c r="O221" s="1158"/>
      <c r="P221" s="1158"/>
      <c r="Q221" s="1158"/>
      <c r="R221" s="1158"/>
      <c r="S221" s="1158"/>
      <c r="T221" s="1021"/>
      <c r="U221" s="1021"/>
      <c r="V221" s="1021"/>
      <c r="W221" s="1021"/>
      <c r="X221" s="1021"/>
      <c r="Y221" s="1021"/>
      <c r="Z221" s="1021"/>
      <c r="AA221" s="1021"/>
      <c r="AB221" s="1021"/>
      <c r="AC221" s="1021"/>
    </row>
    <row r="222" spans="1:29" s="1022" customFormat="1">
      <c r="A222" s="1018" t="s">
        <v>225</v>
      </c>
      <c r="B222" s="1158" t="s">
        <v>184</v>
      </c>
      <c r="C222" s="1158"/>
      <c r="D222" s="1018" t="s">
        <v>139</v>
      </c>
      <c r="E222" s="1019">
        <v>3.0000000000000001E-3</v>
      </c>
      <c r="F222" s="1018" t="s">
        <v>139</v>
      </c>
      <c r="G222" s="1020">
        <v>1</v>
      </c>
      <c r="H222" s="1165" t="s">
        <v>224</v>
      </c>
      <c r="I222" s="1166"/>
      <c r="J222" s="1158"/>
      <c r="K222" s="1158"/>
      <c r="L222" s="1158"/>
      <c r="M222" s="1158"/>
      <c r="N222" s="1158"/>
      <c r="O222" s="1158"/>
      <c r="P222" s="1158"/>
      <c r="Q222" s="1158"/>
      <c r="R222" s="1158"/>
      <c r="S222" s="1158"/>
      <c r="T222" s="1021"/>
      <c r="U222" s="1021"/>
      <c r="V222" s="1021"/>
      <c r="W222" s="1021"/>
      <c r="X222" s="1021"/>
      <c r="Y222" s="1021"/>
      <c r="Z222" s="1021"/>
      <c r="AA222" s="1021"/>
      <c r="AB222" s="1021"/>
      <c r="AC222" s="1021"/>
    </row>
    <row r="223" spans="1:29" s="1022" customFormat="1">
      <c r="A223" s="1018" t="s">
        <v>225</v>
      </c>
      <c r="B223" s="1158" t="s">
        <v>179</v>
      </c>
      <c r="C223" s="1158"/>
      <c r="D223" s="1018" t="s">
        <v>139</v>
      </c>
      <c r="E223" s="1019">
        <v>9.6000000000000002E-2</v>
      </c>
      <c r="F223" s="1018" t="s">
        <v>139</v>
      </c>
      <c r="G223" s="1020">
        <v>1</v>
      </c>
      <c r="H223" s="1165" t="s">
        <v>224</v>
      </c>
      <c r="I223" s="1166"/>
      <c r="J223" s="1158"/>
      <c r="K223" s="1158"/>
      <c r="L223" s="1158"/>
      <c r="M223" s="1158"/>
      <c r="N223" s="1158"/>
      <c r="O223" s="1158"/>
      <c r="P223" s="1158"/>
      <c r="Q223" s="1158"/>
      <c r="R223" s="1158"/>
      <c r="S223" s="1158"/>
      <c r="T223" s="1021"/>
      <c r="U223" s="1021"/>
      <c r="V223" s="1021"/>
      <c r="W223" s="1021"/>
      <c r="X223" s="1021"/>
      <c r="Y223" s="1021"/>
      <c r="Z223" s="1021"/>
      <c r="AA223" s="1021"/>
      <c r="AB223" s="1021"/>
      <c r="AC223" s="1021"/>
    </row>
    <row r="224" spans="1:29" s="1022" customFormat="1">
      <c r="A224" s="1018" t="s">
        <v>225</v>
      </c>
      <c r="B224" s="1158" t="s">
        <v>176</v>
      </c>
      <c r="C224" s="1158"/>
      <c r="D224" s="1018" t="s">
        <v>139</v>
      </c>
      <c r="E224" s="1019" t="s">
        <v>150</v>
      </c>
      <c r="F224" s="1018" t="s">
        <v>139</v>
      </c>
      <c r="G224" s="1020">
        <v>1</v>
      </c>
      <c r="H224" s="1165" t="s">
        <v>168</v>
      </c>
      <c r="I224" s="1166"/>
      <c r="J224" s="1158"/>
      <c r="K224" s="1158"/>
      <c r="L224" s="1158"/>
      <c r="M224" s="1158"/>
      <c r="N224" s="1158"/>
      <c r="O224" s="1158"/>
      <c r="P224" s="1158"/>
      <c r="Q224" s="1158"/>
      <c r="R224" s="1158"/>
      <c r="S224" s="1158"/>
      <c r="T224" s="1021"/>
      <c r="U224" s="1021"/>
      <c r="V224" s="1021"/>
      <c r="W224" s="1021"/>
      <c r="X224" s="1021"/>
      <c r="Y224" s="1021"/>
      <c r="Z224" s="1021"/>
      <c r="AA224" s="1021"/>
      <c r="AB224" s="1021"/>
      <c r="AC224" s="1021"/>
    </row>
    <row r="225" spans="1:16">
      <c r="A225" s="64"/>
      <c r="B225" s="64"/>
      <c r="C225" s="64"/>
      <c r="D225" s="64"/>
      <c r="E225" s="64"/>
      <c r="F225" s="64"/>
      <c r="G225" s="64"/>
      <c r="H225" s="64"/>
      <c r="I225" s="64"/>
      <c r="J225" s="64"/>
      <c r="K225" s="64"/>
      <c r="L225" s="64"/>
      <c r="M225" s="64"/>
      <c r="N225" s="106"/>
    </row>
    <row r="226" spans="1:16">
      <c r="N226" s="106"/>
    </row>
    <row r="227" spans="1:16">
      <c r="N227" s="106"/>
    </row>
    <row r="228" spans="1:16">
      <c r="N228" s="106"/>
    </row>
    <row r="229" spans="1:16">
      <c r="N229" s="106"/>
    </row>
    <row r="230" spans="1:16">
      <c r="N230" s="106"/>
    </row>
    <row r="231" spans="1:16">
      <c r="N231"/>
      <c r="O231"/>
      <c r="P231"/>
    </row>
    <row r="232" spans="1:16">
      <c r="N232"/>
      <c r="O232"/>
      <c r="P232"/>
    </row>
    <row r="233" spans="1:16">
      <c r="N233"/>
      <c r="O233"/>
      <c r="P233"/>
    </row>
    <row r="234" spans="1:16">
      <c r="N234"/>
      <c r="O234"/>
      <c r="P234"/>
    </row>
    <row r="235" spans="1:16">
      <c r="N235"/>
      <c r="O235"/>
      <c r="P235"/>
    </row>
    <row r="236" spans="1:16">
      <c r="N236"/>
      <c r="O236"/>
      <c r="P236"/>
    </row>
    <row r="237" spans="1:16">
      <c r="N237"/>
      <c r="O237"/>
      <c r="P237"/>
    </row>
    <row r="238" spans="1:16">
      <c r="N238"/>
      <c r="O238"/>
      <c r="P238"/>
    </row>
    <row r="239" spans="1:16">
      <c r="N239"/>
      <c r="O239"/>
      <c r="P239"/>
    </row>
    <row r="240" spans="1:16">
      <c r="N240"/>
      <c r="O240"/>
      <c r="P240"/>
    </row>
    <row r="241" spans="14:16">
      <c r="N241"/>
      <c r="O241"/>
      <c r="P241"/>
    </row>
    <row r="242" spans="14:16">
      <c r="N242"/>
      <c r="O242"/>
      <c r="P242"/>
    </row>
    <row r="243" spans="14:16">
      <c r="N243"/>
      <c r="O243"/>
      <c r="P243"/>
    </row>
    <row r="244" spans="14:16">
      <c r="N244"/>
      <c r="O244"/>
      <c r="P244"/>
    </row>
    <row r="245" spans="14:16">
      <c r="N245"/>
      <c r="O245"/>
      <c r="P245"/>
    </row>
    <row r="246" spans="14:16">
      <c r="N246"/>
      <c r="O246"/>
      <c r="P246"/>
    </row>
    <row r="247" spans="14:16">
      <c r="N247"/>
      <c r="O247"/>
      <c r="P247"/>
    </row>
    <row r="248" spans="14:16">
      <c r="N248"/>
      <c r="O248"/>
      <c r="P248"/>
    </row>
    <row r="249" spans="14:16">
      <c r="N249"/>
      <c r="O249"/>
      <c r="P249"/>
    </row>
    <row r="250" spans="14:16">
      <c r="N250"/>
      <c r="O250"/>
      <c r="P250"/>
    </row>
    <row r="251" spans="14:16">
      <c r="N251"/>
      <c r="O251"/>
      <c r="P251"/>
    </row>
    <row r="252" spans="14:16">
      <c r="N252"/>
      <c r="O252"/>
      <c r="P252"/>
    </row>
    <row r="253" spans="14:16" s="965" customFormat="1">
      <c r="N253"/>
      <c r="O253"/>
      <c r="P253"/>
    </row>
    <row r="254" spans="14:16" s="965" customFormat="1">
      <c r="N254"/>
      <c r="O254"/>
      <c r="P254"/>
    </row>
    <row r="255" spans="14:16" s="965" customFormat="1">
      <c r="N255"/>
      <c r="O255"/>
      <c r="P255"/>
    </row>
    <row r="256" spans="14:16" s="965" customFormat="1">
      <c r="N256"/>
      <c r="O256"/>
      <c r="P256"/>
    </row>
    <row r="257" spans="14:16" s="965" customFormat="1">
      <c r="N257"/>
      <c r="O257"/>
      <c r="P257"/>
    </row>
    <row r="258" spans="14:16" s="965" customFormat="1">
      <c r="N258"/>
      <c r="O258"/>
      <c r="P258"/>
    </row>
    <row r="259" spans="14:16">
      <c r="N259"/>
      <c r="O259"/>
      <c r="P259"/>
    </row>
    <row r="260" spans="14:16">
      <c r="N260"/>
      <c r="O260"/>
      <c r="P260"/>
    </row>
    <row r="261" spans="14:16">
      <c r="N261"/>
      <c r="O261"/>
      <c r="P261"/>
    </row>
  </sheetData>
  <mergeCells count="708">
    <mergeCell ref="H223:I223"/>
    <mergeCell ref="H224:I224"/>
    <mergeCell ref="H207:I207"/>
    <mergeCell ref="H208:I208"/>
    <mergeCell ref="H209:I209"/>
    <mergeCell ref="H210:I210"/>
    <mergeCell ref="H211:I211"/>
    <mergeCell ref="H212:I212"/>
    <mergeCell ref="H213:I213"/>
    <mergeCell ref="H214:I214"/>
    <mergeCell ref="H215:I215"/>
    <mergeCell ref="H183:I183"/>
    <mergeCell ref="H184:I184"/>
    <mergeCell ref="H185:I185"/>
    <mergeCell ref="H186:I186"/>
    <mergeCell ref="H187:I187"/>
    <mergeCell ref="H189:I189"/>
    <mergeCell ref="H190:I190"/>
    <mergeCell ref="H191:I191"/>
    <mergeCell ref="H222:I222"/>
    <mergeCell ref="H174:I174"/>
    <mergeCell ref="H175:I175"/>
    <mergeCell ref="H176:I176"/>
    <mergeCell ref="H177:I177"/>
    <mergeCell ref="H178:I178"/>
    <mergeCell ref="H179:I179"/>
    <mergeCell ref="H180:I180"/>
    <mergeCell ref="H181:I181"/>
    <mergeCell ref="H182:I182"/>
    <mergeCell ref="H165:I165"/>
    <mergeCell ref="H166:I166"/>
    <mergeCell ref="H167:I167"/>
    <mergeCell ref="H168:I168"/>
    <mergeCell ref="H169:I169"/>
    <mergeCell ref="H170:I170"/>
    <mergeCell ref="H171:I171"/>
    <mergeCell ref="H172:I172"/>
    <mergeCell ref="H173:I173"/>
    <mergeCell ref="H156:I156"/>
    <mergeCell ref="H157:I157"/>
    <mergeCell ref="H158:I158"/>
    <mergeCell ref="H159:I159"/>
    <mergeCell ref="H160:I160"/>
    <mergeCell ref="H161:I161"/>
    <mergeCell ref="H162:I162"/>
    <mergeCell ref="H163:I163"/>
    <mergeCell ref="H164:I164"/>
    <mergeCell ref="H147:I147"/>
    <mergeCell ref="H148:I148"/>
    <mergeCell ref="H149:I149"/>
    <mergeCell ref="H150:I150"/>
    <mergeCell ref="H151:I151"/>
    <mergeCell ref="H152:I152"/>
    <mergeCell ref="H153:I153"/>
    <mergeCell ref="H154:I154"/>
    <mergeCell ref="H155:I155"/>
    <mergeCell ref="H138:I138"/>
    <mergeCell ref="H139:I139"/>
    <mergeCell ref="H140:I140"/>
    <mergeCell ref="H141:I141"/>
    <mergeCell ref="H142:I142"/>
    <mergeCell ref="H143:I143"/>
    <mergeCell ref="H144:I144"/>
    <mergeCell ref="H145:I145"/>
    <mergeCell ref="H146:I146"/>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J202:S202"/>
    <mergeCell ref="J203:S203"/>
    <mergeCell ref="J204:S204"/>
    <mergeCell ref="J205:S205"/>
    <mergeCell ref="J206:S206"/>
    <mergeCell ref="J207:S207"/>
    <mergeCell ref="J208:S208"/>
    <mergeCell ref="J217:S217"/>
    <mergeCell ref="J216:S216"/>
    <mergeCell ref="J193:S193"/>
    <mergeCell ref="J194:S194"/>
    <mergeCell ref="J195:S195"/>
    <mergeCell ref="J196:S196"/>
    <mergeCell ref="J197:S197"/>
    <mergeCell ref="J198:S198"/>
    <mergeCell ref="J199:S199"/>
    <mergeCell ref="J200:S200"/>
    <mergeCell ref="J201:S201"/>
    <mergeCell ref="J184:S184"/>
    <mergeCell ref="J185:S185"/>
    <mergeCell ref="J186:S186"/>
    <mergeCell ref="J187:S187"/>
    <mergeCell ref="J188:S188"/>
    <mergeCell ref="J189:S189"/>
    <mergeCell ref="J190:S190"/>
    <mergeCell ref="J191:S191"/>
    <mergeCell ref="J192:S192"/>
    <mergeCell ref="J175:S175"/>
    <mergeCell ref="J176:S176"/>
    <mergeCell ref="J177:S177"/>
    <mergeCell ref="J178:S178"/>
    <mergeCell ref="J179:S179"/>
    <mergeCell ref="J180:S180"/>
    <mergeCell ref="J181:S181"/>
    <mergeCell ref="J182:S182"/>
    <mergeCell ref="J183:S183"/>
    <mergeCell ref="J166:S166"/>
    <mergeCell ref="J167:S167"/>
    <mergeCell ref="J168:S168"/>
    <mergeCell ref="J169:S169"/>
    <mergeCell ref="J170:S170"/>
    <mergeCell ref="J171:S171"/>
    <mergeCell ref="J172:S172"/>
    <mergeCell ref="J173:S173"/>
    <mergeCell ref="J174:S174"/>
    <mergeCell ref="J157:S157"/>
    <mergeCell ref="J158:S158"/>
    <mergeCell ref="J159:S159"/>
    <mergeCell ref="J160:S160"/>
    <mergeCell ref="J161:S161"/>
    <mergeCell ref="J162:S162"/>
    <mergeCell ref="J163:S163"/>
    <mergeCell ref="J164:S164"/>
    <mergeCell ref="J165:S165"/>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B199:C199"/>
    <mergeCell ref="B182:C182"/>
    <mergeCell ref="B183:C183"/>
    <mergeCell ref="B184:C184"/>
    <mergeCell ref="B185:C185"/>
    <mergeCell ref="B186:C186"/>
    <mergeCell ref="B187:C187"/>
    <mergeCell ref="B188:C188"/>
    <mergeCell ref="B189:C189"/>
    <mergeCell ref="B190:C190"/>
    <mergeCell ref="B174:C174"/>
    <mergeCell ref="B175:C175"/>
    <mergeCell ref="B176:C176"/>
    <mergeCell ref="B177:C177"/>
    <mergeCell ref="B178:C178"/>
    <mergeCell ref="B179:C179"/>
    <mergeCell ref="B180:C180"/>
    <mergeCell ref="B181:C181"/>
    <mergeCell ref="B198:C198"/>
    <mergeCell ref="B165:C165"/>
    <mergeCell ref="B166:C166"/>
    <mergeCell ref="B167:C167"/>
    <mergeCell ref="B168:C168"/>
    <mergeCell ref="B169:C169"/>
    <mergeCell ref="B170:C170"/>
    <mergeCell ref="B171:C171"/>
    <mergeCell ref="B172:C172"/>
    <mergeCell ref="B173:C173"/>
    <mergeCell ref="B156:C156"/>
    <mergeCell ref="B157:C157"/>
    <mergeCell ref="B158:C158"/>
    <mergeCell ref="B159:C159"/>
    <mergeCell ref="B160:C160"/>
    <mergeCell ref="B161:C161"/>
    <mergeCell ref="B162:C162"/>
    <mergeCell ref="B163:C163"/>
    <mergeCell ref="B164:C164"/>
    <mergeCell ref="B147:C147"/>
    <mergeCell ref="B148:C148"/>
    <mergeCell ref="B149:C149"/>
    <mergeCell ref="B150:C150"/>
    <mergeCell ref="B151:C151"/>
    <mergeCell ref="B152:C152"/>
    <mergeCell ref="B153:C153"/>
    <mergeCell ref="B154:C154"/>
    <mergeCell ref="B155:C155"/>
    <mergeCell ref="B138:C138"/>
    <mergeCell ref="B139:C139"/>
    <mergeCell ref="B140:C140"/>
    <mergeCell ref="B141:C141"/>
    <mergeCell ref="B142:C142"/>
    <mergeCell ref="B143:C143"/>
    <mergeCell ref="B144:C144"/>
    <mergeCell ref="B145:C145"/>
    <mergeCell ref="B146:C146"/>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T128:U128"/>
    <mergeCell ref="V128:W128"/>
    <mergeCell ref="X128:Y128"/>
    <mergeCell ref="Z128:AA128"/>
    <mergeCell ref="AB128:AC128"/>
    <mergeCell ref="T127:U127"/>
    <mergeCell ref="V127:W127"/>
    <mergeCell ref="X127:Y127"/>
    <mergeCell ref="Z127:AA127"/>
    <mergeCell ref="AB127:AC127"/>
    <mergeCell ref="T126:U126"/>
    <mergeCell ref="V126:W126"/>
    <mergeCell ref="X126:Y126"/>
    <mergeCell ref="Z126:AA126"/>
    <mergeCell ref="AB126:AC126"/>
    <mergeCell ref="T125:U125"/>
    <mergeCell ref="V125:W125"/>
    <mergeCell ref="X125:Y125"/>
    <mergeCell ref="Z125:AA125"/>
    <mergeCell ref="AB125:AC125"/>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J131:K131"/>
    <mergeCell ref="L131:M131"/>
    <mergeCell ref="N131:O131"/>
    <mergeCell ref="P131:Q131"/>
    <mergeCell ref="R131:S131"/>
    <mergeCell ref="L129:M129"/>
    <mergeCell ref="N129:O129"/>
    <mergeCell ref="P129:Q129"/>
    <mergeCell ref="R129:S129"/>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10:C110"/>
    <mergeCell ref="B111:C111"/>
    <mergeCell ref="B116:C116"/>
    <mergeCell ref="B112:C112"/>
    <mergeCell ref="B113:C113"/>
    <mergeCell ref="B114:C114"/>
    <mergeCell ref="B115:C115"/>
    <mergeCell ref="A107:S107"/>
    <mergeCell ref="B108:C108"/>
    <mergeCell ref="B109:C10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43:S43"/>
    <mergeCell ref="M44:S44"/>
    <mergeCell ref="M45:S45"/>
    <mergeCell ref="M46:S46"/>
    <mergeCell ref="M47:S47"/>
    <mergeCell ref="M48:S48"/>
    <mergeCell ref="M49:S49"/>
    <mergeCell ref="M50:S50"/>
    <mergeCell ref="M51:S51"/>
    <mergeCell ref="D97:F97"/>
    <mergeCell ref="G97:I97"/>
    <mergeCell ref="J97:L97"/>
    <mergeCell ref="D103:F103"/>
    <mergeCell ref="G103:I103"/>
    <mergeCell ref="J103:L103"/>
    <mergeCell ref="D101:F101"/>
    <mergeCell ref="G101:I101"/>
    <mergeCell ref="J101:L101"/>
    <mergeCell ref="D102:F102"/>
    <mergeCell ref="G102:I102"/>
    <mergeCell ref="J102:L102"/>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G22:H22"/>
    <mergeCell ref="G23:H23"/>
    <mergeCell ref="G24:H24"/>
    <mergeCell ref="G25:H25"/>
    <mergeCell ref="G26:H26"/>
    <mergeCell ref="E22:F22"/>
    <mergeCell ref="E23:F23"/>
    <mergeCell ref="E24:F24"/>
    <mergeCell ref="E25:F25"/>
    <mergeCell ref="E26:F26"/>
    <mergeCell ref="K22:S22"/>
    <mergeCell ref="K23:S23"/>
    <mergeCell ref="K24:S24"/>
    <mergeCell ref="K25:S25"/>
    <mergeCell ref="K26:S26"/>
    <mergeCell ref="K27:S27"/>
    <mergeCell ref="I22:J22"/>
    <mergeCell ref="I23:J23"/>
    <mergeCell ref="I24:J24"/>
    <mergeCell ref="I25:J25"/>
    <mergeCell ref="I26:J26"/>
    <mergeCell ref="K32:S32"/>
    <mergeCell ref="K33:S33"/>
    <mergeCell ref="K34:S34"/>
    <mergeCell ref="K35:S35"/>
    <mergeCell ref="K36:S36"/>
    <mergeCell ref="K28:S28"/>
    <mergeCell ref="K29:S29"/>
    <mergeCell ref="K30:S30"/>
    <mergeCell ref="K31:S31"/>
    <mergeCell ref="I32:J32"/>
    <mergeCell ref="I33:J33"/>
    <mergeCell ref="I34:J34"/>
    <mergeCell ref="I35:J35"/>
    <mergeCell ref="I36:J36"/>
    <mergeCell ref="I27:J27"/>
    <mergeCell ref="I28:J28"/>
    <mergeCell ref="I29:J29"/>
    <mergeCell ref="I30:J30"/>
    <mergeCell ref="I31:J31"/>
    <mergeCell ref="G32:H32"/>
    <mergeCell ref="G33:H33"/>
    <mergeCell ref="G34:H34"/>
    <mergeCell ref="G35:H35"/>
    <mergeCell ref="G36:H36"/>
    <mergeCell ref="G27:H27"/>
    <mergeCell ref="G28:H28"/>
    <mergeCell ref="G29:H29"/>
    <mergeCell ref="G30:H30"/>
    <mergeCell ref="G31:H31"/>
    <mergeCell ref="E32:F32"/>
    <mergeCell ref="E33:F33"/>
    <mergeCell ref="E34:F34"/>
    <mergeCell ref="E35:F35"/>
    <mergeCell ref="E36:F36"/>
    <mergeCell ref="E27:F27"/>
    <mergeCell ref="E28:F28"/>
    <mergeCell ref="E29:F29"/>
    <mergeCell ref="E30:F30"/>
    <mergeCell ref="E31:F31"/>
    <mergeCell ref="E21:F21"/>
    <mergeCell ref="G20:H20"/>
    <mergeCell ref="G21:H21"/>
    <mergeCell ref="I20:J20"/>
    <mergeCell ref="I21:J21"/>
    <mergeCell ref="M14:S14"/>
    <mergeCell ref="M15:S15"/>
    <mergeCell ref="M16:S16"/>
    <mergeCell ref="M17:S17"/>
    <mergeCell ref="A19:S19"/>
    <mergeCell ref="K20:S20"/>
    <mergeCell ref="K21:S21"/>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2:M51"/>
  <sheetViews>
    <sheetView topLeftCell="A33" workbookViewId="0">
      <selection activeCell="G21" sqref="G21"/>
    </sheetView>
  </sheetViews>
  <sheetFormatPr defaultRowHeight="15"/>
  <cols>
    <col min="1" max="1" width="31.42578125" customWidth="1"/>
    <col min="2" max="2" width="23.7109375" bestFit="1" customWidth="1"/>
    <col min="7" max="7" width="74.85546875" customWidth="1"/>
  </cols>
  <sheetData>
    <row r="2" spans="1:13">
      <c r="A2" s="895" t="s">
        <v>2284</v>
      </c>
      <c r="B2" s="895"/>
      <c r="C2" s="895"/>
      <c r="D2" s="895"/>
      <c r="E2" s="895"/>
      <c r="F2" s="895"/>
      <c r="G2" s="895"/>
      <c r="H2" s="895"/>
      <c r="I2" s="895"/>
      <c r="J2" s="895"/>
      <c r="K2" s="895"/>
      <c r="L2" s="895"/>
      <c r="M2" s="895"/>
    </row>
    <row r="3" spans="1:13">
      <c r="A3" t="s">
        <v>2278</v>
      </c>
    </row>
    <row r="4" spans="1:13">
      <c r="A4" t="s">
        <v>2279</v>
      </c>
    </row>
    <row r="5" spans="1:13">
      <c r="A5" t="s">
        <v>2283</v>
      </c>
    </row>
    <row r="6" spans="1:13">
      <c r="A6" t="s">
        <v>2280</v>
      </c>
    </row>
    <row r="9" spans="1:13">
      <c r="A9" s="988" t="s">
        <v>2265</v>
      </c>
      <c r="B9" s="988"/>
      <c r="C9" s="988"/>
      <c r="D9" s="988"/>
      <c r="E9" s="988"/>
      <c r="F9" s="988"/>
      <c r="G9" s="988"/>
      <c r="H9" s="988"/>
      <c r="I9" s="988"/>
      <c r="J9" s="988"/>
      <c r="K9" s="988"/>
      <c r="L9" s="988"/>
      <c r="M9" s="988"/>
    </row>
    <row r="10" spans="1:13">
      <c r="A10" t="s">
        <v>2273</v>
      </c>
      <c r="B10">
        <v>108.5</v>
      </c>
      <c r="C10">
        <f>B10/B12</f>
        <v>0.50465116279069766</v>
      </c>
    </row>
    <row r="11" spans="1:13">
      <c r="A11" t="s">
        <v>2274</v>
      </c>
      <c r="B11">
        <v>106.5</v>
      </c>
      <c r="C11">
        <f>B11/B12</f>
        <v>0.49534883720930234</v>
      </c>
    </row>
    <row r="12" spans="1:13">
      <c r="A12" s="222" t="s">
        <v>1049</v>
      </c>
      <c r="B12" s="222">
        <f>SUM(B10:B11)</f>
        <v>215</v>
      </c>
    </row>
    <row r="13" spans="1:13" ht="15.75" thickBot="1">
      <c r="A13" s="222"/>
      <c r="B13" s="222"/>
    </row>
    <row r="14" spans="1:13" ht="15.75" thickBot="1">
      <c r="A14" s="65" t="s">
        <v>129</v>
      </c>
      <c r="B14" s="107" t="s">
        <v>130</v>
      </c>
      <c r="C14" s="108" t="s">
        <v>131</v>
      </c>
      <c r="D14" s="109" t="s">
        <v>102</v>
      </c>
      <c r="E14" s="226" t="s">
        <v>132</v>
      </c>
      <c r="F14" s="108" t="s">
        <v>133</v>
      </c>
      <c r="G14" s="110" t="s">
        <v>104</v>
      </c>
      <c r="H14" s="111" t="s">
        <v>134</v>
      </c>
      <c r="I14" s="112" t="s">
        <v>135</v>
      </c>
      <c r="J14" s="112" t="s">
        <v>65</v>
      </c>
      <c r="K14" s="112" t="s">
        <v>67</v>
      </c>
      <c r="L14" s="112" t="s">
        <v>73</v>
      </c>
      <c r="M14" s="113" t="s">
        <v>79</v>
      </c>
    </row>
    <row r="15" spans="1:13">
      <c r="A15" s="1004" t="s">
        <v>2071</v>
      </c>
      <c r="B15" s="1005" t="s">
        <v>2264</v>
      </c>
      <c r="C15" s="1005" t="s">
        <v>139</v>
      </c>
      <c r="D15" s="1005" t="s">
        <v>139</v>
      </c>
      <c r="E15" s="1011">
        <f>C10</f>
        <v>0.50465116279069766</v>
      </c>
      <c r="F15" s="1005">
        <v>2</v>
      </c>
      <c r="G15" s="1005" t="s">
        <v>2270</v>
      </c>
      <c r="H15" s="13">
        <v>1</v>
      </c>
      <c r="I15" s="13">
        <v>2</v>
      </c>
      <c r="J15" s="13">
        <v>2</v>
      </c>
      <c r="K15" s="13">
        <v>1</v>
      </c>
      <c r="L15" s="13">
        <v>2</v>
      </c>
      <c r="M15" s="292">
        <v>2</v>
      </c>
    </row>
    <row r="16" spans="1:13">
      <c r="A16" s="993" t="s">
        <v>190</v>
      </c>
      <c r="B16" s="224" t="s">
        <v>2271</v>
      </c>
      <c r="C16" s="224" t="s">
        <v>139</v>
      </c>
      <c r="D16" s="224" t="s">
        <v>139</v>
      </c>
      <c r="E16" s="488">
        <f>C10</f>
        <v>0.50465116279069766</v>
      </c>
      <c r="F16" s="224">
        <v>2</v>
      </c>
      <c r="G16" s="224" t="s">
        <v>2270</v>
      </c>
      <c r="H16" s="10">
        <v>1</v>
      </c>
      <c r="I16" s="10">
        <v>2</v>
      </c>
      <c r="J16" s="10">
        <v>2</v>
      </c>
      <c r="K16" s="10">
        <v>1</v>
      </c>
      <c r="L16" s="10">
        <v>2</v>
      </c>
      <c r="M16" s="293">
        <v>2</v>
      </c>
    </row>
    <row r="17" spans="1:13">
      <c r="A17" s="993" t="s">
        <v>242</v>
      </c>
      <c r="B17" s="224" t="s">
        <v>2272</v>
      </c>
      <c r="C17" s="224" t="s">
        <v>139</v>
      </c>
      <c r="D17" s="224" t="s">
        <v>139</v>
      </c>
      <c r="E17" s="488">
        <f>C10</f>
        <v>0.50465116279069766</v>
      </c>
      <c r="F17" s="224">
        <v>2</v>
      </c>
      <c r="G17" s="224" t="s">
        <v>2270</v>
      </c>
      <c r="H17" s="10">
        <v>1</v>
      </c>
      <c r="I17" s="10">
        <v>2</v>
      </c>
      <c r="J17" s="10">
        <v>2</v>
      </c>
      <c r="K17" s="10">
        <v>1</v>
      </c>
      <c r="L17" s="10">
        <v>2</v>
      </c>
      <c r="M17" s="293">
        <v>2</v>
      </c>
    </row>
    <row r="18" spans="1:13">
      <c r="A18" s="993" t="s">
        <v>350</v>
      </c>
      <c r="B18" s="224" t="s">
        <v>2272</v>
      </c>
      <c r="C18" s="224" t="s">
        <v>139</v>
      </c>
      <c r="D18" s="224" t="s">
        <v>139</v>
      </c>
      <c r="E18" s="1012">
        <v>0.33810000000000001</v>
      </c>
      <c r="F18" s="224">
        <v>2</v>
      </c>
      <c r="G18" s="185" t="s">
        <v>163</v>
      </c>
      <c r="H18" s="1007">
        <v>2</v>
      </c>
      <c r="I18" s="1007">
        <v>2</v>
      </c>
      <c r="J18" s="1007">
        <v>2</v>
      </c>
      <c r="K18" s="1007">
        <v>3</v>
      </c>
      <c r="L18" s="1007">
        <v>1</v>
      </c>
      <c r="M18" s="1008">
        <v>2</v>
      </c>
    </row>
    <row r="19" spans="1:13" ht="15.75" thickBot="1">
      <c r="A19" s="1006" t="s">
        <v>2241</v>
      </c>
      <c r="B19" s="1003" t="s">
        <v>2244</v>
      </c>
      <c r="C19" s="1003" t="s">
        <v>139</v>
      </c>
      <c r="D19" s="1003" t="s">
        <v>139</v>
      </c>
      <c r="E19" s="1013">
        <v>0.25</v>
      </c>
      <c r="F19" s="1003">
        <v>2</v>
      </c>
      <c r="G19" s="1003" t="s">
        <v>2281</v>
      </c>
      <c r="H19" s="1009">
        <v>2</v>
      </c>
      <c r="I19" s="1009">
        <v>2</v>
      </c>
      <c r="J19" s="1009">
        <v>2</v>
      </c>
      <c r="K19" s="1009">
        <v>3</v>
      </c>
      <c r="L19" s="1009">
        <v>2</v>
      </c>
      <c r="M19" s="1010">
        <v>2</v>
      </c>
    </row>
    <row r="20" spans="1:13">
      <c r="A20" s="64"/>
      <c r="B20" s="64"/>
      <c r="C20" s="64"/>
      <c r="D20" s="64"/>
      <c r="E20" s="64"/>
      <c r="F20" s="64"/>
      <c r="G20" s="64"/>
      <c r="H20" s="64"/>
      <c r="I20" s="64"/>
      <c r="J20" s="64"/>
      <c r="K20" s="64"/>
      <c r="L20" s="64"/>
      <c r="M20" s="64"/>
    </row>
    <row r="21" spans="1:13">
      <c r="A21" s="6"/>
      <c r="B21" s="64" t="s">
        <v>180</v>
      </c>
      <c r="C21" s="64" t="s">
        <v>2266</v>
      </c>
      <c r="D21" s="64"/>
      <c r="E21" s="64"/>
      <c r="F21" s="64"/>
      <c r="G21" s="64"/>
      <c r="H21" s="64"/>
      <c r="I21" s="64"/>
      <c r="J21" s="64"/>
      <c r="K21" s="64"/>
      <c r="L21" s="64"/>
      <c r="M21" s="64"/>
    </row>
    <row r="22" spans="1:13">
      <c r="A22" s="64" t="s">
        <v>2268</v>
      </c>
      <c r="B22" s="64">
        <v>7.3</v>
      </c>
      <c r="C22" s="64">
        <v>51.5</v>
      </c>
      <c r="D22" s="64"/>
      <c r="E22" s="64"/>
      <c r="F22" s="64"/>
      <c r="G22" s="64"/>
      <c r="H22" s="64"/>
      <c r="I22" s="64"/>
      <c r="J22" s="64"/>
      <c r="K22" s="64"/>
      <c r="L22" s="64"/>
      <c r="M22" s="64"/>
    </row>
    <row r="23" spans="1:13">
      <c r="A23" s="64" t="s">
        <v>2267</v>
      </c>
      <c r="B23" s="64">
        <v>6.2</v>
      </c>
      <c r="C23" s="64">
        <v>25.5</v>
      </c>
      <c r="D23" s="64"/>
      <c r="E23" s="64"/>
      <c r="F23" s="64"/>
      <c r="G23" s="64"/>
      <c r="H23" s="64"/>
      <c r="I23" s="64"/>
      <c r="J23" s="64"/>
      <c r="K23" s="64"/>
      <c r="L23" s="64"/>
      <c r="M23" s="64"/>
    </row>
    <row r="24" spans="1:13">
      <c r="A24" s="64" t="s">
        <v>150</v>
      </c>
      <c r="B24" s="64">
        <v>7.1</v>
      </c>
      <c r="C24" s="64">
        <v>1.9</v>
      </c>
      <c r="D24" s="64"/>
      <c r="E24" s="64"/>
      <c r="F24" s="64"/>
      <c r="G24" s="1040">
        <f>E15*E30</f>
        <v>2.883720930232558E-2</v>
      </c>
      <c r="H24" s="64"/>
      <c r="I24" s="64"/>
      <c r="J24" s="64"/>
      <c r="K24" s="64"/>
      <c r="L24" s="64"/>
      <c r="M24" s="64"/>
    </row>
    <row r="25" spans="1:13">
      <c r="A25" s="64" t="s">
        <v>2269</v>
      </c>
      <c r="B25" s="64">
        <v>1</v>
      </c>
      <c r="C25" s="64">
        <v>8</v>
      </c>
      <c r="D25" s="64"/>
      <c r="E25" s="64"/>
      <c r="F25" s="64"/>
      <c r="G25" s="1040">
        <f>C10*E29</f>
        <v>3.395348837209302E-2</v>
      </c>
      <c r="H25" s="64"/>
      <c r="I25" s="64"/>
      <c r="J25" s="64"/>
      <c r="K25" s="64"/>
      <c r="L25" s="64"/>
      <c r="M25" s="64"/>
    </row>
    <row r="26" spans="1:13">
      <c r="A26" s="375" t="s">
        <v>1049</v>
      </c>
      <c r="B26" s="375">
        <f>SUM(B22:B25)</f>
        <v>21.6</v>
      </c>
      <c r="C26" s="375">
        <f>SUM(C22:C25)</f>
        <v>86.9</v>
      </c>
      <c r="D26" s="64">
        <f>B26+C26</f>
        <v>108.5</v>
      </c>
      <c r="E26" s="64"/>
      <c r="F26" s="64"/>
      <c r="G26" s="64"/>
      <c r="H26" s="64"/>
      <c r="I26" s="64"/>
      <c r="J26" s="64"/>
      <c r="K26" s="64"/>
      <c r="L26" s="64"/>
      <c r="M26" s="64"/>
    </row>
    <row r="27" spans="1:13" ht="15.75" thickBot="1">
      <c r="A27" s="64"/>
      <c r="B27" s="64"/>
      <c r="C27" s="64"/>
      <c r="D27" s="64"/>
      <c r="E27" s="64"/>
      <c r="F27" s="64"/>
      <c r="G27" s="64"/>
      <c r="H27" s="64"/>
      <c r="I27" s="64"/>
      <c r="J27" s="64"/>
      <c r="K27" s="64"/>
      <c r="L27" s="64"/>
      <c r="M27" s="64"/>
    </row>
    <row r="28" spans="1:13" ht="15.75" thickBot="1">
      <c r="A28" s="65" t="s">
        <v>129</v>
      </c>
      <c r="B28" s="107" t="s">
        <v>130</v>
      </c>
      <c r="C28" s="108" t="s">
        <v>131</v>
      </c>
      <c r="D28" s="109" t="s">
        <v>102</v>
      </c>
      <c r="E28" s="226" t="s">
        <v>132</v>
      </c>
      <c r="F28" s="108" t="s">
        <v>133</v>
      </c>
      <c r="G28" s="110" t="s">
        <v>104</v>
      </c>
      <c r="H28" s="111" t="s">
        <v>134</v>
      </c>
      <c r="I28" s="112" t="s">
        <v>135</v>
      </c>
      <c r="J28" s="112" t="s">
        <v>65</v>
      </c>
      <c r="K28" s="112" t="s">
        <v>67</v>
      </c>
      <c r="L28" s="112" t="s">
        <v>73</v>
      </c>
      <c r="M28" s="113" t="s">
        <v>79</v>
      </c>
    </row>
    <row r="29" spans="1:13">
      <c r="A29" s="990" t="s">
        <v>2264</v>
      </c>
      <c r="B29" s="991" t="s">
        <v>425</v>
      </c>
      <c r="C29" s="810" t="s">
        <v>139</v>
      </c>
      <c r="D29" s="810" t="s">
        <v>139</v>
      </c>
      <c r="E29" s="1014">
        <f>$B$22/$D$26</f>
        <v>6.7281105990783407E-2</v>
      </c>
      <c r="F29" s="992">
        <v>2</v>
      </c>
      <c r="G29" s="991" t="s">
        <v>2270</v>
      </c>
      <c r="H29" s="13">
        <v>1</v>
      </c>
      <c r="I29" s="13">
        <v>2</v>
      </c>
      <c r="J29" s="13">
        <v>2</v>
      </c>
      <c r="K29" s="13">
        <v>1</v>
      </c>
      <c r="L29" s="13">
        <v>2</v>
      </c>
      <c r="M29" s="292">
        <v>2</v>
      </c>
    </row>
    <row r="30" spans="1:13">
      <c r="A30" s="993" t="s">
        <v>2264</v>
      </c>
      <c r="B30" s="989" t="s">
        <v>417</v>
      </c>
      <c r="C30" s="185" t="s">
        <v>139</v>
      </c>
      <c r="D30" s="185" t="s">
        <v>139</v>
      </c>
      <c r="E30" s="1015">
        <f>$B$23/$D$26</f>
        <v>5.7142857142857141E-2</v>
      </c>
      <c r="F30" s="245">
        <v>3</v>
      </c>
      <c r="G30" s="989" t="s">
        <v>2270</v>
      </c>
      <c r="H30" s="10">
        <v>1</v>
      </c>
      <c r="I30" s="10">
        <v>2</v>
      </c>
      <c r="J30" s="10">
        <v>2</v>
      </c>
      <c r="K30" s="10">
        <v>1</v>
      </c>
      <c r="L30" s="10">
        <v>2</v>
      </c>
      <c r="M30" s="293">
        <v>2</v>
      </c>
    </row>
    <row r="31" spans="1:13">
      <c r="A31" s="993" t="s">
        <v>2264</v>
      </c>
      <c r="B31" s="989" t="s">
        <v>176</v>
      </c>
      <c r="C31" s="185" t="s">
        <v>139</v>
      </c>
      <c r="D31" s="185" t="s">
        <v>139</v>
      </c>
      <c r="E31" s="1015">
        <v>1E-4</v>
      </c>
      <c r="F31" s="245">
        <v>3</v>
      </c>
      <c r="G31" s="989" t="s">
        <v>399</v>
      </c>
      <c r="H31" s="10"/>
      <c r="I31" s="10"/>
      <c r="J31" s="10"/>
      <c r="K31" s="10"/>
      <c r="L31" s="10"/>
      <c r="M31" s="293"/>
    </row>
    <row r="32" spans="1:13">
      <c r="A32" s="993" t="s">
        <v>2264</v>
      </c>
      <c r="B32" s="989" t="s">
        <v>184</v>
      </c>
      <c r="C32" s="185" t="s">
        <v>139</v>
      </c>
      <c r="D32" s="185" t="s">
        <v>139</v>
      </c>
      <c r="E32" s="1015">
        <v>3.0000000000000001E-3</v>
      </c>
      <c r="F32" s="245">
        <v>2</v>
      </c>
      <c r="G32" s="185" t="s">
        <v>224</v>
      </c>
      <c r="H32" s="10">
        <v>1</v>
      </c>
      <c r="I32" s="10">
        <v>2</v>
      </c>
      <c r="J32" s="10">
        <v>2</v>
      </c>
      <c r="K32" s="10">
        <v>1</v>
      </c>
      <c r="L32" s="10">
        <v>2</v>
      </c>
      <c r="M32" s="293">
        <v>2</v>
      </c>
    </row>
    <row r="33" spans="1:13">
      <c r="A33" s="993" t="s">
        <v>2264</v>
      </c>
      <c r="B33" s="989" t="s">
        <v>179</v>
      </c>
      <c r="C33" s="185" t="s">
        <v>139</v>
      </c>
      <c r="D33" s="185" t="s">
        <v>139</v>
      </c>
      <c r="E33" s="1015">
        <f>$B$24/$D$26</f>
        <v>6.5437788018433182E-2</v>
      </c>
      <c r="F33" s="245">
        <v>2</v>
      </c>
      <c r="G33" s="989" t="s">
        <v>2270</v>
      </c>
      <c r="H33" s="10">
        <v>1</v>
      </c>
      <c r="I33" s="10">
        <v>2</v>
      </c>
      <c r="J33" s="10">
        <v>2</v>
      </c>
      <c r="K33" s="10">
        <v>1</v>
      </c>
      <c r="L33" s="10">
        <v>2</v>
      </c>
      <c r="M33" s="293">
        <v>2</v>
      </c>
    </row>
    <row r="34" spans="1:13" ht="15.75" thickBot="1">
      <c r="A34" s="998" t="s">
        <v>2264</v>
      </c>
      <c r="B34" s="999" t="s">
        <v>245</v>
      </c>
      <c r="C34" s="894" t="s">
        <v>139</v>
      </c>
      <c r="D34" s="894" t="s">
        <v>139</v>
      </c>
      <c r="E34" s="1000" t="s">
        <v>150</v>
      </c>
      <c r="F34" s="1001">
        <v>1</v>
      </c>
      <c r="G34" s="999" t="s">
        <v>2270</v>
      </c>
      <c r="H34" s="15">
        <v>1</v>
      </c>
      <c r="I34" s="15">
        <v>2</v>
      </c>
      <c r="J34" s="15">
        <v>2</v>
      </c>
      <c r="K34" s="15">
        <v>1</v>
      </c>
      <c r="L34" s="15">
        <v>2</v>
      </c>
      <c r="M34" s="296">
        <v>2</v>
      </c>
    </row>
    <row r="35" spans="1:13">
      <c r="A35" s="990" t="s">
        <v>2271</v>
      </c>
      <c r="B35" s="991" t="s">
        <v>425</v>
      </c>
      <c r="C35" s="810" t="s">
        <v>139</v>
      </c>
      <c r="D35" s="810" t="s">
        <v>139</v>
      </c>
      <c r="E35" s="1014">
        <f>$B$22/$D$26</f>
        <v>6.7281105990783407E-2</v>
      </c>
      <c r="F35" s="992">
        <v>2</v>
      </c>
      <c r="G35" s="991" t="s">
        <v>2270</v>
      </c>
      <c r="H35" s="13">
        <v>1</v>
      </c>
      <c r="I35" s="13">
        <v>2</v>
      </c>
      <c r="J35" s="13">
        <v>2</v>
      </c>
      <c r="K35" s="13">
        <v>1</v>
      </c>
      <c r="L35" s="13">
        <v>2</v>
      </c>
      <c r="M35" s="292">
        <v>2</v>
      </c>
    </row>
    <row r="36" spans="1:13">
      <c r="A36" s="993" t="s">
        <v>2271</v>
      </c>
      <c r="B36" s="989" t="s">
        <v>417</v>
      </c>
      <c r="C36" s="185" t="s">
        <v>139</v>
      </c>
      <c r="D36" s="185" t="s">
        <v>139</v>
      </c>
      <c r="E36" s="1015">
        <f>$B$23/$D$26</f>
        <v>5.7142857142857141E-2</v>
      </c>
      <c r="F36" s="245">
        <v>3</v>
      </c>
      <c r="G36" s="989" t="s">
        <v>2270</v>
      </c>
      <c r="H36" s="10">
        <v>1</v>
      </c>
      <c r="I36" s="10">
        <v>2</v>
      </c>
      <c r="J36" s="10">
        <v>2</v>
      </c>
      <c r="K36" s="10">
        <v>1</v>
      </c>
      <c r="L36" s="10">
        <v>2</v>
      </c>
      <c r="M36" s="293">
        <v>2</v>
      </c>
    </row>
    <row r="37" spans="1:13">
      <c r="A37" s="993" t="s">
        <v>2271</v>
      </c>
      <c r="B37" s="989" t="s">
        <v>176</v>
      </c>
      <c r="C37" s="185" t="s">
        <v>139</v>
      </c>
      <c r="D37" s="185" t="s">
        <v>139</v>
      </c>
      <c r="E37" s="1015">
        <v>1E-4</v>
      </c>
      <c r="F37" s="245">
        <v>3</v>
      </c>
      <c r="G37" s="989" t="s">
        <v>399</v>
      </c>
      <c r="H37" s="10"/>
      <c r="I37" s="10"/>
      <c r="J37" s="10"/>
      <c r="K37" s="10"/>
      <c r="L37" s="10"/>
      <c r="M37" s="293"/>
    </row>
    <row r="38" spans="1:13">
      <c r="A38" s="993" t="s">
        <v>2271</v>
      </c>
      <c r="B38" s="989" t="s">
        <v>184</v>
      </c>
      <c r="C38" s="185" t="s">
        <v>139</v>
      </c>
      <c r="D38" s="185" t="s">
        <v>139</v>
      </c>
      <c r="E38" s="1015">
        <v>3.0000000000000001E-3</v>
      </c>
      <c r="F38" s="245">
        <v>2</v>
      </c>
      <c r="G38" s="185" t="s">
        <v>224</v>
      </c>
      <c r="H38" s="10">
        <v>1</v>
      </c>
      <c r="I38" s="10">
        <v>2</v>
      </c>
      <c r="J38" s="10">
        <v>2</v>
      </c>
      <c r="K38" s="10">
        <v>1</v>
      </c>
      <c r="L38" s="10">
        <v>2</v>
      </c>
      <c r="M38" s="293">
        <v>2</v>
      </c>
    </row>
    <row r="39" spans="1:13">
      <c r="A39" s="993" t="s">
        <v>2271</v>
      </c>
      <c r="B39" s="989" t="s">
        <v>179</v>
      </c>
      <c r="C39" s="185" t="s">
        <v>139</v>
      </c>
      <c r="D39" s="185" t="s">
        <v>139</v>
      </c>
      <c r="E39" s="1015">
        <f>$B$24/$D$26</f>
        <v>6.5437788018433182E-2</v>
      </c>
      <c r="F39" s="245">
        <v>2</v>
      </c>
      <c r="G39" s="989" t="s">
        <v>2270</v>
      </c>
      <c r="H39" s="10">
        <v>1</v>
      </c>
      <c r="I39" s="10">
        <v>2</v>
      </c>
      <c r="J39" s="10">
        <v>2</v>
      </c>
      <c r="K39" s="10">
        <v>1</v>
      </c>
      <c r="L39" s="10">
        <v>2</v>
      </c>
      <c r="M39" s="293">
        <v>2</v>
      </c>
    </row>
    <row r="40" spans="1:13" ht="15.75" thickBot="1">
      <c r="A40" s="998" t="s">
        <v>2271</v>
      </c>
      <c r="B40" s="999" t="s">
        <v>245</v>
      </c>
      <c r="C40" s="894" t="s">
        <v>139</v>
      </c>
      <c r="D40" s="894" t="s">
        <v>139</v>
      </c>
      <c r="E40" s="1000" t="s">
        <v>150</v>
      </c>
      <c r="F40" s="1001">
        <v>1</v>
      </c>
      <c r="G40" s="999" t="s">
        <v>2270</v>
      </c>
      <c r="H40" s="15">
        <v>1</v>
      </c>
      <c r="I40" s="15">
        <v>2</v>
      </c>
      <c r="J40" s="15">
        <v>2</v>
      </c>
      <c r="K40" s="15">
        <v>1</v>
      </c>
      <c r="L40" s="15">
        <v>2</v>
      </c>
      <c r="M40" s="296">
        <v>2</v>
      </c>
    </row>
    <row r="41" spans="1:13">
      <c r="A41" s="990" t="s">
        <v>2272</v>
      </c>
      <c r="B41" s="991" t="s">
        <v>425</v>
      </c>
      <c r="C41" s="810" t="s">
        <v>139</v>
      </c>
      <c r="D41" s="810" t="s">
        <v>139</v>
      </c>
      <c r="E41" s="1014">
        <f>$B$22/$D$26</f>
        <v>6.7281105990783407E-2</v>
      </c>
      <c r="F41" s="992">
        <v>2</v>
      </c>
      <c r="G41" s="991" t="s">
        <v>2270</v>
      </c>
      <c r="H41" s="13">
        <v>1</v>
      </c>
      <c r="I41" s="13">
        <v>2</v>
      </c>
      <c r="J41" s="13">
        <v>2</v>
      </c>
      <c r="K41" s="13">
        <v>1</v>
      </c>
      <c r="L41" s="13">
        <v>2</v>
      </c>
      <c r="M41" s="292">
        <v>2</v>
      </c>
    </row>
    <row r="42" spans="1:13">
      <c r="A42" s="993" t="s">
        <v>2272</v>
      </c>
      <c r="B42" s="989" t="s">
        <v>417</v>
      </c>
      <c r="C42" s="185" t="s">
        <v>139</v>
      </c>
      <c r="D42" s="185" t="s">
        <v>139</v>
      </c>
      <c r="E42" s="1015">
        <f>$B$23/$D$26</f>
        <v>5.7142857142857141E-2</v>
      </c>
      <c r="F42" s="245">
        <v>3</v>
      </c>
      <c r="G42" s="989" t="s">
        <v>2270</v>
      </c>
      <c r="H42" s="10">
        <v>1</v>
      </c>
      <c r="I42" s="10">
        <v>2</v>
      </c>
      <c r="J42" s="10">
        <v>2</v>
      </c>
      <c r="K42" s="10">
        <v>1</v>
      </c>
      <c r="L42" s="10">
        <v>2</v>
      </c>
      <c r="M42" s="293">
        <v>2</v>
      </c>
    </row>
    <row r="43" spans="1:13">
      <c r="A43" s="993" t="s">
        <v>2272</v>
      </c>
      <c r="B43" s="989" t="s">
        <v>176</v>
      </c>
      <c r="C43" s="185" t="s">
        <v>139</v>
      </c>
      <c r="D43" s="185" t="s">
        <v>139</v>
      </c>
      <c r="E43" s="1015">
        <v>1E-4</v>
      </c>
      <c r="F43" s="245">
        <v>3</v>
      </c>
      <c r="G43" s="989" t="s">
        <v>399</v>
      </c>
      <c r="H43" s="10"/>
      <c r="I43" s="10"/>
      <c r="J43" s="10"/>
      <c r="K43" s="10"/>
      <c r="L43" s="10"/>
      <c r="M43" s="293"/>
    </row>
    <row r="44" spans="1:13">
      <c r="A44" s="993" t="s">
        <v>2272</v>
      </c>
      <c r="B44" s="989" t="s">
        <v>184</v>
      </c>
      <c r="C44" s="185" t="s">
        <v>139</v>
      </c>
      <c r="D44" s="185" t="s">
        <v>139</v>
      </c>
      <c r="E44" s="1015">
        <v>3.0000000000000001E-3</v>
      </c>
      <c r="F44" s="245">
        <v>2</v>
      </c>
      <c r="G44" s="185" t="s">
        <v>224</v>
      </c>
      <c r="H44" s="10">
        <v>1</v>
      </c>
      <c r="I44" s="10">
        <v>2</v>
      </c>
      <c r="J44" s="10">
        <v>2</v>
      </c>
      <c r="K44" s="10">
        <v>1</v>
      </c>
      <c r="L44" s="10">
        <v>2</v>
      </c>
      <c r="M44" s="293">
        <v>2</v>
      </c>
    </row>
    <row r="45" spans="1:13">
      <c r="A45" s="993" t="s">
        <v>2272</v>
      </c>
      <c r="B45" s="989" t="s">
        <v>179</v>
      </c>
      <c r="C45" s="185" t="s">
        <v>139</v>
      </c>
      <c r="D45" s="185" t="s">
        <v>139</v>
      </c>
      <c r="E45" s="1015">
        <f>$B$24/$D$26</f>
        <v>6.5437788018433182E-2</v>
      </c>
      <c r="F45" s="245">
        <v>2</v>
      </c>
      <c r="G45" s="989" t="s">
        <v>2270</v>
      </c>
      <c r="H45" s="10">
        <v>1</v>
      </c>
      <c r="I45" s="10">
        <v>2</v>
      </c>
      <c r="J45" s="10">
        <v>2</v>
      </c>
      <c r="K45" s="10">
        <v>1</v>
      </c>
      <c r="L45" s="10">
        <v>2</v>
      </c>
      <c r="M45" s="293">
        <v>2</v>
      </c>
    </row>
    <row r="46" spans="1:13" ht="15.75" thickBot="1">
      <c r="A46" s="994" t="s">
        <v>2272</v>
      </c>
      <c r="B46" s="995" t="s">
        <v>245</v>
      </c>
      <c r="C46" s="915" t="s">
        <v>139</v>
      </c>
      <c r="D46" s="915" t="s">
        <v>139</v>
      </c>
      <c r="E46" s="996" t="s">
        <v>150</v>
      </c>
      <c r="F46" s="997">
        <v>1</v>
      </c>
      <c r="G46" s="995" t="s">
        <v>2270</v>
      </c>
      <c r="H46" s="14">
        <v>1</v>
      </c>
      <c r="I46" s="14">
        <v>2</v>
      </c>
      <c r="J46" s="14">
        <v>2</v>
      </c>
      <c r="K46" s="14">
        <v>1</v>
      </c>
      <c r="L46" s="14">
        <v>2</v>
      </c>
      <c r="M46" s="294">
        <v>2</v>
      </c>
    </row>
    <row r="47" spans="1:13">
      <c r="A47" s="1036" t="s">
        <v>2244</v>
      </c>
      <c r="B47" s="637" t="s">
        <v>2245</v>
      </c>
      <c r="C47" s="637" t="s">
        <v>139</v>
      </c>
      <c r="D47" s="637" t="s">
        <v>139</v>
      </c>
      <c r="E47" s="1037">
        <v>0.1</v>
      </c>
      <c r="F47" s="637">
        <v>2</v>
      </c>
      <c r="G47" t="s">
        <v>2281</v>
      </c>
      <c r="H47" s="66">
        <v>2</v>
      </c>
      <c r="I47" s="66">
        <v>2</v>
      </c>
      <c r="J47" s="66">
        <v>2</v>
      </c>
      <c r="K47" s="66">
        <v>3</v>
      </c>
      <c r="L47" s="66">
        <v>2</v>
      </c>
      <c r="M47" s="295">
        <v>2</v>
      </c>
    </row>
    <row r="48" spans="1:13">
      <c r="A48" s="636" t="s">
        <v>2244</v>
      </c>
      <c r="B48" s="313" t="s">
        <v>179</v>
      </c>
      <c r="C48" s="313" t="s">
        <v>139</v>
      </c>
      <c r="D48" s="313" t="s">
        <v>139</v>
      </c>
      <c r="E48" s="313" t="s">
        <v>150</v>
      </c>
      <c r="F48" s="313">
        <v>1</v>
      </c>
      <c r="G48" s="313"/>
      <c r="H48" s="10"/>
      <c r="I48" s="10"/>
      <c r="J48" s="10"/>
      <c r="K48" s="10"/>
      <c r="L48" s="10"/>
      <c r="M48" s="293"/>
    </row>
    <row r="49" spans="1:13">
      <c r="A49" s="636" t="s">
        <v>2244</v>
      </c>
      <c r="B49" s="313" t="s">
        <v>184</v>
      </c>
      <c r="C49" s="313" t="s">
        <v>139</v>
      </c>
      <c r="D49" s="313" t="s">
        <v>139</v>
      </c>
      <c r="E49" s="1016">
        <v>3.0000000000000001E-3</v>
      </c>
      <c r="F49" s="313">
        <v>2</v>
      </c>
      <c r="G49" s="185" t="s">
        <v>224</v>
      </c>
      <c r="H49" s="10">
        <v>1</v>
      </c>
      <c r="I49" s="10">
        <v>2</v>
      </c>
      <c r="J49" s="10">
        <v>2</v>
      </c>
      <c r="K49" s="10">
        <v>1</v>
      </c>
      <c r="L49" s="10">
        <v>2</v>
      </c>
      <c r="M49" s="293">
        <v>2</v>
      </c>
    </row>
    <row r="50" spans="1:13">
      <c r="A50" s="636" t="s">
        <v>2244</v>
      </c>
      <c r="B50" s="313" t="s">
        <v>176</v>
      </c>
      <c r="C50" s="313" t="s">
        <v>139</v>
      </c>
      <c r="D50" s="313" t="s">
        <v>139</v>
      </c>
      <c r="E50" s="1012">
        <v>1E-4</v>
      </c>
      <c r="F50" s="313">
        <v>3</v>
      </c>
      <c r="G50" s="185" t="s">
        <v>399</v>
      </c>
      <c r="H50" s="10">
        <v>1</v>
      </c>
      <c r="I50" s="10">
        <v>2</v>
      </c>
      <c r="J50" s="10">
        <v>2</v>
      </c>
      <c r="K50" s="10">
        <v>1</v>
      </c>
      <c r="L50" s="10">
        <v>2</v>
      </c>
      <c r="M50" s="293">
        <v>2</v>
      </c>
    </row>
    <row r="51" spans="1:13" ht="15.75" thickBot="1">
      <c r="A51" s="635" t="s">
        <v>2244</v>
      </c>
      <c r="B51" s="1002" t="s">
        <v>417</v>
      </c>
      <c r="C51" s="1002" t="s">
        <v>139</v>
      </c>
      <c r="D51" s="1002" t="s">
        <v>139</v>
      </c>
      <c r="E51" s="1017">
        <v>1E-3</v>
      </c>
      <c r="F51" s="1002">
        <v>3</v>
      </c>
      <c r="G51" s="1002" t="s">
        <v>2282</v>
      </c>
      <c r="H51" s="14">
        <v>2</v>
      </c>
      <c r="I51" s="14">
        <v>2</v>
      </c>
      <c r="J51" s="14">
        <v>2</v>
      </c>
      <c r="K51" s="14">
        <v>3</v>
      </c>
      <c r="L51" s="14">
        <v>2</v>
      </c>
      <c r="M51" s="294">
        <v>2</v>
      </c>
    </row>
  </sheetData>
  <conditionalFormatting sqref="H15:M15">
    <cfRule type="dataBar" priority="15">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15:M19">
    <cfRule type="containsBlanks" dxfId="156" priority="1" stopIfTrue="1">
      <formula>LEN(TRIM(H15))=0</formula>
    </cfRule>
    <cfRule type="cellIs" dxfId="155" priority="2" stopIfTrue="1" operator="notBetween">
      <formula>1</formula>
      <formula>4</formula>
    </cfRule>
  </conditionalFormatting>
  <conditionalFormatting sqref="H16:M16">
    <cfRule type="dataBar" priority="12">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17:M17">
    <cfRule type="dataBar" priority="9">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18:M18">
    <cfRule type="dataBar" priority="6">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19:M19">
    <cfRule type="dataBar" priority="3">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29:M34">
    <cfRule type="dataBar" priority="27">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29:M51">
    <cfRule type="containsBlanks" dxfId="154" priority="19" stopIfTrue="1">
      <formula>LEN(TRIM(H29))=0</formula>
    </cfRule>
    <cfRule type="cellIs" dxfId="153" priority="20" stopIfTrue="1" operator="notBetween">
      <formula>1</formula>
      <formula>4</formula>
    </cfRule>
  </conditionalFormatting>
  <conditionalFormatting sqref="H35:M40">
    <cfRule type="dataBar" priority="24">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41:M46">
    <cfRule type="dataBar" priority="21">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47:M51">
    <cfRule type="dataBar" priority="8124">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H15:M15</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H16:M16</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H17:M17</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H18:M18</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H19:M19</xm:sqref>
        </x14:conditionalFormatting>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H29:M34</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H35:M40</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H41:M46</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H47:M51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74" zoomScale="80" zoomScaleNormal="80" workbookViewId="0">
      <selection activeCell="C25" sqref="C25"/>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45" customFormat="1" ht="15" customHeight="1"/>
    <row r="2" spans="1:32" s="645" customFormat="1" ht="26.25">
      <c r="A2" s="789" t="s">
        <v>526</v>
      </c>
    </row>
    <row r="3" spans="1:32" s="643" customFormat="1" ht="15" customHeight="1">
      <c r="A3" s="1167" t="s">
        <v>180</v>
      </c>
      <c r="B3" s="1167"/>
      <c r="C3" s="1167"/>
      <c r="D3" s="1167"/>
      <c r="E3" s="1167"/>
      <c r="F3" s="1167"/>
      <c r="G3" s="1167"/>
      <c r="H3" s="1167"/>
      <c r="I3" s="1167"/>
      <c r="J3" s="1167"/>
      <c r="K3" s="1167"/>
      <c r="L3" s="1167"/>
      <c r="M3" s="1167"/>
      <c r="N3" s="1167"/>
      <c r="O3" s="1167"/>
      <c r="P3" s="1167"/>
      <c r="Q3" s="1168" t="s">
        <v>182</v>
      </c>
      <c r="R3" s="1168"/>
      <c r="S3" s="1168"/>
      <c r="T3" s="1168"/>
      <c r="U3" s="1168"/>
      <c r="V3" s="1168"/>
      <c r="W3" s="1168"/>
      <c r="X3" s="1168"/>
      <c r="Y3" s="1168"/>
      <c r="Z3" s="1168"/>
      <c r="AA3" s="1168"/>
      <c r="AB3" s="1168"/>
      <c r="AC3" s="1168"/>
      <c r="AD3" s="1168"/>
      <c r="AE3" s="1168"/>
      <c r="AF3" s="1168"/>
    </row>
    <row r="4" spans="1:32" ht="15" customHeight="1" thickBot="1">
      <c r="A4" s="1167"/>
      <c r="B4" s="1167"/>
      <c r="C4" s="1167"/>
      <c r="D4" s="1167"/>
      <c r="E4" s="1167"/>
      <c r="F4" s="1167"/>
      <c r="G4" s="1167"/>
      <c r="H4" s="1167"/>
      <c r="I4" s="1167"/>
      <c r="J4" s="1167"/>
      <c r="K4" s="1167"/>
      <c r="L4" s="1167"/>
      <c r="M4" s="1167"/>
      <c r="N4" s="1167"/>
      <c r="O4" s="1167"/>
      <c r="P4" s="1167"/>
      <c r="Q4" s="1168"/>
      <c r="R4" s="1168"/>
      <c r="S4" s="1168"/>
      <c r="T4" s="1168"/>
      <c r="U4" s="1168"/>
      <c r="V4" s="1168"/>
      <c r="W4" s="1168"/>
      <c r="X4" s="1168"/>
      <c r="Y4" s="1168"/>
      <c r="Z4" s="1168"/>
      <c r="AA4" s="1168"/>
      <c r="AB4" s="1168"/>
      <c r="AC4" s="1168"/>
      <c r="AD4" s="1168"/>
      <c r="AE4" s="1168"/>
      <c r="AF4" s="1168"/>
    </row>
    <row r="5" spans="1:32" ht="15.75" thickBot="1">
      <c r="A5" s="107" t="s">
        <v>101</v>
      </c>
      <c r="B5" s="646" t="s">
        <v>527</v>
      </c>
      <c r="C5" s="108" t="s">
        <v>102</v>
      </c>
      <c r="D5" s="646" t="s">
        <v>528</v>
      </c>
      <c r="E5" s="646" t="s">
        <v>245</v>
      </c>
      <c r="F5" s="646" t="s">
        <v>529</v>
      </c>
      <c r="G5" s="646" t="s">
        <v>530</v>
      </c>
      <c r="H5" s="646" t="s">
        <v>531</v>
      </c>
      <c r="I5" s="108" t="s">
        <v>104</v>
      </c>
      <c r="J5" s="419" t="s">
        <v>105</v>
      </c>
      <c r="K5" s="420" t="s">
        <v>65</v>
      </c>
      <c r="L5" s="420" t="s">
        <v>67</v>
      </c>
      <c r="M5" s="420" t="s">
        <v>73</v>
      </c>
      <c r="N5" s="421" t="s">
        <v>79</v>
      </c>
      <c r="O5" s="422" t="s">
        <v>106</v>
      </c>
      <c r="P5" s="423" t="s">
        <v>107</v>
      </c>
      <c r="Q5" s="107" t="s">
        <v>101</v>
      </c>
      <c r="R5" s="644" t="s">
        <v>527</v>
      </c>
      <c r="S5" s="108" t="s">
        <v>102</v>
      </c>
      <c r="T5" s="644" t="s">
        <v>528</v>
      </c>
      <c r="U5" s="644" t="s">
        <v>245</v>
      </c>
      <c r="V5" s="644" t="s">
        <v>529</v>
      </c>
      <c r="W5" s="644" t="s">
        <v>530</v>
      </c>
      <c r="X5" s="644" t="s">
        <v>531</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7" t="s">
        <v>110</v>
      </c>
      <c r="J6" s="29">
        <v>1</v>
      </c>
      <c r="K6" s="9">
        <v>1</v>
      </c>
      <c r="L6" s="9">
        <v>1</v>
      </c>
      <c r="M6" s="9">
        <v>2</v>
      </c>
      <c r="N6" s="43">
        <v>2</v>
      </c>
      <c r="O6" s="262">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7" t="s">
        <v>110</v>
      </c>
      <c r="J7" s="29">
        <v>1</v>
      </c>
      <c r="K7" s="9">
        <v>1</v>
      </c>
      <c r="L7" s="9">
        <v>1</v>
      </c>
      <c r="M7" s="9">
        <v>2</v>
      </c>
      <c r="N7" s="43">
        <v>2</v>
      </c>
      <c r="O7" s="262">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7" t="s">
        <v>110</v>
      </c>
      <c r="J8" s="29">
        <v>1</v>
      </c>
      <c r="K8" s="9">
        <v>1</v>
      </c>
      <c r="L8" s="9">
        <v>1</v>
      </c>
      <c r="M8" s="9">
        <v>2</v>
      </c>
      <c r="N8" s="43">
        <v>2</v>
      </c>
      <c r="O8" s="262">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7" t="s">
        <v>110</v>
      </c>
      <c r="J9" s="29">
        <v>1</v>
      </c>
      <c r="K9" s="9">
        <v>1</v>
      </c>
      <c r="L9" s="9">
        <v>1</v>
      </c>
      <c r="M9" s="9">
        <v>2</v>
      </c>
      <c r="N9" s="43">
        <v>2</v>
      </c>
      <c r="O9" s="262">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7" t="s">
        <v>110</v>
      </c>
      <c r="J10" s="29">
        <v>1</v>
      </c>
      <c r="K10" s="9">
        <v>1</v>
      </c>
      <c r="L10" s="9">
        <v>1</v>
      </c>
      <c r="M10" s="9">
        <v>2</v>
      </c>
      <c r="N10" s="43">
        <v>2</v>
      </c>
      <c r="O10" s="262">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7" t="s">
        <v>110</v>
      </c>
      <c r="J11" s="29">
        <v>1</v>
      </c>
      <c r="K11" s="9">
        <v>1</v>
      </c>
      <c r="L11" s="9">
        <v>1</v>
      </c>
      <c r="M11" s="9">
        <v>2</v>
      </c>
      <c r="N11" s="43">
        <v>2</v>
      </c>
      <c r="O11" s="262">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7" t="s">
        <v>110</v>
      </c>
      <c r="J12" s="29">
        <v>1</v>
      </c>
      <c r="K12" s="9">
        <v>1</v>
      </c>
      <c r="L12" s="9">
        <v>1</v>
      </c>
      <c r="M12" s="9">
        <v>2</v>
      </c>
      <c r="N12" s="43">
        <v>2</v>
      </c>
      <c r="O12" s="262">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7" t="s">
        <v>110</v>
      </c>
      <c r="J13" s="29">
        <v>1</v>
      </c>
      <c r="K13" s="9">
        <v>1</v>
      </c>
      <c r="L13" s="9">
        <v>1</v>
      </c>
      <c r="M13" s="9">
        <v>2</v>
      </c>
      <c r="N13" s="43">
        <v>2</v>
      </c>
      <c r="O13" s="262">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7" t="s">
        <v>110</v>
      </c>
      <c r="J14" s="29">
        <v>1</v>
      </c>
      <c r="K14" s="9">
        <v>1</v>
      </c>
      <c r="L14" s="9">
        <v>1</v>
      </c>
      <c r="M14" s="9">
        <v>2</v>
      </c>
      <c r="N14" s="43">
        <v>2</v>
      </c>
      <c r="O14" s="262">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7" t="s">
        <v>110</v>
      </c>
      <c r="J15" s="29">
        <v>1</v>
      </c>
      <c r="K15" s="9">
        <v>1</v>
      </c>
      <c r="L15" s="9">
        <v>1</v>
      </c>
      <c r="M15" s="9">
        <v>2</v>
      </c>
      <c r="N15" s="43">
        <v>2</v>
      </c>
      <c r="O15" s="262">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7" t="s">
        <v>110</v>
      </c>
      <c r="J16" s="29">
        <v>1</v>
      </c>
      <c r="K16" s="9">
        <v>1</v>
      </c>
      <c r="L16" s="9">
        <v>1</v>
      </c>
      <c r="M16" s="9">
        <v>2</v>
      </c>
      <c r="N16" s="43">
        <v>2</v>
      </c>
      <c r="O16" s="262">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7" t="s">
        <v>110</v>
      </c>
      <c r="J17" s="29">
        <v>1</v>
      </c>
      <c r="K17" s="9">
        <v>1</v>
      </c>
      <c r="L17" s="9">
        <v>1</v>
      </c>
      <c r="M17" s="9">
        <v>2</v>
      </c>
      <c r="N17" s="43">
        <v>2</v>
      </c>
      <c r="O17" s="262">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7" t="s">
        <v>110</v>
      </c>
      <c r="J18" s="29">
        <v>1</v>
      </c>
      <c r="K18" s="9">
        <v>1</v>
      </c>
      <c r="L18" s="9">
        <v>1</v>
      </c>
      <c r="M18" s="9">
        <v>2</v>
      </c>
      <c r="N18" s="43">
        <v>2</v>
      </c>
      <c r="O18" s="262">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7" t="s">
        <v>110</v>
      </c>
      <c r="J19" s="29">
        <v>1</v>
      </c>
      <c r="K19" s="9">
        <v>1</v>
      </c>
      <c r="L19" s="9">
        <v>1</v>
      </c>
      <c r="M19" s="9">
        <v>2</v>
      </c>
      <c r="N19" s="43">
        <v>2</v>
      </c>
      <c r="O19" s="262">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7" t="s">
        <v>110</v>
      </c>
      <c r="J20" s="29">
        <v>1</v>
      </c>
      <c r="K20" s="9">
        <v>1</v>
      </c>
      <c r="L20" s="9">
        <v>1</v>
      </c>
      <c r="M20" s="9">
        <v>2</v>
      </c>
      <c r="N20" s="43">
        <v>2</v>
      </c>
      <c r="O20" s="262">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7" t="s">
        <v>110</v>
      </c>
      <c r="J21" s="29">
        <v>1</v>
      </c>
      <c r="K21" s="9">
        <v>1</v>
      </c>
      <c r="L21" s="9">
        <v>1</v>
      </c>
      <c r="M21" s="9">
        <v>2</v>
      </c>
      <c r="N21" s="43">
        <v>2</v>
      </c>
      <c r="O21" s="262">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7" t="s">
        <v>110</v>
      </c>
      <c r="J22" s="29">
        <v>1</v>
      </c>
      <c r="K22" s="9">
        <v>1</v>
      </c>
      <c r="L22" s="9">
        <v>1</v>
      </c>
      <c r="M22" s="9">
        <v>2</v>
      </c>
      <c r="N22" s="43">
        <v>2</v>
      </c>
      <c r="O22" s="262">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7" t="s">
        <v>110</v>
      </c>
      <c r="J23" s="29">
        <v>1</v>
      </c>
      <c r="K23" s="9">
        <v>1</v>
      </c>
      <c r="L23" s="9">
        <v>1</v>
      </c>
      <c r="M23" s="9">
        <v>2</v>
      </c>
      <c r="N23" s="43">
        <v>2</v>
      </c>
      <c r="O23" s="262">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7" t="s">
        <v>110</v>
      </c>
      <c r="J24" s="29">
        <v>1</v>
      </c>
      <c r="K24" s="9">
        <v>1</v>
      </c>
      <c r="L24" s="9">
        <v>1</v>
      </c>
      <c r="M24" s="9">
        <v>2</v>
      </c>
      <c r="N24" s="43">
        <v>2</v>
      </c>
      <c r="O24" s="262">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7" t="s">
        <v>110</v>
      </c>
      <c r="J25" s="29">
        <v>1</v>
      </c>
      <c r="K25" s="9">
        <v>1</v>
      </c>
      <c r="L25" s="9">
        <v>1</v>
      </c>
      <c r="M25" s="9">
        <v>2</v>
      </c>
      <c r="N25" s="43">
        <v>2</v>
      </c>
      <c r="O25" s="262">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7" t="s">
        <v>110</v>
      </c>
      <c r="J26" s="29">
        <v>1</v>
      </c>
      <c r="K26" s="9">
        <v>1</v>
      </c>
      <c r="L26" s="9">
        <v>1</v>
      </c>
      <c r="M26" s="9">
        <v>2</v>
      </c>
      <c r="N26" s="43">
        <v>2</v>
      </c>
      <c r="O26" s="262">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7" t="s">
        <v>110</v>
      </c>
      <c r="J27" s="29">
        <v>1</v>
      </c>
      <c r="K27" s="9">
        <v>1</v>
      </c>
      <c r="L27" s="9">
        <v>1</v>
      </c>
      <c r="M27" s="9">
        <v>2</v>
      </c>
      <c r="N27" s="43">
        <v>2</v>
      </c>
      <c r="O27" s="262">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7" t="s">
        <v>110</v>
      </c>
      <c r="J28" s="29">
        <v>1</v>
      </c>
      <c r="K28" s="9">
        <v>1</v>
      </c>
      <c r="L28" s="9">
        <v>1</v>
      </c>
      <c r="M28" s="9">
        <v>2</v>
      </c>
      <c r="N28" s="43">
        <v>2</v>
      </c>
      <c r="O28" s="262">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7" t="s">
        <v>110</v>
      </c>
      <c r="J29" s="29">
        <v>1</v>
      </c>
      <c r="K29" s="9">
        <v>1</v>
      </c>
      <c r="L29" s="9">
        <v>1</v>
      </c>
      <c r="M29" s="9">
        <v>2</v>
      </c>
      <c r="N29" s="43">
        <v>2</v>
      </c>
      <c r="O29" s="262">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7" t="s">
        <v>110</v>
      </c>
      <c r="J30" s="29">
        <v>1</v>
      </c>
      <c r="K30" s="9">
        <v>1</v>
      </c>
      <c r="L30" s="9">
        <v>1</v>
      </c>
      <c r="M30" s="9">
        <v>2</v>
      </c>
      <c r="N30" s="43">
        <v>2</v>
      </c>
      <c r="O30" s="262">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7" t="s">
        <v>110</v>
      </c>
      <c r="J31" s="29">
        <v>1</v>
      </c>
      <c r="K31" s="9">
        <v>1</v>
      </c>
      <c r="L31" s="9">
        <v>1</v>
      </c>
      <c r="M31" s="9">
        <v>2</v>
      </c>
      <c r="N31" s="43">
        <v>2</v>
      </c>
      <c r="O31" s="262">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7" t="s">
        <v>110</v>
      </c>
      <c r="J32" s="29">
        <v>1</v>
      </c>
      <c r="K32" s="9">
        <v>1</v>
      </c>
      <c r="L32" s="9">
        <v>1</v>
      </c>
      <c r="M32" s="9">
        <v>2</v>
      </c>
      <c r="N32" s="43">
        <v>2</v>
      </c>
      <c r="O32" s="262">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7" t="s">
        <v>110</v>
      </c>
      <c r="J33" s="29">
        <v>1</v>
      </c>
      <c r="K33" s="9">
        <v>1</v>
      </c>
      <c r="L33" s="9">
        <v>1</v>
      </c>
      <c r="M33" s="9">
        <v>2</v>
      </c>
      <c r="N33" s="43">
        <v>2</v>
      </c>
      <c r="O33" s="262">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7" t="s">
        <v>110</v>
      </c>
      <c r="J34" s="29">
        <v>1</v>
      </c>
      <c r="K34" s="9">
        <v>1</v>
      </c>
      <c r="L34" s="9">
        <v>1</v>
      </c>
      <c r="M34" s="9">
        <v>2</v>
      </c>
      <c r="N34" s="43">
        <v>2</v>
      </c>
      <c r="O34" s="262">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7" t="s">
        <v>110</v>
      </c>
      <c r="J35" s="29">
        <v>1</v>
      </c>
      <c r="K35" s="9">
        <v>1</v>
      </c>
      <c r="L35" s="9">
        <v>1</v>
      </c>
      <c r="M35" s="9">
        <v>2</v>
      </c>
      <c r="N35" s="43">
        <v>2</v>
      </c>
      <c r="O35" s="262">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7" t="s">
        <v>110</v>
      </c>
      <c r="J36" s="29">
        <v>1</v>
      </c>
      <c r="K36" s="9">
        <v>1</v>
      </c>
      <c r="L36" s="9">
        <v>1</v>
      </c>
      <c r="M36" s="9">
        <v>2</v>
      </c>
      <c r="N36" s="43">
        <v>2</v>
      </c>
      <c r="O36" s="262">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7" t="s">
        <v>110</v>
      </c>
      <c r="J37" s="29">
        <v>1</v>
      </c>
      <c r="K37" s="9">
        <v>1</v>
      </c>
      <c r="L37" s="9">
        <v>1</v>
      </c>
      <c r="M37" s="9">
        <v>2</v>
      </c>
      <c r="N37" s="43">
        <v>2</v>
      </c>
      <c r="O37" s="262">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7" t="s">
        <v>110</v>
      </c>
      <c r="J38" s="29">
        <v>1</v>
      </c>
      <c r="K38" s="9">
        <v>1</v>
      </c>
      <c r="L38" s="9">
        <v>1</v>
      </c>
      <c r="M38" s="9">
        <v>2</v>
      </c>
      <c r="N38" s="43">
        <v>2</v>
      </c>
      <c r="O38" s="262">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7" t="s">
        <v>110</v>
      </c>
      <c r="J39" s="29">
        <v>1</v>
      </c>
      <c r="K39" s="9">
        <v>1</v>
      </c>
      <c r="L39" s="9">
        <v>1</v>
      </c>
      <c r="M39" s="9">
        <v>2</v>
      </c>
      <c r="N39" s="43">
        <v>2</v>
      </c>
      <c r="O39" s="262">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7" t="s">
        <v>110</v>
      </c>
      <c r="J40" s="29">
        <v>1</v>
      </c>
      <c r="K40" s="9">
        <v>1</v>
      </c>
      <c r="L40" s="9">
        <v>1</v>
      </c>
      <c r="M40" s="9">
        <v>2</v>
      </c>
      <c r="N40" s="43">
        <v>2</v>
      </c>
      <c r="O40" s="262">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7" t="s">
        <v>110</v>
      </c>
      <c r="J41" s="29">
        <v>1</v>
      </c>
      <c r="K41" s="9">
        <v>1</v>
      </c>
      <c r="L41" s="9">
        <v>1</v>
      </c>
      <c r="M41" s="9">
        <v>2</v>
      </c>
      <c r="N41" s="43">
        <v>2</v>
      </c>
      <c r="O41" s="262">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7" t="s">
        <v>110</v>
      </c>
      <c r="J42" s="29">
        <v>1</v>
      </c>
      <c r="K42" s="9">
        <v>1</v>
      </c>
      <c r="L42" s="9">
        <v>1</v>
      </c>
      <c r="M42" s="9">
        <v>2</v>
      </c>
      <c r="N42" s="43">
        <v>2</v>
      </c>
      <c r="O42" s="262">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7" t="s">
        <v>110</v>
      </c>
      <c r="J43" s="29">
        <v>1</v>
      </c>
      <c r="K43" s="9">
        <v>1</v>
      </c>
      <c r="L43" s="9">
        <v>1</v>
      </c>
      <c r="M43" s="9">
        <v>2</v>
      </c>
      <c r="N43" s="43">
        <v>2</v>
      </c>
      <c r="O43" s="262">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7" t="s">
        <v>110</v>
      </c>
      <c r="J44" s="29">
        <v>1</v>
      </c>
      <c r="K44" s="9">
        <v>1</v>
      </c>
      <c r="L44" s="9">
        <v>1</v>
      </c>
      <c r="M44" s="9">
        <v>2</v>
      </c>
      <c r="N44" s="43">
        <v>2</v>
      </c>
      <c r="O44" s="262">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7" t="s">
        <v>110</v>
      </c>
      <c r="J45" s="29">
        <v>1</v>
      </c>
      <c r="K45" s="9">
        <v>1</v>
      </c>
      <c r="L45" s="9">
        <v>1</v>
      </c>
      <c r="M45" s="9">
        <v>2</v>
      </c>
      <c r="N45" s="43">
        <v>2</v>
      </c>
      <c r="O45" s="262">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7" t="s">
        <v>110</v>
      </c>
      <c r="J46" s="29">
        <v>1</v>
      </c>
      <c r="K46" s="9">
        <v>1</v>
      </c>
      <c r="L46" s="9">
        <v>1</v>
      </c>
      <c r="M46" s="9">
        <v>2</v>
      </c>
      <c r="N46" s="43">
        <v>2</v>
      </c>
      <c r="O46" s="262">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7" t="s">
        <v>110</v>
      </c>
      <c r="J47" s="29">
        <v>1</v>
      </c>
      <c r="K47" s="9">
        <v>1</v>
      </c>
      <c r="L47" s="9">
        <v>1</v>
      </c>
      <c r="M47" s="9">
        <v>2</v>
      </c>
      <c r="N47" s="43">
        <v>2</v>
      </c>
      <c r="O47" s="262">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7" t="s">
        <v>110</v>
      </c>
      <c r="J48" s="29">
        <v>1</v>
      </c>
      <c r="K48" s="9">
        <v>1</v>
      </c>
      <c r="L48" s="9">
        <v>1</v>
      </c>
      <c r="M48" s="9">
        <v>2</v>
      </c>
      <c r="N48" s="43">
        <v>2</v>
      </c>
      <c r="O48" s="262">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7" t="s">
        <v>110</v>
      </c>
      <c r="J49" s="29">
        <v>1</v>
      </c>
      <c r="K49" s="9">
        <v>1</v>
      </c>
      <c r="L49" s="9">
        <v>1</v>
      </c>
      <c r="M49" s="9">
        <v>2</v>
      </c>
      <c r="N49" s="43">
        <v>2</v>
      </c>
      <c r="O49" s="262">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7" t="s">
        <v>110</v>
      </c>
      <c r="J50" s="29">
        <v>1</v>
      </c>
      <c r="K50" s="9">
        <v>1</v>
      </c>
      <c r="L50" s="9">
        <v>1</v>
      </c>
      <c r="M50" s="9">
        <v>2</v>
      </c>
      <c r="N50" s="43">
        <v>2</v>
      </c>
      <c r="O50" s="262">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7" t="s">
        <v>110</v>
      </c>
      <c r="J51" s="29">
        <v>1</v>
      </c>
      <c r="K51" s="9">
        <v>1</v>
      </c>
      <c r="L51" s="9">
        <v>1</v>
      </c>
      <c r="M51" s="9">
        <v>2</v>
      </c>
      <c r="N51" s="43">
        <v>2</v>
      </c>
      <c r="O51" s="262">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7" t="s">
        <v>110</v>
      </c>
      <c r="J52" s="29">
        <v>1</v>
      </c>
      <c r="K52" s="9">
        <v>1</v>
      </c>
      <c r="L52" s="9">
        <v>1</v>
      </c>
      <c r="M52" s="9">
        <v>2</v>
      </c>
      <c r="N52" s="43">
        <v>2</v>
      </c>
      <c r="O52" s="262">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7" t="s">
        <v>110</v>
      </c>
      <c r="J53" s="29">
        <v>1</v>
      </c>
      <c r="K53" s="9">
        <v>1</v>
      </c>
      <c r="L53" s="9">
        <v>1</v>
      </c>
      <c r="M53" s="9">
        <v>2</v>
      </c>
      <c r="N53" s="43">
        <v>2</v>
      </c>
      <c r="O53" s="262">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7" t="s">
        <v>110</v>
      </c>
      <c r="J54" s="29">
        <v>1</v>
      </c>
      <c r="K54" s="9">
        <v>1</v>
      </c>
      <c r="L54" s="9">
        <v>1</v>
      </c>
      <c r="M54" s="9">
        <v>2</v>
      </c>
      <c r="N54" s="43">
        <v>2</v>
      </c>
      <c r="O54" s="262">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7" t="s">
        <v>110</v>
      </c>
      <c r="J55" s="29">
        <v>1</v>
      </c>
      <c r="K55" s="9">
        <v>1</v>
      </c>
      <c r="L55" s="9">
        <v>1</v>
      </c>
      <c r="M55" s="9">
        <v>2</v>
      </c>
      <c r="N55" s="43">
        <v>2</v>
      </c>
      <c r="O55" s="262">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7" t="s">
        <v>110</v>
      </c>
      <c r="J56" s="29">
        <v>1</v>
      </c>
      <c r="K56" s="9">
        <v>1</v>
      </c>
      <c r="L56" s="9">
        <v>1</v>
      </c>
      <c r="M56" s="9">
        <v>2</v>
      </c>
      <c r="N56" s="43">
        <v>2</v>
      </c>
      <c r="O56" s="262">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7" t="s">
        <v>110</v>
      </c>
      <c r="J57" s="29">
        <v>1</v>
      </c>
      <c r="K57" s="9">
        <v>1</v>
      </c>
      <c r="L57" s="9">
        <v>1</v>
      </c>
      <c r="M57" s="9">
        <v>2</v>
      </c>
      <c r="N57" s="43">
        <v>2</v>
      </c>
      <c r="O57" s="262">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7" t="s">
        <v>110</v>
      </c>
      <c r="J58" s="29">
        <v>1</v>
      </c>
      <c r="K58" s="9">
        <v>1</v>
      </c>
      <c r="L58" s="9">
        <v>1</v>
      </c>
      <c r="M58" s="9">
        <v>2</v>
      </c>
      <c r="N58" s="43">
        <v>2</v>
      </c>
      <c r="O58" s="262">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7" t="s">
        <v>110</v>
      </c>
      <c r="J59" s="29">
        <v>1</v>
      </c>
      <c r="K59" s="9">
        <v>1</v>
      </c>
      <c r="L59" s="9">
        <v>1</v>
      </c>
      <c r="M59" s="9">
        <v>2</v>
      </c>
      <c r="N59" s="43">
        <v>2</v>
      </c>
      <c r="O59" s="262">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7" t="s">
        <v>110</v>
      </c>
      <c r="J60" s="29">
        <v>1</v>
      </c>
      <c r="K60" s="9">
        <v>1</v>
      </c>
      <c r="L60" s="9">
        <v>1</v>
      </c>
      <c r="M60" s="9">
        <v>2</v>
      </c>
      <c r="N60" s="43">
        <v>2</v>
      </c>
      <c r="O60" s="262">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7" t="s">
        <v>110</v>
      </c>
      <c r="J61" s="29">
        <v>1</v>
      </c>
      <c r="K61" s="9">
        <v>1</v>
      </c>
      <c r="L61" s="9">
        <v>1</v>
      </c>
      <c r="M61" s="9">
        <v>2</v>
      </c>
      <c r="N61" s="43">
        <v>2</v>
      </c>
      <c r="O61" s="262">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7" t="s">
        <v>110</v>
      </c>
      <c r="J62" s="29">
        <v>1</v>
      </c>
      <c r="K62" s="9">
        <v>1</v>
      </c>
      <c r="L62" s="9">
        <v>1</v>
      </c>
      <c r="M62" s="9">
        <v>2</v>
      </c>
      <c r="N62" s="43">
        <v>2</v>
      </c>
      <c r="O62" s="262">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7" t="s">
        <v>110</v>
      </c>
      <c r="J63" s="29">
        <v>1</v>
      </c>
      <c r="K63" s="9">
        <v>1</v>
      </c>
      <c r="L63" s="9">
        <v>1</v>
      </c>
      <c r="M63" s="9">
        <v>2</v>
      </c>
      <c r="N63" s="43">
        <v>2</v>
      </c>
      <c r="O63" s="262">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7" t="s">
        <v>110</v>
      </c>
      <c r="J64" s="29">
        <v>1</v>
      </c>
      <c r="K64" s="9">
        <v>1</v>
      </c>
      <c r="L64" s="9">
        <v>1</v>
      </c>
      <c r="M64" s="9">
        <v>2</v>
      </c>
      <c r="N64" s="43">
        <v>2</v>
      </c>
      <c r="O64" s="262">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7" t="s">
        <v>110</v>
      </c>
      <c r="J65" s="29">
        <v>1</v>
      </c>
      <c r="K65" s="9">
        <v>1</v>
      </c>
      <c r="L65" s="9">
        <v>1</v>
      </c>
      <c r="M65" s="9">
        <v>2</v>
      </c>
      <c r="N65" s="43">
        <v>2</v>
      </c>
      <c r="O65" s="262">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7" t="s">
        <v>110</v>
      </c>
      <c r="J66" s="29">
        <v>1</v>
      </c>
      <c r="K66" s="9">
        <v>1</v>
      </c>
      <c r="L66" s="9">
        <v>1</v>
      </c>
      <c r="M66" s="9">
        <v>2</v>
      </c>
      <c r="N66" s="43">
        <v>2</v>
      </c>
      <c r="O66" s="262">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7" t="s">
        <v>110</v>
      </c>
      <c r="J67" s="29">
        <v>1</v>
      </c>
      <c r="K67" s="9">
        <v>1</v>
      </c>
      <c r="L67" s="9">
        <v>1</v>
      </c>
      <c r="M67" s="9">
        <v>2</v>
      </c>
      <c r="N67" s="43">
        <v>2</v>
      </c>
      <c r="O67" s="262">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7" t="s">
        <v>110</v>
      </c>
      <c r="J68" s="29">
        <v>1</v>
      </c>
      <c r="K68" s="9">
        <v>1</v>
      </c>
      <c r="L68" s="9">
        <v>1</v>
      </c>
      <c r="M68" s="9">
        <v>2</v>
      </c>
      <c r="N68" s="43">
        <v>2</v>
      </c>
      <c r="O68" s="262">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7" t="s">
        <v>110</v>
      </c>
      <c r="J69" s="29">
        <v>1</v>
      </c>
      <c r="K69" s="9">
        <v>1</v>
      </c>
      <c r="L69" s="9">
        <v>1</v>
      </c>
      <c r="M69" s="9">
        <v>2</v>
      </c>
      <c r="N69" s="43">
        <v>2</v>
      </c>
      <c r="O69" s="262">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7" t="s">
        <v>110</v>
      </c>
      <c r="J70" s="29">
        <v>1</v>
      </c>
      <c r="K70" s="9">
        <v>1</v>
      </c>
      <c r="L70" s="9">
        <v>1</v>
      </c>
      <c r="M70" s="9">
        <v>2</v>
      </c>
      <c r="N70" s="43">
        <v>2</v>
      </c>
      <c r="O70" s="262">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7" t="s">
        <v>110</v>
      </c>
      <c r="J71" s="29">
        <v>1</v>
      </c>
      <c r="K71" s="9">
        <v>1</v>
      </c>
      <c r="L71" s="9">
        <v>1</v>
      </c>
      <c r="M71" s="9">
        <v>2</v>
      </c>
      <c r="N71" s="43">
        <v>2</v>
      </c>
      <c r="O71" s="262">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7" t="s">
        <v>110</v>
      </c>
      <c r="J72" s="29">
        <v>1</v>
      </c>
      <c r="K72" s="9">
        <v>1</v>
      </c>
      <c r="L72" s="9">
        <v>1</v>
      </c>
      <c r="M72" s="9">
        <v>2</v>
      </c>
      <c r="N72" s="43">
        <v>2</v>
      </c>
      <c r="O72" s="262">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7" t="s">
        <v>110</v>
      </c>
      <c r="J73" s="29">
        <v>1</v>
      </c>
      <c r="K73" s="9">
        <v>1</v>
      </c>
      <c r="L73" s="9">
        <v>1</v>
      </c>
      <c r="M73" s="9">
        <v>2</v>
      </c>
      <c r="N73" s="43">
        <v>2</v>
      </c>
      <c r="O73" s="262">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7" t="s">
        <v>110</v>
      </c>
      <c r="J74" s="29">
        <v>1</v>
      </c>
      <c r="K74" s="9">
        <v>1</v>
      </c>
      <c r="L74" s="9">
        <v>1</v>
      </c>
      <c r="M74" s="9">
        <v>2</v>
      </c>
      <c r="N74" s="43">
        <v>2</v>
      </c>
      <c r="O74" s="262">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7" t="s">
        <v>110</v>
      </c>
      <c r="J75" s="29">
        <v>1</v>
      </c>
      <c r="K75" s="9">
        <v>1</v>
      </c>
      <c r="L75" s="9">
        <v>1</v>
      </c>
      <c r="M75" s="9">
        <v>2</v>
      </c>
      <c r="N75" s="43">
        <v>2</v>
      </c>
      <c r="O75" s="262">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7" t="s">
        <v>110</v>
      </c>
      <c r="J76" s="29">
        <v>1</v>
      </c>
      <c r="K76" s="9">
        <v>1</v>
      </c>
      <c r="L76" s="9">
        <v>1</v>
      </c>
      <c r="M76" s="9">
        <v>2</v>
      </c>
      <c r="N76" s="43">
        <v>2</v>
      </c>
      <c r="O76" s="262">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7" t="s">
        <v>110</v>
      </c>
      <c r="J77" s="29">
        <v>1</v>
      </c>
      <c r="K77" s="9">
        <v>1</v>
      </c>
      <c r="L77" s="9">
        <v>1</v>
      </c>
      <c r="M77" s="9">
        <v>2</v>
      </c>
      <c r="N77" s="43">
        <v>2</v>
      </c>
      <c r="O77" s="262">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7" t="s">
        <v>110</v>
      </c>
      <c r="J78" s="29">
        <v>1</v>
      </c>
      <c r="K78" s="9">
        <v>1</v>
      </c>
      <c r="L78" s="9">
        <v>1</v>
      </c>
      <c r="M78" s="9">
        <v>2</v>
      </c>
      <c r="N78" s="43">
        <v>2</v>
      </c>
      <c r="O78" s="262">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7" t="s">
        <v>110</v>
      </c>
      <c r="J79" s="29">
        <v>1</v>
      </c>
      <c r="K79" s="9">
        <v>1</v>
      </c>
      <c r="L79" s="9">
        <v>1</v>
      </c>
      <c r="M79" s="9">
        <v>2</v>
      </c>
      <c r="N79" s="43">
        <v>2</v>
      </c>
      <c r="O79" s="262">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7" t="s">
        <v>110</v>
      </c>
      <c r="J80" s="29">
        <v>1</v>
      </c>
      <c r="K80" s="9">
        <v>1</v>
      </c>
      <c r="L80" s="9">
        <v>1</v>
      </c>
      <c r="M80" s="9">
        <v>2</v>
      </c>
      <c r="N80" s="43">
        <v>2</v>
      </c>
      <c r="O80" s="262">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7" t="s">
        <v>110</v>
      </c>
      <c r="J81" s="29">
        <v>1</v>
      </c>
      <c r="K81" s="9">
        <v>1</v>
      </c>
      <c r="L81" s="9">
        <v>1</v>
      </c>
      <c r="M81" s="9">
        <v>2</v>
      </c>
      <c r="N81" s="43">
        <v>2</v>
      </c>
      <c r="O81" s="262">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7" t="s">
        <v>110</v>
      </c>
      <c r="J82" s="29">
        <v>1</v>
      </c>
      <c r="K82" s="9">
        <v>1</v>
      </c>
      <c r="L82" s="9">
        <v>1</v>
      </c>
      <c r="M82" s="9">
        <v>2</v>
      </c>
      <c r="N82" s="43">
        <v>2</v>
      </c>
      <c r="O82" s="262">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7" t="s">
        <v>110</v>
      </c>
      <c r="J83" s="29">
        <v>1</v>
      </c>
      <c r="K83" s="9">
        <v>1</v>
      </c>
      <c r="L83" s="9">
        <v>1</v>
      </c>
      <c r="M83" s="9">
        <v>2</v>
      </c>
      <c r="N83" s="43">
        <v>2</v>
      </c>
      <c r="O83" s="262">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7" t="s">
        <v>110</v>
      </c>
      <c r="J84" s="29">
        <v>1</v>
      </c>
      <c r="K84" s="9">
        <v>1</v>
      </c>
      <c r="L84" s="9">
        <v>1</v>
      </c>
      <c r="M84" s="9">
        <v>2</v>
      </c>
      <c r="N84" s="43">
        <v>2</v>
      </c>
      <c r="O84" s="262">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7" t="s">
        <v>110</v>
      </c>
      <c r="J85" s="29">
        <v>1</v>
      </c>
      <c r="K85" s="9">
        <v>1</v>
      </c>
      <c r="L85" s="9">
        <v>1</v>
      </c>
      <c r="M85" s="9">
        <v>2</v>
      </c>
      <c r="N85" s="43">
        <v>2</v>
      </c>
      <c r="O85" s="262">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7" t="s">
        <v>110</v>
      </c>
      <c r="J86" s="29">
        <v>1</v>
      </c>
      <c r="K86" s="9">
        <v>1</v>
      </c>
      <c r="L86" s="9">
        <v>1</v>
      </c>
      <c r="M86" s="9">
        <v>2</v>
      </c>
      <c r="N86" s="43">
        <v>2</v>
      </c>
      <c r="O86" s="262">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7" t="s">
        <v>110</v>
      </c>
      <c r="J87" s="29">
        <v>1</v>
      </c>
      <c r="K87" s="9">
        <v>1</v>
      </c>
      <c r="L87" s="9">
        <v>1</v>
      </c>
      <c r="M87" s="9">
        <v>2</v>
      </c>
      <c r="N87" s="43">
        <v>2</v>
      </c>
      <c r="O87" s="262">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7" t="s">
        <v>110</v>
      </c>
      <c r="J88" s="29">
        <v>1</v>
      </c>
      <c r="K88" s="9">
        <v>1</v>
      </c>
      <c r="L88" s="9">
        <v>1</v>
      </c>
      <c r="M88" s="9">
        <v>2</v>
      </c>
      <c r="N88" s="43">
        <v>2</v>
      </c>
      <c r="O88" s="262">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7" t="s">
        <v>110</v>
      </c>
      <c r="J89" s="29">
        <v>1</v>
      </c>
      <c r="K89" s="9">
        <v>1</v>
      </c>
      <c r="L89" s="9">
        <v>1</v>
      </c>
      <c r="M89" s="9">
        <v>2</v>
      </c>
      <c r="N89" s="43">
        <v>2</v>
      </c>
      <c r="O89" s="262">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7" t="s">
        <v>110</v>
      </c>
      <c r="J90" s="29">
        <v>1</v>
      </c>
      <c r="K90" s="9">
        <v>1</v>
      </c>
      <c r="L90" s="9">
        <v>1</v>
      </c>
      <c r="M90" s="9">
        <v>2</v>
      </c>
      <c r="N90" s="43">
        <v>2</v>
      </c>
      <c r="O90" s="262">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7" t="s">
        <v>110</v>
      </c>
      <c r="J91" s="29">
        <v>1</v>
      </c>
      <c r="K91" s="9">
        <v>1</v>
      </c>
      <c r="L91" s="9">
        <v>1</v>
      </c>
      <c r="M91" s="9">
        <v>2</v>
      </c>
      <c r="N91" s="43">
        <v>2</v>
      </c>
      <c r="O91" s="262">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7" t="s">
        <v>110</v>
      </c>
      <c r="J92" s="29">
        <v>1</v>
      </c>
      <c r="K92" s="9">
        <v>1</v>
      </c>
      <c r="L92" s="9">
        <v>1</v>
      </c>
      <c r="M92" s="9">
        <v>2</v>
      </c>
      <c r="N92" s="43">
        <v>2</v>
      </c>
      <c r="O92" s="262">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7" t="s">
        <v>110</v>
      </c>
      <c r="J93" s="29">
        <v>1</v>
      </c>
      <c r="K93" s="9">
        <v>1</v>
      </c>
      <c r="L93" s="9">
        <v>1</v>
      </c>
      <c r="M93" s="9">
        <v>2</v>
      </c>
      <c r="N93" s="43">
        <v>2</v>
      </c>
      <c r="O93" s="262">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7" t="s">
        <v>110</v>
      </c>
      <c r="J94" s="29">
        <v>1</v>
      </c>
      <c r="K94" s="9">
        <v>1</v>
      </c>
      <c r="L94" s="9">
        <v>1</v>
      </c>
      <c r="M94" s="9">
        <v>2</v>
      </c>
      <c r="N94" s="43">
        <v>2</v>
      </c>
      <c r="O94" s="262">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7" t="s">
        <v>110</v>
      </c>
      <c r="J95" s="29">
        <v>1</v>
      </c>
      <c r="K95" s="9">
        <v>1</v>
      </c>
      <c r="L95" s="9">
        <v>1</v>
      </c>
      <c r="M95" s="9">
        <v>2</v>
      </c>
      <c r="N95" s="43">
        <v>2</v>
      </c>
      <c r="O95" s="262">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7" t="s">
        <v>110</v>
      </c>
      <c r="J96" s="29">
        <v>1</v>
      </c>
      <c r="K96" s="9">
        <v>1</v>
      </c>
      <c r="L96" s="9">
        <v>1</v>
      </c>
      <c r="M96" s="9">
        <v>2</v>
      </c>
      <c r="N96" s="43">
        <v>2</v>
      </c>
      <c r="O96" s="262">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7" t="s">
        <v>110</v>
      </c>
      <c r="J97" s="29">
        <v>1</v>
      </c>
      <c r="K97" s="9">
        <v>1</v>
      </c>
      <c r="L97" s="9">
        <v>1</v>
      </c>
      <c r="M97" s="9">
        <v>2</v>
      </c>
      <c r="N97" s="43">
        <v>2</v>
      </c>
      <c r="O97" s="262">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7" t="s">
        <v>110</v>
      </c>
      <c r="J98" s="29">
        <v>1</v>
      </c>
      <c r="K98" s="9">
        <v>1</v>
      </c>
      <c r="L98" s="9">
        <v>1</v>
      </c>
      <c r="M98" s="9">
        <v>2</v>
      </c>
      <c r="N98" s="43">
        <v>2</v>
      </c>
      <c r="O98" s="262">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7" t="s">
        <v>110</v>
      </c>
      <c r="J99" s="29">
        <v>1</v>
      </c>
      <c r="K99" s="9">
        <v>1</v>
      </c>
      <c r="L99" s="9">
        <v>1</v>
      </c>
      <c r="M99" s="9">
        <v>2</v>
      </c>
      <c r="N99" s="43">
        <v>2</v>
      </c>
      <c r="O99" s="262">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7" t="s">
        <v>110</v>
      </c>
      <c r="J100" s="29">
        <v>1</v>
      </c>
      <c r="K100" s="9">
        <v>1</v>
      </c>
      <c r="L100" s="9">
        <v>1</v>
      </c>
      <c r="M100" s="9">
        <v>2</v>
      </c>
      <c r="N100" s="43">
        <v>2</v>
      </c>
      <c r="O100" s="262">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7" t="s">
        <v>110</v>
      </c>
      <c r="J101" s="29">
        <v>1</v>
      </c>
      <c r="K101" s="9">
        <v>1</v>
      </c>
      <c r="L101" s="9">
        <v>1</v>
      </c>
      <c r="M101" s="9">
        <v>2</v>
      </c>
      <c r="N101" s="43">
        <v>2</v>
      </c>
      <c r="O101" s="262">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7" t="s">
        <v>110</v>
      </c>
      <c r="J102" s="29">
        <v>1</v>
      </c>
      <c r="K102" s="9">
        <v>1</v>
      </c>
      <c r="L102" s="9">
        <v>1</v>
      </c>
      <c r="M102" s="9">
        <v>2</v>
      </c>
      <c r="N102" s="43">
        <v>2</v>
      </c>
      <c r="O102" s="262">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7" t="s">
        <v>110</v>
      </c>
      <c r="J103" s="29">
        <v>1</v>
      </c>
      <c r="K103" s="9">
        <v>1</v>
      </c>
      <c r="L103" s="9">
        <v>1</v>
      </c>
      <c r="M103" s="9">
        <v>2</v>
      </c>
      <c r="N103" s="43">
        <v>2</v>
      </c>
      <c r="O103" s="262">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7" t="s">
        <v>110</v>
      </c>
      <c r="J104" s="29">
        <v>1</v>
      </c>
      <c r="K104" s="9">
        <v>1</v>
      </c>
      <c r="L104" s="9">
        <v>1</v>
      </c>
      <c r="M104" s="9">
        <v>2</v>
      </c>
      <c r="N104" s="43">
        <v>2</v>
      </c>
      <c r="O104" s="262">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7" t="s">
        <v>110</v>
      </c>
      <c r="J105" s="29">
        <v>1</v>
      </c>
      <c r="K105" s="9">
        <v>1</v>
      </c>
      <c r="L105" s="9">
        <v>1</v>
      </c>
      <c r="M105" s="9">
        <v>2</v>
      </c>
      <c r="N105" s="43">
        <v>2</v>
      </c>
      <c r="O105" s="262">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7" t="s">
        <v>110</v>
      </c>
      <c r="J106" s="29">
        <v>1</v>
      </c>
      <c r="K106" s="9">
        <v>1</v>
      </c>
      <c r="L106" s="9">
        <v>1</v>
      </c>
      <c r="M106" s="9">
        <v>2</v>
      </c>
      <c r="N106" s="43">
        <v>2</v>
      </c>
      <c r="O106" s="262">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7" t="s">
        <v>110</v>
      </c>
      <c r="J107" s="29">
        <v>1</v>
      </c>
      <c r="K107" s="9">
        <v>1</v>
      </c>
      <c r="L107" s="9">
        <v>1</v>
      </c>
      <c r="M107" s="9">
        <v>2</v>
      </c>
      <c r="N107" s="43">
        <v>2</v>
      </c>
      <c r="O107" s="262">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7" t="s">
        <v>110</v>
      </c>
      <c r="J108" s="29">
        <v>1</v>
      </c>
      <c r="K108" s="9">
        <v>1</v>
      </c>
      <c r="L108" s="9">
        <v>1</v>
      </c>
      <c r="M108" s="9">
        <v>2</v>
      </c>
      <c r="N108" s="43">
        <v>2</v>
      </c>
      <c r="O108" s="262">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7" t="s">
        <v>110</v>
      </c>
      <c r="J109" s="29">
        <v>1</v>
      </c>
      <c r="K109" s="9">
        <v>1</v>
      </c>
      <c r="L109" s="9">
        <v>1</v>
      </c>
      <c r="M109" s="9">
        <v>2</v>
      </c>
      <c r="N109" s="43">
        <v>2</v>
      </c>
      <c r="O109" s="262">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7" t="s">
        <v>110</v>
      </c>
      <c r="J110" s="29">
        <v>1</v>
      </c>
      <c r="K110" s="9">
        <v>1</v>
      </c>
      <c r="L110" s="9">
        <v>1</v>
      </c>
      <c r="M110" s="9">
        <v>2</v>
      </c>
      <c r="N110" s="43">
        <v>2</v>
      </c>
      <c r="O110" s="262">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7" t="s">
        <v>110</v>
      </c>
      <c r="J111" s="29">
        <v>1</v>
      </c>
      <c r="K111" s="9">
        <v>1</v>
      </c>
      <c r="L111" s="9">
        <v>1</v>
      </c>
      <c r="M111" s="9">
        <v>2</v>
      </c>
      <c r="N111" s="43">
        <v>2</v>
      </c>
      <c r="O111" s="262">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7" t="s">
        <v>110</v>
      </c>
      <c r="J112" s="29">
        <v>1</v>
      </c>
      <c r="K112" s="9">
        <v>1</v>
      </c>
      <c r="L112" s="9">
        <v>1</v>
      </c>
      <c r="M112" s="9">
        <v>2</v>
      </c>
      <c r="N112" s="43">
        <v>2</v>
      </c>
      <c r="O112" s="262">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7" t="s">
        <v>110</v>
      </c>
      <c r="J113" s="29">
        <v>1</v>
      </c>
      <c r="K113" s="9">
        <v>1</v>
      </c>
      <c r="L113" s="9">
        <v>1</v>
      </c>
      <c r="M113" s="9">
        <v>2</v>
      </c>
      <c r="N113" s="43">
        <v>2</v>
      </c>
      <c r="O113" s="262">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7" t="s">
        <v>110</v>
      </c>
      <c r="J114" s="29">
        <v>1</v>
      </c>
      <c r="K114" s="9">
        <v>1</v>
      </c>
      <c r="L114" s="9">
        <v>1</v>
      </c>
      <c r="M114" s="9">
        <v>2</v>
      </c>
      <c r="N114" s="43">
        <v>2</v>
      </c>
      <c r="O114" s="262">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7" t="s">
        <v>110</v>
      </c>
      <c r="J115" s="29">
        <v>1</v>
      </c>
      <c r="K115" s="9">
        <v>1</v>
      </c>
      <c r="L115" s="9">
        <v>1</v>
      </c>
      <c r="M115" s="9">
        <v>2</v>
      </c>
      <c r="N115" s="43">
        <v>2</v>
      </c>
      <c r="O115" s="262">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7" t="s">
        <v>110</v>
      </c>
      <c r="J116" s="29">
        <v>1</v>
      </c>
      <c r="K116" s="9">
        <v>1</v>
      </c>
      <c r="L116" s="9">
        <v>1</v>
      </c>
      <c r="M116" s="9">
        <v>2</v>
      </c>
      <c r="N116" s="43">
        <v>2</v>
      </c>
      <c r="O116" s="262">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7" t="s">
        <v>110</v>
      </c>
      <c r="J117" s="29">
        <v>1</v>
      </c>
      <c r="K117" s="9">
        <v>1</v>
      </c>
      <c r="L117" s="9">
        <v>1</v>
      </c>
      <c r="M117" s="9">
        <v>2</v>
      </c>
      <c r="N117" s="43">
        <v>2</v>
      </c>
      <c r="O117" s="262">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7" t="s">
        <v>110</v>
      </c>
      <c r="J118" s="29">
        <v>1</v>
      </c>
      <c r="K118" s="9">
        <v>1</v>
      </c>
      <c r="L118" s="9">
        <v>1</v>
      </c>
      <c r="M118" s="9">
        <v>2</v>
      </c>
      <c r="N118" s="43">
        <v>2</v>
      </c>
      <c r="O118" s="262">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7" t="s">
        <v>110</v>
      </c>
      <c r="J119" s="29">
        <v>1</v>
      </c>
      <c r="K119" s="9">
        <v>1</v>
      </c>
      <c r="L119" s="9">
        <v>1</v>
      </c>
      <c r="M119" s="9">
        <v>2</v>
      </c>
      <c r="N119" s="43">
        <v>2</v>
      </c>
      <c r="O119" s="262">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7" t="s">
        <v>110</v>
      </c>
      <c r="J120" s="29">
        <v>1</v>
      </c>
      <c r="K120" s="9">
        <v>1</v>
      </c>
      <c r="L120" s="9">
        <v>1</v>
      </c>
      <c r="M120" s="9">
        <v>2</v>
      </c>
      <c r="N120" s="43">
        <v>2</v>
      </c>
      <c r="O120" s="262">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7" t="s">
        <v>110</v>
      </c>
      <c r="J121" s="29">
        <v>1</v>
      </c>
      <c r="K121" s="9">
        <v>1</v>
      </c>
      <c r="L121" s="9">
        <v>1</v>
      </c>
      <c r="M121" s="9">
        <v>2</v>
      </c>
      <c r="N121" s="43">
        <v>2</v>
      </c>
      <c r="O121" s="262">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7" t="s">
        <v>110</v>
      </c>
      <c r="J122" s="29">
        <v>1</v>
      </c>
      <c r="K122" s="9">
        <v>1</v>
      </c>
      <c r="L122" s="9">
        <v>1</v>
      </c>
      <c r="M122" s="9">
        <v>2</v>
      </c>
      <c r="N122" s="43">
        <v>2</v>
      </c>
      <c r="O122" s="262">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7" t="s">
        <v>110</v>
      </c>
      <c r="J123" s="29">
        <v>1</v>
      </c>
      <c r="K123" s="9">
        <v>1</v>
      </c>
      <c r="L123" s="9">
        <v>1</v>
      </c>
      <c r="M123" s="9">
        <v>2</v>
      </c>
      <c r="N123" s="43">
        <v>2</v>
      </c>
      <c r="O123" s="262">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7" t="s">
        <v>110</v>
      </c>
      <c r="J124" s="29">
        <v>1</v>
      </c>
      <c r="K124" s="9">
        <v>1</v>
      </c>
      <c r="L124" s="9">
        <v>1</v>
      </c>
      <c r="M124" s="9">
        <v>2</v>
      </c>
      <c r="N124" s="43">
        <v>2</v>
      </c>
      <c r="O124" s="262">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7" t="s">
        <v>110</v>
      </c>
      <c r="J125" s="29">
        <v>1</v>
      </c>
      <c r="K125" s="9">
        <v>1</v>
      </c>
      <c r="L125" s="9">
        <v>1</v>
      </c>
      <c r="M125" s="9">
        <v>2</v>
      </c>
      <c r="N125" s="43">
        <v>2</v>
      </c>
      <c r="O125" s="262">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7" t="s">
        <v>110</v>
      </c>
      <c r="J126" s="29">
        <v>1</v>
      </c>
      <c r="K126" s="9">
        <v>1</v>
      </c>
      <c r="L126" s="9">
        <v>1</v>
      </c>
      <c r="M126" s="9">
        <v>2</v>
      </c>
      <c r="N126" s="43">
        <v>2</v>
      </c>
      <c r="O126" s="262">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7" t="s">
        <v>110</v>
      </c>
      <c r="J127" s="29">
        <v>1</v>
      </c>
      <c r="K127" s="9">
        <v>1</v>
      </c>
      <c r="L127" s="9">
        <v>1</v>
      </c>
      <c r="M127" s="9">
        <v>2</v>
      </c>
      <c r="N127" s="43">
        <v>2</v>
      </c>
      <c r="O127" s="262">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7" t="s">
        <v>110</v>
      </c>
      <c r="J128" s="29">
        <v>1</v>
      </c>
      <c r="K128" s="9">
        <v>1</v>
      </c>
      <c r="L128" s="9">
        <v>1</v>
      </c>
      <c r="M128" s="9">
        <v>2</v>
      </c>
      <c r="N128" s="43">
        <v>2</v>
      </c>
      <c r="O128" s="262">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7" t="s">
        <v>110</v>
      </c>
      <c r="J129" s="29">
        <v>1</v>
      </c>
      <c r="K129" s="9">
        <v>1</v>
      </c>
      <c r="L129" s="9">
        <v>1</v>
      </c>
      <c r="M129" s="9">
        <v>2</v>
      </c>
      <c r="N129" s="43">
        <v>2</v>
      </c>
      <c r="O129" s="262">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7" t="s">
        <v>110</v>
      </c>
      <c r="J130" s="29">
        <v>1</v>
      </c>
      <c r="K130" s="9">
        <v>1</v>
      </c>
      <c r="L130" s="9">
        <v>1</v>
      </c>
      <c r="M130" s="9">
        <v>2</v>
      </c>
      <c r="N130" s="43">
        <v>2</v>
      </c>
      <c r="O130" s="262">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7" t="s">
        <v>110</v>
      </c>
      <c r="J131" s="29">
        <v>1</v>
      </c>
      <c r="K131" s="9">
        <v>1</v>
      </c>
      <c r="L131" s="9">
        <v>1</v>
      </c>
      <c r="M131" s="9">
        <v>2</v>
      </c>
      <c r="N131" s="43">
        <v>2</v>
      </c>
      <c r="O131" s="262">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7" t="s">
        <v>110</v>
      </c>
      <c r="J132" s="29">
        <v>1</v>
      </c>
      <c r="K132" s="9">
        <v>1</v>
      </c>
      <c r="L132" s="9">
        <v>1</v>
      </c>
      <c r="M132" s="9">
        <v>2</v>
      </c>
      <c r="N132" s="43">
        <v>2</v>
      </c>
      <c r="O132" s="262">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7" t="s">
        <v>110</v>
      </c>
      <c r="J133" s="29">
        <v>1</v>
      </c>
      <c r="K133" s="9">
        <v>1</v>
      </c>
      <c r="L133" s="9">
        <v>1</v>
      </c>
      <c r="M133" s="9">
        <v>2</v>
      </c>
      <c r="N133" s="43">
        <v>2</v>
      </c>
      <c r="O133" s="262">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7" t="s">
        <v>110</v>
      </c>
      <c r="J134" s="29">
        <v>1</v>
      </c>
      <c r="K134" s="9">
        <v>1</v>
      </c>
      <c r="L134" s="9">
        <v>1</v>
      </c>
      <c r="M134" s="9">
        <v>2</v>
      </c>
      <c r="N134" s="43">
        <v>2</v>
      </c>
      <c r="O134" s="262">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7" t="s">
        <v>110</v>
      </c>
      <c r="J135" s="29">
        <v>1</v>
      </c>
      <c r="K135" s="9">
        <v>1</v>
      </c>
      <c r="L135" s="9">
        <v>1</v>
      </c>
      <c r="M135" s="9">
        <v>2</v>
      </c>
      <c r="N135" s="43">
        <v>2</v>
      </c>
      <c r="O135" s="262">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7" t="s">
        <v>110</v>
      </c>
      <c r="J136" s="29">
        <v>1</v>
      </c>
      <c r="K136" s="9">
        <v>1</v>
      </c>
      <c r="L136" s="9">
        <v>1</v>
      </c>
      <c r="M136" s="9">
        <v>2</v>
      </c>
      <c r="N136" s="43">
        <v>2</v>
      </c>
      <c r="O136" s="262">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7" t="s">
        <v>110</v>
      </c>
      <c r="J137" s="29">
        <v>1</v>
      </c>
      <c r="K137" s="9">
        <v>1</v>
      </c>
      <c r="L137" s="9">
        <v>1</v>
      </c>
      <c r="M137" s="9">
        <v>2</v>
      </c>
      <c r="N137" s="43">
        <v>2</v>
      </c>
      <c r="O137" s="262">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7" t="s">
        <v>110</v>
      </c>
      <c r="J138" s="29">
        <v>1</v>
      </c>
      <c r="K138" s="9">
        <v>1</v>
      </c>
      <c r="L138" s="9">
        <v>1</v>
      </c>
      <c r="M138" s="9">
        <v>2</v>
      </c>
      <c r="N138" s="43">
        <v>2</v>
      </c>
      <c r="O138" s="262">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7" t="s">
        <v>110</v>
      </c>
      <c r="J139" s="29">
        <v>1</v>
      </c>
      <c r="K139" s="9">
        <v>1</v>
      </c>
      <c r="L139" s="9">
        <v>1</v>
      </c>
      <c r="M139" s="9">
        <v>2</v>
      </c>
      <c r="N139" s="43">
        <v>2</v>
      </c>
      <c r="O139" s="262">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7" t="s">
        <v>110</v>
      </c>
      <c r="J140" s="29">
        <v>1</v>
      </c>
      <c r="K140" s="9">
        <v>1</v>
      </c>
      <c r="L140" s="9">
        <v>1</v>
      </c>
      <c r="M140" s="9">
        <v>2</v>
      </c>
      <c r="N140" s="43">
        <v>2</v>
      </c>
      <c r="O140" s="262">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7" t="s">
        <v>110</v>
      </c>
      <c r="J141" s="29">
        <v>1</v>
      </c>
      <c r="K141" s="9">
        <v>1</v>
      </c>
      <c r="L141" s="9">
        <v>1</v>
      </c>
      <c r="M141" s="9">
        <v>2</v>
      </c>
      <c r="N141" s="43">
        <v>2</v>
      </c>
      <c r="O141" s="262">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7" t="s">
        <v>110</v>
      </c>
      <c r="J142" s="29">
        <v>1</v>
      </c>
      <c r="K142" s="9">
        <v>1</v>
      </c>
      <c r="L142" s="9">
        <v>1</v>
      </c>
      <c r="M142" s="9">
        <v>2</v>
      </c>
      <c r="N142" s="43">
        <v>2</v>
      </c>
      <c r="O142" s="262">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7" t="s">
        <v>110</v>
      </c>
      <c r="J143" s="29">
        <v>1</v>
      </c>
      <c r="K143" s="9">
        <v>1</v>
      </c>
      <c r="L143" s="9">
        <v>1</v>
      </c>
      <c r="M143" s="9">
        <v>2</v>
      </c>
      <c r="N143" s="43">
        <v>2</v>
      </c>
      <c r="O143" s="262">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7" t="s">
        <v>110</v>
      </c>
      <c r="J144" s="29">
        <v>1</v>
      </c>
      <c r="K144" s="9">
        <v>1</v>
      </c>
      <c r="L144" s="9">
        <v>1</v>
      </c>
      <c r="M144" s="9">
        <v>2</v>
      </c>
      <c r="N144" s="43">
        <v>2</v>
      </c>
      <c r="O144" s="262">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7" t="s">
        <v>110</v>
      </c>
      <c r="J145" s="29">
        <v>1</v>
      </c>
      <c r="K145" s="9">
        <v>1</v>
      </c>
      <c r="L145" s="9">
        <v>1</v>
      </c>
      <c r="M145" s="9">
        <v>2</v>
      </c>
      <c r="N145" s="43">
        <v>2</v>
      </c>
      <c r="O145" s="262">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7" t="s">
        <v>110</v>
      </c>
      <c r="J146" s="29">
        <v>1</v>
      </c>
      <c r="K146" s="9">
        <v>1</v>
      </c>
      <c r="L146" s="9">
        <v>1</v>
      </c>
      <c r="M146" s="9">
        <v>2</v>
      </c>
      <c r="N146" s="43">
        <v>2</v>
      </c>
      <c r="O146" s="262">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7" t="s">
        <v>110</v>
      </c>
      <c r="J147" s="29">
        <v>1</v>
      </c>
      <c r="K147" s="9">
        <v>1</v>
      </c>
      <c r="L147" s="9">
        <v>1</v>
      </c>
      <c r="M147" s="9">
        <v>2</v>
      </c>
      <c r="N147" s="43">
        <v>2</v>
      </c>
      <c r="O147" s="262">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7" t="s">
        <v>110</v>
      </c>
      <c r="J148" s="29">
        <v>1</v>
      </c>
      <c r="K148" s="9">
        <v>1</v>
      </c>
      <c r="L148" s="9">
        <v>1</v>
      </c>
      <c r="M148" s="9">
        <v>2</v>
      </c>
      <c r="N148" s="43">
        <v>2</v>
      </c>
      <c r="O148" s="262">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7" t="s">
        <v>110</v>
      </c>
      <c r="J149" s="29">
        <v>1</v>
      </c>
      <c r="K149" s="9">
        <v>1</v>
      </c>
      <c r="L149" s="9">
        <v>1</v>
      </c>
      <c r="M149" s="9">
        <v>2</v>
      </c>
      <c r="N149" s="43">
        <v>2</v>
      </c>
      <c r="O149" s="262">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7" t="s">
        <v>110</v>
      </c>
      <c r="J150" s="29">
        <v>1</v>
      </c>
      <c r="K150" s="9">
        <v>1</v>
      </c>
      <c r="L150" s="9">
        <v>1</v>
      </c>
      <c r="M150" s="9">
        <v>2</v>
      </c>
      <c r="N150" s="43">
        <v>2</v>
      </c>
      <c r="O150" s="262">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7" t="s">
        <v>110</v>
      </c>
      <c r="J151" s="29">
        <v>1</v>
      </c>
      <c r="K151" s="9">
        <v>1</v>
      </c>
      <c r="L151" s="9">
        <v>1</v>
      </c>
      <c r="M151" s="9">
        <v>2</v>
      </c>
      <c r="N151" s="43">
        <v>2</v>
      </c>
      <c r="O151" s="262">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7" t="s">
        <v>110</v>
      </c>
      <c r="J152" s="29">
        <v>1</v>
      </c>
      <c r="K152" s="9">
        <v>1</v>
      </c>
      <c r="L152" s="9">
        <v>1</v>
      </c>
      <c r="M152" s="9">
        <v>2</v>
      </c>
      <c r="N152" s="43">
        <v>2</v>
      </c>
      <c r="O152" s="262">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7" t="s">
        <v>110</v>
      </c>
      <c r="J153" s="29">
        <v>1</v>
      </c>
      <c r="K153" s="9">
        <v>1</v>
      </c>
      <c r="L153" s="9">
        <v>1</v>
      </c>
      <c r="M153" s="9">
        <v>2</v>
      </c>
      <c r="N153" s="43">
        <v>2</v>
      </c>
      <c r="O153" s="262">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7" t="s">
        <v>110</v>
      </c>
      <c r="J154" s="29">
        <v>1</v>
      </c>
      <c r="K154" s="9">
        <v>1</v>
      </c>
      <c r="L154" s="9">
        <v>1</v>
      </c>
      <c r="M154" s="9">
        <v>2</v>
      </c>
      <c r="N154" s="43">
        <v>2</v>
      </c>
      <c r="O154" s="262">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7" t="s">
        <v>110</v>
      </c>
      <c r="J155" s="29">
        <v>1</v>
      </c>
      <c r="K155" s="9">
        <v>1</v>
      </c>
      <c r="L155" s="9">
        <v>1</v>
      </c>
      <c r="M155" s="9">
        <v>2</v>
      </c>
      <c r="N155" s="43">
        <v>2</v>
      </c>
      <c r="O155" s="262">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7" t="s">
        <v>110</v>
      </c>
      <c r="J156" s="29">
        <v>1</v>
      </c>
      <c r="K156" s="9">
        <v>1</v>
      </c>
      <c r="L156" s="9">
        <v>1</v>
      </c>
      <c r="M156" s="9">
        <v>2</v>
      </c>
      <c r="N156" s="43">
        <v>2</v>
      </c>
      <c r="O156" s="262">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7" t="s">
        <v>110</v>
      </c>
      <c r="J157" s="29">
        <v>1</v>
      </c>
      <c r="K157" s="9">
        <v>1</v>
      </c>
      <c r="L157" s="9">
        <v>1</v>
      </c>
      <c r="M157" s="9">
        <v>2</v>
      </c>
      <c r="N157" s="43">
        <v>2</v>
      </c>
      <c r="O157" s="262">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7" t="s">
        <v>110</v>
      </c>
      <c r="J158" s="29">
        <v>1</v>
      </c>
      <c r="K158" s="9">
        <v>1</v>
      </c>
      <c r="L158" s="9">
        <v>1</v>
      </c>
      <c r="M158" s="9">
        <v>2</v>
      </c>
      <c r="N158" s="43">
        <v>2</v>
      </c>
      <c r="O158" s="262">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7" t="s">
        <v>110</v>
      </c>
      <c r="J159" s="29">
        <v>1</v>
      </c>
      <c r="K159" s="9">
        <v>1</v>
      </c>
      <c r="L159" s="9">
        <v>1</v>
      </c>
      <c r="M159" s="9">
        <v>2</v>
      </c>
      <c r="N159" s="43">
        <v>2</v>
      </c>
      <c r="O159" s="262">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7" t="s">
        <v>110</v>
      </c>
      <c r="J160" s="29">
        <v>1</v>
      </c>
      <c r="K160" s="9">
        <v>1</v>
      </c>
      <c r="L160" s="9">
        <v>1</v>
      </c>
      <c r="M160" s="9">
        <v>2</v>
      </c>
      <c r="N160" s="43">
        <v>2</v>
      </c>
      <c r="O160" s="262">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7" t="s">
        <v>110</v>
      </c>
      <c r="J161" s="29">
        <v>1</v>
      </c>
      <c r="K161" s="9">
        <v>1</v>
      </c>
      <c r="L161" s="9">
        <v>1</v>
      </c>
      <c r="M161" s="9">
        <v>2</v>
      </c>
      <c r="N161" s="43">
        <v>2</v>
      </c>
      <c r="O161" s="262">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7" t="s">
        <v>110</v>
      </c>
      <c r="J162" s="29">
        <v>1</v>
      </c>
      <c r="K162" s="9">
        <v>1</v>
      </c>
      <c r="L162" s="9">
        <v>1</v>
      </c>
      <c r="M162" s="9">
        <v>2</v>
      </c>
      <c r="N162" s="43">
        <v>2</v>
      </c>
      <c r="O162" s="262">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7" t="s">
        <v>110</v>
      </c>
      <c r="J163" s="29">
        <v>1</v>
      </c>
      <c r="K163" s="9">
        <v>1</v>
      </c>
      <c r="L163" s="9">
        <v>1</v>
      </c>
      <c r="M163" s="9">
        <v>2</v>
      </c>
      <c r="N163" s="43">
        <v>2</v>
      </c>
      <c r="O163" s="262">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7" t="s">
        <v>110</v>
      </c>
      <c r="J164" s="29">
        <v>1</v>
      </c>
      <c r="K164" s="9">
        <v>1</v>
      </c>
      <c r="L164" s="9">
        <v>1</v>
      </c>
      <c r="M164" s="9">
        <v>2</v>
      </c>
      <c r="N164" s="43">
        <v>2</v>
      </c>
      <c r="O164" s="262">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7" t="s">
        <v>110</v>
      </c>
      <c r="J165" s="29">
        <v>1</v>
      </c>
      <c r="K165" s="9">
        <v>1</v>
      </c>
      <c r="L165" s="9">
        <v>1</v>
      </c>
      <c r="M165" s="9">
        <v>2</v>
      </c>
      <c r="N165" s="43">
        <v>2</v>
      </c>
      <c r="O165" s="262">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7" t="s">
        <v>110</v>
      </c>
      <c r="J166" s="29">
        <v>1</v>
      </c>
      <c r="K166" s="9">
        <v>1</v>
      </c>
      <c r="L166" s="9">
        <v>1</v>
      </c>
      <c r="M166" s="9">
        <v>2</v>
      </c>
      <c r="N166" s="43">
        <v>2</v>
      </c>
      <c r="O166" s="262">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7" t="s">
        <v>110</v>
      </c>
      <c r="J167" s="29">
        <v>1</v>
      </c>
      <c r="K167" s="9">
        <v>1</v>
      </c>
      <c r="L167" s="9">
        <v>1</v>
      </c>
      <c r="M167" s="9">
        <v>2</v>
      </c>
      <c r="N167" s="43">
        <v>2</v>
      </c>
      <c r="O167" s="262">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7" t="s">
        <v>110</v>
      </c>
      <c r="J168" s="29">
        <v>1</v>
      </c>
      <c r="K168" s="9">
        <v>1</v>
      </c>
      <c r="L168" s="9">
        <v>1</v>
      </c>
      <c r="M168" s="9">
        <v>2</v>
      </c>
      <c r="N168" s="43">
        <v>2</v>
      </c>
      <c r="O168" s="262">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7" t="s">
        <v>110</v>
      </c>
      <c r="J169" s="29">
        <v>1</v>
      </c>
      <c r="K169" s="9">
        <v>1</v>
      </c>
      <c r="L169" s="9">
        <v>1</v>
      </c>
      <c r="M169" s="9">
        <v>2</v>
      </c>
      <c r="N169" s="43">
        <v>2</v>
      </c>
      <c r="O169" s="262">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7" t="s">
        <v>110</v>
      </c>
      <c r="J170" s="29">
        <v>1</v>
      </c>
      <c r="K170" s="9">
        <v>1</v>
      </c>
      <c r="L170" s="9">
        <v>1</v>
      </c>
      <c r="M170" s="9">
        <v>2</v>
      </c>
      <c r="N170" s="43">
        <v>2</v>
      </c>
      <c r="O170" s="262">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7" t="s">
        <v>110</v>
      </c>
      <c r="J171" s="29">
        <v>1</v>
      </c>
      <c r="K171" s="9">
        <v>1</v>
      </c>
      <c r="L171" s="9">
        <v>1</v>
      </c>
      <c r="M171" s="9">
        <v>2</v>
      </c>
      <c r="N171" s="43">
        <v>2</v>
      </c>
      <c r="O171" s="262">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7" t="s">
        <v>110</v>
      </c>
      <c r="J172" s="29">
        <v>1</v>
      </c>
      <c r="K172" s="9">
        <v>1</v>
      </c>
      <c r="L172" s="9">
        <v>1</v>
      </c>
      <c r="M172" s="9">
        <v>2</v>
      </c>
      <c r="N172" s="43">
        <v>2</v>
      </c>
      <c r="O172" s="262">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7" t="s">
        <v>110</v>
      </c>
      <c r="J173" s="29">
        <v>1</v>
      </c>
      <c r="K173" s="9">
        <v>1</v>
      </c>
      <c r="L173" s="9">
        <v>1</v>
      </c>
      <c r="M173" s="9">
        <v>2</v>
      </c>
      <c r="N173" s="43">
        <v>2</v>
      </c>
      <c r="O173" s="262">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7" t="s">
        <v>110</v>
      </c>
      <c r="J174" s="29">
        <v>1</v>
      </c>
      <c r="K174" s="9">
        <v>1</v>
      </c>
      <c r="L174" s="9">
        <v>1</v>
      </c>
      <c r="M174" s="9">
        <v>2</v>
      </c>
      <c r="N174" s="43">
        <v>2</v>
      </c>
      <c r="O174" s="262">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7" t="s">
        <v>110</v>
      </c>
      <c r="J175" s="29">
        <v>1</v>
      </c>
      <c r="K175" s="9">
        <v>1</v>
      </c>
      <c r="L175" s="9">
        <v>1</v>
      </c>
      <c r="M175" s="9">
        <v>2</v>
      </c>
      <c r="N175" s="43">
        <v>2</v>
      </c>
      <c r="O175" s="262">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7" t="s">
        <v>110</v>
      </c>
      <c r="J176" s="29">
        <v>1</v>
      </c>
      <c r="K176" s="9">
        <v>1</v>
      </c>
      <c r="L176" s="9">
        <v>1</v>
      </c>
      <c r="M176" s="9">
        <v>2</v>
      </c>
      <c r="N176" s="43">
        <v>2</v>
      </c>
      <c r="O176" s="262">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7" t="s">
        <v>110</v>
      </c>
      <c r="J177" s="29">
        <v>1</v>
      </c>
      <c r="K177" s="9">
        <v>1</v>
      </c>
      <c r="L177" s="9">
        <v>1</v>
      </c>
      <c r="M177" s="9">
        <v>2</v>
      </c>
      <c r="N177" s="43">
        <v>2</v>
      </c>
      <c r="O177" s="262">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7" t="s">
        <v>110</v>
      </c>
      <c r="J178" s="29">
        <v>1</v>
      </c>
      <c r="K178" s="9">
        <v>1</v>
      </c>
      <c r="L178" s="9">
        <v>1</v>
      </c>
      <c r="M178" s="9">
        <v>2</v>
      </c>
      <c r="N178" s="43">
        <v>2</v>
      </c>
      <c r="O178" s="262">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7" t="s">
        <v>110</v>
      </c>
      <c r="J179" s="29">
        <v>1</v>
      </c>
      <c r="K179" s="9">
        <v>1</v>
      </c>
      <c r="L179" s="9">
        <v>1</v>
      </c>
      <c r="M179" s="9">
        <v>2</v>
      </c>
      <c r="N179" s="43">
        <v>2</v>
      </c>
      <c r="O179" s="262">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7" t="s">
        <v>110</v>
      </c>
      <c r="J180" s="29">
        <v>1</v>
      </c>
      <c r="K180" s="9">
        <v>1</v>
      </c>
      <c r="L180" s="9">
        <v>1</v>
      </c>
      <c r="M180" s="9">
        <v>2</v>
      </c>
      <c r="N180" s="43">
        <v>2</v>
      </c>
      <c r="O180" s="262">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7" t="s">
        <v>110</v>
      </c>
      <c r="J181" s="29">
        <v>1</v>
      </c>
      <c r="K181" s="9">
        <v>1</v>
      </c>
      <c r="L181" s="9">
        <v>1</v>
      </c>
      <c r="M181" s="9">
        <v>2</v>
      </c>
      <c r="N181" s="43">
        <v>2</v>
      </c>
      <c r="O181" s="262">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7" t="s">
        <v>110</v>
      </c>
      <c r="J182" s="29">
        <v>1</v>
      </c>
      <c r="K182" s="9">
        <v>1</v>
      </c>
      <c r="L182" s="9">
        <v>1</v>
      </c>
      <c r="M182" s="9">
        <v>2</v>
      </c>
      <c r="N182" s="43">
        <v>2</v>
      </c>
      <c r="O182" s="262">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7" t="s">
        <v>110</v>
      </c>
      <c r="J183" s="29">
        <v>1</v>
      </c>
      <c r="K183" s="9">
        <v>1</v>
      </c>
      <c r="L183" s="9">
        <v>1</v>
      </c>
      <c r="M183" s="9">
        <v>2</v>
      </c>
      <c r="N183" s="43">
        <v>2</v>
      </c>
      <c r="O183" s="262">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7" t="s">
        <v>110</v>
      </c>
      <c r="J184" s="29">
        <v>1</v>
      </c>
      <c r="K184" s="9">
        <v>1</v>
      </c>
      <c r="L184" s="9">
        <v>1</v>
      </c>
      <c r="M184" s="9">
        <v>2</v>
      </c>
      <c r="N184" s="43">
        <v>2</v>
      </c>
      <c r="O184" s="262">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7" t="s">
        <v>110</v>
      </c>
      <c r="J185" s="29">
        <v>1</v>
      </c>
      <c r="K185" s="9">
        <v>1</v>
      </c>
      <c r="L185" s="9">
        <v>1</v>
      </c>
      <c r="M185" s="9">
        <v>2</v>
      </c>
      <c r="N185" s="43">
        <v>2</v>
      </c>
      <c r="O185" s="262">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7" t="s">
        <v>110</v>
      </c>
      <c r="J186" s="29">
        <v>1</v>
      </c>
      <c r="K186" s="9">
        <v>1</v>
      </c>
      <c r="L186" s="9">
        <v>1</v>
      </c>
      <c r="M186" s="9">
        <v>2</v>
      </c>
      <c r="N186" s="43">
        <v>2</v>
      </c>
      <c r="O186" s="262">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7" t="s">
        <v>110</v>
      </c>
      <c r="J187" s="29">
        <v>1</v>
      </c>
      <c r="K187" s="9">
        <v>1</v>
      </c>
      <c r="L187" s="9">
        <v>1</v>
      </c>
      <c r="M187" s="9">
        <v>2</v>
      </c>
      <c r="N187" s="43">
        <v>2</v>
      </c>
      <c r="O187" s="262">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7" t="s">
        <v>110</v>
      </c>
      <c r="J188" s="29">
        <v>1</v>
      </c>
      <c r="K188" s="9">
        <v>1</v>
      </c>
      <c r="L188" s="9">
        <v>1</v>
      </c>
      <c r="M188" s="9">
        <v>2</v>
      </c>
      <c r="N188" s="43">
        <v>2</v>
      </c>
      <c r="O188" s="262">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7" t="s">
        <v>110</v>
      </c>
      <c r="J189" s="29">
        <v>1</v>
      </c>
      <c r="K189" s="9">
        <v>1</v>
      </c>
      <c r="L189" s="9">
        <v>1</v>
      </c>
      <c r="M189" s="9">
        <v>2</v>
      </c>
      <c r="N189" s="43">
        <v>2</v>
      </c>
      <c r="O189" s="262">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7" t="s">
        <v>110</v>
      </c>
      <c r="J190" s="29">
        <v>1</v>
      </c>
      <c r="K190" s="9">
        <v>1</v>
      </c>
      <c r="L190" s="9">
        <v>1</v>
      </c>
      <c r="M190" s="9">
        <v>2</v>
      </c>
      <c r="N190" s="43">
        <v>2</v>
      </c>
      <c r="O190" s="262">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7" t="s">
        <v>110</v>
      </c>
      <c r="J191" s="29">
        <v>1</v>
      </c>
      <c r="K191" s="9">
        <v>1</v>
      </c>
      <c r="L191" s="9">
        <v>1</v>
      </c>
      <c r="M191" s="9">
        <v>2</v>
      </c>
      <c r="N191" s="43">
        <v>2</v>
      </c>
      <c r="O191" s="262">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7" t="s">
        <v>110</v>
      </c>
      <c r="J192" s="29">
        <v>1</v>
      </c>
      <c r="K192" s="9">
        <v>1</v>
      </c>
      <c r="L192" s="9">
        <v>1</v>
      </c>
      <c r="M192" s="9">
        <v>2</v>
      </c>
      <c r="N192" s="43">
        <v>2</v>
      </c>
      <c r="O192" s="262">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7" t="s">
        <v>110</v>
      </c>
      <c r="J193" s="29">
        <v>1</v>
      </c>
      <c r="K193" s="9">
        <v>1</v>
      </c>
      <c r="L193" s="9">
        <v>1</v>
      </c>
      <c r="M193" s="9">
        <v>2</v>
      </c>
      <c r="N193" s="43">
        <v>2</v>
      </c>
      <c r="O193" s="262">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7" t="s">
        <v>110</v>
      </c>
      <c r="J194" s="29">
        <v>1</v>
      </c>
      <c r="K194" s="9">
        <v>1</v>
      </c>
      <c r="L194" s="9">
        <v>1</v>
      </c>
      <c r="M194" s="9">
        <v>2</v>
      </c>
      <c r="N194" s="43">
        <v>2</v>
      </c>
      <c r="O194" s="262">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7" t="s">
        <v>110</v>
      </c>
      <c r="J195" s="29">
        <v>1</v>
      </c>
      <c r="K195" s="9">
        <v>1</v>
      </c>
      <c r="L195" s="9">
        <v>1</v>
      </c>
      <c r="M195" s="9">
        <v>2</v>
      </c>
      <c r="N195" s="43">
        <v>2</v>
      </c>
      <c r="O195" s="262">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7" t="s">
        <v>110</v>
      </c>
      <c r="J196" s="29">
        <v>1</v>
      </c>
      <c r="K196" s="9">
        <v>1</v>
      </c>
      <c r="L196" s="9">
        <v>1</v>
      </c>
      <c r="M196" s="9">
        <v>2</v>
      </c>
      <c r="N196" s="43">
        <v>2</v>
      </c>
      <c r="O196" s="262">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7" t="s">
        <v>110</v>
      </c>
      <c r="J197" s="29">
        <v>1</v>
      </c>
      <c r="K197" s="9">
        <v>1</v>
      </c>
      <c r="L197" s="9">
        <v>1</v>
      </c>
      <c r="M197" s="9">
        <v>2</v>
      </c>
      <c r="N197" s="43">
        <v>2</v>
      </c>
      <c r="O197" s="262">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7" t="s">
        <v>110</v>
      </c>
      <c r="J198" s="29">
        <v>1</v>
      </c>
      <c r="K198" s="9">
        <v>1</v>
      </c>
      <c r="L198" s="9">
        <v>1</v>
      </c>
      <c r="M198" s="9">
        <v>2</v>
      </c>
      <c r="N198" s="43">
        <v>2</v>
      </c>
      <c r="O198" s="262">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7" t="s">
        <v>110</v>
      </c>
      <c r="J199" s="29">
        <v>1</v>
      </c>
      <c r="K199" s="9">
        <v>1</v>
      </c>
      <c r="L199" s="9">
        <v>1</v>
      </c>
      <c r="M199" s="9">
        <v>2</v>
      </c>
      <c r="N199" s="43">
        <v>2</v>
      </c>
      <c r="O199" s="262">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7" t="s">
        <v>110</v>
      </c>
      <c r="J200" s="29">
        <v>1</v>
      </c>
      <c r="K200" s="9">
        <v>1</v>
      </c>
      <c r="L200" s="9">
        <v>1</v>
      </c>
      <c r="M200" s="9">
        <v>2</v>
      </c>
      <c r="N200" s="43">
        <v>2</v>
      </c>
      <c r="O200" s="262">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7" t="s">
        <v>110</v>
      </c>
      <c r="J201" s="29">
        <v>1</v>
      </c>
      <c r="K201" s="9">
        <v>1</v>
      </c>
      <c r="L201" s="9">
        <v>1</v>
      </c>
      <c r="M201" s="9">
        <v>2</v>
      </c>
      <c r="N201" s="43">
        <v>2</v>
      </c>
      <c r="O201" s="262">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7" t="s">
        <v>110</v>
      </c>
      <c r="J202" s="29">
        <v>1</v>
      </c>
      <c r="K202" s="9">
        <v>1</v>
      </c>
      <c r="L202" s="9">
        <v>1</v>
      </c>
      <c r="M202" s="9">
        <v>2</v>
      </c>
      <c r="N202" s="43">
        <v>2</v>
      </c>
      <c r="O202" s="262">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7" t="s">
        <v>110</v>
      </c>
      <c r="J203" s="29">
        <v>1</v>
      </c>
      <c r="K203" s="9">
        <v>1</v>
      </c>
      <c r="L203" s="9">
        <v>1</v>
      </c>
      <c r="M203" s="9">
        <v>2</v>
      </c>
      <c r="N203" s="43">
        <v>2</v>
      </c>
      <c r="O203" s="262">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7" t="s">
        <v>110</v>
      </c>
      <c r="J204" s="29">
        <v>1</v>
      </c>
      <c r="K204" s="9">
        <v>1</v>
      </c>
      <c r="L204" s="9">
        <v>1</v>
      </c>
      <c r="M204" s="9">
        <v>2</v>
      </c>
      <c r="N204" s="43">
        <v>2</v>
      </c>
      <c r="O204" s="262">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7" t="s">
        <v>110</v>
      </c>
      <c r="J205" s="29">
        <v>1</v>
      </c>
      <c r="K205" s="9">
        <v>1</v>
      </c>
      <c r="L205" s="9">
        <v>1</v>
      </c>
      <c r="M205" s="9">
        <v>2</v>
      </c>
      <c r="N205" s="43">
        <v>2</v>
      </c>
      <c r="O205" s="262">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7" t="s">
        <v>110</v>
      </c>
      <c r="J206" s="29">
        <v>1</v>
      </c>
      <c r="K206" s="9">
        <v>1</v>
      </c>
      <c r="L206" s="9">
        <v>1</v>
      </c>
      <c r="M206" s="9">
        <v>2</v>
      </c>
      <c r="N206" s="43">
        <v>2</v>
      </c>
      <c r="O206" s="262">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7" t="s">
        <v>110</v>
      </c>
      <c r="J207" s="29">
        <v>1</v>
      </c>
      <c r="K207" s="9">
        <v>1</v>
      </c>
      <c r="L207" s="9">
        <v>1</v>
      </c>
      <c r="M207" s="9">
        <v>2</v>
      </c>
      <c r="N207" s="43">
        <v>2</v>
      </c>
      <c r="O207" s="262">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7" t="s">
        <v>110</v>
      </c>
      <c r="J208" s="29">
        <v>1</v>
      </c>
      <c r="K208" s="9">
        <v>1</v>
      </c>
      <c r="L208" s="9">
        <v>1</v>
      </c>
      <c r="M208" s="9">
        <v>2</v>
      </c>
      <c r="N208" s="43">
        <v>2</v>
      </c>
      <c r="O208" s="262">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7" t="s">
        <v>110</v>
      </c>
      <c r="J209" s="29">
        <v>1</v>
      </c>
      <c r="K209" s="9">
        <v>1</v>
      </c>
      <c r="L209" s="9">
        <v>1</v>
      </c>
      <c r="M209" s="9">
        <v>2</v>
      </c>
      <c r="N209" s="43">
        <v>2</v>
      </c>
      <c r="O209" s="262">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7" t="s">
        <v>110</v>
      </c>
      <c r="J210" s="29">
        <v>1</v>
      </c>
      <c r="K210" s="9">
        <v>1</v>
      </c>
      <c r="L210" s="9">
        <v>1</v>
      </c>
      <c r="M210" s="9">
        <v>2</v>
      </c>
      <c r="N210" s="43">
        <v>2</v>
      </c>
      <c r="O210" s="262">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7" t="s">
        <v>110</v>
      </c>
      <c r="J211" s="29">
        <v>1</v>
      </c>
      <c r="K211" s="9">
        <v>1</v>
      </c>
      <c r="L211" s="9">
        <v>1</v>
      </c>
      <c r="M211" s="9">
        <v>2</v>
      </c>
      <c r="N211" s="43">
        <v>2</v>
      </c>
      <c r="O211" s="262">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7" t="s">
        <v>110</v>
      </c>
      <c r="J212" s="29">
        <v>1</v>
      </c>
      <c r="K212" s="9">
        <v>1</v>
      </c>
      <c r="L212" s="9">
        <v>1</v>
      </c>
      <c r="M212" s="9">
        <v>2</v>
      </c>
      <c r="N212" s="43">
        <v>2</v>
      </c>
      <c r="O212" s="262">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7" t="s">
        <v>110</v>
      </c>
      <c r="J213" s="29">
        <v>1</v>
      </c>
      <c r="K213" s="9">
        <v>1</v>
      </c>
      <c r="L213" s="9">
        <v>1</v>
      </c>
      <c r="M213" s="9">
        <v>2</v>
      </c>
      <c r="N213" s="43">
        <v>2</v>
      </c>
      <c r="O213" s="262">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7" t="s">
        <v>110</v>
      </c>
      <c r="J214" s="29">
        <v>1</v>
      </c>
      <c r="K214" s="9">
        <v>1</v>
      </c>
      <c r="L214" s="9">
        <v>1</v>
      </c>
      <c r="M214" s="9">
        <v>2</v>
      </c>
      <c r="N214" s="43">
        <v>2</v>
      </c>
      <c r="O214" s="262">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7" t="s">
        <v>110</v>
      </c>
      <c r="J215" s="29">
        <v>1</v>
      </c>
      <c r="K215" s="9">
        <v>1</v>
      </c>
      <c r="L215" s="9">
        <v>1</v>
      </c>
      <c r="M215" s="9">
        <v>2</v>
      </c>
      <c r="N215" s="43">
        <v>2</v>
      </c>
      <c r="O215" s="262">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7" t="s">
        <v>110</v>
      </c>
      <c r="J216" s="29">
        <v>1</v>
      </c>
      <c r="K216" s="9">
        <v>1</v>
      </c>
      <c r="L216" s="9">
        <v>1</v>
      </c>
      <c r="M216" s="9">
        <v>2</v>
      </c>
      <c r="N216" s="43">
        <v>2</v>
      </c>
      <c r="O216" s="262">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7" t="s">
        <v>110</v>
      </c>
      <c r="J217" s="29">
        <v>1</v>
      </c>
      <c r="K217" s="9">
        <v>1</v>
      </c>
      <c r="L217" s="9">
        <v>1</v>
      </c>
      <c r="M217" s="9">
        <v>2</v>
      </c>
      <c r="N217" s="43">
        <v>2</v>
      </c>
      <c r="O217" s="262">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7" t="s">
        <v>110</v>
      </c>
      <c r="J218" s="29">
        <v>1</v>
      </c>
      <c r="K218" s="9">
        <v>1</v>
      </c>
      <c r="L218" s="9">
        <v>1</v>
      </c>
      <c r="M218" s="9">
        <v>2</v>
      </c>
      <c r="N218" s="43">
        <v>2</v>
      </c>
      <c r="O218" s="262">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7" t="s">
        <v>110</v>
      </c>
      <c r="J219" s="29">
        <v>1</v>
      </c>
      <c r="K219" s="9">
        <v>1</v>
      </c>
      <c r="L219" s="9">
        <v>1</v>
      </c>
      <c r="M219" s="9">
        <v>2</v>
      </c>
      <c r="N219" s="43">
        <v>2</v>
      </c>
      <c r="O219" s="262">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7" t="s">
        <v>110</v>
      </c>
      <c r="J220" s="29">
        <v>1</v>
      </c>
      <c r="K220" s="9">
        <v>1</v>
      </c>
      <c r="L220" s="9">
        <v>1</v>
      </c>
      <c r="M220" s="9">
        <v>2</v>
      </c>
      <c r="N220" s="43">
        <v>2</v>
      </c>
      <c r="O220" s="262">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7" t="s">
        <v>110</v>
      </c>
      <c r="J221" s="29">
        <v>1</v>
      </c>
      <c r="K221" s="9">
        <v>1</v>
      </c>
      <c r="L221" s="9">
        <v>1</v>
      </c>
      <c r="M221" s="9">
        <v>2</v>
      </c>
      <c r="N221" s="43">
        <v>2</v>
      </c>
      <c r="O221" s="262">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7" t="s">
        <v>110</v>
      </c>
      <c r="J222" s="29">
        <v>1</v>
      </c>
      <c r="K222" s="9">
        <v>1</v>
      </c>
      <c r="L222" s="9">
        <v>1</v>
      </c>
      <c r="M222" s="9">
        <v>2</v>
      </c>
      <c r="N222" s="43">
        <v>2</v>
      </c>
      <c r="O222" s="262">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7" t="s">
        <v>110</v>
      </c>
      <c r="J223" s="29">
        <v>1</v>
      </c>
      <c r="K223" s="9">
        <v>1</v>
      </c>
      <c r="L223" s="9">
        <v>1</v>
      </c>
      <c r="M223" s="9">
        <v>2</v>
      </c>
      <c r="N223" s="43">
        <v>2</v>
      </c>
      <c r="O223" s="262">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7" t="s">
        <v>110</v>
      </c>
      <c r="J224" s="29">
        <v>1</v>
      </c>
      <c r="K224" s="9">
        <v>1</v>
      </c>
      <c r="L224" s="9">
        <v>1</v>
      </c>
      <c r="M224" s="9">
        <v>2</v>
      </c>
      <c r="N224" s="43">
        <v>2</v>
      </c>
      <c r="O224" s="262">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7" t="s">
        <v>110</v>
      </c>
      <c r="J225" s="29">
        <v>1</v>
      </c>
      <c r="K225" s="9">
        <v>1</v>
      </c>
      <c r="L225" s="9">
        <v>1</v>
      </c>
      <c r="M225" s="9">
        <v>2</v>
      </c>
      <c r="N225" s="43">
        <v>2</v>
      </c>
      <c r="O225" s="262">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7" t="s">
        <v>110</v>
      </c>
      <c r="J226" s="29">
        <v>1</v>
      </c>
      <c r="K226" s="9">
        <v>1</v>
      </c>
      <c r="L226" s="9">
        <v>1</v>
      </c>
      <c r="M226" s="9">
        <v>2</v>
      </c>
      <c r="N226" s="43">
        <v>2</v>
      </c>
      <c r="O226" s="262">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7" t="s">
        <v>110</v>
      </c>
      <c r="J227" s="29">
        <v>1</v>
      </c>
      <c r="K227" s="9">
        <v>1</v>
      </c>
      <c r="L227" s="9">
        <v>1</v>
      </c>
      <c r="M227" s="9">
        <v>2</v>
      </c>
      <c r="N227" s="43">
        <v>2</v>
      </c>
      <c r="O227" s="262">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7" t="s">
        <v>110</v>
      </c>
      <c r="J228" s="29">
        <v>1</v>
      </c>
      <c r="K228" s="9">
        <v>1</v>
      </c>
      <c r="L228" s="9">
        <v>1</v>
      </c>
      <c r="M228" s="9">
        <v>2</v>
      </c>
      <c r="N228" s="43">
        <v>2</v>
      </c>
      <c r="O228" s="262">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7" t="s">
        <v>110</v>
      </c>
      <c r="J229" s="29">
        <v>1</v>
      </c>
      <c r="K229" s="9">
        <v>1</v>
      </c>
      <c r="L229" s="9">
        <v>1</v>
      </c>
      <c r="M229" s="9">
        <v>2</v>
      </c>
      <c r="N229" s="43">
        <v>2</v>
      </c>
      <c r="O229" s="262">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7" t="s">
        <v>110</v>
      </c>
      <c r="J230" s="29">
        <v>1</v>
      </c>
      <c r="K230" s="9">
        <v>1</v>
      </c>
      <c r="L230" s="9">
        <v>1</v>
      </c>
      <c r="M230" s="9">
        <v>2</v>
      </c>
      <c r="N230" s="43">
        <v>2</v>
      </c>
      <c r="O230" s="262">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7" t="s">
        <v>110</v>
      </c>
      <c r="J231" s="29">
        <v>1</v>
      </c>
      <c r="K231" s="9">
        <v>1</v>
      </c>
      <c r="L231" s="9">
        <v>1</v>
      </c>
      <c r="M231" s="9">
        <v>2</v>
      </c>
      <c r="N231" s="43">
        <v>2</v>
      </c>
      <c r="O231" s="262">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7" t="s">
        <v>110</v>
      </c>
      <c r="J232" s="29">
        <v>1</v>
      </c>
      <c r="K232" s="9">
        <v>1</v>
      </c>
      <c r="L232" s="9">
        <v>1</v>
      </c>
      <c r="M232" s="9">
        <v>2</v>
      </c>
      <c r="N232" s="43">
        <v>2</v>
      </c>
      <c r="O232" s="262">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7" t="s">
        <v>110</v>
      </c>
      <c r="J233" s="29">
        <v>1</v>
      </c>
      <c r="K233" s="9">
        <v>1</v>
      </c>
      <c r="L233" s="9">
        <v>1</v>
      </c>
      <c r="M233" s="9">
        <v>2</v>
      </c>
      <c r="N233" s="43">
        <v>2</v>
      </c>
      <c r="O233" s="262">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7" t="s">
        <v>110</v>
      </c>
      <c r="J234" s="29">
        <v>1</v>
      </c>
      <c r="K234" s="9">
        <v>1</v>
      </c>
      <c r="L234" s="9">
        <v>1</v>
      </c>
      <c r="M234" s="9">
        <v>2</v>
      </c>
      <c r="N234" s="43">
        <v>2</v>
      </c>
      <c r="O234" s="262">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7" t="s">
        <v>110</v>
      </c>
      <c r="J235" s="29">
        <v>1</v>
      </c>
      <c r="K235" s="9">
        <v>1</v>
      </c>
      <c r="L235" s="9">
        <v>1</v>
      </c>
      <c r="M235" s="9">
        <v>2</v>
      </c>
      <c r="N235" s="43">
        <v>2</v>
      </c>
      <c r="O235" s="262">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7" t="s">
        <v>110</v>
      </c>
      <c r="J236" s="29">
        <v>1</v>
      </c>
      <c r="K236" s="9">
        <v>1</v>
      </c>
      <c r="L236" s="9">
        <v>1</v>
      </c>
      <c r="M236" s="9">
        <v>2</v>
      </c>
      <c r="N236" s="43">
        <v>2</v>
      </c>
      <c r="O236" s="262">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7" t="s">
        <v>110</v>
      </c>
      <c r="J237" s="29">
        <v>1</v>
      </c>
      <c r="K237" s="9">
        <v>1</v>
      </c>
      <c r="L237" s="9">
        <v>1</v>
      </c>
      <c r="M237" s="9">
        <v>2</v>
      </c>
      <c r="N237" s="43">
        <v>2</v>
      </c>
      <c r="O237" s="262">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7" t="s">
        <v>110</v>
      </c>
      <c r="J238" s="29">
        <v>1</v>
      </c>
      <c r="K238" s="9">
        <v>1</v>
      </c>
      <c r="L238" s="9">
        <v>1</v>
      </c>
      <c r="M238" s="9">
        <v>2</v>
      </c>
      <c r="N238" s="43">
        <v>2</v>
      </c>
      <c r="O238" s="262">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7" t="s">
        <v>110</v>
      </c>
      <c r="J239" s="29">
        <v>1</v>
      </c>
      <c r="K239" s="9">
        <v>1</v>
      </c>
      <c r="L239" s="9">
        <v>1</v>
      </c>
      <c r="M239" s="9">
        <v>2</v>
      </c>
      <c r="N239" s="43">
        <v>2</v>
      </c>
      <c r="O239" s="262">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7" t="s">
        <v>110</v>
      </c>
      <c r="J240" s="29">
        <v>1</v>
      </c>
      <c r="K240" s="9">
        <v>1</v>
      </c>
      <c r="L240" s="9">
        <v>1</v>
      </c>
      <c r="M240" s="9">
        <v>2</v>
      </c>
      <c r="N240" s="43">
        <v>2</v>
      </c>
      <c r="O240" s="262">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7" t="s">
        <v>110</v>
      </c>
      <c r="J241" s="29">
        <v>1</v>
      </c>
      <c r="K241" s="9">
        <v>1</v>
      </c>
      <c r="L241" s="9">
        <v>1</v>
      </c>
      <c r="M241" s="9">
        <v>2</v>
      </c>
      <c r="N241" s="43">
        <v>2</v>
      </c>
      <c r="O241" s="262">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7" t="s">
        <v>110</v>
      </c>
      <c r="J242" s="29">
        <v>1</v>
      </c>
      <c r="K242" s="9">
        <v>1</v>
      </c>
      <c r="L242" s="9">
        <v>1</v>
      </c>
      <c r="M242" s="9">
        <v>2</v>
      </c>
      <c r="N242" s="43">
        <v>2</v>
      </c>
      <c r="O242" s="262">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7" t="s">
        <v>110</v>
      </c>
      <c r="J243" s="29">
        <v>1</v>
      </c>
      <c r="K243" s="9">
        <v>1</v>
      </c>
      <c r="L243" s="9">
        <v>1</v>
      </c>
      <c r="M243" s="9">
        <v>2</v>
      </c>
      <c r="N243" s="43">
        <v>2</v>
      </c>
      <c r="O243" s="262">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7" t="s">
        <v>110</v>
      </c>
      <c r="J244" s="29">
        <v>1</v>
      </c>
      <c r="K244" s="9">
        <v>1</v>
      </c>
      <c r="L244" s="9">
        <v>1</v>
      </c>
      <c r="M244" s="9">
        <v>2</v>
      </c>
      <c r="N244" s="43">
        <v>2</v>
      </c>
      <c r="O244" s="262">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7" t="s">
        <v>110</v>
      </c>
      <c r="J245" s="29">
        <v>1</v>
      </c>
      <c r="K245" s="9">
        <v>1</v>
      </c>
      <c r="L245" s="9">
        <v>1</v>
      </c>
      <c r="M245" s="9">
        <v>2</v>
      </c>
      <c r="N245" s="43">
        <v>2</v>
      </c>
      <c r="O245" s="262">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7" t="s">
        <v>110</v>
      </c>
      <c r="J246" s="29">
        <v>1</v>
      </c>
      <c r="K246" s="9">
        <v>1</v>
      </c>
      <c r="L246" s="9">
        <v>1</v>
      </c>
      <c r="M246" s="9">
        <v>2</v>
      </c>
      <c r="N246" s="43">
        <v>2</v>
      </c>
      <c r="O246" s="262">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7" t="s">
        <v>110</v>
      </c>
      <c r="J247" s="29">
        <v>1</v>
      </c>
      <c r="K247" s="9">
        <v>1</v>
      </c>
      <c r="L247" s="9">
        <v>1</v>
      </c>
      <c r="M247" s="9">
        <v>2</v>
      </c>
      <c r="N247" s="43">
        <v>2</v>
      </c>
      <c r="O247" s="262">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7" t="s">
        <v>110</v>
      </c>
      <c r="J248" s="29">
        <v>1</v>
      </c>
      <c r="K248" s="9">
        <v>1</v>
      </c>
      <c r="L248" s="9">
        <v>1</v>
      </c>
      <c r="M248" s="9">
        <v>2</v>
      </c>
      <c r="N248" s="43">
        <v>2</v>
      </c>
      <c r="O248" s="262">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7" t="s">
        <v>110</v>
      </c>
      <c r="J249" s="29">
        <v>1</v>
      </c>
      <c r="K249" s="9">
        <v>1</v>
      </c>
      <c r="L249" s="9">
        <v>1</v>
      </c>
      <c r="M249" s="9">
        <v>2</v>
      </c>
      <c r="N249" s="43">
        <v>2</v>
      </c>
      <c r="O249" s="262">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7" t="s">
        <v>110</v>
      </c>
      <c r="J250" s="29">
        <v>1</v>
      </c>
      <c r="K250" s="9">
        <v>1</v>
      </c>
      <c r="L250" s="9">
        <v>1</v>
      </c>
      <c r="M250" s="9">
        <v>2</v>
      </c>
      <c r="N250" s="43">
        <v>2</v>
      </c>
      <c r="O250" s="262">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7" t="s">
        <v>110</v>
      </c>
      <c r="J251" s="29">
        <v>1</v>
      </c>
      <c r="K251" s="9">
        <v>1</v>
      </c>
      <c r="L251" s="9">
        <v>1</v>
      </c>
      <c r="M251" s="9">
        <v>2</v>
      </c>
      <c r="N251" s="43">
        <v>2</v>
      </c>
      <c r="O251" s="262">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7" t="s">
        <v>110</v>
      </c>
      <c r="J252" s="29">
        <v>1</v>
      </c>
      <c r="K252" s="9">
        <v>1</v>
      </c>
      <c r="L252" s="9">
        <v>1</v>
      </c>
      <c r="M252" s="9">
        <v>2</v>
      </c>
      <c r="N252" s="43">
        <v>2</v>
      </c>
      <c r="O252" s="262">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7" t="s">
        <v>110</v>
      </c>
      <c r="J253" s="29">
        <v>1</v>
      </c>
      <c r="K253" s="9">
        <v>1</v>
      </c>
      <c r="L253" s="9">
        <v>1</v>
      </c>
      <c r="M253" s="9">
        <v>2</v>
      </c>
      <c r="N253" s="43">
        <v>2</v>
      </c>
      <c r="O253" s="262">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7" t="s">
        <v>110</v>
      </c>
      <c r="J254" s="29">
        <v>1</v>
      </c>
      <c r="K254" s="9">
        <v>1</v>
      </c>
      <c r="L254" s="9">
        <v>1</v>
      </c>
      <c r="M254" s="9">
        <v>2</v>
      </c>
      <c r="N254" s="43">
        <v>2</v>
      </c>
      <c r="O254" s="262">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7" t="s">
        <v>110</v>
      </c>
      <c r="J255" s="29">
        <v>1</v>
      </c>
      <c r="K255" s="9">
        <v>1</v>
      </c>
      <c r="L255" s="9">
        <v>1</v>
      </c>
      <c r="M255" s="9">
        <v>2</v>
      </c>
      <c r="N255" s="43">
        <v>2</v>
      </c>
      <c r="O255" s="262">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7" t="s">
        <v>110</v>
      </c>
      <c r="J256" s="29">
        <v>1</v>
      </c>
      <c r="K256" s="9">
        <v>1</v>
      </c>
      <c r="L256" s="9">
        <v>1</v>
      </c>
      <c r="M256" s="9">
        <v>2</v>
      </c>
      <c r="N256" s="43">
        <v>2</v>
      </c>
      <c r="O256" s="262">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7" t="s">
        <v>110</v>
      </c>
      <c r="J257" s="29">
        <v>1</v>
      </c>
      <c r="K257" s="9">
        <v>1</v>
      </c>
      <c r="L257" s="9">
        <v>1</v>
      </c>
      <c r="M257" s="9">
        <v>2</v>
      </c>
      <c r="N257" s="43">
        <v>2</v>
      </c>
      <c r="O257" s="262">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7" t="s">
        <v>110</v>
      </c>
      <c r="J258" s="29">
        <v>1</v>
      </c>
      <c r="K258" s="9">
        <v>1</v>
      </c>
      <c r="L258" s="9">
        <v>1</v>
      </c>
      <c r="M258" s="9">
        <v>2</v>
      </c>
      <c r="N258" s="43">
        <v>2</v>
      </c>
      <c r="O258" s="262">
        <f t="shared" si="4"/>
        <v>0.35859414261160716</v>
      </c>
      <c r="P258" s="163" t="s">
        <v>111</v>
      </c>
    </row>
    <row r="259" spans="1:16">
      <c r="A259" s="224">
        <v>2014</v>
      </c>
      <c r="B259" s="224">
        <v>359</v>
      </c>
      <c r="C259" s="224" t="s">
        <v>91</v>
      </c>
      <c r="D259" s="224">
        <v>64</v>
      </c>
      <c r="E259" s="224">
        <v>423</v>
      </c>
      <c r="F259" s="224">
        <v>0</v>
      </c>
      <c r="G259" s="224">
        <v>1</v>
      </c>
      <c r="H259" s="224">
        <v>0</v>
      </c>
      <c r="I259" s="307" t="s">
        <v>110</v>
      </c>
      <c r="J259" s="29">
        <v>1</v>
      </c>
      <c r="K259" s="9">
        <v>1</v>
      </c>
      <c r="L259" s="9">
        <v>1</v>
      </c>
      <c r="M259" s="9">
        <v>2</v>
      </c>
      <c r="N259" s="43">
        <v>2</v>
      </c>
      <c r="O259" s="262">
        <f t="shared" si="4"/>
        <v>0.35859414261160716</v>
      </c>
      <c r="P259" s="163" t="s">
        <v>111</v>
      </c>
    </row>
    <row r="260" spans="1:16">
      <c r="A260" s="224">
        <v>2014</v>
      </c>
      <c r="B260" s="224">
        <v>137</v>
      </c>
      <c r="C260" s="224" t="s">
        <v>94</v>
      </c>
      <c r="D260" s="224">
        <v>18</v>
      </c>
      <c r="E260" s="224">
        <v>155</v>
      </c>
      <c r="F260" s="224">
        <v>0</v>
      </c>
      <c r="G260" s="224">
        <v>1</v>
      </c>
      <c r="H260" s="224">
        <v>0</v>
      </c>
      <c r="I260" s="307" t="s">
        <v>110</v>
      </c>
      <c r="J260" s="29">
        <v>1</v>
      </c>
      <c r="K260" s="9">
        <v>1</v>
      </c>
      <c r="L260" s="9">
        <v>1</v>
      </c>
      <c r="M260" s="9">
        <v>2</v>
      </c>
      <c r="N260" s="43">
        <v>2</v>
      </c>
      <c r="O260" s="262">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7" t="s">
        <v>110</v>
      </c>
      <c r="J261" s="29">
        <v>1</v>
      </c>
      <c r="K261" s="9">
        <v>1</v>
      </c>
      <c r="L261" s="9">
        <v>1</v>
      </c>
      <c r="M261" s="9">
        <v>2</v>
      </c>
      <c r="N261" s="43">
        <v>2</v>
      </c>
      <c r="O261" s="262">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7" t="s">
        <v>110</v>
      </c>
      <c r="J262" s="29">
        <v>1</v>
      </c>
      <c r="K262" s="9">
        <v>1</v>
      </c>
      <c r="L262" s="9">
        <v>1</v>
      </c>
      <c r="M262" s="9">
        <v>2</v>
      </c>
      <c r="N262" s="43">
        <v>2</v>
      </c>
      <c r="O262" s="262">
        <f t="shared" si="4"/>
        <v>0.35859414261160716</v>
      </c>
      <c r="P262" s="163" t="s">
        <v>111</v>
      </c>
    </row>
    <row r="263" spans="1:16">
      <c r="A263" s="224">
        <v>2014</v>
      </c>
      <c r="B263" s="224">
        <v>254</v>
      </c>
      <c r="C263" s="224" t="s">
        <v>95</v>
      </c>
      <c r="D263" s="224">
        <v>56</v>
      </c>
      <c r="E263" s="224">
        <v>310</v>
      </c>
      <c r="F263" s="224">
        <v>0</v>
      </c>
      <c r="G263" s="224">
        <v>1</v>
      </c>
      <c r="H263" s="224">
        <v>0</v>
      </c>
      <c r="I263" s="307" t="s">
        <v>110</v>
      </c>
      <c r="J263" s="29">
        <v>1</v>
      </c>
      <c r="K263" s="9">
        <v>1</v>
      </c>
      <c r="L263" s="9">
        <v>1</v>
      </c>
      <c r="M263" s="9">
        <v>2</v>
      </c>
      <c r="N263" s="43">
        <v>2</v>
      </c>
      <c r="O263" s="262">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7" t="s">
        <v>110</v>
      </c>
      <c r="J264" s="29">
        <v>1</v>
      </c>
      <c r="K264" s="9">
        <v>1</v>
      </c>
      <c r="L264" s="9">
        <v>1</v>
      </c>
      <c r="M264" s="9">
        <v>2</v>
      </c>
      <c r="N264" s="43">
        <v>2</v>
      </c>
      <c r="O264" s="262">
        <f t="shared" si="5"/>
        <v>0.35859414261160716</v>
      </c>
      <c r="P264" s="163" t="s">
        <v>111</v>
      </c>
    </row>
    <row r="265" spans="1:16">
      <c r="A265" s="224">
        <v>2014</v>
      </c>
      <c r="B265" s="224">
        <v>2236</v>
      </c>
      <c r="C265" s="224" t="s">
        <v>98</v>
      </c>
      <c r="D265" s="224">
        <v>912</v>
      </c>
      <c r="E265" s="224">
        <v>3148</v>
      </c>
      <c r="F265" s="224">
        <v>0</v>
      </c>
      <c r="G265" s="224">
        <v>1</v>
      </c>
      <c r="H265" s="224">
        <v>0</v>
      </c>
      <c r="I265" s="307" t="s">
        <v>110</v>
      </c>
      <c r="J265" s="29">
        <v>1</v>
      </c>
      <c r="K265" s="9">
        <v>1</v>
      </c>
      <c r="L265" s="9">
        <v>1</v>
      </c>
      <c r="M265" s="9">
        <v>2</v>
      </c>
      <c r="N265" s="43">
        <v>2</v>
      </c>
      <c r="O265" s="262">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7" t="s">
        <v>110</v>
      </c>
      <c r="J266" s="29">
        <v>1</v>
      </c>
      <c r="K266" s="9">
        <v>1</v>
      </c>
      <c r="L266" s="9">
        <v>1</v>
      </c>
      <c r="M266" s="9">
        <v>2</v>
      </c>
      <c r="N266" s="43">
        <v>2</v>
      </c>
      <c r="O266" s="262">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7" t="s">
        <v>110</v>
      </c>
      <c r="J267" s="29">
        <v>1</v>
      </c>
      <c r="K267" s="9">
        <v>1</v>
      </c>
      <c r="L267" s="9">
        <v>1</v>
      </c>
      <c r="M267" s="9">
        <v>2</v>
      </c>
      <c r="N267" s="43">
        <v>2</v>
      </c>
      <c r="O267" s="262">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7" t="s">
        <v>110</v>
      </c>
      <c r="J268" s="29">
        <v>1</v>
      </c>
      <c r="K268" s="9">
        <v>1</v>
      </c>
      <c r="L268" s="9">
        <v>1</v>
      </c>
      <c r="M268" s="9">
        <v>2</v>
      </c>
      <c r="N268" s="43">
        <v>2</v>
      </c>
      <c r="O268" s="262">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7" t="s">
        <v>110</v>
      </c>
      <c r="J269" s="29">
        <v>1</v>
      </c>
      <c r="K269" s="9">
        <v>1</v>
      </c>
      <c r="L269" s="9">
        <v>1</v>
      </c>
      <c r="M269" s="9">
        <v>2</v>
      </c>
      <c r="N269" s="43">
        <v>2</v>
      </c>
      <c r="O269" s="262">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7" t="s">
        <v>110</v>
      </c>
      <c r="J270" s="29">
        <v>1</v>
      </c>
      <c r="K270" s="9">
        <v>1</v>
      </c>
      <c r="L270" s="9">
        <v>1</v>
      </c>
      <c r="M270" s="9">
        <v>2</v>
      </c>
      <c r="N270" s="43">
        <v>2</v>
      </c>
      <c r="O270" s="262">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7" t="s">
        <v>110</v>
      </c>
      <c r="J271" s="29">
        <v>1</v>
      </c>
      <c r="K271" s="9">
        <v>1</v>
      </c>
      <c r="L271" s="9">
        <v>1</v>
      </c>
      <c r="M271" s="9">
        <v>2</v>
      </c>
      <c r="N271" s="43">
        <v>2</v>
      </c>
      <c r="O271" s="262">
        <f t="shared" si="5"/>
        <v>0.35859414261160716</v>
      </c>
      <c r="P271" s="163" t="s">
        <v>111</v>
      </c>
    </row>
    <row r="272" spans="1:16">
      <c r="A272" s="224">
        <v>2015</v>
      </c>
      <c r="B272" s="224">
        <v>421</v>
      </c>
      <c r="C272" s="224" t="s">
        <v>91</v>
      </c>
      <c r="D272" s="224">
        <v>76</v>
      </c>
      <c r="E272" s="224">
        <v>497</v>
      </c>
      <c r="F272" s="224">
        <v>0</v>
      </c>
      <c r="G272" s="224">
        <v>1</v>
      </c>
      <c r="H272" s="224">
        <v>0</v>
      </c>
      <c r="I272" s="307" t="s">
        <v>110</v>
      </c>
      <c r="J272" s="29">
        <v>1</v>
      </c>
      <c r="K272" s="9">
        <v>1</v>
      </c>
      <c r="L272" s="9">
        <v>1</v>
      </c>
      <c r="M272" s="9">
        <v>2</v>
      </c>
      <c r="N272" s="43">
        <v>2</v>
      </c>
      <c r="O272" s="262">
        <f t="shared" si="5"/>
        <v>0.35859414261160716</v>
      </c>
      <c r="P272" s="163" t="s">
        <v>111</v>
      </c>
    </row>
    <row r="273" spans="1:16">
      <c r="A273" s="224">
        <v>2015</v>
      </c>
      <c r="B273" s="224">
        <v>159</v>
      </c>
      <c r="C273" s="224" t="s">
        <v>94</v>
      </c>
      <c r="D273" s="224">
        <v>17</v>
      </c>
      <c r="E273" s="224">
        <v>176</v>
      </c>
      <c r="F273" s="224">
        <v>0</v>
      </c>
      <c r="G273" s="224">
        <v>1</v>
      </c>
      <c r="H273" s="224">
        <v>0</v>
      </c>
      <c r="I273" s="307" t="s">
        <v>110</v>
      </c>
      <c r="J273" s="29">
        <v>1</v>
      </c>
      <c r="K273" s="9">
        <v>1</v>
      </c>
      <c r="L273" s="9">
        <v>1</v>
      </c>
      <c r="M273" s="9">
        <v>2</v>
      </c>
      <c r="N273" s="43">
        <v>2</v>
      </c>
      <c r="O273" s="262">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7" t="s">
        <v>110</v>
      </c>
      <c r="J274" s="29">
        <v>1</v>
      </c>
      <c r="K274" s="9">
        <v>1</v>
      </c>
      <c r="L274" s="9">
        <v>1</v>
      </c>
      <c r="M274" s="9">
        <v>2</v>
      </c>
      <c r="N274" s="43">
        <v>2</v>
      </c>
      <c r="O274" s="262">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7" t="s">
        <v>110</v>
      </c>
      <c r="J275" s="29">
        <v>1</v>
      </c>
      <c r="K275" s="9">
        <v>1</v>
      </c>
      <c r="L275" s="9">
        <v>1</v>
      </c>
      <c r="M275" s="9">
        <v>2</v>
      </c>
      <c r="N275" s="43">
        <v>2</v>
      </c>
      <c r="O275" s="262">
        <f t="shared" si="5"/>
        <v>0.35859414261160716</v>
      </c>
      <c r="P275" s="163" t="s">
        <v>111</v>
      </c>
    </row>
    <row r="276" spans="1:16">
      <c r="A276" s="224">
        <v>2015</v>
      </c>
      <c r="B276" s="224">
        <v>270</v>
      </c>
      <c r="C276" s="224" t="s">
        <v>95</v>
      </c>
      <c r="D276" s="224">
        <v>54</v>
      </c>
      <c r="E276" s="224">
        <v>324</v>
      </c>
      <c r="F276" s="224">
        <v>0</v>
      </c>
      <c r="G276" s="224">
        <v>1</v>
      </c>
      <c r="H276" s="224">
        <v>0</v>
      </c>
      <c r="I276" s="307" t="s">
        <v>110</v>
      </c>
      <c r="J276" s="29">
        <v>1</v>
      </c>
      <c r="K276" s="9">
        <v>1</v>
      </c>
      <c r="L276" s="9">
        <v>1</v>
      </c>
      <c r="M276" s="9">
        <v>2</v>
      </c>
      <c r="N276" s="43">
        <v>2</v>
      </c>
      <c r="O276" s="262">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7" t="s">
        <v>110</v>
      </c>
      <c r="J277" s="29">
        <v>1</v>
      </c>
      <c r="K277" s="9">
        <v>1</v>
      </c>
      <c r="L277" s="9">
        <v>1</v>
      </c>
      <c r="M277" s="9">
        <v>2</v>
      </c>
      <c r="N277" s="43">
        <v>2</v>
      </c>
      <c r="O277" s="262">
        <f t="shared" si="5"/>
        <v>0.35859414261160716</v>
      </c>
      <c r="P277" s="163" t="s">
        <v>111</v>
      </c>
    </row>
    <row r="278" spans="1:16">
      <c r="A278" s="224">
        <v>2015</v>
      </c>
      <c r="B278" s="224">
        <v>2411</v>
      </c>
      <c r="C278" s="224" t="s">
        <v>98</v>
      </c>
      <c r="D278" s="224">
        <v>983</v>
      </c>
      <c r="E278" s="224">
        <v>3394</v>
      </c>
      <c r="F278" s="224">
        <v>0</v>
      </c>
      <c r="G278" s="224">
        <v>1</v>
      </c>
      <c r="H278" s="224">
        <v>0</v>
      </c>
      <c r="I278" s="307" t="s">
        <v>110</v>
      </c>
      <c r="J278" s="29">
        <v>1</v>
      </c>
      <c r="K278" s="9">
        <v>1</v>
      </c>
      <c r="L278" s="9">
        <v>1</v>
      </c>
      <c r="M278" s="9">
        <v>2</v>
      </c>
      <c r="N278" s="43">
        <v>2</v>
      </c>
      <c r="O278" s="262">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7" t="s">
        <v>110</v>
      </c>
      <c r="J279" s="29">
        <v>1</v>
      </c>
      <c r="K279" s="9">
        <v>1</v>
      </c>
      <c r="L279" s="9">
        <v>1</v>
      </c>
      <c r="M279" s="9">
        <v>2</v>
      </c>
      <c r="N279" s="43">
        <v>2</v>
      </c>
      <c r="O279" s="262">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7" t="s">
        <v>110</v>
      </c>
      <c r="J280" s="29">
        <v>1</v>
      </c>
      <c r="K280" s="9">
        <v>1</v>
      </c>
      <c r="L280" s="9">
        <v>1</v>
      </c>
      <c r="M280" s="9">
        <v>2</v>
      </c>
      <c r="N280" s="43">
        <v>2</v>
      </c>
      <c r="O280" s="262">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7" t="s">
        <v>110</v>
      </c>
      <c r="J281" s="29">
        <v>1</v>
      </c>
      <c r="K281" s="9">
        <v>1</v>
      </c>
      <c r="L281" s="9">
        <v>1</v>
      </c>
      <c r="M281" s="9">
        <v>2</v>
      </c>
      <c r="N281" s="43">
        <v>2</v>
      </c>
      <c r="O281" s="262">
        <f t="shared" si="5"/>
        <v>0.35859414261160716</v>
      </c>
      <c r="P281" s="163" t="s">
        <v>111</v>
      </c>
    </row>
    <row r="282" spans="1:16">
      <c r="A282" s="224">
        <v>2016</v>
      </c>
      <c r="B282" s="224">
        <v>4</v>
      </c>
      <c r="C282" s="224" t="s">
        <v>88</v>
      </c>
      <c r="D282" s="224">
        <v>46</v>
      </c>
      <c r="E282" s="224">
        <v>18</v>
      </c>
      <c r="F282" s="224">
        <v>32</v>
      </c>
      <c r="G282" s="224">
        <v>0.36</v>
      </c>
      <c r="H282" s="224">
        <v>0.64</v>
      </c>
      <c r="I282" s="307" t="s">
        <v>110</v>
      </c>
      <c r="J282" s="29">
        <v>1</v>
      </c>
      <c r="K282" s="9">
        <v>1</v>
      </c>
      <c r="L282" s="9">
        <v>1</v>
      </c>
      <c r="M282" s="9">
        <v>2</v>
      </c>
      <c r="N282" s="43">
        <v>2</v>
      </c>
      <c r="O282" s="262">
        <f t="shared" si="5"/>
        <v>0.35859414261160716</v>
      </c>
      <c r="P282" s="163" t="s">
        <v>111</v>
      </c>
    </row>
    <row r="283" spans="1:16">
      <c r="A283" s="224">
        <v>2016</v>
      </c>
      <c r="B283" s="224">
        <v>185</v>
      </c>
      <c r="C283" s="224" t="s">
        <v>89</v>
      </c>
      <c r="D283" s="224">
        <v>51</v>
      </c>
      <c r="E283" s="224">
        <v>236</v>
      </c>
      <c r="F283" s="224">
        <v>0</v>
      </c>
      <c r="G283" s="224">
        <v>1</v>
      </c>
      <c r="H283" s="224">
        <v>0</v>
      </c>
      <c r="I283" s="307" t="s">
        <v>110</v>
      </c>
      <c r="J283" s="29">
        <v>1</v>
      </c>
      <c r="K283" s="9">
        <v>1</v>
      </c>
      <c r="L283" s="9">
        <v>1</v>
      </c>
      <c r="M283" s="9">
        <v>2</v>
      </c>
      <c r="N283" s="43">
        <v>2</v>
      </c>
      <c r="O283" s="262">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7" t="s">
        <v>110</v>
      </c>
      <c r="J284" s="29">
        <v>1</v>
      </c>
      <c r="K284" s="9">
        <v>1</v>
      </c>
      <c r="L284" s="9">
        <v>1</v>
      </c>
      <c r="M284" s="9">
        <v>2</v>
      </c>
      <c r="N284" s="43">
        <v>2</v>
      </c>
      <c r="O284" s="262">
        <f t="shared" si="5"/>
        <v>0.35859414261160716</v>
      </c>
      <c r="P284" s="163" t="s">
        <v>111</v>
      </c>
    </row>
    <row r="285" spans="1:16">
      <c r="A285" s="224">
        <v>2016</v>
      </c>
      <c r="B285" s="224">
        <v>386</v>
      </c>
      <c r="C285" s="224" t="s">
        <v>91</v>
      </c>
      <c r="D285" s="224">
        <v>95</v>
      </c>
      <c r="E285" s="224">
        <v>481</v>
      </c>
      <c r="F285" s="224">
        <v>0</v>
      </c>
      <c r="G285" s="224">
        <v>1</v>
      </c>
      <c r="H285" s="224">
        <v>0</v>
      </c>
      <c r="I285" s="307" t="s">
        <v>110</v>
      </c>
      <c r="J285" s="29">
        <v>1</v>
      </c>
      <c r="K285" s="9">
        <v>1</v>
      </c>
      <c r="L285" s="9">
        <v>1</v>
      </c>
      <c r="M285" s="9">
        <v>2</v>
      </c>
      <c r="N285" s="43">
        <v>2</v>
      </c>
      <c r="O285" s="262">
        <f t="shared" si="5"/>
        <v>0.35859414261160716</v>
      </c>
      <c r="P285" s="163" t="s">
        <v>111</v>
      </c>
    </row>
    <row r="286" spans="1:16">
      <c r="A286" s="224">
        <v>2016</v>
      </c>
      <c r="B286" s="224">
        <v>155</v>
      </c>
      <c r="C286" s="224" t="s">
        <v>94</v>
      </c>
      <c r="D286" s="224">
        <v>22</v>
      </c>
      <c r="E286" s="224">
        <v>177</v>
      </c>
      <c r="F286" s="224">
        <v>0</v>
      </c>
      <c r="G286" s="224">
        <v>1</v>
      </c>
      <c r="H286" s="224">
        <v>0</v>
      </c>
      <c r="I286" s="307" t="s">
        <v>110</v>
      </c>
      <c r="J286" s="29">
        <v>1</v>
      </c>
      <c r="K286" s="9">
        <v>1</v>
      </c>
      <c r="L286" s="9">
        <v>1</v>
      </c>
      <c r="M286" s="9">
        <v>2</v>
      </c>
      <c r="N286" s="43">
        <v>2</v>
      </c>
      <c r="O286" s="262">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7" t="s">
        <v>110</v>
      </c>
      <c r="J287" s="29">
        <v>1</v>
      </c>
      <c r="K287" s="9">
        <v>1</v>
      </c>
      <c r="L287" s="9">
        <v>1</v>
      </c>
      <c r="M287" s="9">
        <v>2</v>
      </c>
      <c r="N287" s="43">
        <v>2</v>
      </c>
      <c r="O287" s="262">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7" t="s">
        <v>110</v>
      </c>
      <c r="J288" s="29">
        <v>1</v>
      </c>
      <c r="K288" s="9">
        <v>1</v>
      </c>
      <c r="L288" s="9">
        <v>1</v>
      </c>
      <c r="M288" s="9">
        <v>2</v>
      </c>
      <c r="N288" s="43">
        <v>2</v>
      </c>
      <c r="O288" s="262">
        <f t="shared" si="5"/>
        <v>0.35859414261160716</v>
      </c>
      <c r="P288" s="163" t="s">
        <v>111</v>
      </c>
    </row>
    <row r="289" spans="1:16">
      <c r="A289" s="224">
        <v>2016</v>
      </c>
      <c r="B289" s="224">
        <v>258</v>
      </c>
      <c r="C289" s="224" t="s">
        <v>95</v>
      </c>
      <c r="D289" s="224">
        <v>70</v>
      </c>
      <c r="E289" s="224">
        <v>328</v>
      </c>
      <c r="F289" s="224">
        <v>0</v>
      </c>
      <c r="G289" s="224">
        <v>1</v>
      </c>
      <c r="H289" s="224">
        <v>0</v>
      </c>
      <c r="I289" s="307" t="s">
        <v>110</v>
      </c>
      <c r="J289" s="29">
        <v>1</v>
      </c>
      <c r="K289" s="9">
        <v>1</v>
      </c>
      <c r="L289" s="9">
        <v>1</v>
      </c>
      <c r="M289" s="9">
        <v>2</v>
      </c>
      <c r="N289" s="43">
        <v>2</v>
      </c>
      <c r="O289" s="262">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7" t="s">
        <v>110</v>
      </c>
      <c r="J290" s="29">
        <v>1</v>
      </c>
      <c r="K290" s="9">
        <v>1</v>
      </c>
      <c r="L290" s="9">
        <v>1</v>
      </c>
      <c r="M290" s="9">
        <v>2</v>
      </c>
      <c r="N290" s="43">
        <v>2</v>
      </c>
      <c r="O290" s="262">
        <f t="shared" si="5"/>
        <v>0.35859414261160716</v>
      </c>
      <c r="P290" s="163" t="s">
        <v>111</v>
      </c>
    </row>
    <row r="291" spans="1:16">
      <c r="A291" s="224">
        <v>2016</v>
      </c>
      <c r="B291" s="224">
        <v>2513</v>
      </c>
      <c r="C291" s="224" t="s">
        <v>98</v>
      </c>
      <c r="D291" s="224">
        <v>1123</v>
      </c>
      <c r="E291" s="224">
        <v>3636</v>
      </c>
      <c r="F291" s="224">
        <v>0</v>
      </c>
      <c r="G291" s="224">
        <v>1</v>
      </c>
      <c r="H291" s="224">
        <v>0</v>
      </c>
      <c r="I291" s="307" t="s">
        <v>110</v>
      </c>
      <c r="J291" s="29">
        <v>1</v>
      </c>
      <c r="K291" s="9">
        <v>1</v>
      </c>
      <c r="L291" s="9">
        <v>1</v>
      </c>
      <c r="M291" s="9">
        <v>2</v>
      </c>
      <c r="N291" s="43">
        <v>2</v>
      </c>
      <c r="O291" s="262">
        <f t="shared" si="5"/>
        <v>0.35859414261160716</v>
      </c>
      <c r="P291" s="163" t="s">
        <v>111</v>
      </c>
    </row>
    <row r="292" spans="1:16">
      <c r="A292" s="224">
        <v>2017</v>
      </c>
      <c r="B292" s="224">
        <v>786</v>
      </c>
      <c r="C292" s="224" t="s">
        <v>85</v>
      </c>
      <c r="D292" s="224">
        <v>1197</v>
      </c>
      <c r="E292" s="224">
        <v>1983</v>
      </c>
      <c r="F292" s="224">
        <v>0</v>
      </c>
      <c r="G292" s="224">
        <v>1</v>
      </c>
      <c r="H292" s="224">
        <v>0</v>
      </c>
      <c r="I292" s="307" t="s">
        <v>110</v>
      </c>
      <c r="J292" s="29">
        <v>1</v>
      </c>
      <c r="K292" s="9">
        <v>1</v>
      </c>
      <c r="L292" s="9">
        <v>1</v>
      </c>
      <c r="M292" s="9">
        <v>2</v>
      </c>
      <c r="N292" s="43">
        <v>2</v>
      </c>
      <c r="O292" s="262">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7" t="s">
        <v>110</v>
      </c>
      <c r="J293" s="29">
        <v>1</v>
      </c>
      <c r="K293" s="9">
        <v>1</v>
      </c>
      <c r="L293" s="9">
        <v>1</v>
      </c>
      <c r="M293" s="9">
        <v>2</v>
      </c>
      <c r="N293" s="43">
        <v>2</v>
      </c>
      <c r="O293" s="262">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7" t="s">
        <v>110</v>
      </c>
      <c r="J294" s="29">
        <v>1</v>
      </c>
      <c r="K294" s="9">
        <v>1</v>
      </c>
      <c r="L294" s="9">
        <v>1</v>
      </c>
      <c r="M294" s="9">
        <v>2</v>
      </c>
      <c r="N294" s="43">
        <v>2</v>
      </c>
      <c r="O294" s="262">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7" t="s">
        <v>110</v>
      </c>
      <c r="J295" s="29">
        <v>1</v>
      </c>
      <c r="K295" s="9">
        <v>1</v>
      </c>
      <c r="L295" s="9">
        <v>1</v>
      </c>
      <c r="M295" s="9">
        <v>2</v>
      </c>
      <c r="N295" s="43">
        <v>2</v>
      </c>
      <c r="O295" s="262">
        <f t="shared" si="5"/>
        <v>0.35859414261160716</v>
      </c>
      <c r="P295" s="163" t="s">
        <v>111</v>
      </c>
    </row>
    <row r="296" spans="1:16">
      <c r="A296" s="224">
        <v>2017</v>
      </c>
      <c r="B296" s="224">
        <v>199</v>
      </c>
      <c r="C296" s="224" t="s">
        <v>89</v>
      </c>
      <c r="D296" s="224">
        <v>53</v>
      </c>
      <c r="E296" s="224">
        <v>252</v>
      </c>
      <c r="F296" s="224">
        <v>0</v>
      </c>
      <c r="G296" s="224">
        <v>1</v>
      </c>
      <c r="H296" s="224">
        <v>0</v>
      </c>
      <c r="I296" s="307" t="s">
        <v>110</v>
      </c>
      <c r="J296" s="29">
        <v>1</v>
      </c>
      <c r="K296" s="9">
        <v>1</v>
      </c>
      <c r="L296" s="9">
        <v>1</v>
      </c>
      <c r="M296" s="9">
        <v>2</v>
      </c>
      <c r="N296" s="43">
        <v>2</v>
      </c>
      <c r="O296" s="262">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7" t="s">
        <v>110</v>
      </c>
      <c r="J297" s="29">
        <v>1</v>
      </c>
      <c r="K297" s="9">
        <v>1</v>
      </c>
      <c r="L297" s="9">
        <v>1</v>
      </c>
      <c r="M297" s="9">
        <v>2</v>
      </c>
      <c r="N297" s="43">
        <v>2</v>
      </c>
      <c r="O297" s="262">
        <f t="shared" si="5"/>
        <v>0.35859414261160716</v>
      </c>
      <c r="P297" s="163" t="s">
        <v>111</v>
      </c>
    </row>
    <row r="298" spans="1:16">
      <c r="A298" s="224">
        <v>2017</v>
      </c>
      <c r="B298" s="224">
        <v>331</v>
      </c>
      <c r="C298" s="224" t="s">
        <v>91</v>
      </c>
      <c r="D298" s="224">
        <v>112</v>
      </c>
      <c r="E298" s="224">
        <v>443</v>
      </c>
      <c r="F298" s="224">
        <v>0</v>
      </c>
      <c r="G298" s="224">
        <v>1</v>
      </c>
      <c r="H298" s="224">
        <v>0</v>
      </c>
      <c r="I298" s="307" t="s">
        <v>110</v>
      </c>
      <c r="J298" s="29">
        <v>1</v>
      </c>
      <c r="K298" s="9">
        <v>1</v>
      </c>
      <c r="L298" s="9">
        <v>1</v>
      </c>
      <c r="M298" s="9">
        <v>2</v>
      </c>
      <c r="N298" s="43">
        <v>2</v>
      </c>
      <c r="O298" s="262">
        <f t="shared" si="5"/>
        <v>0.35859414261160716</v>
      </c>
      <c r="P298" s="163" t="s">
        <v>111</v>
      </c>
    </row>
    <row r="299" spans="1:16">
      <c r="A299" s="224">
        <v>2017</v>
      </c>
      <c r="B299" s="224">
        <v>193</v>
      </c>
      <c r="C299" s="224" t="s">
        <v>94</v>
      </c>
      <c r="D299" s="224">
        <v>29</v>
      </c>
      <c r="E299" s="224">
        <v>222</v>
      </c>
      <c r="F299" s="224">
        <v>0</v>
      </c>
      <c r="G299" s="224">
        <v>1</v>
      </c>
      <c r="H299" s="224">
        <v>0</v>
      </c>
      <c r="I299" s="307" t="s">
        <v>110</v>
      </c>
      <c r="J299" s="29">
        <v>1</v>
      </c>
      <c r="K299" s="9">
        <v>1</v>
      </c>
      <c r="L299" s="9">
        <v>1</v>
      </c>
      <c r="M299" s="9">
        <v>2</v>
      </c>
      <c r="N299" s="43">
        <v>2</v>
      </c>
      <c r="O299" s="262">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7" t="s">
        <v>110</v>
      </c>
      <c r="J300" s="29">
        <v>1</v>
      </c>
      <c r="K300" s="9">
        <v>1</v>
      </c>
      <c r="L300" s="9">
        <v>1</v>
      </c>
      <c r="M300" s="9">
        <v>2</v>
      </c>
      <c r="N300" s="43">
        <v>2</v>
      </c>
      <c r="O300" s="262">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7" t="s">
        <v>110</v>
      </c>
      <c r="J301" s="29">
        <v>1</v>
      </c>
      <c r="K301" s="9">
        <v>1</v>
      </c>
      <c r="L301" s="9">
        <v>1</v>
      </c>
      <c r="M301" s="9">
        <v>2</v>
      </c>
      <c r="N301" s="43">
        <v>2</v>
      </c>
      <c r="O301" s="262">
        <f t="shared" si="5"/>
        <v>0.35859414261160716</v>
      </c>
      <c r="P301" s="163" t="s">
        <v>111</v>
      </c>
    </row>
    <row r="302" spans="1:16">
      <c r="A302" s="224">
        <v>2017</v>
      </c>
      <c r="B302" s="224">
        <v>280</v>
      </c>
      <c r="C302" s="224" t="s">
        <v>95</v>
      </c>
      <c r="D302" s="224">
        <v>72</v>
      </c>
      <c r="E302" s="224">
        <v>352</v>
      </c>
      <c r="F302" s="224">
        <v>0</v>
      </c>
      <c r="G302" s="224">
        <v>1</v>
      </c>
      <c r="H302" s="224">
        <v>0</v>
      </c>
      <c r="I302" s="307" t="s">
        <v>110</v>
      </c>
      <c r="J302" s="29">
        <v>1</v>
      </c>
      <c r="K302" s="9">
        <v>1</v>
      </c>
      <c r="L302" s="9">
        <v>1</v>
      </c>
      <c r="M302" s="9">
        <v>2</v>
      </c>
      <c r="N302" s="43">
        <v>2</v>
      </c>
      <c r="O302" s="262">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7" t="s">
        <v>110</v>
      </c>
      <c r="J303" s="29">
        <v>1</v>
      </c>
      <c r="K303" s="9">
        <v>1</v>
      </c>
      <c r="L303" s="9">
        <v>1</v>
      </c>
      <c r="M303" s="9">
        <v>2</v>
      </c>
      <c r="N303" s="43">
        <v>2</v>
      </c>
      <c r="O303" s="262">
        <f t="shared" si="5"/>
        <v>0.35859414261160716</v>
      </c>
      <c r="P303" s="163" t="s">
        <v>111</v>
      </c>
    </row>
    <row r="304" spans="1:16">
      <c r="A304" s="224">
        <v>2017</v>
      </c>
      <c r="B304" s="224">
        <v>2566</v>
      </c>
      <c r="C304" s="224" t="s">
        <v>98</v>
      </c>
      <c r="D304" s="224">
        <v>1172</v>
      </c>
      <c r="E304" s="224">
        <v>3738</v>
      </c>
      <c r="F304" s="224">
        <v>0</v>
      </c>
      <c r="G304" s="224">
        <v>1</v>
      </c>
      <c r="H304" s="224">
        <v>0</v>
      </c>
      <c r="I304" s="307" t="s">
        <v>110</v>
      </c>
      <c r="J304" s="29">
        <v>1</v>
      </c>
      <c r="K304" s="9">
        <v>1</v>
      </c>
      <c r="L304" s="9">
        <v>1</v>
      </c>
      <c r="M304" s="9">
        <v>2</v>
      </c>
      <c r="N304" s="43">
        <v>2</v>
      </c>
      <c r="O304" s="262">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7" t="s">
        <v>110</v>
      </c>
      <c r="J305" s="29">
        <v>1</v>
      </c>
      <c r="K305" s="9">
        <v>1</v>
      </c>
      <c r="L305" s="9">
        <v>1</v>
      </c>
      <c r="M305" s="9">
        <v>2</v>
      </c>
      <c r="N305" s="43">
        <v>2</v>
      </c>
      <c r="O305" s="262">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7" t="s">
        <v>110</v>
      </c>
      <c r="J306" s="29">
        <v>1</v>
      </c>
      <c r="K306" s="9">
        <v>1</v>
      </c>
      <c r="L306" s="9">
        <v>1</v>
      </c>
      <c r="M306" s="9">
        <v>2</v>
      </c>
      <c r="N306" s="43">
        <v>2</v>
      </c>
      <c r="O306" s="262">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7" t="s">
        <v>110</v>
      </c>
      <c r="J307" s="29">
        <v>1</v>
      </c>
      <c r="K307" s="9">
        <v>1</v>
      </c>
      <c r="L307" s="9">
        <v>1</v>
      </c>
      <c r="M307" s="9">
        <v>2</v>
      </c>
      <c r="N307" s="43">
        <v>2</v>
      </c>
      <c r="O307" s="262">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7" t="s">
        <v>110</v>
      </c>
      <c r="J308" s="29">
        <v>1</v>
      </c>
      <c r="K308" s="9">
        <v>1</v>
      </c>
      <c r="L308" s="9">
        <v>1</v>
      </c>
      <c r="M308" s="9">
        <v>2</v>
      </c>
      <c r="N308" s="43">
        <v>2</v>
      </c>
      <c r="O308" s="262">
        <f t="shared" si="5"/>
        <v>0.35859414261160716</v>
      </c>
      <c r="P308" s="163" t="s">
        <v>111</v>
      </c>
    </row>
    <row r="309" spans="1:16">
      <c r="A309" s="224">
        <v>2018</v>
      </c>
      <c r="B309" s="224">
        <v>185</v>
      </c>
      <c r="C309" s="224" t="s">
        <v>89</v>
      </c>
      <c r="D309" s="224">
        <v>56</v>
      </c>
      <c r="E309" s="224">
        <v>241</v>
      </c>
      <c r="F309" s="224">
        <v>0</v>
      </c>
      <c r="G309" s="224">
        <v>1</v>
      </c>
      <c r="H309" s="224">
        <v>0</v>
      </c>
      <c r="I309" s="307" t="s">
        <v>110</v>
      </c>
      <c r="J309" s="29">
        <v>1</v>
      </c>
      <c r="K309" s="9">
        <v>1</v>
      </c>
      <c r="L309" s="9">
        <v>1</v>
      </c>
      <c r="M309" s="9">
        <v>2</v>
      </c>
      <c r="N309" s="43">
        <v>2</v>
      </c>
      <c r="O309" s="262">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7" t="s">
        <v>110</v>
      </c>
      <c r="J310" s="29">
        <v>1</v>
      </c>
      <c r="K310" s="9">
        <v>1</v>
      </c>
      <c r="L310" s="9">
        <v>1</v>
      </c>
      <c r="M310" s="9">
        <v>2</v>
      </c>
      <c r="N310" s="43">
        <v>2</v>
      </c>
      <c r="O310" s="262">
        <f t="shared" si="5"/>
        <v>0.35859414261160716</v>
      </c>
      <c r="P310" s="163" t="s">
        <v>111</v>
      </c>
    </row>
    <row r="311" spans="1:16">
      <c r="A311" s="224">
        <v>2018</v>
      </c>
      <c r="B311" s="224">
        <v>516</v>
      </c>
      <c r="C311" s="224" t="s">
        <v>91</v>
      </c>
      <c r="D311" s="224">
        <v>103</v>
      </c>
      <c r="E311" s="224">
        <v>619</v>
      </c>
      <c r="F311" s="224">
        <v>0</v>
      </c>
      <c r="G311" s="224">
        <v>1</v>
      </c>
      <c r="H311" s="224">
        <v>0</v>
      </c>
      <c r="I311" s="307" t="s">
        <v>110</v>
      </c>
      <c r="J311" s="29">
        <v>1</v>
      </c>
      <c r="K311" s="9">
        <v>1</v>
      </c>
      <c r="L311" s="9">
        <v>1</v>
      </c>
      <c r="M311" s="9">
        <v>2</v>
      </c>
      <c r="N311" s="43">
        <v>2</v>
      </c>
      <c r="O311" s="262">
        <f t="shared" si="5"/>
        <v>0.35859414261160716</v>
      </c>
      <c r="P311" s="163" t="s">
        <v>111</v>
      </c>
    </row>
    <row r="312" spans="1:16">
      <c r="A312" s="224">
        <v>2018</v>
      </c>
      <c r="B312" s="224">
        <v>192</v>
      </c>
      <c r="C312" s="224" t="s">
        <v>94</v>
      </c>
      <c r="D312" s="224">
        <v>35</v>
      </c>
      <c r="E312" s="224">
        <v>227</v>
      </c>
      <c r="F312" s="224">
        <v>0</v>
      </c>
      <c r="G312" s="224">
        <v>1</v>
      </c>
      <c r="H312" s="224">
        <v>0</v>
      </c>
      <c r="I312" s="307" t="s">
        <v>110</v>
      </c>
      <c r="J312" s="29">
        <v>1</v>
      </c>
      <c r="K312" s="9">
        <v>1</v>
      </c>
      <c r="L312" s="9">
        <v>1</v>
      </c>
      <c r="M312" s="9">
        <v>2</v>
      </c>
      <c r="N312" s="43">
        <v>2</v>
      </c>
      <c r="O312" s="262">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7" t="s">
        <v>110</v>
      </c>
      <c r="J313" s="29">
        <v>1</v>
      </c>
      <c r="K313" s="9">
        <v>1</v>
      </c>
      <c r="L313" s="9">
        <v>1</v>
      </c>
      <c r="M313" s="9">
        <v>2</v>
      </c>
      <c r="N313" s="43">
        <v>2</v>
      </c>
      <c r="O313" s="262">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7" t="s">
        <v>110</v>
      </c>
      <c r="J314" s="29">
        <v>1</v>
      </c>
      <c r="K314" s="9">
        <v>1</v>
      </c>
      <c r="L314" s="9">
        <v>1</v>
      </c>
      <c r="M314" s="9">
        <v>2</v>
      </c>
      <c r="N314" s="43">
        <v>2</v>
      </c>
      <c r="O314" s="262">
        <f t="shared" si="5"/>
        <v>0.35859414261160716</v>
      </c>
      <c r="P314" s="163" t="s">
        <v>111</v>
      </c>
    </row>
    <row r="315" spans="1:16">
      <c r="A315" s="224">
        <v>2018</v>
      </c>
      <c r="B315" s="224">
        <v>257</v>
      </c>
      <c r="C315" s="224" t="s">
        <v>95</v>
      </c>
      <c r="D315" s="224">
        <v>80</v>
      </c>
      <c r="E315" s="224">
        <v>337</v>
      </c>
      <c r="F315" s="224">
        <v>0</v>
      </c>
      <c r="G315" s="224">
        <v>1</v>
      </c>
      <c r="H315" s="224">
        <v>0</v>
      </c>
      <c r="I315" s="307" t="s">
        <v>110</v>
      </c>
      <c r="J315" s="29">
        <v>1</v>
      </c>
      <c r="K315" s="9">
        <v>1</v>
      </c>
      <c r="L315" s="9">
        <v>1</v>
      </c>
      <c r="M315" s="9">
        <v>2</v>
      </c>
      <c r="N315" s="43">
        <v>2</v>
      </c>
      <c r="O315" s="262">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7" t="s">
        <v>110</v>
      </c>
      <c r="J316" s="29">
        <v>1</v>
      </c>
      <c r="K316" s="9">
        <v>1</v>
      </c>
      <c r="L316" s="9">
        <v>1</v>
      </c>
      <c r="M316" s="9">
        <v>2</v>
      </c>
      <c r="N316" s="43">
        <v>2</v>
      </c>
      <c r="O316" s="262">
        <f t="shared" si="5"/>
        <v>0.35859414261160716</v>
      </c>
      <c r="P316" s="163" t="s">
        <v>111</v>
      </c>
    </row>
    <row r="317" spans="1:16">
      <c r="A317" s="224">
        <v>2018</v>
      </c>
      <c r="B317" s="224">
        <v>2403</v>
      </c>
      <c r="C317" s="224" t="s">
        <v>98</v>
      </c>
      <c r="D317" s="224">
        <v>1272</v>
      </c>
      <c r="E317" s="224">
        <v>3675</v>
      </c>
      <c r="F317" s="224">
        <v>0</v>
      </c>
      <c r="G317" s="224">
        <v>1</v>
      </c>
      <c r="H317" s="224">
        <v>0</v>
      </c>
      <c r="I317" s="307" t="s">
        <v>110</v>
      </c>
      <c r="J317" s="29">
        <v>1</v>
      </c>
      <c r="K317" s="9">
        <v>1</v>
      </c>
      <c r="L317" s="9">
        <v>1</v>
      </c>
      <c r="M317" s="9">
        <v>2</v>
      </c>
      <c r="N317" s="43">
        <v>2</v>
      </c>
      <c r="O317" s="262">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7" t="s">
        <v>110</v>
      </c>
      <c r="J318" s="29">
        <v>1</v>
      </c>
      <c r="K318" s="9">
        <v>1</v>
      </c>
      <c r="L318" s="9">
        <v>1</v>
      </c>
      <c r="M318" s="9">
        <v>2</v>
      </c>
      <c r="N318" s="43">
        <v>2</v>
      </c>
      <c r="O318" s="262">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7" t="s">
        <v>110</v>
      </c>
      <c r="J319" s="29">
        <v>1</v>
      </c>
      <c r="K319" s="9">
        <v>1</v>
      </c>
      <c r="L319" s="9">
        <v>1</v>
      </c>
      <c r="M319" s="9">
        <v>2</v>
      </c>
      <c r="N319" s="43">
        <v>2</v>
      </c>
      <c r="O319" s="262">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7" t="s">
        <v>110</v>
      </c>
      <c r="J320" s="29">
        <v>1</v>
      </c>
      <c r="K320" s="9">
        <v>1</v>
      </c>
      <c r="L320" s="9">
        <v>1</v>
      </c>
      <c r="M320" s="9">
        <v>2</v>
      </c>
      <c r="N320" s="43">
        <v>2</v>
      </c>
      <c r="O320" s="262">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7" t="s">
        <v>110</v>
      </c>
      <c r="J321" s="29">
        <v>1</v>
      </c>
      <c r="K321" s="9">
        <v>1</v>
      </c>
      <c r="L321" s="9">
        <v>1</v>
      </c>
      <c r="M321" s="9">
        <v>2</v>
      </c>
      <c r="N321" s="43">
        <v>2</v>
      </c>
      <c r="O321" s="262">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7" t="s">
        <v>110</v>
      </c>
      <c r="J322" s="29">
        <v>1</v>
      </c>
      <c r="K322" s="9">
        <v>1</v>
      </c>
      <c r="L322" s="9">
        <v>1</v>
      </c>
      <c r="M322" s="9">
        <v>2</v>
      </c>
      <c r="N322" s="43">
        <v>2</v>
      </c>
      <c r="O322" s="262">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7" t="s">
        <v>110</v>
      </c>
      <c r="J323" s="29">
        <v>1</v>
      </c>
      <c r="K323" s="9">
        <v>1</v>
      </c>
      <c r="L323" s="9">
        <v>1</v>
      </c>
      <c r="M323" s="9">
        <v>2</v>
      </c>
      <c r="N323" s="43">
        <v>2</v>
      </c>
      <c r="O323" s="262">
        <f t="shared" si="5"/>
        <v>0.35859414261160716</v>
      </c>
      <c r="P323" s="163" t="s">
        <v>111</v>
      </c>
    </row>
    <row r="324" spans="1:16">
      <c r="A324" s="224">
        <v>2019</v>
      </c>
      <c r="B324" s="224">
        <v>443</v>
      </c>
      <c r="C324" s="224" t="s">
        <v>91</v>
      </c>
      <c r="D324" s="224">
        <v>134</v>
      </c>
      <c r="E324" s="224">
        <v>577</v>
      </c>
      <c r="F324" s="224">
        <v>0</v>
      </c>
      <c r="G324" s="224">
        <v>1</v>
      </c>
      <c r="H324" s="224">
        <v>0</v>
      </c>
      <c r="I324" s="307" t="s">
        <v>110</v>
      </c>
      <c r="J324" s="29">
        <v>1</v>
      </c>
      <c r="K324" s="9">
        <v>1</v>
      </c>
      <c r="L324" s="9">
        <v>1</v>
      </c>
      <c r="M324" s="9">
        <v>2</v>
      </c>
      <c r="N324" s="43">
        <v>2</v>
      </c>
      <c r="O324" s="262">
        <f t="shared" si="5"/>
        <v>0.35859414261160716</v>
      </c>
      <c r="P324" s="163" t="s">
        <v>111</v>
      </c>
    </row>
    <row r="325" spans="1:16">
      <c r="A325" s="224">
        <v>2019</v>
      </c>
      <c r="B325" s="224">
        <v>202</v>
      </c>
      <c r="C325" s="224" t="s">
        <v>94</v>
      </c>
      <c r="D325" s="224">
        <v>17</v>
      </c>
      <c r="E325" s="224">
        <v>219</v>
      </c>
      <c r="F325" s="224">
        <v>0</v>
      </c>
      <c r="G325" s="224">
        <v>1</v>
      </c>
      <c r="H325" s="224">
        <v>0</v>
      </c>
      <c r="I325" s="307" t="s">
        <v>110</v>
      </c>
      <c r="J325" s="29">
        <v>1</v>
      </c>
      <c r="K325" s="9">
        <v>1</v>
      </c>
      <c r="L325" s="9">
        <v>1</v>
      </c>
      <c r="M325" s="9">
        <v>2</v>
      </c>
      <c r="N325" s="43">
        <v>2</v>
      </c>
      <c r="O325" s="262">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7" t="s">
        <v>110</v>
      </c>
      <c r="J326" s="29">
        <v>1</v>
      </c>
      <c r="K326" s="9">
        <v>1</v>
      </c>
      <c r="L326" s="9">
        <v>1</v>
      </c>
      <c r="M326" s="9">
        <v>2</v>
      </c>
      <c r="N326" s="43">
        <v>2</v>
      </c>
      <c r="O326" s="262">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7" t="s">
        <v>110</v>
      </c>
      <c r="J327" s="29">
        <v>1</v>
      </c>
      <c r="K327" s="9">
        <v>1</v>
      </c>
      <c r="L327" s="9">
        <v>1</v>
      </c>
      <c r="M327" s="9">
        <v>2</v>
      </c>
      <c r="N327" s="43">
        <v>2</v>
      </c>
      <c r="O327" s="262">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7" t="s">
        <v>110</v>
      </c>
      <c r="J328" s="29">
        <v>1</v>
      </c>
      <c r="K328" s="9">
        <v>1</v>
      </c>
      <c r="L328" s="9">
        <v>1</v>
      </c>
      <c r="M328" s="9">
        <v>2</v>
      </c>
      <c r="N328" s="43">
        <v>2</v>
      </c>
      <c r="O328" s="262">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7" t="s">
        <v>110</v>
      </c>
      <c r="J329" s="29">
        <v>1</v>
      </c>
      <c r="K329" s="9">
        <v>1</v>
      </c>
      <c r="L329" s="9">
        <v>1</v>
      </c>
      <c r="M329" s="9">
        <v>2</v>
      </c>
      <c r="N329" s="43">
        <v>2</v>
      </c>
      <c r="O329" s="262">
        <f t="shared" si="6"/>
        <v>0.35859414261160716</v>
      </c>
      <c r="P329" s="163" t="s">
        <v>111</v>
      </c>
    </row>
    <row r="330" spans="1:16">
      <c r="A330" s="224">
        <v>2019</v>
      </c>
      <c r="B330" s="224">
        <v>2309</v>
      </c>
      <c r="C330" s="224" t="s">
        <v>98</v>
      </c>
      <c r="D330" s="224">
        <v>1386</v>
      </c>
      <c r="E330" s="224">
        <v>3695</v>
      </c>
      <c r="F330" s="224">
        <v>0</v>
      </c>
      <c r="G330" s="224">
        <v>1</v>
      </c>
      <c r="H330" s="224">
        <v>0</v>
      </c>
      <c r="I330" s="307" t="s">
        <v>110</v>
      </c>
      <c r="J330" s="29">
        <v>1</v>
      </c>
      <c r="K330" s="9">
        <v>1</v>
      </c>
      <c r="L330" s="9">
        <v>1</v>
      </c>
      <c r="M330" s="9">
        <v>2</v>
      </c>
      <c r="N330" s="43">
        <v>2</v>
      </c>
      <c r="O330" s="262">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7" t="s">
        <v>110</v>
      </c>
      <c r="J331" s="29">
        <v>1</v>
      </c>
      <c r="K331" s="9">
        <v>1</v>
      </c>
      <c r="L331" s="9">
        <v>1</v>
      </c>
      <c r="M331" s="9">
        <v>2</v>
      </c>
      <c r="N331" s="43">
        <v>2</v>
      </c>
      <c r="O331" s="262">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7" t="s">
        <v>110</v>
      </c>
      <c r="J332" s="29">
        <v>1</v>
      </c>
      <c r="K332" s="9">
        <v>1</v>
      </c>
      <c r="L332" s="9">
        <v>1</v>
      </c>
      <c r="M332" s="9">
        <v>2</v>
      </c>
      <c r="N332" s="43">
        <v>2</v>
      </c>
      <c r="O332" s="262">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7" t="s">
        <v>110</v>
      </c>
      <c r="J333" s="29">
        <v>1</v>
      </c>
      <c r="K333" s="9">
        <v>1</v>
      </c>
      <c r="L333" s="9">
        <v>1</v>
      </c>
      <c r="M333" s="9">
        <v>2</v>
      </c>
      <c r="N333" s="43">
        <v>2</v>
      </c>
      <c r="O333" s="262">
        <f t="shared" si="6"/>
        <v>0.35859414261160716</v>
      </c>
      <c r="P333" s="163" t="s">
        <v>111</v>
      </c>
    </row>
    <row r="334" spans="1:16">
      <c r="A334" s="224">
        <v>2020</v>
      </c>
      <c r="B334" s="224">
        <v>4</v>
      </c>
      <c r="C334" s="224" t="s">
        <v>88</v>
      </c>
      <c r="D334" s="224">
        <v>34</v>
      </c>
      <c r="E334" s="224">
        <v>19</v>
      </c>
      <c r="F334" s="224">
        <v>19</v>
      </c>
      <c r="G334" s="224">
        <v>0.5</v>
      </c>
      <c r="H334" s="224">
        <v>0.5</v>
      </c>
      <c r="I334" s="307" t="s">
        <v>110</v>
      </c>
      <c r="J334" s="29">
        <v>1</v>
      </c>
      <c r="K334" s="9">
        <v>1</v>
      </c>
      <c r="L334" s="9">
        <v>1</v>
      </c>
      <c r="M334" s="9">
        <v>2</v>
      </c>
      <c r="N334" s="43">
        <v>2</v>
      </c>
      <c r="O334" s="262">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7" t="s">
        <v>110</v>
      </c>
      <c r="J335" s="29">
        <v>1</v>
      </c>
      <c r="K335" s="9">
        <v>1</v>
      </c>
      <c r="L335" s="9">
        <v>1</v>
      </c>
      <c r="M335" s="9">
        <v>2</v>
      </c>
      <c r="N335" s="43">
        <v>2</v>
      </c>
      <c r="O335" s="262">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7" t="s">
        <v>110</v>
      </c>
      <c r="J336" s="29">
        <v>1</v>
      </c>
      <c r="K336" s="9">
        <v>1</v>
      </c>
      <c r="L336" s="9">
        <v>1</v>
      </c>
      <c r="M336" s="9">
        <v>2</v>
      </c>
      <c r="N336" s="43">
        <v>2</v>
      </c>
      <c r="O336" s="262">
        <f t="shared" si="6"/>
        <v>0.35859414261160716</v>
      </c>
      <c r="P336" s="163" t="s">
        <v>111</v>
      </c>
    </row>
    <row r="337" spans="1:16">
      <c r="A337" s="224">
        <v>2020</v>
      </c>
      <c r="B337" s="224">
        <v>474</v>
      </c>
      <c r="C337" s="224" t="s">
        <v>91</v>
      </c>
      <c r="D337" s="224">
        <v>130</v>
      </c>
      <c r="E337" s="224">
        <v>604</v>
      </c>
      <c r="F337" s="224">
        <v>0</v>
      </c>
      <c r="G337" s="224">
        <v>1</v>
      </c>
      <c r="H337" s="224">
        <v>0</v>
      </c>
      <c r="I337" s="307" t="s">
        <v>110</v>
      </c>
      <c r="J337" s="29">
        <v>1</v>
      </c>
      <c r="K337" s="9">
        <v>1</v>
      </c>
      <c r="L337" s="9">
        <v>1</v>
      </c>
      <c r="M337" s="9">
        <v>2</v>
      </c>
      <c r="N337" s="43">
        <v>2</v>
      </c>
      <c r="O337" s="262">
        <f t="shared" si="6"/>
        <v>0.35859414261160716</v>
      </c>
      <c r="P337" s="163" t="s">
        <v>111</v>
      </c>
    </row>
    <row r="338" spans="1:16">
      <c r="A338" s="224">
        <v>2020</v>
      </c>
      <c r="B338" s="224">
        <v>184</v>
      </c>
      <c r="C338" s="224" t="s">
        <v>94</v>
      </c>
      <c r="D338" s="224">
        <v>16</v>
      </c>
      <c r="E338" s="224">
        <v>200</v>
      </c>
      <c r="F338" s="224">
        <v>0</v>
      </c>
      <c r="G338" s="224">
        <v>1</v>
      </c>
      <c r="H338" s="224">
        <v>0</v>
      </c>
      <c r="I338" s="307" t="s">
        <v>110</v>
      </c>
      <c r="J338" s="29">
        <v>1</v>
      </c>
      <c r="K338" s="9">
        <v>1</v>
      </c>
      <c r="L338" s="9">
        <v>1</v>
      </c>
      <c r="M338" s="9">
        <v>2</v>
      </c>
      <c r="N338" s="43">
        <v>2</v>
      </c>
      <c r="O338" s="262">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7" t="s">
        <v>110</v>
      </c>
      <c r="J339" s="29">
        <v>1</v>
      </c>
      <c r="K339" s="9">
        <v>1</v>
      </c>
      <c r="L339" s="9">
        <v>1</v>
      </c>
      <c r="M339" s="9">
        <v>2</v>
      </c>
      <c r="N339" s="43">
        <v>2</v>
      </c>
      <c r="O339" s="262">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7" t="s">
        <v>110</v>
      </c>
      <c r="J340" s="29">
        <v>1</v>
      </c>
      <c r="K340" s="9">
        <v>1</v>
      </c>
      <c r="L340" s="9">
        <v>1</v>
      </c>
      <c r="M340" s="9">
        <v>2</v>
      </c>
      <c r="N340" s="43">
        <v>2</v>
      </c>
      <c r="O340" s="262">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7" t="s">
        <v>110</v>
      </c>
      <c r="J341" s="29">
        <v>1</v>
      </c>
      <c r="K341" s="9">
        <v>1</v>
      </c>
      <c r="L341" s="9">
        <v>1</v>
      </c>
      <c r="M341" s="9">
        <v>2</v>
      </c>
      <c r="N341" s="43">
        <v>2</v>
      </c>
      <c r="O341" s="262">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7" t="s">
        <v>110</v>
      </c>
      <c r="J342" s="29">
        <v>1</v>
      </c>
      <c r="K342" s="9">
        <v>1</v>
      </c>
      <c r="L342" s="9">
        <v>1</v>
      </c>
      <c r="M342" s="9">
        <v>2</v>
      </c>
      <c r="N342" s="43">
        <v>2</v>
      </c>
      <c r="O342" s="262">
        <f t="shared" si="6"/>
        <v>0.35859414261160716</v>
      </c>
      <c r="P342" s="163" t="s">
        <v>111</v>
      </c>
    </row>
    <row r="343" spans="1:16">
      <c r="A343" s="224">
        <v>2020</v>
      </c>
      <c r="B343" s="224">
        <v>2520</v>
      </c>
      <c r="C343" s="224" t="s">
        <v>98</v>
      </c>
      <c r="D343" s="224">
        <v>1355</v>
      </c>
      <c r="E343" s="224">
        <v>3875</v>
      </c>
      <c r="F343" s="224">
        <v>0</v>
      </c>
      <c r="G343" s="224">
        <v>1</v>
      </c>
      <c r="H343" s="224">
        <v>0</v>
      </c>
      <c r="I343" s="307" t="s">
        <v>110</v>
      </c>
      <c r="J343" s="29">
        <v>1</v>
      </c>
      <c r="K343" s="9">
        <v>1</v>
      </c>
      <c r="L343" s="9">
        <v>1</v>
      </c>
      <c r="M343" s="9">
        <v>2</v>
      </c>
      <c r="N343" s="43">
        <v>2</v>
      </c>
      <c r="O343" s="262">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7" t="s">
        <v>110</v>
      </c>
      <c r="J344" s="29">
        <v>1</v>
      </c>
      <c r="K344" s="9">
        <v>1</v>
      </c>
      <c r="L344" s="9">
        <v>1</v>
      </c>
      <c r="M344" s="9">
        <v>2</v>
      </c>
      <c r="N344" s="43">
        <v>2</v>
      </c>
      <c r="O344" s="262">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7" t="s">
        <v>110</v>
      </c>
      <c r="J345" s="29">
        <v>1</v>
      </c>
      <c r="K345" s="9">
        <v>1</v>
      </c>
      <c r="L345" s="9">
        <v>1</v>
      </c>
      <c r="M345" s="9">
        <v>2</v>
      </c>
      <c r="N345" s="43">
        <v>2</v>
      </c>
      <c r="O345" s="262">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7" t="s">
        <v>110</v>
      </c>
      <c r="J346" s="29">
        <v>1</v>
      </c>
      <c r="K346" s="9">
        <v>1</v>
      </c>
      <c r="L346" s="9">
        <v>1</v>
      </c>
      <c r="M346" s="9">
        <v>2</v>
      </c>
      <c r="N346" s="43">
        <v>2</v>
      </c>
      <c r="O346" s="262">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7" t="s">
        <v>110</v>
      </c>
      <c r="J347" s="29">
        <v>1</v>
      </c>
      <c r="K347" s="9">
        <v>1</v>
      </c>
      <c r="L347" s="9">
        <v>1</v>
      </c>
      <c r="M347" s="9">
        <v>2</v>
      </c>
      <c r="N347" s="43">
        <v>2</v>
      </c>
      <c r="O347" s="262">
        <f t="shared" si="6"/>
        <v>0.35859414261160716</v>
      </c>
      <c r="P347" s="163" t="s">
        <v>111</v>
      </c>
    </row>
    <row r="348" spans="1:16">
      <c r="A348" s="224">
        <v>2021</v>
      </c>
      <c r="B348" s="224">
        <v>231</v>
      </c>
      <c r="C348" s="224" t="s">
        <v>89</v>
      </c>
      <c r="D348" s="224">
        <v>55</v>
      </c>
      <c r="E348" s="224">
        <v>286</v>
      </c>
      <c r="F348" s="224">
        <v>0</v>
      </c>
      <c r="G348" s="224">
        <v>1</v>
      </c>
      <c r="H348" s="224">
        <v>0</v>
      </c>
      <c r="I348" s="307" t="s">
        <v>110</v>
      </c>
      <c r="J348" s="29">
        <v>1</v>
      </c>
      <c r="K348" s="9">
        <v>1</v>
      </c>
      <c r="L348" s="9">
        <v>1</v>
      </c>
      <c r="M348" s="9">
        <v>2</v>
      </c>
      <c r="N348" s="43">
        <v>2</v>
      </c>
      <c r="O348" s="262">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7" t="s">
        <v>110</v>
      </c>
      <c r="J349" s="29">
        <v>1</v>
      </c>
      <c r="K349" s="9">
        <v>1</v>
      </c>
      <c r="L349" s="9">
        <v>1</v>
      </c>
      <c r="M349" s="9">
        <v>2</v>
      </c>
      <c r="N349" s="43">
        <v>2</v>
      </c>
      <c r="O349" s="262">
        <f t="shared" si="6"/>
        <v>0.35859414261160716</v>
      </c>
      <c r="P349" s="163" t="s">
        <v>111</v>
      </c>
    </row>
    <row r="350" spans="1:16">
      <c r="A350" s="224">
        <v>2021</v>
      </c>
      <c r="B350" s="224">
        <v>576</v>
      </c>
      <c r="C350" s="224" t="s">
        <v>91</v>
      </c>
      <c r="D350" s="224">
        <v>124</v>
      </c>
      <c r="E350" s="224">
        <v>700</v>
      </c>
      <c r="F350" s="224">
        <v>0</v>
      </c>
      <c r="G350" s="224">
        <v>1</v>
      </c>
      <c r="H350" s="224">
        <v>0</v>
      </c>
      <c r="I350" s="307" t="s">
        <v>110</v>
      </c>
      <c r="J350" s="29">
        <v>1</v>
      </c>
      <c r="K350" s="9">
        <v>1</v>
      </c>
      <c r="L350" s="9">
        <v>1</v>
      </c>
      <c r="M350" s="9">
        <v>2</v>
      </c>
      <c r="N350" s="43">
        <v>2</v>
      </c>
      <c r="O350" s="262">
        <f t="shared" si="6"/>
        <v>0.35859414261160716</v>
      </c>
      <c r="P350" s="163" t="s">
        <v>111</v>
      </c>
    </row>
    <row r="351" spans="1:16">
      <c r="A351" s="224">
        <v>2021</v>
      </c>
      <c r="B351" s="224">
        <v>210</v>
      </c>
      <c r="C351" s="224" t="s">
        <v>94</v>
      </c>
      <c r="D351" s="224">
        <v>18</v>
      </c>
      <c r="E351" s="224">
        <v>228</v>
      </c>
      <c r="F351" s="224">
        <v>0</v>
      </c>
      <c r="G351" s="224">
        <v>1</v>
      </c>
      <c r="H351" s="224">
        <v>0</v>
      </c>
      <c r="I351" s="307" t="s">
        <v>110</v>
      </c>
      <c r="J351" s="29">
        <v>1</v>
      </c>
      <c r="K351" s="9">
        <v>1</v>
      </c>
      <c r="L351" s="9">
        <v>1</v>
      </c>
      <c r="M351" s="9">
        <v>2</v>
      </c>
      <c r="N351" s="43">
        <v>2</v>
      </c>
      <c r="O351" s="262">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7" t="s">
        <v>110</v>
      </c>
      <c r="J352" s="29">
        <v>1</v>
      </c>
      <c r="K352" s="9">
        <v>1</v>
      </c>
      <c r="L352" s="9">
        <v>1</v>
      </c>
      <c r="M352" s="9">
        <v>2</v>
      </c>
      <c r="N352" s="43">
        <v>2</v>
      </c>
      <c r="O352" s="262">
        <f t="shared" si="6"/>
        <v>0.35859414261160716</v>
      </c>
      <c r="P352" s="163" t="s">
        <v>111</v>
      </c>
    </row>
    <row r="353" spans="1:16">
      <c r="A353" s="224">
        <v>2021</v>
      </c>
      <c r="B353" s="224">
        <v>184</v>
      </c>
      <c r="C353" s="224" t="s">
        <v>97</v>
      </c>
      <c r="D353" s="224">
        <v>243</v>
      </c>
      <c r="E353" s="224">
        <v>427</v>
      </c>
      <c r="F353" s="224">
        <v>0</v>
      </c>
      <c r="G353" s="224">
        <v>1</v>
      </c>
      <c r="H353" s="224">
        <v>0</v>
      </c>
      <c r="I353" s="307" t="s">
        <v>110</v>
      </c>
      <c r="J353" s="29">
        <v>1</v>
      </c>
      <c r="K353" s="9">
        <v>1</v>
      </c>
      <c r="L353" s="9">
        <v>1</v>
      </c>
      <c r="M353" s="9">
        <v>2</v>
      </c>
      <c r="N353" s="43">
        <v>2</v>
      </c>
      <c r="O353" s="262">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7" t="s">
        <v>110</v>
      </c>
      <c r="J354" s="29">
        <v>1</v>
      </c>
      <c r="K354" s="9">
        <v>1</v>
      </c>
      <c r="L354" s="9">
        <v>1</v>
      </c>
      <c r="M354" s="9">
        <v>2</v>
      </c>
      <c r="N354" s="43">
        <v>2</v>
      </c>
      <c r="O354" s="262">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7" t="s">
        <v>110</v>
      </c>
      <c r="J355" s="29">
        <v>1</v>
      </c>
      <c r="K355" s="9">
        <v>1</v>
      </c>
      <c r="L355" s="9">
        <v>1</v>
      </c>
      <c r="M355" s="9">
        <v>2</v>
      </c>
      <c r="N355" s="43">
        <v>2</v>
      </c>
      <c r="O355" s="262">
        <f t="shared" si="6"/>
        <v>0.35859414261160716</v>
      </c>
      <c r="P355" s="163" t="s">
        <v>111</v>
      </c>
    </row>
    <row r="356" spans="1:16">
      <c r="A356" s="224">
        <v>2021</v>
      </c>
      <c r="B356" s="224">
        <v>2480</v>
      </c>
      <c r="C356" s="224" t="s">
        <v>98</v>
      </c>
      <c r="D356" s="224">
        <v>1446</v>
      </c>
      <c r="E356" s="224">
        <v>3926</v>
      </c>
      <c r="F356" s="224">
        <v>0</v>
      </c>
      <c r="G356" s="224">
        <v>1</v>
      </c>
      <c r="H356" s="224">
        <v>0</v>
      </c>
      <c r="I356" s="307" t="s">
        <v>110</v>
      </c>
      <c r="J356" s="29">
        <v>1</v>
      </c>
      <c r="K356" s="9">
        <v>1</v>
      </c>
      <c r="L356" s="9">
        <v>1</v>
      </c>
      <c r="M356" s="9">
        <v>2</v>
      </c>
      <c r="N356" s="43">
        <v>2</v>
      </c>
      <c r="O356" s="262">
        <f t="shared" si="6"/>
        <v>0.35859414261160716</v>
      </c>
      <c r="P356" s="163" t="s">
        <v>111</v>
      </c>
    </row>
    <row r="358" spans="1:16" s="1110" customFormat="1">
      <c r="A358" s="1115" t="s">
        <v>15</v>
      </c>
    </row>
    <row r="359" spans="1:16" s="1110" customFormat="1" ht="15.75" thickBot="1"/>
    <row r="360" spans="1:16" ht="15.7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75" thickBot="1">
      <c r="A361" s="150" t="s">
        <v>109</v>
      </c>
      <c r="B361" s="33" t="s">
        <v>256</v>
      </c>
      <c r="C361" s="39" t="s">
        <v>139</v>
      </c>
      <c r="D361" s="33" t="s">
        <v>139</v>
      </c>
      <c r="E361" s="256" t="s">
        <v>150</v>
      </c>
      <c r="F361" s="33">
        <v>1</v>
      </c>
      <c r="G361" s="39"/>
      <c r="H361" s="250">
        <v>1</v>
      </c>
      <c r="I361" s="13"/>
      <c r="J361" s="13">
        <v>1</v>
      </c>
      <c r="K361" s="13">
        <v>1</v>
      </c>
      <c r="L361" s="13">
        <v>2</v>
      </c>
      <c r="M361" s="292">
        <v>2</v>
      </c>
      <c r="N361" s="425">
        <v>0.35859414261160716</v>
      </c>
      <c r="O361" s="497" t="s">
        <v>249</v>
      </c>
      <c r="P361" s="346"/>
    </row>
    <row r="362" spans="1:16" ht="15.75" thickBot="1">
      <c r="A362" s="228" t="s">
        <v>114</v>
      </c>
      <c r="B362" s="165" t="s">
        <v>256</v>
      </c>
      <c r="C362" s="166" t="s">
        <v>139</v>
      </c>
      <c r="D362" s="165" t="s">
        <v>139</v>
      </c>
      <c r="E362" s="291">
        <v>1</v>
      </c>
      <c r="F362" s="165">
        <v>1</v>
      </c>
      <c r="G362" s="166"/>
      <c r="H362" s="253">
        <v>1</v>
      </c>
      <c r="I362" s="70"/>
      <c r="J362" s="70">
        <v>1</v>
      </c>
      <c r="K362" s="70">
        <v>1</v>
      </c>
      <c r="L362" s="70">
        <v>2</v>
      </c>
      <c r="M362" s="287">
        <v>2</v>
      </c>
      <c r="N362" s="405">
        <v>0.35859414261160716</v>
      </c>
      <c r="O362" s="497" t="s">
        <v>249</v>
      </c>
      <c r="P362" s="351"/>
    </row>
    <row r="363" spans="1:16" ht="15.75" thickBot="1">
      <c r="A363" s="230" t="s">
        <v>259</v>
      </c>
      <c r="B363" s="60" t="s">
        <v>260</v>
      </c>
      <c r="C363" s="161" t="s">
        <v>139</v>
      </c>
      <c r="D363" s="60" t="s">
        <v>139</v>
      </c>
      <c r="E363" s="260" t="s">
        <v>150</v>
      </c>
      <c r="F363" s="60">
        <v>1</v>
      </c>
      <c r="G363" s="161"/>
      <c r="H363" s="251"/>
      <c r="I363" s="66"/>
      <c r="J363" s="66"/>
      <c r="K363" s="66"/>
      <c r="L363" s="66"/>
      <c r="M363" s="295"/>
      <c r="N363" s="405" t="s">
        <v>249</v>
      </c>
      <c r="O363" s="497" t="s">
        <v>249</v>
      </c>
      <c r="P363" s="229"/>
    </row>
    <row r="364" spans="1:16" ht="15.75" thickBot="1">
      <c r="A364" s="228" t="s">
        <v>261</v>
      </c>
      <c r="B364" s="165" t="s">
        <v>254</v>
      </c>
      <c r="C364" s="166" t="s">
        <v>139</v>
      </c>
      <c r="D364" s="165" t="s">
        <v>139</v>
      </c>
      <c r="E364" s="291">
        <v>1</v>
      </c>
      <c r="F364" s="165">
        <v>2</v>
      </c>
      <c r="G364" s="166"/>
      <c r="H364" s="248">
        <v>2</v>
      </c>
      <c r="I364" s="15">
        <v>2</v>
      </c>
      <c r="J364" s="15">
        <v>2</v>
      </c>
      <c r="K364" s="15">
        <v>3</v>
      </c>
      <c r="L364" s="15">
        <v>3</v>
      </c>
      <c r="M364" s="296">
        <v>2</v>
      </c>
      <c r="N364" s="405">
        <v>0.60108474454521421</v>
      </c>
      <c r="O364" s="497">
        <v>0.60108474454521421</v>
      </c>
      <c r="P364" s="351"/>
    </row>
    <row r="365" spans="1:16" ht="15.75" thickBot="1">
      <c r="A365" s="230" t="s">
        <v>262</v>
      </c>
      <c r="B365" s="60" t="s">
        <v>258</v>
      </c>
      <c r="C365" s="161" t="s">
        <v>139</v>
      </c>
      <c r="D365" s="60" t="s">
        <v>139</v>
      </c>
      <c r="E365" s="260">
        <v>0.25</v>
      </c>
      <c r="F365" s="60">
        <v>2</v>
      </c>
      <c r="G365" s="161" t="s">
        <v>263</v>
      </c>
      <c r="H365" s="251">
        <v>2</v>
      </c>
      <c r="I365" s="66">
        <v>2</v>
      </c>
      <c r="J365" s="66">
        <v>3</v>
      </c>
      <c r="K365" s="66">
        <v>3</v>
      </c>
      <c r="L365" s="66">
        <v>2</v>
      </c>
      <c r="M365" s="295">
        <v>3</v>
      </c>
      <c r="N365" s="405">
        <v>1.1278755061256258</v>
      </c>
      <c r="O365" s="497">
        <v>1.1278755061256258</v>
      </c>
      <c r="P365" s="229"/>
    </row>
    <row r="366" spans="1:16" ht="15.75" thickBot="1">
      <c r="A366" s="227" t="s">
        <v>262</v>
      </c>
      <c r="B366" s="149" t="s">
        <v>251</v>
      </c>
      <c r="C366" s="153" t="s">
        <v>139</v>
      </c>
      <c r="D366" s="227" t="s">
        <v>139</v>
      </c>
      <c r="E366" s="238">
        <v>0.75</v>
      </c>
      <c r="F366" s="149">
        <v>2</v>
      </c>
      <c r="G366" s="153" t="s">
        <v>263</v>
      </c>
      <c r="H366" s="248">
        <v>2</v>
      </c>
      <c r="I366" s="15">
        <v>2</v>
      </c>
      <c r="J366" s="15">
        <v>3</v>
      </c>
      <c r="K366" s="15">
        <v>3</v>
      </c>
      <c r="L366" s="15">
        <v>2</v>
      </c>
      <c r="M366" s="296">
        <v>3</v>
      </c>
      <c r="N366" s="424">
        <v>1.1278755061256258</v>
      </c>
      <c r="O366" s="506">
        <v>1.1278755061256258</v>
      </c>
      <c r="P366" s="505"/>
    </row>
    <row r="367" spans="1:16" ht="15.75" thickBot="1">
      <c r="A367" s="152" t="s">
        <v>256</v>
      </c>
      <c r="B367" s="35" t="s">
        <v>259</v>
      </c>
      <c r="C367" s="41" t="s">
        <v>139</v>
      </c>
      <c r="D367" s="35" t="s">
        <v>139</v>
      </c>
      <c r="E367" s="258" t="s">
        <v>150</v>
      </c>
      <c r="F367" s="35">
        <v>1</v>
      </c>
      <c r="G367" s="41"/>
      <c r="H367" s="252"/>
      <c r="I367" s="14"/>
      <c r="J367" s="14"/>
      <c r="K367" s="14"/>
      <c r="L367" s="14"/>
      <c r="M367" s="294"/>
      <c r="N367" s="428" t="str">
        <f t="shared" ref="N367:N381" si="7">IF( OR( ISBLANK(H367),ISBLANK(J367), ISBLANK(K367), ISBLANK(L367), ISBLANK(M367) ), "", 1.5*SQRT(   EXP(2.21*(H367-1)) + EXP(2.21*(J367-1)) + EXP(2.21*(K367-1)) + EXP(2.21*(L367-1)) + EXP(2.21*M367)   )/100*2.45 )</f>
        <v/>
      </c>
      <c r="O367" s="498" t="str">
        <f>IF( OR( ISBLANK(I367),ISBLANK(J367), ISBLANK(K367), ISBLANK(L367), ISBLANK(M367) ), "", 1.5*SQRT( EXP(2.21*(I367-1)) + EXP(2.21*(J367-1)) + EXP(2.21*(K367-1)) + EXP(2.21*(L367-1)) + EXP(2.21*M367)   )/100*2.45 )</f>
        <v/>
      </c>
      <c r="P367" s="62"/>
    </row>
    <row r="368" spans="1:16">
      <c r="A368" s="648" t="s">
        <v>256</v>
      </c>
      <c r="B368" s="77" t="s">
        <v>267</v>
      </c>
      <c r="C368" s="321" t="s">
        <v>180</v>
      </c>
      <c r="D368" s="77" t="s">
        <v>85</v>
      </c>
      <c r="E368" s="649">
        <v>0.89414414414414412</v>
      </c>
      <c r="F368" s="229">
        <v>1</v>
      </c>
      <c r="G368" t="s">
        <v>532</v>
      </c>
      <c r="H368" s="251">
        <v>1</v>
      </c>
      <c r="I368" s="654"/>
      <c r="J368" s="66">
        <v>1</v>
      </c>
      <c r="K368" s="66">
        <v>1</v>
      </c>
      <c r="L368" s="66">
        <v>2</v>
      </c>
      <c r="M368" s="66">
        <v>2</v>
      </c>
      <c r="N368" s="438">
        <f t="shared" si="7"/>
        <v>0.35859414261160716</v>
      </c>
      <c r="O368" s="650"/>
      <c r="P368" s="618" t="s">
        <v>533</v>
      </c>
    </row>
    <row r="369" spans="1:19">
      <c r="A369" s="97" t="s">
        <v>256</v>
      </c>
      <c r="B369" s="68" t="s">
        <v>267</v>
      </c>
      <c r="C369" s="307" t="s">
        <v>180</v>
      </c>
      <c r="D369" s="68" t="s">
        <v>86</v>
      </c>
      <c r="E369" s="647">
        <v>0.84514925373134331</v>
      </c>
      <c r="F369" s="63">
        <v>1</v>
      </c>
      <c r="G369" t="s">
        <v>532</v>
      </c>
      <c r="H369" s="249">
        <v>1</v>
      </c>
      <c r="I369" s="655"/>
      <c r="J369" s="10">
        <v>1</v>
      </c>
      <c r="K369" s="10">
        <v>1</v>
      </c>
      <c r="L369" s="10">
        <v>2</v>
      </c>
      <c r="M369" s="10">
        <v>2</v>
      </c>
      <c r="N369" s="405">
        <f t="shared" si="7"/>
        <v>0.35859414261160716</v>
      </c>
      <c r="O369" s="502"/>
      <c r="P369" s="100" t="s">
        <v>533</v>
      </c>
    </row>
    <row r="370" spans="1:19">
      <c r="A370" s="97" t="s">
        <v>256</v>
      </c>
      <c r="B370" s="68" t="s">
        <v>267</v>
      </c>
      <c r="C370" s="307" t="s">
        <v>180</v>
      </c>
      <c r="D370" s="68" t="s">
        <v>87</v>
      </c>
      <c r="E370" s="647">
        <v>0.2164781906300485</v>
      </c>
      <c r="F370" s="63">
        <v>1</v>
      </c>
      <c r="G370" t="s">
        <v>532</v>
      </c>
      <c r="H370" s="249">
        <v>1</v>
      </c>
      <c r="I370" s="655"/>
      <c r="J370" s="10">
        <v>1</v>
      </c>
      <c r="K370" s="10">
        <v>1</v>
      </c>
      <c r="L370" s="10">
        <v>2</v>
      </c>
      <c r="M370" s="10">
        <v>2</v>
      </c>
      <c r="N370" s="405">
        <f t="shared" si="7"/>
        <v>0.35859414261160716</v>
      </c>
      <c r="O370" s="502"/>
      <c r="P370" s="100" t="s">
        <v>533</v>
      </c>
    </row>
    <row r="371" spans="1:19">
      <c r="A371" s="97" t="s">
        <v>256</v>
      </c>
      <c r="B371" s="68" t="s">
        <v>267</v>
      </c>
      <c r="C371" s="307" t="s">
        <v>180</v>
      </c>
      <c r="D371" s="68" t="s">
        <v>88</v>
      </c>
      <c r="E371" s="647">
        <v>0.14782608695652169</v>
      </c>
      <c r="F371" s="63">
        <v>1</v>
      </c>
      <c r="G371" t="s">
        <v>532</v>
      </c>
      <c r="H371" s="249">
        <v>1</v>
      </c>
      <c r="I371" s="655"/>
      <c r="J371" s="10">
        <v>1</v>
      </c>
      <c r="K371" s="10">
        <v>1</v>
      </c>
      <c r="L371" s="10">
        <v>2</v>
      </c>
      <c r="M371" s="10">
        <v>2</v>
      </c>
      <c r="N371" s="405">
        <f t="shared" si="7"/>
        <v>0.35859414261160716</v>
      </c>
      <c r="O371" s="502"/>
      <c r="P371" s="100" t="s">
        <v>533</v>
      </c>
    </row>
    <row r="372" spans="1:19">
      <c r="A372" s="97" t="s">
        <v>256</v>
      </c>
      <c r="B372" s="68" t="s">
        <v>267</v>
      </c>
      <c r="C372" s="307" t="s">
        <v>180</v>
      </c>
      <c r="D372" s="68" t="s">
        <v>89</v>
      </c>
      <c r="E372" s="647">
        <v>0.66574585635359118</v>
      </c>
      <c r="F372" s="63">
        <v>1</v>
      </c>
      <c r="G372" t="s">
        <v>532</v>
      </c>
      <c r="H372" s="249">
        <v>1</v>
      </c>
      <c r="I372" s="655"/>
      <c r="J372" s="10">
        <v>1</v>
      </c>
      <c r="K372" s="10">
        <v>1</v>
      </c>
      <c r="L372" s="10">
        <v>2</v>
      </c>
      <c r="M372" s="10">
        <v>2</v>
      </c>
      <c r="N372" s="405">
        <f t="shared" si="7"/>
        <v>0.35859414261160716</v>
      </c>
      <c r="O372" s="502"/>
      <c r="P372" s="100" t="s">
        <v>533</v>
      </c>
      <c r="S372">
        <f>(14810.17/75907000)*100</f>
        <v>1.9510941019932285E-2</v>
      </c>
    </row>
    <row r="373" spans="1:19">
      <c r="A373" s="97" t="s">
        <v>256</v>
      </c>
      <c r="B373" s="68" t="s">
        <v>267</v>
      </c>
      <c r="C373" s="307" t="s">
        <v>180</v>
      </c>
      <c r="D373" s="68" t="s">
        <v>90</v>
      </c>
      <c r="E373" s="647">
        <v>0.85006045949214026</v>
      </c>
      <c r="F373" s="63">
        <v>1</v>
      </c>
      <c r="G373" t="s">
        <v>532</v>
      </c>
      <c r="H373" s="249">
        <v>1</v>
      </c>
      <c r="I373" s="655"/>
      <c r="J373" s="10">
        <v>1</v>
      </c>
      <c r="K373" s="10">
        <v>1</v>
      </c>
      <c r="L373" s="10">
        <v>2</v>
      </c>
      <c r="M373" s="10">
        <v>2</v>
      </c>
      <c r="N373" s="405">
        <f t="shared" si="7"/>
        <v>0.35859414261160716</v>
      </c>
      <c r="O373" s="502"/>
      <c r="P373" s="100" t="s">
        <v>533</v>
      </c>
    </row>
    <row r="374" spans="1:19">
      <c r="A374" s="97" t="s">
        <v>256</v>
      </c>
      <c r="B374" s="68" t="s">
        <v>267</v>
      </c>
      <c r="C374" s="307" t="s">
        <v>180</v>
      </c>
      <c r="D374" s="68" t="s">
        <v>91</v>
      </c>
      <c r="E374" s="647">
        <v>1</v>
      </c>
      <c r="F374" s="63">
        <v>1</v>
      </c>
      <c r="G374" t="s">
        <v>532</v>
      </c>
      <c r="H374" s="249">
        <v>1</v>
      </c>
      <c r="I374" s="655"/>
      <c r="J374" s="10">
        <v>1</v>
      </c>
      <c r="K374" s="10">
        <v>1</v>
      </c>
      <c r="L374" s="10">
        <v>2</v>
      </c>
      <c r="M374" s="10">
        <v>2</v>
      </c>
      <c r="N374" s="405">
        <f t="shared" si="7"/>
        <v>0.35859414261160716</v>
      </c>
      <c r="O374" s="502"/>
      <c r="P374" s="100" t="s">
        <v>533</v>
      </c>
    </row>
    <row r="375" spans="1:19">
      <c r="A375" s="97" t="s">
        <v>256</v>
      </c>
      <c r="B375" s="68" t="s">
        <v>267</v>
      </c>
      <c r="C375" s="307" t="s">
        <v>180</v>
      </c>
      <c r="D375" s="68" t="s">
        <v>94</v>
      </c>
      <c r="E375" s="647">
        <v>1</v>
      </c>
      <c r="F375" s="63">
        <v>1</v>
      </c>
      <c r="G375" t="s">
        <v>532</v>
      </c>
      <c r="H375" s="249">
        <v>1</v>
      </c>
      <c r="I375" s="655"/>
      <c r="J375" s="10">
        <v>1</v>
      </c>
      <c r="K375" s="10">
        <v>1</v>
      </c>
      <c r="L375" s="10">
        <v>2</v>
      </c>
      <c r="M375" s="10">
        <v>2</v>
      </c>
      <c r="N375" s="405">
        <f t="shared" si="7"/>
        <v>0.35859414261160716</v>
      </c>
      <c r="O375" s="502"/>
      <c r="P375" s="100" t="s">
        <v>533</v>
      </c>
    </row>
    <row r="376" spans="1:19">
      <c r="A376" s="97" t="s">
        <v>256</v>
      </c>
      <c r="B376" s="68" t="s">
        <v>267</v>
      </c>
      <c r="C376" s="307" t="s">
        <v>180</v>
      </c>
      <c r="D376" s="68" t="s">
        <v>96</v>
      </c>
      <c r="E376" s="647">
        <v>0.43243243243243251</v>
      </c>
      <c r="F376" s="63">
        <v>1</v>
      </c>
      <c r="G376" t="s">
        <v>532</v>
      </c>
      <c r="H376" s="249">
        <v>1</v>
      </c>
      <c r="I376" s="655"/>
      <c r="J376" s="10">
        <v>1</v>
      </c>
      <c r="K376" s="10">
        <v>1</v>
      </c>
      <c r="L376" s="10">
        <v>2</v>
      </c>
      <c r="M376" s="10">
        <v>2</v>
      </c>
      <c r="N376" s="405">
        <f t="shared" si="7"/>
        <v>0.35859414261160716</v>
      </c>
      <c r="O376" s="502"/>
      <c r="P376" s="100" t="s">
        <v>533</v>
      </c>
    </row>
    <row r="377" spans="1:19">
      <c r="A377" s="97" t="s">
        <v>256</v>
      </c>
      <c r="B377" s="68" t="s">
        <v>267</v>
      </c>
      <c r="C377" s="307" t="s">
        <v>180</v>
      </c>
      <c r="D377" s="68" t="s">
        <v>97</v>
      </c>
      <c r="E377" s="647">
        <v>0.66998341625207292</v>
      </c>
      <c r="F377" s="63">
        <v>1</v>
      </c>
      <c r="G377" t="s">
        <v>532</v>
      </c>
      <c r="H377" s="249">
        <v>1</v>
      </c>
      <c r="I377" s="655"/>
      <c r="J377" s="10">
        <v>1</v>
      </c>
      <c r="K377" s="10">
        <v>1</v>
      </c>
      <c r="L377" s="10">
        <v>2</v>
      </c>
      <c r="M377" s="10">
        <v>2</v>
      </c>
      <c r="N377" s="405">
        <f t="shared" si="7"/>
        <v>0.35859414261160716</v>
      </c>
      <c r="O377" s="502"/>
      <c r="P377" s="100" t="s">
        <v>533</v>
      </c>
    </row>
    <row r="378" spans="1:19">
      <c r="A378" s="97" t="s">
        <v>256</v>
      </c>
      <c r="B378" s="68" t="s">
        <v>267</v>
      </c>
      <c r="C378" s="307" t="s">
        <v>180</v>
      </c>
      <c r="D378" s="68" t="s">
        <v>95</v>
      </c>
      <c r="E378" s="647">
        <v>1</v>
      </c>
      <c r="F378" s="63">
        <v>1</v>
      </c>
      <c r="G378" t="s">
        <v>532</v>
      </c>
      <c r="H378" s="249">
        <v>1</v>
      </c>
      <c r="I378" s="655"/>
      <c r="J378" s="10">
        <v>1</v>
      </c>
      <c r="K378" s="10">
        <v>1</v>
      </c>
      <c r="L378" s="10">
        <v>2</v>
      </c>
      <c r="M378" s="10">
        <v>2</v>
      </c>
      <c r="N378" s="405">
        <f t="shared" si="7"/>
        <v>0.35859414261160716</v>
      </c>
      <c r="O378" s="502"/>
      <c r="P378" s="100" t="s">
        <v>533</v>
      </c>
    </row>
    <row r="379" spans="1:19">
      <c r="A379" s="97" t="s">
        <v>256</v>
      </c>
      <c r="B379" s="68" t="s">
        <v>267</v>
      </c>
      <c r="C379" s="307" t="s">
        <v>180</v>
      </c>
      <c r="D379" s="68" t="s">
        <v>93</v>
      </c>
      <c r="E379" s="647">
        <v>0.67391304347826086</v>
      </c>
      <c r="F379" s="63">
        <v>1</v>
      </c>
      <c r="G379" t="s">
        <v>532</v>
      </c>
      <c r="H379" s="249">
        <v>1</v>
      </c>
      <c r="I379" s="655"/>
      <c r="J379" s="10">
        <v>1</v>
      </c>
      <c r="K379" s="10">
        <v>1</v>
      </c>
      <c r="L379" s="10">
        <v>2</v>
      </c>
      <c r="M379" s="10">
        <v>2</v>
      </c>
      <c r="N379" s="405">
        <f t="shared" si="7"/>
        <v>0.35859414261160716</v>
      </c>
      <c r="O379" s="502"/>
      <c r="P379" s="100" t="s">
        <v>533</v>
      </c>
    </row>
    <row r="380" spans="1:19">
      <c r="A380" s="97" t="s">
        <v>256</v>
      </c>
      <c r="B380" s="68" t="s">
        <v>267</v>
      </c>
      <c r="C380" s="307" t="s">
        <v>180</v>
      </c>
      <c r="D380" s="68" t="s">
        <v>98</v>
      </c>
      <c r="E380" s="647">
        <v>1</v>
      </c>
      <c r="F380" s="63">
        <v>1</v>
      </c>
      <c r="G380" t="s">
        <v>532</v>
      </c>
      <c r="H380" s="249">
        <v>1</v>
      </c>
      <c r="I380" s="655"/>
      <c r="J380" s="10">
        <v>1</v>
      </c>
      <c r="K380" s="10">
        <v>1</v>
      </c>
      <c r="L380" s="10">
        <v>2</v>
      </c>
      <c r="M380" s="10">
        <v>2</v>
      </c>
      <c r="N380" s="405">
        <f t="shared" si="7"/>
        <v>0.35859414261160716</v>
      </c>
      <c r="O380" s="502"/>
      <c r="P380" s="100" t="s">
        <v>533</v>
      </c>
    </row>
    <row r="381" spans="1:19">
      <c r="A381" s="97" t="s">
        <v>256</v>
      </c>
      <c r="B381" s="68" t="s">
        <v>267</v>
      </c>
      <c r="C381" s="307" t="s">
        <v>182</v>
      </c>
      <c r="D381" s="68" t="s">
        <v>85</v>
      </c>
      <c r="E381" s="647">
        <v>0.15660919540229881</v>
      </c>
      <c r="F381" s="34">
        <v>1</v>
      </c>
      <c r="G381" t="s">
        <v>532</v>
      </c>
      <c r="H381" s="249">
        <v>1</v>
      </c>
      <c r="I381" s="653"/>
      <c r="J381" s="10">
        <v>1</v>
      </c>
      <c r="K381" s="10">
        <v>1</v>
      </c>
      <c r="L381" s="10">
        <v>2</v>
      </c>
      <c r="M381" s="10">
        <v>2</v>
      </c>
      <c r="N381" s="405">
        <f t="shared" si="7"/>
        <v>0.35859414261160716</v>
      </c>
      <c r="O381" s="502"/>
      <c r="P381" s="100" t="s">
        <v>533</v>
      </c>
    </row>
    <row r="382" spans="1:19">
      <c r="A382" s="97" t="s">
        <v>256</v>
      </c>
      <c r="B382" s="68" t="s">
        <v>267</v>
      </c>
      <c r="C382" s="307" t="s">
        <v>182</v>
      </c>
      <c r="D382" s="68" t="s">
        <v>86</v>
      </c>
      <c r="E382" s="647">
        <v>0.1689198415949747</v>
      </c>
      <c r="F382" s="34">
        <v>1</v>
      </c>
      <c r="G382" t="s">
        <v>532</v>
      </c>
      <c r="I382" s="249">
        <v>1</v>
      </c>
      <c r="J382" s="10">
        <v>1</v>
      </c>
      <c r="K382" s="10">
        <v>1</v>
      </c>
      <c r="L382" s="10">
        <v>2</v>
      </c>
      <c r="M382" s="10">
        <v>2</v>
      </c>
      <c r="N382" s="405">
        <f t="shared" ref="N382:N393" si="8">IF( OR( ISBLANK(I382),ISBLANK(J382), ISBLANK(K382), ISBLANK(L382), ISBLANK(M382) ), "", 1.5*SQRT(   EXP(2.21*(I382-1)) + EXP(2.21*(J382-1)) + EXP(2.21*(K382-1)) + EXP(2.21*(L382-1)) + EXP(2.21*M382)   )/100*2.45 )</f>
        <v>0.35859414261160716</v>
      </c>
      <c r="O382" s="502"/>
      <c r="P382" s="100" t="s">
        <v>533</v>
      </c>
    </row>
    <row r="383" spans="1:19">
      <c r="A383" s="97" t="s">
        <v>256</v>
      </c>
      <c r="B383" s="68" t="s">
        <v>267</v>
      </c>
      <c r="C383" s="307" t="s">
        <v>182</v>
      </c>
      <c r="D383" s="68" t="s">
        <v>87</v>
      </c>
      <c r="E383" s="647">
        <v>9.9585062240663894E-2</v>
      </c>
      <c r="F383" s="34">
        <v>1</v>
      </c>
      <c r="G383" t="s">
        <v>532</v>
      </c>
      <c r="I383" s="249">
        <v>1</v>
      </c>
      <c r="J383" s="10">
        <v>1</v>
      </c>
      <c r="K383" s="10">
        <v>1</v>
      </c>
      <c r="L383" s="10">
        <v>2</v>
      </c>
      <c r="M383" s="10">
        <v>2</v>
      </c>
      <c r="N383" s="405">
        <f t="shared" si="8"/>
        <v>0.35859414261160716</v>
      </c>
      <c r="O383" s="502"/>
      <c r="P383" s="100" t="s">
        <v>533</v>
      </c>
    </row>
    <row r="384" spans="1:19">
      <c r="A384" s="97" t="s">
        <v>256</v>
      </c>
      <c r="B384" s="68" t="s">
        <v>267</v>
      </c>
      <c r="C384" s="307" t="s">
        <v>182</v>
      </c>
      <c r="D384" s="68" t="s">
        <v>88</v>
      </c>
      <c r="E384" s="647">
        <v>0.16331787738279241</v>
      </c>
      <c r="F384" s="34">
        <v>1</v>
      </c>
      <c r="G384" t="s">
        <v>532</v>
      </c>
      <c r="I384" s="249">
        <v>1</v>
      </c>
      <c r="J384" s="10">
        <v>1</v>
      </c>
      <c r="K384" s="10">
        <v>1</v>
      </c>
      <c r="L384" s="10">
        <v>2</v>
      </c>
      <c r="M384" s="10">
        <v>2</v>
      </c>
      <c r="N384" s="405">
        <f t="shared" si="8"/>
        <v>0.35859414261160716</v>
      </c>
      <c r="O384" s="502"/>
      <c r="P384" s="100" t="s">
        <v>533</v>
      </c>
    </row>
    <row r="385" spans="1:16">
      <c r="A385" s="97" t="s">
        <v>256</v>
      </c>
      <c r="B385" s="68" t="s">
        <v>267</v>
      </c>
      <c r="C385" s="307" t="s">
        <v>182</v>
      </c>
      <c r="D385" s="68" t="s">
        <v>89</v>
      </c>
      <c r="E385" s="647">
        <v>4.9733570159857902E-2</v>
      </c>
      <c r="F385" s="34">
        <v>1</v>
      </c>
      <c r="G385" t="s">
        <v>532</v>
      </c>
      <c r="I385" s="249">
        <v>1</v>
      </c>
      <c r="J385" s="10">
        <v>1</v>
      </c>
      <c r="K385" s="10">
        <v>1</v>
      </c>
      <c r="L385" s="10">
        <v>2</v>
      </c>
      <c r="M385" s="10">
        <v>2</v>
      </c>
      <c r="N385" s="405">
        <f t="shared" si="8"/>
        <v>0.35859414261160716</v>
      </c>
      <c r="O385" s="502"/>
      <c r="P385" s="100" t="s">
        <v>533</v>
      </c>
    </row>
    <row r="386" spans="1:16">
      <c r="A386" s="97" t="s">
        <v>256</v>
      </c>
      <c r="B386" s="68" t="s">
        <v>267</v>
      </c>
      <c r="C386" s="307" t="s">
        <v>182</v>
      </c>
      <c r="D386" s="68" t="s">
        <v>90</v>
      </c>
      <c r="E386" s="647">
        <v>0.225984796129924</v>
      </c>
      <c r="F386" s="34">
        <v>1</v>
      </c>
      <c r="G386" t="s">
        <v>532</v>
      </c>
      <c r="I386" s="249">
        <v>1</v>
      </c>
      <c r="J386" s="10">
        <v>1</v>
      </c>
      <c r="K386" s="10">
        <v>1</v>
      </c>
      <c r="L386" s="10">
        <v>2</v>
      </c>
      <c r="M386" s="10">
        <v>2</v>
      </c>
      <c r="N386" s="405">
        <f t="shared" si="8"/>
        <v>0.35859414261160716</v>
      </c>
      <c r="O386" s="502"/>
      <c r="P386" s="100" t="s">
        <v>533</v>
      </c>
    </row>
    <row r="387" spans="1:16">
      <c r="A387" s="97" t="s">
        <v>256</v>
      </c>
      <c r="B387" s="68" t="s">
        <v>267</v>
      </c>
      <c r="C387" s="307" t="s">
        <v>182</v>
      </c>
      <c r="D387" s="68" t="s">
        <v>91</v>
      </c>
      <c r="E387" s="647">
        <v>9.5582536812193225E-2</v>
      </c>
      <c r="F387" s="34">
        <v>1</v>
      </c>
      <c r="G387" t="s">
        <v>532</v>
      </c>
      <c r="I387" s="249">
        <v>1</v>
      </c>
      <c r="J387" s="10">
        <v>1</v>
      </c>
      <c r="K387" s="10">
        <v>1</v>
      </c>
      <c r="L387" s="10">
        <v>2</v>
      </c>
      <c r="M387" s="10">
        <v>2</v>
      </c>
      <c r="N387" s="405">
        <f t="shared" si="8"/>
        <v>0.35859414261160716</v>
      </c>
      <c r="O387" s="502"/>
      <c r="P387" s="100" t="s">
        <v>533</v>
      </c>
    </row>
    <row r="388" spans="1:16">
      <c r="A388" s="97" t="s">
        <v>256</v>
      </c>
      <c r="B388" s="68" t="s">
        <v>267</v>
      </c>
      <c r="C388" s="307" t="s">
        <v>182</v>
      </c>
      <c r="D388" s="68" t="s">
        <v>94</v>
      </c>
      <c r="E388" s="647">
        <v>0.24492099322799099</v>
      </c>
      <c r="F388" s="34">
        <v>1</v>
      </c>
      <c r="G388" t="s">
        <v>532</v>
      </c>
      <c r="I388" s="249">
        <v>1</v>
      </c>
      <c r="J388" s="10">
        <v>1</v>
      </c>
      <c r="K388" s="10">
        <v>1</v>
      </c>
      <c r="L388" s="10">
        <v>2</v>
      </c>
      <c r="M388" s="10">
        <v>2</v>
      </c>
      <c r="N388" s="405">
        <f t="shared" si="8"/>
        <v>0.35859414261160716</v>
      </c>
      <c r="O388" s="502"/>
      <c r="P388" s="100" t="s">
        <v>533</v>
      </c>
    </row>
    <row r="389" spans="1:16">
      <c r="A389" s="97" t="s">
        <v>256</v>
      </c>
      <c r="B389" s="68" t="s">
        <v>267</v>
      </c>
      <c r="C389" s="307" t="s">
        <v>182</v>
      </c>
      <c r="D389" s="68" t="s">
        <v>96</v>
      </c>
      <c r="E389" s="647">
        <v>0.19953775038520799</v>
      </c>
      <c r="F389" s="34">
        <v>1</v>
      </c>
      <c r="G389" t="s">
        <v>532</v>
      </c>
      <c r="I389" s="249">
        <v>1</v>
      </c>
      <c r="J389" s="10">
        <v>1</v>
      </c>
      <c r="K389" s="10">
        <v>1</v>
      </c>
      <c r="L389" s="10">
        <v>2</v>
      </c>
      <c r="M389" s="10">
        <v>2</v>
      </c>
      <c r="N389" s="405">
        <f t="shared" si="8"/>
        <v>0.35859414261160716</v>
      </c>
      <c r="O389" s="502"/>
      <c r="P389" s="100" t="s">
        <v>533</v>
      </c>
    </row>
    <row r="390" spans="1:16">
      <c r="A390" s="97" t="s">
        <v>256</v>
      </c>
      <c r="B390" s="68" t="s">
        <v>267</v>
      </c>
      <c r="C390" s="307" t="s">
        <v>182</v>
      </c>
      <c r="D390" s="68" t="s">
        <v>97</v>
      </c>
      <c r="E390" s="647">
        <v>0.3138111888111888</v>
      </c>
      <c r="F390" s="34">
        <v>1</v>
      </c>
      <c r="G390" t="s">
        <v>532</v>
      </c>
      <c r="I390" s="249">
        <v>1</v>
      </c>
      <c r="J390" s="10">
        <v>1</v>
      </c>
      <c r="K390" s="10">
        <v>1</v>
      </c>
      <c r="L390" s="10">
        <v>2</v>
      </c>
      <c r="M390" s="10">
        <v>2</v>
      </c>
      <c r="N390" s="405">
        <f t="shared" si="8"/>
        <v>0.35859414261160716</v>
      </c>
      <c r="O390" s="502"/>
      <c r="P390" s="100" t="s">
        <v>533</v>
      </c>
    </row>
    <row r="391" spans="1:16">
      <c r="A391" s="97" t="s">
        <v>256</v>
      </c>
      <c r="B391" s="68" t="s">
        <v>267</v>
      </c>
      <c r="C391" s="307" t="s">
        <v>182</v>
      </c>
      <c r="D391" s="68" t="s">
        <v>95</v>
      </c>
      <c r="E391" s="647">
        <v>0.2368318376902068</v>
      </c>
      <c r="F391" s="34">
        <v>1</v>
      </c>
      <c r="G391" t="s">
        <v>532</v>
      </c>
      <c r="I391" s="249">
        <v>1</v>
      </c>
      <c r="J391" s="10">
        <v>1</v>
      </c>
      <c r="K391" s="10">
        <v>1</v>
      </c>
      <c r="L391" s="10">
        <v>2</v>
      </c>
      <c r="M391" s="10">
        <v>2</v>
      </c>
      <c r="N391" s="405">
        <f t="shared" si="8"/>
        <v>0.35859414261160716</v>
      </c>
      <c r="O391" s="502"/>
      <c r="P391" s="100" t="s">
        <v>533</v>
      </c>
    </row>
    <row r="392" spans="1:16">
      <c r="A392" s="97" t="s">
        <v>256</v>
      </c>
      <c r="B392" s="68" t="s">
        <v>267</v>
      </c>
      <c r="C392" s="307" t="s">
        <v>182</v>
      </c>
      <c r="D392" s="68" t="s">
        <v>93</v>
      </c>
      <c r="E392" s="647">
        <v>0.16604287172507659</v>
      </c>
      <c r="F392" s="34">
        <v>1</v>
      </c>
      <c r="G392" t="s">
        <v>532</v>
      </c>
      <c r="I392" s="249">
        <v>1</v>
      </c>
      <c r="J392" s="10">
        <v>1</v>
      </c>
      <c r="K392" s="10">
        <v>1</v>
      </c>
      <c r="L392" s="10">
        <v>2</v>
      </c>
      <c r="M392" s="10">
        <v>2</v>
      </c>
      <c r="N392" s="405">
        <f t="shared" si="8"/>
        <v>0.35859414261160716</v>
      </c>
      <c r="O392" s="502"/>
      <c r="P392" s="100" t="s">
        <v>533</v>
      </c>
    </row>
    <row r="393" spans="1:16" ht="15.75" thickBot="1">
      <c r="A393" s="98" t="s">
        <v>256</v>
      </c>
      <c r="B393" s="72" t="s">
        <v>267</v>
      </c>
      <c r="C393" s="320" t="s">
        <v>182</v>
      </c>
      <c r="D393" s="72" t="s">
        <v>98</v>
      </c>
      <c r="E393" s="647">
        <v>0.34568127636163581</v>
      </c>
      <c r="F393" s="35">
        <v>1</v>
      </c>
      <c r="G393" s="504" t="s">
        <v>532</v>
      </c>
      <c r="H393" s="651"/>
      <c r="I393" s="252">
        <v>1</v>
      </c>
      <c r="J393" s="14">
        <v>1</v>
      </c>
      <c r="K393" s="14">
        <v>1</v>
      </c>
      <c r="L393" s="14">
        <v>2</v>
      </c>
      <c r="M393" s="14">
        <v>2</v>
      </c>
      <c r="N393" s="428">
        <f t="shared" si="8"/>
        <v>0.35859414261160716</v>
      </c>
      <c r="O393" s="503"/>
      <c r="P393" s="100" t="s">
        <v>533</v>
      </c>
    </row>
    <row r="394" spans="1:16">
      <c r="A394" s="7"/>
      <c r="B394" s="7"/>
      <c r="C394" s="1"/>
      <c r="D394" s="7"/>
      <c r="E394" s="120"/>
      <c r="F394" s="7"/>
      <c r="G394" s="7"/>
      <c r="H394" s="7"/>
      <c r="I394" s="7"/>
      <c r="J394" s="7"/>
      <c r="K394" s="7"/>
      <c r="L394" s="7"/>
      <c r="M394" s="7"/>
      <c r="N394" s="7"/>
      <c r="O394" s="7"/>
      <c r="P394" s="7"/>
    </row>
    <row r="395" spans="1:16" s="414" customFormat="1">
      <c r="A395" s="767" t="s">
        <v>1998</v>
      </c>
      <c r="B395" s="764"/>
      <c r="C395" s="765"/>
      <c r="D395" s="764"/>
      <c r="E395" s="766"/>
      <c r="F395" s="764"/>
      <c r="G395" s="764"/>
      <c r="H395" s="764"/>
      <c r="I395" s="764"/>
      <c r="J395" s="764"/>
      <c r="K395" s="764"/>
      <c r="L395" s="764"/>
      <c r="M395" s="764"/>
      <c r="N395" s="764"/>
      <c r="O395" s="764"/>
      <c r="P395" s="764"/>
    </row>
    <row r="396" spans="1:16">
      <c r="A396" s="9" t="s">
        <v>256</v>
      </c>
      <c r="B396" s="9" t="s">
        <v>262</v>
      </c>
      <c r="C396" s="9" t="s">
        <v>139</v>
      </c>
      <c r="D396" s="9" t="s">
        <v>139</v>
      </c>
      <c r="E396" s="768">
        <v>9.9999999999999995E-7</v>
      </c>
      <c r="F396" s="9">
        <v>2</v>
      </c>
      <c r="G396" s="186" t="s">
        <v>1995</v>
      </c>
      <c r="H396" s="10">
        <v>2</v>
      </c>
      <c r="I396" s="10">
        <v>2</v>
      </c>
      <c r="J396" s="10">
        <v>3</v>
      </c>
      <c r="K396" s="10">
        <v>3</v>
      </c>
      <c r="L396" s="10">
        <v>3</v>
      </c>
      <c r="M396" s="10">
        <v>2</v>
      </c>
      <c r="N396" s="405">
        <f t="shared" ref="N396:N407" si="9">IF( OR( ISBLANK(H396),ISBLANK(J396), ISBLANK(K396), ISBLANK(L396), ISBLANK(M396) ), "", 1.5*SQRT(   EXP(2.21*(H396-1)) + EXP(2.21*(J396-1)) + EXP(2.21*(K396-1)) + EXP(2.21*(L396-1)) + EXP(2.21*M396)   )/100*2.45 )</f>
        <v>0.67913051197703389</v>
      </c>
      <c r="O396" s="405">
        <f t="shared" ref="O396:O407" si="10">IF( OR( ISBLANK(I396),ISBLANK(J396), ISBLANK(K396), ISBLANK(L396), ISBLANK(M396) ), "", 1.5*SQRT( EXP(2.21*(I396-1)) + EXP(2.21*(J396-1)) + EXP(2.21*(K396-1)) + EXP(2.21*(L396-1)) + EXP(2.21*M396)   )/100*2.45 )</f>
        <v>0.67913051197703389</v>
      </c>
      <c r="P396" s="762" t="s">
        <v>1993</v>
      </c>
    </row>
    <row r="397" spans="1:16">
      <c r="A397" s="9" t="s">
        <v>256</v>
      </c>
      <c r="B397" s="9" t="s">
        <v>262</v>
      </c>
      <c r="C397" s="9" t="s">
        <v>139</v>
      </c>
      <c r="D397" s="9" t="s">
        <v>139</v>
      </c>
      <c r="E397" s="769">
        <f>0.05*(1-0.088)/100</f>
        <v>4.5600000000000003E-4</v>
      </c>
      <c r="F397" s="9">
        <v>2</v>
      </c>
      <c r="G397" s="186" t="s">
        <v>1995</v>
      </c>
      <c r="H397" s="10">
        <v>2</v>
      </c>
      <c r="I397" s="10">
        <v>2</v>
      </c>
      <c r="J397" s="10">
        <v>3</v>
      </c>
      <c r="K397" s="10">
        <v>3</v>
      </c>
      <c r="L397" s="10">
        <v>3</v>
      </c>
      <c r="M397" s="10">
        <v>2</v>
      </c>
      <c r="N397" s="405">
        <f t="shared" si="9"/>
        <v>0.67913051197703389</v>
      </c>
      <c r="O397" s="405">
        <f t="shared" si="10"/>
        <v>0.67913051197703389</v>
      </c>
      <c r="P397" s="762" t="s">
        <v>1993</v>
      </c>
    </row>
    <row r="398" spans="1:16">
      <c r="A398" s="224" t="s">
        <v>256</v>
      </c>
      <c r="B398" s="224" t="s">
        <v>431</v>
      </c>
      <c r="C398" s="224" t="s">
        <v>139</v>
      </c>
      <c r="D398" s="224" t="s">
        <v>139</v>
      </c>
      <c r="E398" s="768">
        <v>9.9999999999999995E-7</v>
      </c>
      <c r="F398" s="310">
        <v>2</v>
      </c>
      <c r="G398" s="186" t="s">
        <v>1999</v>
      </c>
      <c r="H398" s="224">
        <v>2</v>
      </c>
      <c r="I398" s="224">
        <v>2</v>
      </c>
      <c r="J398" s="224">
        <v>3</v>
      </c>
      <c r="K398" s="224">
        <v>3</v>
      </c>
      <c r="L398" s="224">
        <v>3</v>
      </c>
      <c r="M398" s="224">
        <v>2</v>
      </c>
      <c r="N398" s="405">
        <f t="shared" si="9"/>
        <v>0.67913051197703389</v>
      </c>
      <c r="O398" s="405">
        <f t="shared" si="10"/>
        <v>0.67913051197703389</v>
      </c>
      <c r="P398" s="224"/>
    </row>
    <row r="399" spans="1:16">
      <c r="A399" s="224" t="s">
        <v>256</v>
      </c>
      <c r="B399" s="224" t="s">
        <v>431</v>
      </c>
      <c r="C399" s="224" t="s">
        <v>139</v>
      </c>
      <c r="D399" s="224" t="s">
        <v>139</v>
      </c>
      <c r="E399" s="769">
        <f>0.05*0.088/100</f>
        <v>4.4000000000000006E-5</v>
      </c>
      <c r="F399" s="310">
        <v>2</v>
      </c>
      <c r="G399" s="186" t="s">
        <v>1999</v>
      </c>
      <c r="H399" s="224">
        <v>2</v>
      </c>
      <c r="I399" s="224">
        <v>2</v>
      </c>
      <c r="J399" s="224">
        <v>3</v>
      </c>
      <c r="K399" s="224">
        <v>3</v>
      </c>
      <c r="L399" s="224">
        <v>3</v>
      </c>
      <c r="M399" s="224">
        <v>2</v>
      </c>
      <c r="N399" s="405">
        <f t="shared" si="9"/>
        <v>0.67913051197703389</v>
      </c>
      <c r="O399" s="405">
        <f t="shared" si="10"/>
        <v>0.67913051197703389</v>
      </c>
      <c r="P399" s="224" t="s">
        <v>2000</v>
      </c>
    </row>
    <row r="400" spans="1:16">
      <c r="A400" s="9" t="s">
        <v>262</v>
      </c>
      <c r="B400" s="9" t="s">
        <v>258</v>
      </c>
      <c r="C400" s="9" t="s">
        <v>139</v>
      </c>
      <c r="D400" s="9" t="s">
        <v>139</v>
      </c>
      <c r="E400" s="242">
        <v>0.25</v>
      </c>
      <c r="F400" s="9">
        <v>2</v>
      </c>
      <c r="G400" s="186" t="s">
        <v>1996</v>
      </c>
      <c r="H400" s="10">
        <v>2</v>
      </c>
      <c r="I400" s="10">
        <v>2</v>
      </c>
      <c r="J400" s="10">
        <v>3</v>
      </c>
      <c r="K400" s="10">
        <v>3</v>
      </c>
      <c r="L400" s="10">
        <v>3</v>
      </c>
      <c r="M400" s="10">
        <v>2</v>
      </c>
      <c r="N400" s="405">
        <f t="shared" si="9"/>
        <v>0.67913051197703389</v>
      </c>
      <c r="O400" s="405">
        <f t="shared" si="10"/>
        <v>0.67913051197703389</v>
      </c>
      <c r="P400" s="9" t="s">
        <v>1994</v>
      </c>
    </row>
    <row r="401" spans="1:16">
      <c r="A401" s="9" t="s">
        <v>262</v>
      </c>
      <c r="B401" s="9" t="s">
        <v>251</v>
      </c>
      <c r="C401" s="9" t="s">
        <v>139</v>
      </c>
      <c r="D401" s="9" t="s">
        <v>139</v>
      </c>
      <c r="E401" s="242">
        <v>0.75</v>
      </c>
      <c r="F401" s="9">
        <v>2</v>
      </c>
      <c r="G401" s="186" t="s">
        <v>1996</v>
      </c>
      <c r="H401" s="10">
        <v>2</v>
      </c>
      <c r="I401" s="10">
        <v>2</v>
      </c>
      <c r="J401" s="10">
        <v>3</v>
      </c>
      <c r="K401" s="10">
        <v>3</v>
      </c>
      <c r="L401" s="10">
        <v>3</v>
      </c>
      <c r="M401" s="10">
        <v>2</v>
      </c>
      <c r="N401" s="405">
        <f t="shared" si="9"/>
        <v>0.67913051197703389</v>
      </c>
      <c r="O401" s="405">
        <f t="shared" si="10"/>
        <v>0.67913051197703389</v>
      </c>
      <c r="P401" s="9" t="s">
        <v>1994</v>
      </c>
    </row>
    <row r="402" spans="1:16">
      <c r="A402" s="9" t="s">
        <v>259</v>
      </c>
      <c r="B402" s="9" t="s">
        <v>261</v>
      </c>
      <c r="C402" s="9" t="s">
        <v>139</v>
      </c>
      <c r="D402" s="9" t="s">
        <v>139</v>
      </c>
      <c r="E402" s="769">
        <v>9.9999999999999995E-7</v>
      </c>
      <c r="F402" s="247">
        <v>2</v>
      </c>
      <c r="G402" s="186" t="s">
        <v>1995</v>
      </c>
      <c r="H402" s="172">
        <v>2</v>
      </c>
      <c r="I402" s="10">
        <v>2</v>
      </c>
      <c r="J402" s="10">
        <v>3</v>
      </c>
      <c r="K402" s="10">
        <v>3</v>
      </c>
      <c r="L402" s="10">
        <v>3</v>
      </c>
      <c r="M402" s="10">
        <v>2</v>
      </c>
      <c r="N402" s="405">
        <f t="shared" si="9"/>
        <v>0.67913051197703389</v>
      </c>
      <c r="O402" s="405">
        <f t="shared" si="10"/>
        <v>0.67913051197703389</v>
      </c>
      <c r="P402" s="762" t="s">
        <v>1993</v>
      </c>
    </row>
    <row r="403" spans="1:16">
      <c r="A403" s="9" t="s">
        <v>259</v>
      </c>
      <c r="B403" s="9" t="s">
        <v>261</v>
      </c>
      <c r="C403" s="9" t="s">
        <v>139</v>
      </c>
      <c r="D403" s="9" t="s">
        <v>139</v>
      </c>
      <c r="E403" s="769">
        <v>4.0000000000000002E-4</v>
      </c>
      <c r="F403" s="247">
        <v>2</v>
      </c>
      <c r="G403" s="186" t="s">
        <v>1995</v>
      </c>
      <c r="H403" s="172">
        <v>2</v>
      </c>
      <c r="I403" s="10">
        <v>2</v>
      </c>
      <c r="J403" s="10">
        <v>3</v>
      </c>
      <c r="K403" s="10">
        <v>3</v>
      </c>
      <c r="L403" s="10">
        <v>3</v>
      </c>
      <c r="M403" s="10">
        <v>2</v>
      </c>
      <c r="N403" s="405">
        <f t="shared" si="9"/>
        <v>0.67913051197703389</v>
      </c>
      <c r="O403" s="405">
        <f t="shared" si="10"/>
        <v>0.67913051197703389</v>
      </c>
      <c r="P403" s="762" t="s">
        <v>1993</v>
      </c>
    </row>
    <row r="404" spans="1:16">
      <c r="A404" s="119" t="s">
        <v>109</v>
      </c>
      <c r="B404" s="119" t="s">
        <v>261</v>
      </c>
      <c r="C404" s="119" t="s">
        <v>139</v>
      </c>
      <c r="D404" s="119" t="s">
        <v>139</v>
      </c>
      <c r="E404" s="778">
        <v>9.9999999999999995E-7</v>
      </c>
      <c r="F404" s="312">
        <v>2</v>
      </c>
      <c r="G404" s="186" t="s">
        <v>1995</v>
      </c>
      <c r="H404" s="175">
        <v>2</v>
      </c>
      <c r="I404" s="15">
        <v>2</v>
      </c>
      <c r="J404" s="15">
        <v>3</v>
      </c>
      <c r="K404" s="15">
        <v>3</v>
      </c>
      <c r="L404" s="15">
        <v>3</v>
      </c>
      <c r="M404" s="15">
        <v>2</v>
      </c>
      <c r="N404" s="424">
        <f t="shared" si="9"/>
        <v>0.67913051197703389</v>
      </c>
      <c r="O404" s="424">
        <f t="shared" si="10"/>
        <v>0.67913051197703389</v>
      </c>
      <c r="P404" s="119" t="s">
        <v>525</v>
      </c>
    </row>
    <row r="405" spans="1:16">
      <c r="A405" s="9" t="s">
        <v>109</v>
      </c>
      <c r="B405" s="9" t="s">
        <v>261</v>
      </c>
      <c r="C405" s="9" t="s">
        <v>139</v>
      </c>
      <c r="D405" s="9" t="s">
        <v>139</v>
      </c>
      <c r="E405" s="769">
        <v>4.0000000000000002E-4</v>
      </c>
      <c r="F405" s="247">
        <v>2</v>
      </c>
      <c r="G405" s="186" t="s">
        <v>1995</v>
      </c>
      <c r="H405" s="172">
        <v>2</v>
      </c>
      <c r="I405" s="10">
        <v>2</v>
      </c>
      <c r="J405" s="10">
        <v>3</v>
      </c>
      <c r="K405" s="10">
        <v>3</v>
      </c>
      <c r="L405" s="10">
        <v>3</v>
      </c>
      <c r="M405" s="10">
        <v>2</v>
      </c>
      <c r="N405" s="405">
        <f t="shared" si="9"/>
        <v>0.67913051197703389</v>
      </c>
      <c r="O405" s="405">
        <f t="shared" si="10"/>
        <v>0.67913051197703389</v>
      </c>
      <c r="P405" s="9" t="s">
        <v>525</v>
      </c>
    </row>
    <row r="406" spans="1:16" ht="15.75" customHeight="1">
      <c r="A406" s="9" t="s">
        <v>261</v>
      </c>
      <c r="B406" s="9" t="s">
        <v>254</v>
      </c>
      <c r="C406" s="9" t="s">
        <v>139</v>
      </c>
      <c r="D406" s="9" t="s">
        <v>139</v>
      </c>
      <c r="E406" s="769">
        <v>4.0000000000000001E-3</v>
      </c>
      <c r="F406" s="247">
        <v>2</v>
      </c>
      <c r="G406" s="186" t="s">
        <v>1996</v>
      </c>
      <c r="H406" s="172">
        <v>2</v>
      </c>
      <c r="I406" s="10">
        <v>2</v>
      </c>
      <c r="J406" s="10">
        <v>3</v>
      </c>
      <c r="K406" s="10">
        <v>3</v>
      </c>
      <c r="L406" s="10">
        <v>3</v>
      </c>
      <c r="M406" s="10">
        <v>2</v>
      </c>
      <c r="N406" s="405">
        <f t="shared" si="9"/>
        <v>0.67913051197703389</v>
      </c>
      <c r="O406" s="405">
        <f t="shared" si="10"/>
        <v>0.67913051197703389</v>
      </c>
      <c r="P406" s="9" t="s">
        <v>1994</v>
      </c>
    </row>
    <row r="407" spans="1:16" ht="15.75" customHeight="1">
      <c r="A407" s="9" t="s">
        <v>261</v>
      </c>
      <c r="B407" s="9" t="s">
        <v>251</v>
      </c>
      <c r="C407" s="9" t="s">
        <v>139</v>
      </c>
      <c r="D407" s="9" t="s">
        <v>139</v>
      </c>
      <c r="E407" s="769">
        <v>0.996</v>
      </c>
      <c r="F407" s="247">
        <v>2</v>
      </c>
      <c r="G407" s="186" t="s">
        <v>1996</v>
      </c>
      <c r="H407" s="172">
        <v>2</v>
      </c>
      <c r="I407" s="10">
        <v>2</v>
      </c>
      <c r="J407" s="10">
        <v>3</v>
      </c>
      <c r="K407" s="10">
        <v>3</v>
      </c>
      <c r="L407" s="10">
        <v>3</v>
      </c>
      <c r="M407" s="10">
        <v>2</v>
      </c>
      <c r="N407" s="405">
        <f t="shared" si="9"/>
        <v>0.67913051197703389</v>
      </c>
      <c r="O407" s="405">
        <f t="shared" si="10"/>
        <v>0.67913051197703389</v>
      </c>
      <c r="P407" s="9" t="s">
        <v>1994</v>
      </c>
    </row>
    <row r="409" spans="1:16" s="1115" customFormat="1">
      <c r="A409" s="1115" t="s">
        <v>534</v>
      </c>
    </row>
    <row r="410" spans="1:16" s="1115" customFormat="1"/>
    <row r="411" spans="1:16" s="222" customFormat="1">
      <c r="A411" s="222" t="s">
        <v>535</v>
      </c>
    </row>
    <row r="413" spans="1:16">
      <c r="A413" s="656" t="s">
        <v>536</v>
      </c>
      <c r="B413" s="656" t="s">
        <v>537</v>
      </c>
      <c r="C413" s="656" t="s">
        <v>104</v>
      </c>
      <c r="D413" s="657" t="s">
        <v>85</v>
      </c>
      <c r="E413" s="657" t="s">
        <v>86</v>
      </c>
      <c r="F413" s="657" t="s">
        <v>87</v>
      </c>
      <c r="G413" s="657" t="s">
        <v>88</v>
      </c>
      <c r="H413" s="657" t="s">
        <v>89</v>
      </c>
      <c r="I413" s="657" t="s">
        <v>90</v>
      </c>
      <c r="J413" s="657" t="s">
        <v>91</v>
      </c>
      <c r="K413" s="657" t="s">
        <v>94</v>
      </c>
      <c r="L413" s="657" t="s">
        <v>96</v>
      </c>
      <c r="M413" s="657" t="s">
        <v>97</v>
      </c>
      <c r="N413" s="657" t="s">
        <v>95</v>
      </c>
      <c r="O413" s="657" t="s">
        <v>93</v>
      </c>
      <c r="P413" s="657" t="s">
        <v>98</v>
      </c>
    </row>
    <row r="414" spans="1:16">
      <c r="A414" s="224" t="s">
        <v>538</v>
      </c>
      <c r="B414" s="224"/>
      <c r="C414" s="224" t="s">
        <v>45</v>
      </c>
      <c r="D414" s="313">
        <v>1</v>
      </c>
      <c r="E414" s="313">
        <v>0</v>
      </c>
      <c r="F414" s="313">
        <v>0</v>
      </c>
      <c r="G414" s="313">
        <v>0</v>
      </c>
      <c r="H414" s="313">
        <v>0</v>
      </c>
      <c r="I414" s="313">
        <v>0</v>
      </c>
      <c r="J414" s="313">
        <v>0</v>
      </c>
      <c r="K414" s="313">
        <v>0</v>
      </c>
      <c r="L414" s="313">
        <v>0</v>
      </c>
      <c r="M414" s="313">
        <v>0</v>
      </c>
      <c r="N414" s="313">
        <v>0</v>
      </c>
      <c r="O414" s="313">
        <v>0</v>
      </c>
      <c r="P414" s="313">
        <v>0</v>
      </c>
    </row>
    <row r="415" spans="1:16">
      <c r="A415" s="224" t="s">
        <v>538</v>
      </c>
      <c r="B415" s="224"/>
      <c r="C415" s="224" t="s">
        <v>45</v>
      </c>
      <c r="D415" s="313">
        <v>1</v>
      </c>
      <c r="E415" s="313">
        <v>0</v>
      </c>
      <c r="F415" s="313">
        <v>0</v>
      </c>
      <c r="G415" s="313">
        <v>0</v>
      </c>
      <c r="H415" s="313">
        <v>0</v>
      </c>
      <c r="I415" s="313">
        <v>0</v>
      </c>
      <c r="J415" s="313">
        <v>0</v>
      </c>
      <c r="K415" s="313">
        <v>0</v>
      </c>
      <c r="L415" s="313">
        <v>0</v>
      </c>
      <c r="M415" s="313">
        <v>0</v>
      </c>
      <c r="N415" s="313">
        <v>0</v>
      </c>
      <c r="O415" s="313">
        <v>0</v>
      </c>
      <c r="P415" s="313">
        <v>0</v>
      </c>
    </row>
    <row r="416" spans="1:16">
      <c r="A416" s="224" t="s">
        <v>539</v>
      </c>
      <c r="B416" s="224"/>
      <c r="C416" s="224" t="s">
        <v>45</v>
      </c>
      <c r="D416" s="313">
        <v>0</v>
      </c>
      <c r="E416" s="313">
        <v>1</v>
      </c>
      <c r="F416" s="313">
        <v>0</v>
      </c>
      <c r="G416" s="313">
        <v>0</v>
      </c>
      <c r="H416" s="313">
        <v>0</v>
      </c>
      <c r="I416" s="313">
        <v>0</v>
      </c>
      <c r="J416" s="313">
        <v>0</v>
      </c>
      <c r="K416" s="313">
        <v>0</v>
      </c>
      <c r="L416" s="313">
        <v>0</v>
      </c>
      <c r="M416" s="313">
        <v>0</v>
      </c>
      <c r="N416" s="313">
        <v>0</v>
      </c>
      <c r="O416" s="313">
        <v>0</v>
      </c>
      <c r="P416" s="313">
        <v>0</v>
      </c>
    </row>
    <row r="417" spans="1:16">
      <c r="A417" s="224" t="s">
        <v>540</v>
      </c>
      <c r="B417" s="224" t="s">
        <v>541</v>
      </c>
      <c r="C417" s="224" t="s">
        <v>542</v>
      </c>
      <c r="D417" s="313">
        <v>0</v>
      </c>
      <c r="E417" s="313">
        <v>0</v>
      </c>
      <c r="F417" s="313">
        <v>0</v>
      </c>
      <c r="G417" s="313">
        <v>0</v>
      </c>
      <c r="H417" s="313">
        <v>0</v>
      </c>
      <c r="I417" s="313">
        <v>0</v>
      </c>
      <c r="J417" s="313">
        <v>0</v>
      </c>
      <c r="K417" s="313">
        <v>0</v>
      </c>
      <c r="L417" s="313">
        <v>0</v>
      </c>
      <c r="M417" s="313">
        <v>0</v>
      </c>
      <c r="N417" s="313">
        <v>0</v>
      </c>
      <c r="O417" s="313">
        <v>0</v>
      </c>
      <c r="P417" s="313">
        <v>1</v>
      </c>
    </row>
    <row r="418" spans="1:16">
      <c r="A418" s="224" t="s">
        <v>543</v>
      </c>
      <c r="B418" s="224" t="s">
        <v>541</v>
      </c>
      <c r="C418" s="224" t="s">
        <v>542</v>
      </c>
      <c r="D418" s="313">
        <v>0</v>
      </c>
      <c r="E418" s="313">
        <v>0</v>
      </c>
      <c r="F418" s="313">
        <v>0</v>
      </c>
      <c r="G418" s="313">
        <v>0</v>
      </c>
      <c r="H418" s="313">
        <v>0</v>
      </c>
      <c r="I418" s="313">
        <v>0</v>
      </c>
      <c r="J418" s="313">
        <v>0</v>
      </c>
      <c r="K418" s="313">
        <v>0</v>
      </c>
      <c r="L418" s="313">
        <v>0</v>
      </c>
      <c r="M418" s="313">
        <v>0</v>
      </c>
      <c r="N418" s="313">
        <v>0</v>
      </c>
      <c r="O418" s="313">
        <v>0</v>
      </c>
      <c r="P418" s="313">
        <v>1</v>
      </c>
    </row>
    <row r="419" spans="1:16">
      <c r="A419" s="224" t="s">
        <v>544</v>
      </c>
      <c r="B419" s="224"/>
      <c r="C419" s="224" t="s">
        <v>45</v>
      </c>
      <c r="D419" s="313">
        <v>0</v>
      </c>
      <c r="E419" s="313">
        <v>0</v>
      </c>
      <c r="F419" s="313">
        <v>1</v>
      </c>
      <c r="G419" s="313">
        <v>0</v>
      </c>
      <c r="H419" s="313">
        <v>0</v>
      </c>
      <c r="I419" s="313">
        <v>0</v>
      </c>
      <c r="J419" s="313">
        <v>0</v>
      </c>
      <c r="K419" s="313">
        <v>0</v>
      </c>
      <c r="L419" s="313">
        <v>0</v>
      </c>
      <c r="M419" s="313">
        <v>0</v>
      </c>
      <c r="N419" s="313">
        <v>0</v>
      </c>
      <c r="O419" s="313">
        <v>0</v>
      </c>
      <c r="P419" s="313">
        <v>0</v>
      </c>
    </row>
    <row r="420" spans="1:16">
      <c r="A420" s="224" t="s">
        <v>545</v>
      </c>
      <c r="B420" s="224" t="s">
        <v>541</v>
      </c>
      <c r="C420" s="224" t="s">
        <v>542</v>
      </c>
      <c r="D420" s="313">
        <v>0</v>
      </c>
      <c r="E420" s="313">
        <v>0</v>
      </c>
      <c r="F420" s="313">
        <v>0</v>
      </c>
      <c r="G420" s="313">
        <v>0</v>
      </c>
      <c r="H420" s="313">
        <v>0</v>
      </c>
      <c r="I420" s="313">
        <v>0</v>
      </c>
      <c r="J420" s="313">
        <v>0</v>
      </c>
      <c r="K420" s="313">
        <v>0</v>
      </c>
      <c r="L420" s="313">
        <v>0</v>
      </c>
      <c r="M420" s="313">
        <v>0</v>
      </c>
      <c r="N420" s="313">
        <v>0</v>
      </c>
      <c r="O420" s="313">
        <v>0</v>
      </c>
      <c r="P420" s="313">
        <v>1</v>
      </c>
    </row>
    <row r="421" spans="1:16">
      <c r="A421" s="224" t="s">
        <v>546</v>
      </c>
      <c r="B421" s="224"/>
      <c r="C421" s="224" t="s">
        <v>45</v>
      </c>
      <c r="D421" s="313">
        <v>0</v>
      </c>
      <c r="E421" s="313">
        <v>0</v>
      </c>
      <c r="F421" s="313">
        <v>0</v>
      </c>
      <c r="G421" s="313">
        <v>0</v>
      </c>
      <c r="H421" s="313">
        <v>1</v>
      </c>
      <c r="I421" s="313">
        <v>0</v>
      </c>
      <c r="J421" s="313">
        <v>0</v>
      </c>
      <c r="K421" s="313">
        <v>0</v>
      </c>
      <c r="L421" s="313">
        <v>0</v>
      </c>
      <c r="M421" s="313">
        <v>0</v>
      </c>
      <c r="N421" s="313">
        <v>0</v>
      </c>
      <c r="O421" s="313">
        <v>0</v>
      </c>
      <c r="P421" s="313">
        <v>0</v>
      </c>
    </row>
    <row r="422" spans="1:16">
      <c r="A422" s="224" t="s">
        <v>547</v>
      </c>
      <c r="B422" s="224"/>
      <c r="C422" s="224" t="s">
        <v>45</v>
      </c>
      <c r="D422" s="313">
        <v>0</v>
      </c>
      <c r="E422" s="313">
        <v>0</v>
      </c>
      <c r="F422" s="313">
        <v>0</v>
      </c>
      <c r="G422" s="313">
        <v>1</v>
      </c>
      <c r="H422" s="313">
        <v>0</v>
      </c>
      <c r="I422" s="313">
        <v>0</v>
      </c>
      <c r="J422" s="313">
        <v>0</v>
      </c>
      <c r="K422" s="313">
        <v>0</v>
      </c>
      <c r="L422" s="313">
        <v>0</v>
      </c>
      <c r="M422" s="313">
        <v>0</v>
      </c>
      <c r="N422" s="313">
        <v>0</v>
      </c>
      <c r="O422" s="313">
        <v>0</v>
      </c>
      <c r="P422" s="313"/>
    </row>
    <row r="423" spans="1:16">
      <c r="A423" s="224" t="s">
        <v>548</v>
      </c>
      <c r="B423" s="224" t="s">
        <v>541</v>
      </c>
      <c r="C423" s="224" t="s">
        <v>542</v>
      </c>
      <c r="D423" s="313">
        <v>0</v>
      </c>
      <c r="E423" s="313">
        <v>0</v>
      </c>
      <c r="F423" s="313">
        <v>0</v>
      </c>
      <c r="G423" s="313">
        <v>0</v>
      </c>
      <c r="H423" s="313">
        <v>0</v>
      </c>
      <c r="I423" s="313">
        <v>0</v>
      </c>
      <c r="J423" s="313">
        <v>0</v>
      </c>
      <c r="K423" s="313">
        <v>0</v>
      </c>
      <c r="L423" s="313">
        <v>0</v>
      </c>
      <c r="M423" s="313">
        <v>0</v>
      </c>
      <c r="N423" s="313">
        <v>0</v>
      </c>
      <c r="O423" s="313">
        <v>0</v>
      </c>
      <c r="P423" s="313">
        <v>1</v>
      </c>
    </row>
    <row r="424" spans="1:16">
      <c r="A424" s="224" t="s">
        <v>549</v>
      </c>
      <c r="B424" s="224"/>
      <c r="C424" s="224" t="s">
        <v>550</v>
      </c>
      <c r="D424" s="313">
        <v>0</v>
      </c>
      <c r="E424" s="313">
        <v>0</v>
      </c>
      <c r="F424" s="313">
        <v>0</v>
      </c>
      <c r="G424" s="313">
        <v>0</v>
      </c>
      <c r="H424" s="313">
        <v>0</v>
      </c>
      <c r="I424" s="313">
        <v>0</v>
      </c>
      <c r="J424" s="313">
        <v>0</v>
      </c>
      <c r="K424" s="313">
        <v>1</v>
      </c>
      <c r="L424" s="313">
        <v>0</v>
      </c>
      <c r="M424" s="313">
        <v>0</v>
      </c>
      <c r="N424" s="313">
        <v>0</v>
      </c>
      <c r="O424" s="313">
        <v>0</v>
      </c>
      <c r="P424" s="313">
        <v>0</v>
      </c>
    </row>
    <row r="425" spans="1:16">
      <c r="A425" s="224" t="s">
        <v>551</v>
      </c>
      <c r="B425" s="224" t="s">
        <v>541</v>
      </c>
      <c r="C425" s="224" t="s">
        <v>542</v>
      </c>
      <c r="D425" s="313">
        <v>0</v>
      </c>
      <c r="E425" s="313">
        <v>0</v>
      </c>
      <c r="F425" s="313">
        <v>0</v>
      </c>
      <c r="G425" s="313">
        <v>0</v>
      </c>
      <c r="H425" s="313">
        <v>0</v>
      </c>
      <c r="I425" s="313">
        <v>0</v>
      </c>
      <c r="J425" s="313">
        <v>0</v>
      </c>
      <c r="K425" s="313">
        <v>0</v>
      </c>
      <c r="L425" s="313">
        <v>0</v>
      </c>
      <c r="M425" s="313">
        <v>0</v>
      </c>
      <c r="N425" s="313">
        <v>0</v>
      </c>
      <c r="O425" s="313">
        <v>0</v>
      </c>
      <c r="P425" s="313">
        <v>1</v>
      </c>
    </row>
    <row r="426" spans="1:16">
      <c r="A426" s="224" t="s">
        <v>552</v>
      </c>
      <c r="B426" s="224"/>
      <c r="C426" s="224" t="s">
        <v>550</v>
      </c>
      <c r="D426" s="313">
        <v>0</v>
      </c>
      <c r="E426" s="313">
        <v>0</v>
      </c>
      <c r="F426" s="313">
        <v>0</v>
      </c>
      <c r="G426" s="313">
        <v>0</v>
      </c>
      <c r="H426" s="313">
        <v>0</v>
      </c>
      <c r="I426" s="313">
        <v>1</v>
      </c>
      <c r="J426" s="313">
        <v>0</v>
      </c>
      <c r="K426" s="313">
        <v>0</v>
      </c>
      <c r="L426" s="313">
        <v>0</v>
      </c>
      <c r="M426" s="313">
        <v>0</v>
      </c>
      <c r="N426" s="313">
        <v>0</v>
      </c>
      <c r="O426" s="313">
        <v>0</v>
      </c>
      <c r="P426" s="313">
        <v>0</v>
      </c>
    </row>
    <row r="427" spans="1:16">
      <c r="A427" s="224" t="s">
        <v>553</v>
      </c>
      <c r="B427" s="224" t="s">
        <v>554</v>
      </c>
      <c r="C427" s="224" t="s">
        <v>45</v>
      </c>
      <c r="D427" s="313">
        <v>0</v>
      </c>
      <c r="E427" s="313">
        <v>0</v>
      </c>
      <c r="F427" s="313">
        <v>0</v>
      </c>
      <c r="G427" s="313">
        <v>0</v>
      </c>
      <c r="H427" s="313">
        <v>0</v>
      </c>
      <c r="I427" s="313">
        <v>0.7</v>
      </c>
      <c r="J427" s="313">
        <v>0</v>
      </c>
      <c r="K427" s="313">
        <v>0</v>
      </c>
      <c r="L427" s="313">
        <v>0</v>
      </c>
      <c r="M427" s="313">
        <v>0</v>
      </c>
      <c r="N427" s="313">
        <v>0</v>
      </c>
      <c r="O427" s="313">
        <v>0</v>
      </c>
      <c r="P427" s="313">
        <v>0</v>
      </c>
    </row>
    <row r="428" spans="1:16">
      <c r="A428" s="224" t="s">
        <v>555</v>
      </c>
      <c r="B428" s="224" t="s">
        <v>554</v>
      </c>
      <c r="C428" s="224" t="s">
        <v>45</v>
      </c>
      <c r="D428" s="313">
        <v>0</v>
      </c>
      <c r="E428" s="313">
        <v>0</v>
      </c>
      <c r="F428" s="313">
        <v>0</v>
      </c>
      <c r="G428" s="313">
        <v>0</v>
      </c>
      <c r="H428" s="313">
        <v>0</v>
      </c>
      <c r="I428" s="313">
        <v>0.7</v>
      </c>
      <c r="J428" s="313">
        <v>0</v>
      </c>
      <c r="K428" s="313">
        <v>0</v>
      </c>
      <c r="L428" s="313">
        <v>0</v>
      </c>
      <c r="M428" s="313">
        <v>0</v>
      </c>
      <c r="N428" s="313">
        <v>0</v>
      </c>
      <c r="O428" s="313">
        <v>0</v>
      </c>
      <c r="P428" s="313">
        <v>0</v>
      </c>
    </row>
    <row r="429" spans="1:16">
      <c r="A429" s="224" t="s">
        <v>556</v>
      </c>
      <c r="B429" s="224" t="s">
        <v>541</v>
      </c>
      <c r="C429" s="224" t="s">
        <v>542</v>
      </c>
      <c r="D429" s="313">
        <v>0</v>
      </c>
      <c r="E429" s="313">
        <v>0</v>
      </c>
      <c r="F429" s="313">
        <v>0</v>
      </c>
      <c r="G429" s="313">
        <v>0</v>
      </c>
      <c r="H429" s="313">
        <v>0</v>
      </c>
      <c r="I429" s="313">
        <v>0</v>
      </c>
      <c r="J429" s="313">
        <v>0</v>
      </c>
      <c r="K429" s="313">
        <v>0</v>
      </c>
      <c r="L429" s="313">
        <v>0</v>
      </c>
      <c r="M429" s="313">
        <v>0</v>
      </c>
      <c r="N429" s="313">
        <v>0</v>
      </c>
      <c r="O429" s="313">
        <v>0</v>
      </c>
      <c r="P429" s="313">
        <v>1</v>
      </c>
    </row>
    <row r="430" spans="1:16">
      <c r="A430" s="224" t="s">
        <v>557</v>
      </c>
      <c r="B430" s="224" t="s">
        <v>541</v>
      </c>
      <c r="C430" s="224" t="s">
        <v>542</v>
      </c>
      <c r="D430" s="313">
        <v>0</v>
      </c>
      <c r="E430" s="313">
        <v>0</v>
      </c>
      <c r="F430" s="313">
        <v>0</v>
      </c>
      <c r="G430" s="313">
        <v>0</v>
      </c>
      <c r="H430" s="313">
        <v>0</v>
      </c>
      <c r="I430" s="313">
        <v>0</v>
      </c>
      <c r="J430" s="313">
        <v>0</v>
      </c>
      <c r="K430" s="313">
        <v>0</v>
      </c>
      <c r="L430" s="313">
        <v>0</v>
      </c>
      <c r="M430" s="313">
        <v>0</v>
      </c>
      <c r="N430" s="313">
        <v>0</v>
      </c>
      <c r="O430" s="313">
        <v>0</v>
      </c>
      <c r="P430" s="313">
        <v>1</v>
      </c>
    </row>
    <row r="431" spans="1:16">
      <c r="A431" s="224" t="s">
        <v>558</v>
      </c>
      <c r="B431" s="224" t="s">
        <v>541</v>
      </c>
      <c r="C431" s="224" t="s">
        <v>542</v>
      </c>
      <c r="D431" s="313">
        <v>0</v>
      </c>
      <c r="E431" s="313">
        <v>0</v>
      </c>
      <c r="F431" s="313">
        <v>0</v>
      </c>
      <c r="G431" s="313">
        <v>0</v>
      </c>
      <c r="H431" s="313">
        <v>0</v>
      </c>
      <c r="I431" s="313">
        <v>0</v>
      </c>
      <c r="J431" s="313">
        <v>0</v>
      </c>
      <c r="K431" s="313">
        <v>0</v>
      </c>
      <c r="L431" s="313">
        <v>0</v>
      </c>
      <c r="M431" s="313">
        <v>0</v>
      </c>
      <c r="N431" s="313">
        <v>0</v>
      </c>
      <c r="O431" s="313">
        <v>0</v>
      </c>
      <c r="P431" s="313">
        <v>1</v>
      </c>
    </row>
    <row r="432" spans="1:16">
      <c r="A432" s="224" t="s">
        <v>559</v>
      </c>
      <c r="B432" s="224" t="s">
        <v>541</v>
      </c>
      <c r="C432" s="224" t="s">
        <v>542</v>
      </c>
      <c r="D432" s="313">
        <v>0</v>
      </c>
      <c r="E432" s="313">
        <v>0</v>
      </c>
      <c r="F432" s="313">
        <v>0</v>
      </c>
      <c r="G432" s="313">
        <v>0</v>
      </c>
      <c r="H432" s="313">
        <v>0</v>
      </c>
      <c r="I432" s="313">
        <v>0</v>
      </c>
      <c r="J432" s="313">
        <v>0</v>
      </c>
      <c r="K432" s="313">
        <v>0</v>
      </c>
      <c r="L432" s="313">
        <v>0</v>
      </c>
      <c r="M432" s="313">
        <v>0</v>
      </c>
      <c r="N432" s="313">
        <v>0</v>
      </c>
      <c r="O432" s="313">
        <v>0</v>
      </c>
      <c r="P432" s="313">
        <v>1</v>
      </c>
    </row>
    <row r="433" spans="1:16">
      <c r="A433" s="224" t="s">
        <v>560</v>
      </c>
      <c r="B433" s="224" t="s">
        <v>541</v>
      </c>
      <c r="C433" s="224" t="s">
        <v>542</v>
      </c>
      <c r="D433" s="313">
        <v>0</v>
      </c>
      <c r="E433" s="313">
        <v>0</v>
      </c>
      <c r="F433" s="313">
        <v>0</v>
      </c>
      <c r="G433" s="313">
        <v>0</v>
      </c>
      <c r="H433" s="313">
        <v>0</v>
      </c>
      <c r="I433" s="313">
        <v>0</v>
      </c>
      <c r="J433" s="313">
        <v>0</v>
      </c>
      <c r="K433" s="313">
        <v>0</v>
      </c>
      <c r="L433" s="313">
        <v>0</v>
      </c>
      <c r="M433" s="313">
        <v>0</v>
      </c>
      <c r="N433" s="313">
        <v>0</v>
      </c>
      <c r="O433" s="313">
        <v>0</v>
      </c>
      <c r="P433" s="313">
        <v>1</v>
      </c>
    </row>
    <row r="434" spans="1:16">
      <c r="A434" s="224" t="s">
        <v>561</v>
      </c>
      <c r="B434" s="224" t="s">
        <v>541</v>
      </c>
      <c r="C434" s="224" t="s">
        <v>542</v>
      </c>
      <c r="D434" s="313">
        <v>0</v>
      </c>
      <c r="E434" s="313">
        <v>0</v>
      </c>
      <c r="F434" s="313">
        <v>0</v>
      </c>
      <c r="G434" s="313">
        <v>0</v>
      </c>
      <c r="H434" s="313">
        <v>0</v>
      </c>
      <c r="I434" s="313">
        <v>0</v>
      </c>
      <c r="J434" s="313">
        <v>0</v>
      </c>
      <c r="K434" s="313">
        <v>0</v>
      </c>
      <c r="L434" s="313">
        <v>0</v>
      </c>
      <c r="M434" s="313">
        <v>0</v>
      </c>
      <c r="N434" s="313">
        <v>0</v>
      </c>
      <c r="O434" s="313">
        <v>0</v>
      </c>
      <c r="P434" s="313">
        <v>1</v>
      </c>
    </row>
    <row r="435" spans="1:16">
      <c r="A435" s="224" t="s">
        <v>562</v>
      </c>
      <c r="B435" s="224"/>
      <c r="C435" s="224" t="s">
        <v>550</v>
      </c>
      <c r="D435" s="313">
        <v>0</v>
      </c>
      <c r="E435" s="313">
        <v>0</v>
      </c>
      <c r="F435" s="313">
        <v>0</v>
      </c>
      <c r="G435" s="313">
        <v>0</v>
      </c>
      <c r="H435" s="313">
        <v>0</v>
      </c>
      <c r="I435" s="313">
        <v>0</v>
      </c>
      <c r="J435" s="313">
        <v>0</v>
      </c>
      <c r="K435" s="313">
        <v>0</v>
      </c>
      <c r="L435" s="313">
        <v>0</v>
      </c>
      <c r="M435" s="313">
        <v>1</v>
      </c>
      <c r="N435" s="313">
        <v>0</v>
      </c>
      <c r="O435" s="313">
        <v>0</v>
      </c>
      <c r="P435" s="313">
        <v>0</v>
      </c>
    </row>
    <row r="436" spans="1:16">
      <c r="A436" s="224" t="s">
        <v>563</v>
      </c>
      <c r="B436" s="224" t="s">
        <v>541</v>
      </c>
      <c r="C436" s="224" t="s">
        <v>542</v>
      </c>
      <c r="D436" s="313">
        <v>0</v>
      </c>
      <c r="E436" s="313">
        <v>0</v>
      </c>
      <c r="F436" s="313">
        <v>0</v>
      </c>
      <c r="G436" s="313">
        <v>0</v>
      </c>
      <c r="H436" s="313">
        <v>0</v>
      </c>
      <c r="I436" s="313">
        <v>0</v>
      </c>
      <c r="J436" s="313">
        <v>0</v>
      </c>
      <c r="K436" s="313">
        <v>0</v>
      </c>
      <c r="L436" s="313">
        <v>0</v>
      </c>
      <c r="M436" s="313">
        <v>1</v>
      </c>
      <c r="N436" s="313">
        <v>0</v>
      </c>
      <c r="O436" s="313">
        <v>0</v>
      </c>
      <c r="P436" s="313">
        <v>0</v>
      </c>
    </row>
    <row r="437" spans="1:16">
      <c r="A437" s="224" t="s">
        <v>564</v>
      </c>
      <c r="B437" s="224" t="s">
        <v>541</v>
      </c>
      <c r="C437" s="224" t="s">
        <v>542</v>
      </c>
      <c r="D437" s="313">
        <v>0</v>
      </c>
      <c r="E437" s="313">
        <v>0</v>
      </c>
      <c r="F437" s="313">
        <v>0</v>
      </c>
      <c r="G437" s="313">
        <v>0</v>
      </c>
      <c r="H437" s="313">
        <v>0</v>
      </c>
      <c r="I437" s="313">
        <v>0</v>
      </c>
      <c r="J437" s="313">
        <v>0</v>
      </c>
      <c r="K437" s="313">
        <v>0</v>
      </c>
      <c r="L437" s="313">
        <v>0</v>
      </c>
      <c r="M437" s="313">
        <v>0</v>
      </c>
      <c r="N437" s="313">
        <v>0</v>
      </c>
      <c r="O437" s="313">
        <v>0</v>
      </c>
      <c r="P437" s="313">
        <v>1</v>
      </c>
    </row>
    <row r="438" spans="1:16">
      <c r="A438" s="224" t="s">
        <v>565</v>
      </c>
      <c r="B438" s="224" t="s">
        <v>541</v>
      </c>
      <c r="C438" s="224" t="s">
        <v>542</v>
      </c>
      <c r="D438" s="313">
        <v>0</v>
      </c>
      <c r="E438" s="313">
        <v>0</v>
      </c>
      <c r="F438" s="313">
        <v>0</v>
      </c>
      <c r="G438" s="313">
        <v>0</v>
      </c>
      <c r="H438" s="313">
        <v>0</v>
      </c>
      <c r="I438" s="313">
        <v>0</v>
      </c>
      <c r="J438" s="313">
        <v>0</v>
      </c>
      <c r="K438" s="313">
        <v>0</v>
      </c>
      <c r="L438" s="313">
        <v>0</v>
      </c>
      <c r="M438" s="313">
        <v>0</v>
      </c>
      <c r="N438" s="313">
        <v>0</v>
      </c>
      <c r="O438" s="313">
        <v>0</v>
      </c>
      <c r="P438" s="313">
        <v>1</v>
      </c>
    </row>
    <row r="439" spans="1:16">
      <c r="A439" s="224" t="s">
        <v>566</v>
      </c>
      <c r="B439" s="224" t="s">
        <v>541</v>
      </c>
      <c r="C439" s="224" t="s">
        <v>542</v>
      </c>
      <c r="D439" s="313">
        <v>0</v>
      </c>
      <c r="E439" s="313">
        <v>0</v>
      </c>
      <c r="F439" s="313">
        <v>0</v>
      </c>
      <c r="G439" s="313">
        <v>0</v>
      </c>
      <c r="H439" s="313">
        <v>0</v>
      </c>
      <c r="I439" s="313">
        <v>0</v>
      </c>
      <c r="J439" s="313">
        <v>0</v>
      </c>
      <c r="K439" s="313">
        <v>0</v>
      </c>
      <c r="L439" s="313">
        <v>0</v>
      </c>
      <c r="M439" s="313">
        <v>0</v>
      </c>
      <c r="N439" s="313">
        <v>0</v>
      </c>
      <c r="O439" s="313">
        <v>0</v>
      </c>
      <c r="P439" s="313">
        <v>1</v>
      </c>
    </row>
    <row r="440" spans="1:16">
      <c r="A440" s="224" t="s">
        <v>567</v>
      </c>
      <c r="B440" s="224" t="s">
        <v>541</v>
      </c>
      <c r="C440" s="224" t="s">
        <v>542</v>
      </c>
      <c r="D440" s="313">
        <v>0</v>
      </c>
      <c r="E440" s="313">
        <v>0</v>
      </c>
      <c r="F440" s="313">
        <v>0</v>
      </c>
      <c r="G440" s="313">
        <v>0</v>
      </c>
      <c r="H440" s="313">
        <v>0</v>
      </c>
      <c r="I440" s="313">
        <v>0</v>
      </c>
      <c r="J440" s="313">
        <v>0</v>
      </c>
      <c r="K440" s="313">
        <v>0</v>
      </c>
      <c r="L440" s="313">
        <v>0</v>
      </c>
      <c r="M440" s="313">
        <v>0</v>
      </c>
      <c r="N440" s="313">
        <v>0</v>
      </c>
      <c r="O440" s="313">
        <v>0</v>
      </c>
      <c r="P440" s="313">
        <v>1</v>
      </c>
    </row>
    <row r="441" spans="1:16">
      <c r="A441" s="224" t="s">
        <v>568</v>
      </c>
      <c r="B441" s="224"/>
      <c r="C441" s="224" t="s">
        <v>550</v>
      </c>
      <c r="D441" s="313">
        <v>0</v>
      </c>
      <c r="E441" s="313">
        <v>0</v>
      </c>
      <c r="F441" s="313">
        <v>0</v>
      </c>
      <c r="G441" s="313">
        <v>0</v>
      </c>
      <c r="H441" s="313">
        <v>0</v>
      </c>
      <c r="I441" s="313">
        <v>0</v>
      </c>
      <c r="J441" s="313">
        <v>0</v>
      </c>
      <c r="K441" s="313">
        <v>0</v>
      </c>
      <c r="L441" s="313">
        <v>1</v>
      </c>
      <c r="M441" s="313">
        <v>0</v>
      </c>
      <c r="N441" s="313">
        <v>0</v>
      </c>
      <c r="O441" s="313">
        <v>0</v>
      </c>
      <c r="P441" s="313">
        <v>0</v>
      </c>
    </row>
    <row r="442" spans="1:16">
      <c r="A442" s="224" t="s">
        <v>569</v>
      </c>
      <c r="B442" s="224" t="s">
        <v>541</v>
      </c>
      <c r="C442" s="224" t="s">
        <v>542</v>
      </c>
      <c r="D442" s="313">
        <v>0</v>
      </c>
      <c r="E442" s="313">
        <v>0</v>
      </c>
      <c r="F442" s="313">
        <v>0</v>
      </c>
      <c r="G442" s="313">
        <v>0</v>
      </c>
      <c r="H442" s="313">
        <v>0</v>
      </c>
      <c r="I442" s="313">
        <v>0</v>
      </c>
      <c r="J442" s="313">
        <v>0</v>
      </c>
      <c r="K442" s="313">
        <v>0</v>
      </c>
      <c r="L442" s="313">
        <v>0</v>
      </c>
      <c r="M442" s="313">
        <v>0</v>
      </c>
      <c r="N442" s="313">
        <v>0</v>
      </c>
      <c r="O442" s="313">
        <v>0</v>
      </c>
      <c r="P442" s="313">
        <v>1</v>
      </c>
    </row>
    <row r="443" spans="1:16">
      <c r="A443" s="224" t="s">
        <v>570</v>
      </c>
      <c r="B443" s="224"/>
      <c r="C443" s="224" t="s">
        <v>550</v>
      </c>
      <c r="D443" s="313">
        <v>0</v>
      </c>
      <c r="E443" s="313">
        <v>0</v>
      </c>
      <c r="F443" s="313">
        <v>0</v>
      </c>
      <c r="G443" s="313">
        <v>0</v>
      </c>
      <c r="H443" s="313">
        <v>0</v>
      </c>
      <c r="I443" s="313">
        <v>0</v>
      </c>
      <c r="J443" s="313">
        <v>1</v>
      </c>
      <c r="K443" s="313">
        <v>0</v>
      </c>
      <c r="L443" s="313">
        <v>0</v>
      </c>
      <c r="M443" s="313">
        <v>0</v>
      </c>
      <c r="N443" s="313">
        <v>0</v>
      </c>
      <c r="O443" s="313">
        <v>0</v>
      </c>
      <c r="P443" s="313">
        <v>0</v>
      </c>
    </row>
    <row r="444" spans="1:16">
      <c r="A444" s="224" t="s">
        <v>571</v>
      </c>
      <c r="B444" s="224"/>
      <c r="C444" s="224" t="s">
        <v>550</v>
      </c>
      <c r="D444" s="313">
        <v>0</v>
      </c>
      <c r="E444" s="313">
        <v>0</v>
      </c>
      <c r="F444" s="313">
        <v>0</v>
      </c>
      <c r="G444" s="313">
        <v>0</v>
      </c>
      <c r="H444" s="313">
        <v>0</v>
      </c>
      <c r="I444" s="313">
        <v>0</v>
      </c>
      <c r="J444" s="313">
        <v>1</v>
      </c>
      <c r="K444" s="313">
        <v>0</v>
      </c>
      <c r="L444" s="313">
        <v>0</v>
      </c>
      <c r="M444" s="313">
        <v>0</v>
      </c>
      <c r="N444" s="313">
        <v>0</v>
      </c>
      <c r="O444" s="313">
        <v>0</v>
      </c>
      <c r="P444" s="313">
        <v>0</v>
      </c>
    </row>
    <row r="445" spans="1:16">
      <c r="A445" s="224" t="s">
        <v>572</v>
      </c>
      <c r="B445" s="224" t="s">
        <v>541</v>
      </c>
      <c r="C445" s="224" t="s">
        <v>542</v>
      </c>
      <c r="D445" s="313">
        <v>0</v>
      </c>
      <c r="E445" s="313">
        <v>0</v>
      </c>
      <c r="F445" s="313">
        <v>0</v>
      </c>
      <c r="G445" s="313">
        <v>0</v>
      </c>
      <c r="H445" s="313">
        <v>0</v>
      </c>
      <c r="I445" s="313">
        <v>0</v>
      </c>
      <c r="J445" s="313">
        <v>0</v>
      </c>
      <c r="K445" s="313">
        <v>0</v>
      </c>
      <c r="L445" s="313">
        <v>0</v>
      </c>
      <c r="M445" s="313">
        <v>0</v>
      </c>
      <c r="N445" s="313">
        <v>0</v>
      </c>
      <c r="O445" s="313">
        <v>0</v>
      </c>
      <c r="P445" s="313">
        <v>1</v>
      </c>
    </row>
    <row r="446" spans="1:16">
      <c r="A446" s="224" t="s">
        <v>573</v>
      </c>
      <c r="B446" s="224" t="s">
        <v>541</v>
      </c>
      <c r="C446" s="224" t="s">
        <v>542</v>
      </c>
      <c r="D446" s="313">
        <v>0</v>
      </c>
      <c r="E446" s="313">
        <v>0</v>
      </c>
      <c r="F446" s="313">
        <v>0</v>
      </c>
      <c r="G446" s="313">
        <v>0</v>
      </c>
      <c r="H446" s="313">
        <v>0</v>
      </c>
      <c r="I446" s="313">
        <v>0</v>
      </c>
      <c r="J446" s="313">
        <v>0</v>
      </c>
      <c r="K446" s="313">
        <v>0</v>
      </c>
      <c r="L446" s="313">
        <v>0</v>
      </c>
      <c r="M446" s="313">
        <v>0</v>
      </c>
      <c r="N446" s="313">
        <v>0</v>
      </c>
      <c r="O446" s="313">
        <v>0</v>
      </c>
      <c r="P446" s="313">
        <v>1</v>
      </c>
    </row>
    <row r="447" spans="1:16">
      <c r="A447" s="224" t="s">
        <v>573</v>
      </c>
      <c r="B447" s="224" t="s">
        <v>541</v>
      </c>
      <c r="C447" s="224" t="s">
        <v>542</v>
      </c>
      <c r="D447" s="313">
        <v>0</v>
      </c>
      <c r="E447" s="313">
        <v>0</v>
      </c>
      <c r="F447" s="313">
        <v>0</v>
      </c>
      <c r="G447" s="313">
        <v>0</v>
      </c>
      <c r="H447" s="313">
        <v>0</v>
      </c>
      <c r="I447" s="313">
        <v>0</v>
      </c>
      <c r="J447" s="313">
        <v>0</v>
      </c>
      <c r="K447" s="313">
        <v>0</v>
      </c>
      <c r="L447" s="313">
        <v>0</v>
      </c>
      <c r="M447" s="313">
        <v>0</v>
      </c>
      <c r="N447" s="313">
        <v>0</v>
      </c>
      <c r="O447" s="313">
        <v>0</v>
      </c>
      <c r="P447" s="313">
        <v>1</v>
      </c>
    </row>
    <row r="448" spans="1:16">
      <c r="A448" s="224" t="s">
        <v>574</v>
      </c>
      <c r="B448" s="224"/>
      <c r="C448" s="224" t="s">
        <v>550</v>
      </c>
      <c r="D448" s="313">
        <v>0</v>
      </c>
      <c r="E448" s="313">
        <v>0</v>
      </c>
      <c r="F448" s="313">
        <v>0</v>
      </c>
      <c r="G448" s="313">
        <v>0</v>
      </c>
      <c r="H448" s="313">
        <v>0</v>
      </c>
      <c r="I448" s="313">
        <v>0</v>
      </c>
      <c r="J448" s="313">
        <v>0</v>
      </c>
      <c r="K448" s="313">
        <v>0</v>
      </c>
      <c r="L448" s="313">
        <v>0</v>
      </c>
      <c r="M448" s="313">
        <v>0</v>
      </c>
      <c r="N448" s="313">
        <v>1</v>
      </c>
      <c r="O448" s="313">
        <v>0</v>
      </c>
      <c r="P448" s="313">
        <v>0</v>
      </c>
    </row>
    <row r="449" spans="1:16">
      <c r="A449" s="224" t="s">
        <v>575</v>
      </c>
      <c r="B449" s="224"/>
      <c r="C449" s="224" t="s">
        <v>550</v>
      </c>
      <c r="D449" s="313">
        <v>0</v>
      </c>
      <c r="E449" s="313">
        <v>0</v>
      </c>
      <c r="F449" s="313">
        <v>0</v>
      </c>
      <c r="G449" s="313">
        <v>0</v>
      </c>
      <c r="H449" s="313">
        <v>0</v>
      </c>
      <c r="I449" s="313">
        <v>0</v>
      </c>
      <c r="J449" s="313">
        <v>0</v>
      </c>
      <c r="K449" s="313">
        <v>0</v>
      </c>
      <c r="L449" s="313">
        <v>0</v>
      </c>
      <c r="M449" s="313">
        <v>0</v>
      </c>
      <c r="N449" s="313">
        <v>1</v>
      </c>
      <c r="O449" s="313">
        <v>0</v>
      </c>
      <c r="P449" s="313">
        <v>0</v>
      </c>
    </row>
    <row r="450" spans="1:16">
      <c r="A450" s="224" t="s">
        <v>576</v>
      </c>
      <c r="B450" s="224" t="s">
        <v>541</v>
      </c>
      <c r="C450" s="224" t="s">
        <v>542</v>
      </c>
      <c r="D450" s="313">
        <v>0</v>
      </c>
      <c r="E450" s="313">
        <v>0</v>
      </c>
      <c r="F450" s="313">
        <v>0</v>
      </c>
      <c r="G450" s="313">
        <v>0</v>
      </c>
      <c r="H450" s="313">
        <v>0</v>
      </c>
      <c r="I450" s="313">
        <v>0</v>
      </c>
      <c r="J450" s="313">
        <v>0</v>
      </c>
      <c r="K450" s="313">
        <v>0</v>
      </c>
      <c r="L450" s="313">
        <v>0</v>
      </c>
      <c r="M450" s="313">
        <v>0</v>
      </c>
      <c r="N450" s="313">
        <v>0</v>
      </c>
      <c r="O450" s="313">
        <v>0</v>
      </c>
      <c r="P450" s="313">
        <v>1</v>
      </c>
    </row>
    <row r="451" spans="1:16">
      <c r="A451" s="224" t="s">
        <v>577</v>
      </c>
      <c r="B451" s="224"/>
      <c r="C451" s="224" t="s">
        <v>550</v>
      </c>
      <c r="D451" s="313">
        <v>0</v>
      </c>
      <c r="E451" s="313">
        <v>0</v>
      </c>
      <c r="F451" s="313">
        <v>0</v>
      </c>
      <c r="G451" s="313">
        <v>0</v>
      </c>
      <c r="H451" s="313">
        <v>0</v>
      </c>
      <c r="I451" s="313">
        <v>0</v>
      </c>
      <c r="J451" s="313">
        <v>0</v>
      </c>
      <c r="K451" s="313">
        <v>0</v>
      </c>
      <c r="L451" s="313">
        <v>0</v>
      </c>
      <c r="M451" s="313">
        <v>0</v>
      </c>
      <c r="N451" s="313">
        <v>0</v>
      </c>
      <c r="O451" s="313">
        <v>1</v>
      </c>
      <c r="P451" s="313">
        <v>0</v>
      </c>
    </row>
    <row r="452" spans="1:16">
      <c r="A452" s="224" t="s">
        <v>578</v>
      </c>
      <c r="B452" s="224" t="s">
        <v>541</v>
      </c>
      <c r="C452" s="224" t="s">
        <v>542</v>
      </c>
      <c r="D452" s="313">
        <v>0</v>
      </c>
      <c r="E452" s="313">
        <v>0</v>
      </c>
      <c r="F452" s="313">
        <v>0</v>
      </c>
      <c r="G452" s="313">
        <v>0</v>
      </c>
      <c r="H452" s="313">
        <v>0</v>
      </c>
      <c r="I452" s="313">
        <v>0</v>
      </c>
      <c r="J452" s="313">
        <v>0</v>
      </c>
      <c r="K452" s="313">
        <v>0</v>
      </c>
      <c r="L452" s="313">
        <v>0</v>
      </c>
      <c r="M452" s="313">
        <v>0</v>
      </c>
      <c r="N452" s="313">
        <v>0</v>
      </c>
      <c r="O452" s="313">
        <v>0</v>
      </c>
      <c r="P452" s="313">
        <v>1</v>
      </c>
    </row>
    <row r="453" spans="1:16">
      <c r="A453" s="310">
        <v>390230</v>
      </c>
      <c r="B453" s="224"/>
      <c r="C453" s="224" t="s">
        <v>45</v>
      </c>
      <c r="D453" s="313">
        <v>0</v>
      </c>
      <c r="E453" s="313">
        <v>0</v>
      </c>
      <c r="F453" s="313">
        <v>1</v>
      </c>
      <c r="G453" s="313">
        <v>0</v>
      </c>
      <c r="H453" s="313">
        <v>0</v>
      </c>
      <c r="I453" s="313">
        <v>0</v>
      </c>
      <c r="J453" s="313">
        <v>0</v>
      </c>
      <c r="K453" s="313">
        <v>0</v>
      </c>
      <c r="L453" s="313">
        <v>0</v>
      </c>
      <c r="M453" s="313">
        <v>0</v>
      </c>
      <c r="N453" s="313">
        <v>0</v>
      </c>
      <c r="O453" s="313">
        <v>0</v>
      </c>
      <c r="P453" s="313">
        <v>0</v>
      </c>
    </row>
    <row r="455" spans="1:16" s="222" customFormat="1">
      <c r="A455" s="222" t="s">
        <v>579</v>
      </c>
    </row>
    <row r="457" spans="1:16">
      <c r="A457" s="224" t="s">
        <v>580</v>
      </c>
      <c r="B457" s="224" t="s">
        <v>581</v>
      </c>
      <c r="C457" s="224" t="s">
        <v>582</v>
      </c>
      <c r="D457" s="224" t="s">
        <v>536</v>
      </c>
      <c r="E457" s="224" t="s">
        <v>583</v>
      </c>
      <c r="F457" s="224" t="s">
        <v>584</v>
      </c>
      <c r="G457" s="224" t="s">
        <v>585</v>
      </c>
    </row>
    <row r="458" spans="1:16">
      <c r="A458" s="224" t="s">
        <v>586</v>
      </c>
      <c r="B458" s="224" t="s">
        <v>587</v>
      </c>
      <c r="C458" s="224" t="s">
        <v>588</v>
      </c>
      <c r="D458" s="224">
        <v>39011010</v>
      </c>
      <c r="E458" s="224" t="s">
        <v>589</v>
      </c>
      <c r="F458" s="224" t="str">
        <f t="shared" ref="F458:F505" si="11">LEFT(D458,6)</f>
        <v>390110</v>
      </c>
      <c r="G458" s="224" t="s">
        <v>85</v>
      </c>
    </row>
    <row r="459" spans="1:16">
      <c r="A459" s="224" t="s">
        <v>590</v>
      </c>
      <c r="B459" s="224" t="s">
        <v>591</v>
      </c>
      <c r="C459" s="224" t="s">
        <v>592</v>
      </c>
      <c r="D459" s="224">
        <v>39011090</v>
      </c>
      <c r="E459" s="224" t="s">
        <v>593</v>
      </c>
      <c r="F459" s="224" t="str">
        <f t="shared" si="11"/>
        <v>390110</v>
      </c>
      <c r="G459" s="224" t="s">
        <v>85</v>
      </c>
    </row>
    <row r="460" spans="1:16">
      <c r="A460" s="224" t="s">
        <v>594</v>
      </c>
      <c r="B460" s="224" t="s">
        <v>595</v>
      </c>
      <c r="C460" s="224" t="s">
        <v>596</v>
      </c>
      <c r="D460" s="224">
        <v>39012010</v>
      </c>
      <c r="E460" s="224" t="s">
        <v>597</v>
      </c>
      <c r="F460" s="224" t="str">
        <f t="shared" si="11"/>
        <v>390120</v>
      </c>
      <c r="G460" s="224" t="s">
        <v>86</v>
      </c>
    </row>
    <row r="461" spans="1:16">
      <c r="A461" s="224" t="s">
        <v>598</v>
      </c>
      <c r="B461" s="224" t="s">
        <v>599</v>
      </c>
      <c r="C461" s="224" t="s">
        <v>600</v>
      </c>
      <c r="D461" s="224">
        <v>39013000</v>
      </c>
      <c r="E461" s="224" t="s">
        <v>601</v>
      </c>
      <c r="F461" s="224" t="str">
        <f t="shared" si="11"/>
        <v>390130</v>
      </c>
      <c r="G461" s="224" t="s">
        <v>98</v>
      </c>
    </row>
    <row r="462" spans="1:16">
      <c r="A462" s="224" t="s">
        <v>602</v>
      </c>
      <c r="B462" s="224" t="s">
        <v>603</v>
      </c>
      <c r="C462" s="224" t="s">
        <v>604</v>
      </c>
      <c r="D462" s="224">
        <v>39014000</v>
      </c>
      <c r="E462" s="224" t="s">
        <v>605</v>
      </c>
      <c r="F462" s="224" t="str">
        <f t="shared" si="11"/>
        <v>390140</v>
      </c>
      <c r="G462" s="224" t="s">
        <v>98</v>
      </c>
    </row>
    <row r="463" spans="1:16">
      <c r="A463" s="224" t="s">
        <v>606</v>
      </c>
      <c r="B463" s="224" t="s">
        <v>607</v>
      </c>
      <c r="C463" s="224" t="s">
        <v>608</v>
      </c>
      <c r="D463" s="224">
        <v>39021000</v>
      </c>
      <c r="E463" s="224" t="s">
        <v>607</v>
      </c>
      <c r="F463" s="224" t="str">
        <f t="shared" si="11"/>
        <v>390210</v>
      </c>
      <c r="G463" s="224" t="s">
        <v>87</v>
      </c>
    </row>
    <row r="464" spans="1:16">
      <c r="A464" s="224" t="s">
        <v>609</v>
      </c>
      <c r="B464" s="224" t="s">
        <v>610</v>
      </c>
      <c r="C464" s="224" t="s">
        <v>611</v>
      </c>
      <c r="D464" s="224">
        <v>39022000</v>
      </c>
      <c r="E464" s="224" t="s">
        <v>612</v>
      </c>
      <c r="F464" s="224" t="str">
        <f t="shared" si="11"/>
        <v>390220</v>
      </c>
      <c r="G464" s="224" t="s">
        <v>98</v>
      </c>
    </row>
    <row r="465" spans="1:7">
      <c r="A465" s="224" t="s">
        <v>613</v>
      </c>
      <c r="B465" s="224" t="s">
        <v>614</v>
      </c>
      <c r="C465" s="224" t="s">
        <v>615</v>
      </c>
      <c r="D465" s="224">
        <v>39031100</v>
      </c>
      <c r="E465" s="224" t="s">
        <v>616</v>
      </c>
      <c r="F465" s="224" t="str">
        <f t="shared" si="11"/>
        <v>390311</v>
      </c>
      <c r="G465" s="224" t="s">
        <v>89</v>
      </c>
    </row>
    <row r="466" spans="1:7">
      <c r="A466" s="224" t="s">
        <v>617</v>
      </c>
      <c r="B466" s="224" t="s">
        <v>618</v>
      </c>
      <c r="C466" s="224" t="s">
        <v>619</v>
      </c>
      <c r="D466" s="224">
        <v>39031900</v>
      </c>
      <c r="E466" s="224" t="s">
        <v>620</v>
      </c>
      <c r="F466" s="224" t="str">
        <f t="shared" si="11"/>
        <v>390319</v>
      </c>
      <c r="G466" s="224" t="s">
        <v>88</v>
      </c>
    </row>
    <row r="467" spans="1:7">
      <c r="A467" s="224" t="s">
        <v>621</v>
      </c>
      <c r="B467" s="224" t="s">
        <v>622</v>
      </c>
      <c r="C467" s="224" t="s">
        <v>623</v>
      </c>
      <c r="D467" s="224">
        <v>39032000</v>
      </c>
      <c r="E467" s="224" t="s">
        <v>624</v>
      </c>
      <c r="F467" s="224" t="str">
        <f t="shared" si="11"/>
        <v>390320</v>
      </c>
      <c r="G467" s="224" t="s">
        <v>98</v>
      </c>
    </row>
    <row r="468" spans="1:7">
      <c r="A468" s="224" t="s">
        <v>625</v>
      </c>
      <c r="B468" s="224" t="s">
        <v>626</v>
      </c>
      <c r="C468" s="224" t="s">
        <v>627</v>
      </c>
      <c r="D468" s="224">
        <v>39033000</v>
      </c>
      <c r="E468" s="224" t="s">
        <v>628</v>
      </c>
      <c r="F468" s="224" t="str">
        <f t="shared" si="11"/>
        <v>390330</v>
      </c>
      <c r="G468" s="224" t="s">
        <v>94</v>
      </c>
    </row>
    <row r="469" spans="1:7">
      <c r="A469" s="224" t="s">
        <v>629</v>
      </c>
      <c r="B469" s="224" t="s">
        <v>630</v>
      </c>
      <c r="C469" s="224" t="s">
        <v>631</v>
      </c>
      <c r="D469" s="224">
        <v>39039010</v>
      </c>
      <c r="E469" s="224" t="s">
        <v>632</v>
      </c>
      <c r="F469" s="224" t="str">
        <f t="shared" si="11"/>
        <v>390390</v>
      </c>
      <c r="G469" s="224" t="s">
        <v>98</v>
      </c>
    </row>
    <row r="470" spans="1:7">
      <c r="A470" s="224" t="s">
        <v>633</v>
      </c>
      <c r="B470" s="224" t="s">
        <v>634</v>
      </c>
      <c r="C470" s="224" t="s">
        <v>635</v>
      </c>
      <c r="D470" s="224">
        <v>39041000</v>
      </c>
      <c r="E470" s="224" t="s">
        <v>636</v>
      </c>
      <c r="F470" s="224" t="str">
        <f t="shared" si="11"/>
        <v>390410</v>
      </c>
      <c r="G470" s="224" t="s">
        <v>90</v>
      </c>
    </row>
    <row r="471" spans="1:7">
      <c r="A471" s="224" t="s">
        <v>637</v>
      </c>
      <c r="B471" s="224" t="s">
        <v>638</v>
      </c>
      <c r="C471" s="224" t="s">
        <v>639</v>
      </c>
      <c r="D471" s="224">
        <v>39042100</v>
      </c>
      <c r="E471" s="224" t="s">
        <v>640</v>
      </c>
      <c r="F471" s="224" t="str">
        <f t="shared" si="11"/>
        <v>390421</v>
      </c>
      <c r="G471" s="224" t="s">
        <v>90</v>
      </c>
    </row>
    <row r="472" spans="1:7">
      <c r="A472" s="224" t="s">
        <v>641</v>
      </c>
      <c r="B472" s="224" t="s">
        <v>642</v>
      </c>
      <c r="C472" s="224" t="s">
        <v>643</v>
      </c>
      <c r="D472" s="224">
        <v>39042200</v>
      </c>
      <c r="E472" s="224" t="s">
        <v>644</v>
      </c>
      <c r="F472" s="224" t="str">
        <f t="shared" si="11"/>
        <v>390422</v>
      </c>
      <c r="G472" s="224" t="s">
        <v>90</v>
      </c>
    </row>
    <row r="473" spans="1:7">
      <c r="A473" s="224" t="s">
        <v>645</v>
      </c>
      <c r="B473" s="224" t="s">
        <v>646</v>
      </c>
      <c r="C473" s="224" t="s">
        <v>647</v>
      </c>
      <c r="D473" s="224">
        <v>39043000</v>
      </c>
      <c r="E473" s="224" t="s">
        <v>648</v>
      </c>
      <c r="F473" s="224" t="str">
        <f t="shared" si="11"/>
        <v>390430</v>
      </c>
      <c r="G473" s="224" t="s">
        <v>98</v>
      </c>
    </row>
    <row r="474" spans="1:7">
      <c r="A474" s="224" t="s">
        <v>649</v>
      </c>
      <c r="B474" s="224" t="s">
        <v>650</v>
      </c>
      <c r="C474" s="224" t="s">
        <v>651</v>
      </c>
      <c r="D474" s="224">
        <v>39045010</v>
      </c>
      <c r="E474" s="224" t="s">
        <v>652</v>
      </c>
      <c r="F474" s="224" t="str">
        <f t="shared" si="11"/>
        <v>390450</v>
      </c>
      <c r="G474" s="224" t="s">
        <v>98</v>
      </c>
    </row>
    <row r="475" spans="1:7">
      <c r="A475" s="224" t="s">
        <v>653</v>
      </c>
      <c r="B475" s="224" t="s">
        <v>654</v>
      </c>
      <c r="C475" s="224"/>
      <c r="D475" s="224">
        <v>39046100</v>
      </c>
      <c r="E475" s="224" t="s">
        <v>655</v>
      </c>
      <c r="F475" s="224" t="str">
        <f t="shared" si="11"/>
        <v>390461</v>
      </c>
      <c r="G475" s="224" t="s">
        <v>98</v>
      </c>
    </row>
    <row r="476" spans="1:7">
      <c r="A476" s="224" t="s">
        <v>656</v>
      </c>
      <c r="B476" s="224" t="s">
        <v>657</v>
      </c>
      <c r="C476" s="224" t="s">
        <v>658</v>
      </c>
      <c r="D476" s="224">
        <v>39051200</v>
      </c>
      <c r="E476" s="224" t="s">
        <v>659</v>
      </c>
      <c r="F476" s="224" t="str">
        <f t="shared" si="11"/>
        <v>390512</v>
      </c>
      <c r="G476" s="224" t="s">
        <v>98</v>
      </c>
    </row>
    <row r="477" spans="1:7">
      <c r="A477" s="224" t="s">
        <v>660</v>
      </c>
      <c r="B477" s="224" t="s">
        <v>661</v>
      </c>
      <c r="C477" s="224" t="s">
        <v>662</v>
      </c>
      <c r="D477" s="224">
        <v>39051900</v>
      </c>
      <c r="E477" s="224" t="s">
        <v>663</v>
      </c>
      <c r="F477" s="224" t="str">
        <f t="shared" si="11"/>
        <v>390519</v>
      </c>
      <c r="G477" s="224" t="s">
        <v>98</v>
      </c>
    </row>
    <row r="478" spans="1:7">
      <c r="A478" s="224" t="s">
        <v>664</v>
      </c>
      <c r="B478" s="224" t="s">
        <v>665</v>
      </c>
      <c r="C478" s="224" t="s">
        <v>666</v>
      </c>
      <c r="D478" s="224">
        <v>39053000</v>
      </c>
      <c r="E478" s="224" t="s">
        <v>667</v>
      </c>
      <c r="F478" s="224" t="str">
        <f t="shared" si="11"/>
        <v>390530</v>
      </c>
      <c r="G478" s="224" t="s">
        <v>98</v>
      </c>
    </row>
    <row r="479" spans="1:7">
      <c r="A479" s="224" t="s">
        <v>668</v>
      </c>
      <c r="B479" s="224" t="s">
        <v>669</v>
      </c>
      <c r="C479" s="224" t="s">
        <v>670</v>
      </c>
      <c r="D479" s="224">
        <v>39061000</v>
      </c>
      <c r="E479" s="224" t="s">
        <v>671</v>
      </c>
      <c r="F479" s="224" t="str">
        <f t="shared" si="11"/>
        <v>390610</v>
      </c>
      <c r="G479" s="224" t="s">
        <v>97</v>
      </c>
    </row>
    <row r="480" spans="1:7">
      <c r="A480" s="224" t="s">
        <v>672</v>
      </c>
      <c r="B480" s="224" t="s">
        <v>673</v>
      </c>
      <c r="C480" s="224" t="s">
        <v>674</v>
      </c>
      <c r="D480" s="224">
        <v>39069010</v>
      </c>
      <c r="E480" s="224" t="s">
        <v>675</v>
      </c>
      <c r="F480" s="224" t="str">
        <f t="shared" si="11"/>
        <v>390690</v>
      </c>
      <c r="G480" s="224" t="s">
        <v>97</v>
      </c>
    </row>
    <row r="481" spans="1:7">
      <c r="A481" s="224" t="s">
        <v>676</v>
      </c>
      <c r="B481" s="224" t="s">
        <v>677</v>
      </c>
      <c r="C481" s="224" t="s">
        <v>678</v>
      </c>
      <c r="D481" s="224">
        <v>39071000</v>
      </c>
      <c r="E481" s="224" t="s">
        <v>677</v>
      </c>
      <c r="F481" s="224" t="str">
        <f t="shared" si="11"/>
        <v>390710</v>
      </c>
      <c r="G481" s="224" t="s">
        <v>98</v>
      </c>
    </row>
    <row r="482" spans="1:7">
      <c r="A482" s="224" t="s">
        <v>679</v>
      </c>
      <c r="B482" s="224" t="s">
        <v>680</v>
      </c>
      <c r="C482" s="224" t="s">
        <v>681</v>
      </c>
      <c r="D482" s="224">
        <v>39072100</v>
      </c>
      <c r="E482" s="224" t="s">
        <v>682</v>
      </c>
      <c r="F482" s="224" t="str">
        <f t="shared" si="11"/>
        <v>390721</v>
      </c>
      <c r="G482" s="224" t="s">
        <v>98</v>
      </c>
    </row>
    <row r="483" spans="1:7">
      <c r="A483" s="224" t="s">
        <v>683</v>
      </c>
      <c r="B483" s="224" t="s">
        <v>684</v>
      </c>
      <c r="C483" s="224" t="s">
        <v>685</v>
      </c>
      <c r="D483" s="224">
        <v>39072991</v>
      </c>
      <c r="E483" s="224" t="s">
        <v>686</v>
      </c>
      <c r="F483" s="224" t="str">
        <f t="shared" si="11"/>
        <v>390729</v>
      </c>
      <c r="G483" s="224" t="s">
        <v>98</v>
      </c>
    </row>
    <row r="484" spans="1:7">
      <c r="A484" s="224" t="s">
        <v>687</v>
      </c>
      <c r="B484" s="224" t="s">
        <v>688</v>
      </c>
      <c r="C484" s="224" t="s">
        <v>689</v>
      </c>
      <c r="D484" s="224">
        <v>39073000</v>
      </c>
      <c r="E484" s="224" t="s">
        <v>688</v>
      </c>
      <c r="F484" s="224" t="str">
        <f t="shared" si="11"/>
        <v>390730</v>
      </c>
      <c r="G484" s="224" t="s">
        <v>98</v>
      </c>
    </row>
    <row r="485" spans="1:7">
      <c r="A485" s="224" t="s">
        <v>690</v>
      </c>
      <c r="B485" s="224" t="s">
        <v>691</v>
      </c>
      <c r="C485" s="224" t="s">
        <v>692</v>
      </c>
      <c r="D485" s="224">
        <v>39074000</v>
      </c>
      <c r="E485" s="224" t="s">
        <v>691</v>
      </c>
      <c r="F485" s="224" t="str">
        <f t="shared" si="11"/>
        <v>390740</v>
      </c>
      <c r="G485" s="224" t="s">
        <v>96</v>
      </c>
    </row>
    <row r="486" spans="1:7">
      <c r="A486" s="224" t="s">
        <v>693</v>
      </c>
      <c r="B486" s="224" t="s">
        <v>694</v>
      </c>
      <c r="C486" s="224" t="s">
        <v>695</v>
      </c>
      <c r="D486" s="224">
        <v>39075000</v>
      </c>
      <c r="E486" s="224" t="s">
        <v>694</v>
      </c>
      <c r="F486" s="224" t="str">
        <f t="shared" si="11"/>
        <v>390750</v>
      </c>
      <c r="G486" s="224" t="s">
        <v>98</v>
      </c>
    </row>
    <row r="487" spans="1:7">
      <c r="A487" s="224" t="s">
        <v>696</v>
      </c>
      <c r="B487" s="224" t="s">
        <v>697</v>
      </c>
      <c r="C487" s="224" t="s">
        <v>698</v>
      </c>
      <c r="D487" s="224">
        <v>39076100</v>
      </c>
      <c r="E487" s="224" t="s">
        <v>699</v>
      </c>
      <c r="F487" s="224" t="str">
        <f t="shared" si="11"/>
        <v>390761</v>
      </c>
      <c r="G487" s="224" t="s">
        <v>91</v>
      </c>
    </row>
    <row r="488" spans="1:7">
      <c r="A488" s="224" t="s">
        <v>700</v>
      </c>
      <c r="B488" s="224" t="s">
        <v>701</v>
      </c>
      <c r="C488" s="224" t="s">
        <v>702</v>
      </c>
      <c r="D488" s="224">
        <v>39076900</v>
      </c>
      <c r="E488" s="224" t="s">
        <v>703</v>
      </c>
      <c r="F488" s="224" t="str">
        <f t="shared" si="11"/>
        <v>390769</v>
      </c>
      <c r="G488" s="224" t="s">
        <v>91</v>
      </c>
    </row>
    <row r="489" spans="1:7">
      <c r="A489" s="224" t="s">
        <v>704</v>
      </c>
      <c r="B489" s="224" t="s">
        <v>705</v>
      </c>
      <c r="C489" s="224" t="s">
        <v>706</v>
      </c>
      <c r="D489" s="224">
        <v>39077000</v>
      </c>
      <c r="E489" s="224" t="s">
        <v>707</v>
      </c>
      <c r="F489" s="224" t="str">
        <f t="shared" si="11"/>
        <v>390770</v>
      </c>
      <c r="G489" s="224" t="s">
        <v>98</v>
      </c>
    </row>
    <row r="490" spans="1:7">
      <c r="A490" s="224" t="s">
        <v>708</v>
      </c>
      <c r="B490" s="224" t="s">
        <v>709</v>
      </c>
      <c r="C490" s="224" t="s">
        <v>710</v>
      </c>
      <c r="D490" s="224">
        <v>39079110</v>
      </c>
      <c r="E490" s="224" t="s">
        <v>711</v>
      </c>
      <c r="F490" s="224" t="str">
        <f t="shared" si="11"/>
        <v>390791</v>
      </c>
      <c r="G490" s="224" t="s">
        <v>98</v>
      </c>
    </row>
    <row r="491" spans="1:7">
      <c r="A491" s="224" t="s">
        <v>712</v>
      </c>
      <c r="B491" s="224" t="s">
        <v>713</v>
      </c>
      <c r="C491" s="224" t="s">
        <v>714</v>
      </c>
      <c r="D491" s="224">
        <v>39079190</v>
      </c>
      <c r="E491" s="224" t="s">
        <v>715</v>
      </c>
      <c r="F491" s="224" t="str">
        <f t="shared" si="11"/>
        <v>390791</v>
      </c>
      <c r="G491" s="224" t="s">
        <v>98</v>
      </c>
    </row>
    <row r="492" spans="1:7">
      <c r="A492" s="224" t="s">
        <v>716</v>
      </c>
      <c r="B492" s="224" t="s">
        <v>717</v>
      </c>
      <c r="C492" s="224" t="s">
        <v>718</v>
      </c>
      <c r="D492" s="224">
        <v>39081000</v>
      </c>
      <c r="E492" s="224" t="s">
        <v>719</v>
      </c>
      <c r="F492" s="224" t="str">
        <f t="shared" si="11"/>
        <v>390810</v>
      </c>
      <c r="G492" s="224" t="s">
        <v>95</v>
      </c>
    </row>
    <row r="493" spans="1:7">
      <c r="A493" s="224" t="s">
        <v>720</v>
      </c>
      <c r="B493" s="224" t="s">
        <v>721</v>
      </c>
      <c r="C493" s="224" t="s">
        <v>722</v>
      </c>
      <c r="D493" s="224">
        <v>39089000</v>
      </c>
      <c r="E493" s="224" t="s">
        <v>723</v>
      </c>
      <c r="F493" s="224" t="str">
        <f t="shared" si="11"/>
        <v>390890</v>
      </c>
      <c r="G493" s="224" t="s">
        <v>95</v>
      </c>
    </row>
    <row r="494" spans="1:7">
      <c r="A494" s="224" t="s">
        <v>724</v>
      </c>
      <c r="B494" s="224" t="s">
        <v>725</v>
      </c>
      <c r="C494" s="224" t="s">
        <v>726</v>
      </c>
      <c r="D494" s="224">
        <v>39091000</v>
      </c>
      <c r="E494" s="224" t="s">
        <v>727</v>
      </c>
      <c r="F494" s="224" t="str">
        <f t="shared" si="11"/>
        <v>390910</v>
      </c>
      <c r="G494" s="224" t="s">
        <v>26</v>
      </c>
    </row>
    <row r="495" spans="1:7">
      <c r="A495" s="224" t="s">
        <v>728</v>
      </c>
      <c r="B495" s="224" t="s">
        <v>729</v>
      </c>
      <c r="C495" s="224" t="s">
        <v>730</v>
      </c>
      <c r="D495" s="224">
        <v>39092000</v>
      </c>
      <c r="E495" s="224" t="s">
        <v>729</v>
      </c>
      <c r="F495" s="224" t="str">
        <f t="shared" si="11"/>
        <v>390920</v>
      </c>
      <c r="G495" s="224" t="s">
        <v>26</v>
      </c>
    </row>
    <row r="496" spans="1:7">
      <c r="A496" s="224" t="s">
        <v>731</v>
      </c>
      <c r="B496" s="224" t="s">
        <v>732</v>
      </c>
      <c r="C496" s="224" t="s">
        <v>733</v>
      </c>
      <c r="D496" s="224">
        <v>39093100</v>
      </c>
      <c r="E496" s="224" t="s">
        <v>734</v>
      </c>
      <c r="F496" s="224" t="str">
        <f t="shared" si="11"/>
        <v>390931</v>
      </c>
      <c r="G496" s="224" t="s">
        <v>26</v>
      </c>
    </row>
    <row r="497" spans="1:7">
      <c r="A497" s="224" t="s">
        <v>735</v>
      </c>
      <c r="B497" s="224" t="s">
        <v>736</v>
      </c>
      <c r="C497" s="224" t="s">
        <v>737</v>
      </c>
      <c r="D497" s="224">
        <v>39094000</v>
      </c>
      <c r="E497" s="224" t="s">
        <v>736</v>
      </c>
      <c r="F497" s="224" t="str">
        <f t="shared" si="11"/>
        <v>390940</v>
      </c>
      <c r="G497" s="224" t="s">
        <v>98</v>
      </c>
    </row>
    <row r="498" spans="1:7">
      <c r="A498" s="224" t="s">
        <v>738</v>
      </c>
      <c r="B498" s="224" t="s">
        <v>739</v>
      </c>
      <c r="C498" s="224" t="s">
        <v>740</v>
      </c>
      <c r="D498" s="224">
        <v>39095010</v>
      </c>
      <c r="E498" s="224" t="s">
        <v>741</v>
      </c>
      <c r="F498" s="224" t="str">
        <f t="shared" si="11"/>
        <v>390950</v>
      </c>
      <c r="G498" s="224" t="s">
        <v>93</v>
      </c>
    </row>
    <row r="499" spans="1:7">
      <c r="A499" s="224" t="s">
        <v>742</v>
      </c>
      <c r="B499" s="224" t="s">
        <v>743</v>
      </c>
      <c r="C499" s="224" t="s">
        <v>744</v>
      </c>
      <c r="D499" s="224">
        <v>39100000</v>
      </c>
      <c r="E499" s="224" t="s">
        <v>743</v>
      </c>
      <c r="F499" s="224" t="str">
        <f t="shared" si="11"/>
        <v>391000</v>
      </c>
      <c r="G499" s="224" t="s">
        <v>26</v>
      </c>
    </row>
    <row r="500" spans="1:7">
      <c r="A500" s="224" t="s">
        <v>745</v>
      </c>
      <c r="B500" s="224" t="s">
        <v>746</v>
      </c>
      <c r="C500" s="224" t="s">
        <v>747</v>
      </c>
      <c r="D500" s="224">
        <v>39111000</v>
      </c>
      <c r="E500" s="224" t="s">
        <v>748</v>
      </c>
      <c r="F500" s="224" t="str">
        <f t="shared" si="11"/>
        <v>391110</v>
      </c>
      <c r="G500" s="224" t="s">
        <v>98</v>
      </c>
    </row>
    <row r="501" spans="1:7">
      <c r="A501" s="224" t="s">
        <v>749</v>
      </c>
      <c r="B501" s="224" t="s">
        <v>750</v>
      </c>
      <c r="C501" s="224" t="s">
        <v>751</v>
      </c>
      <c r="D501" s="224">
        <v>39121100</v>
      </c>
      <c r="E501" s="224" t="s">
        <v>752</v>
      </c>
      <c r="F501" s="224" t="str">
        <f t="shared" si="11"/>
        <v>391211</v>
      </c>
      <c r="G501" s="224" t="s">
        <v>26</v>
      </c>
    </row>
    <row r="502" spans="1:7">
      <c r="A502" s="224" t="s">
        <v>753</v>
      </c>
      <c r="B502" s="224" t="s">
        <v>754</v>
      </c>
      <c r="C502" s="224"/>
      <c r="D502" s="224">
        <v>39123100</v>
      </c>
      <c r="E502" s="224" t="s">
        <v>755</v>
      </c>
      <c r="F502" s="224" t="str">
        <f t="shared" si="11"/>
        <v>391231</v>
      </c>
      <c r="G502" s="224" t="s">
        <v>26</v>
      </c>
    </row>
    <row r="503" spans="1:7">
      <c r="A503" s="224" t="s">
        <v>756</v>
      </c>
      <c r="B503" s="224" t="s">
        <v>757</v>
      </c>
      <c r="C503" s="224"/>
      <c r="D503" s="224">
        <v>39131000</v>
      </c>
      <c r="E503" s="224" t="s">
        <v>758</v>
      </c>
      <c r="F503" s="224" t="str">
        <f t="shared" si="11"/>
        <v>391310</v>
      </c>
      <c r="G503" s="224" t="s">
        <v>26</v>
      </c>
    </row>
    <row r="504" spans="1:7">
      <c r="A504" s="224" t="s">
        <v>759</v>
      </c>
      <c r="B504" s="224" t="s">
        <v>760</v>
      </c>
      <c r="C504" s="224" t="s">
        <v>761</v>
      </c>
      <c r="D504" s="224">
        <v>39139000</v>
      </c>
      <c r="E504" s="224" t="s">
        <v>762</v>
      </c>
      <c r="F504" s="224" t="str">
        <f t="shared" si="11"/>
        <v>391390</v>
      </c>
      <c r="G504" s="224" t="s">
        <v>26</v>
      </c>
    </row>
    <row r="505" spans="1:7">
      <c r="A505" s="224" t="s">
        <v>763</v>
      </c>
      <c r="B505" s="224" t="s">
        <v>764</v>
      </c>
      <c r="C505" s="224" t="s">
        <v>765</v>
      </c>
      <c r="D505" s="224">
        <v>39140000</v>
      </c>
      <c r="E505" s="224" t="s">
        <v>766</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cellIs" dxfId="152" priority="76" stopIfTrue="1" operator="notBetween">
      <formula>1</formula>
      <formula>4</formula>
    </cfRule>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H361:M367 H399:M403 I392:M392">
    <cfRule type="cellIs" dxfId="151"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50"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49" priority="8" stopIfTrue="1" operator="notBetween">
      <formula>1</formula>
      <formula>4</formula>
    </cfRule>
  </conditionalFormatting>
  <conditionalFormatting sqref="H396:M407">
    <cfRule type="containsBlanks" dxfId="148"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47"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46" priority="12" stopIfTrue="1" operator="notBetween">
      <formula>1</formula>
      <formula>4</formula>
    </cfRule>
  </conditionalFormatting>
  <conditionalFormatting sqref="H396:O397 H361:O367 N398:O407">
    <cfRule type="containsBlanks" dxfId="145"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44"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43"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42" priority="75" operator="containsText" text="Actual TC">
      <formula>NOT(ISERROR(SEARCH("Actual TC",P361)))</formula>
    </cfRule>
  </conditionalFormatting>
  <conditionalFormatting sqref="P398:P401">
    <cfRule type="containsText" dxfId="141" priority="35" operator="containsText" text="Actual TC">
      <formula>NOT(ISERROR(SEARCH("Actual TC",P398)))</formula>
    </cfRule>
  </conditionalFormatting>
  <conditionalFormatting sqref="P404:P407">
    <cfRule type="containsText" dxfId="140"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39" priority="88">
      <formula>LEN(TRIM(Z6))=0</formula>
    </cfRule>
  </conditionalFormatting>
  <conditionalFormatting sqref="AE5">
    <cfRule type="containsBlanks" dxfId="138"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37" priority="135">
      <formula>LEN(TRIM(AL35))=0</formula>
    </cfRule>
  </conditionalFormatting>
  <conditionalFormatting sqref="AL65:AQ82">
    <cfRule type="containsBlanks" dxfId="136" priority="128">
      <formula>LEN(TRIM(AL65))=0</formula>
    </cfRule>
  </conditionalFormatting>
  <conditionalFormatting sqref="AL86:AQ103">
    <cfRule type="containsBlanks" dxfId="135" priority="125">
      <formula>LEN(TRIM(AL86))=0</formula>
    </cfRule>
  </conditionalFormatting>
  <conditionalFormatting sqref="AQ5">
    <cfRule type="containsBlanks" dxfId="134"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33"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32"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31"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66" zoomScale="85" zoomScaleNormal="85" workbookViewId="0">
      <selection activeCell="B88" sqref="B88"/>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3"/>
    </row>
    <row r="2" spans="1:26" s="6" customFormat="1">
      <c r="A2" s="1124" t="s">
        <v>767</v>
      </c>
      <c r="B2" s="1124"/>
      <c r="C2" s="1124"/>
      <c r="D2" s="1124"/>
      <c r="E2" s="1124"/>
      <c r="F2" s="1124"/>
      <c r="G2" s="1124"/>
      <c r="H2" s="1124"/>
      <c r="I2" s="1124"/>
      <c r="J2" s="1124"/>
      <c r="K2" s="1124"/>
      <c r="L2" s="1124"/>
      <c r="M2" s="1124"/>
      <c r="N2" s="1124"/>
      <c r="O2" s="1124"/>
      <c r="P2" s="1124"/>
      <c r="Q2" s="1124"/>
    </row>
    <row r="3" spans="1:26" s="6" customFormat="1" ht="18.75" customHeight="1">
      <c r="A3" s="1169"/>
      <c r="B3" s="1169"/>
      <c r="C3" s="1169"/>
      <c r="D3" s="1169"/>
      <c r="E3" s="1169"/>
      <c r="F3" s="1169"/>
      <c r="G3" s="1169"/>
      <c r="H3" s="1169"/>
      <c r="I3" s="1169"/>
      <c r="J3" s="1169"/>
      <c r="K3" s="1169"/>
      <c r="L3" s="1169"/>
      <c r="M3" s="1169"/>
      <c r="N3" s="1169"/>
      <c r="O3" s="1169"/>
      <c r="P3" s="1169"/>
      <c r="Q3" s="1169"/>
      <c r="R3" s="383"/>
    </row>
    <row r="4" spans="1:26" s="6" customFormat="1" ht="15.75" thickBot="1">
      <c r="Z4"/>
    </row>
    <row r="5" spans="1:26" s="6" customFormat="1" ht="15.75" thickBot="1">
      <c r="A5" s="140" t="s">
        <v>131</v>
      </c>
      <c r="B5" s="140" t="s">
        <v>100</v>
      </c>
      <c r="C5" s="140" t="s">
        <v>101</v>
      </c>
      <c r="D5" s="140" t="s">
        <v>102</v>
      </c>
      <c r="E5" s="140" t="s">
        <v>775</v>
      </c>
      <c r="F5" s="225" t="s">
        <v>104</v>
      </c>
      <c r="G5" s="111" t="s">
        <v>134</v>
      </c>
      <c r="H5" s="112" t="s">
        <v>65</v>
      </c>
      <c r="I5" s="112" t="s">
        <v>67</v>
      </c>
      <c r="J5" s="112" t="s">
        <v>73</v>
      </c>
      <c r="K5" s="113" t="s">
        <v>79</v>
      </c>
      <c r="L5" s="114" t="s">
        <v>106</v>
      </c>
      <c r="M5" s="115" t="s">
        <v>123</v>
      </c>
      <c r="Z5"/>
    </row>
    <row r="6" spans="1:26" s="6" customFormat="1" ht="15.75" thickBot="1">
      <c r="A6" s="117" t="s">
        <v>180</v>
      </c>
      <c r="B6" s="143" t="s">
        <v>396</v>
      </c>
      <c r="C6" s="117">
        <v>1990</v>
      </c>
      <c r="D6" s="9" t="s">
        <v>92</v>
      </c>
      <c r="E6" s="338">
        <v>14.048770000000001</v>
      </c>
      <c r="F6" s="186" t="s">
        <v>778</v>
      </c>
      <c r="G6" s="250">
        <v>1</v>
      </c>
      <c r="H6" s="13">
        <v>1</v>
      </c>
      <c r="I6" s="13">
        <v>1</v>
      </c>
      <c r="J6" s="13">
        <v>1</v>
      </c>
      <c r="K6" s="317">
        <v>1</v>
      </c>
      <c r="L6" s="350">
        <f t="shared" ref="L6:L13" si="0">IF( OR( ISBLANK(G6),ISBLANK(H6), ISBLANK(I6), ISBLANK(J6), ISBLANK(K6) ), "", 1.5*SQRT( EXP(2.21*(G6-1)) + EXP(2.21*(H6-1)) + EXP(2.21*(I6-1)) + EXP(2.21*(J6-1)) + EXP(2.21*K6-1)   )/100*2.45 )</f>
        <v>9.9656111784768353E-2</v>
      </c>
      <c r="M6" s="33"/>
      <c r="Z6"/>
    </row>
    <row r="7" spans="1:26" s="6" customFormat="1" ht="15.75" thickBot="1">
      <c r="A7" s="117" t="s">
        <v>180</v>
      </c>
      <c r="B7" s="143" t="s">
        <v>396</v>
      </c>
      <c r="C7" s="117">
        <v>1995</v>
      </c>
      <c r="D7" s="9" t="s">
        <v>92</v>
      </c>
      <c r="E7" s="338">
        <v>15.103305000000001</v>
      </c>
      <c r="F7" s="186" t="s">
        <v>778</v>
      </c>
      <c r="G7" s="250">
        <v>1</v>
      </c>
      <c r="H7" s="13">
        <v>1</v>
      </c>
      <c r="I7" s="13">
        <v>1</v>
      </c>
      <c r="J7" s="13">
        <v>1</v>
      </c>
      <c r="K7" s="317">
        <v>1</v>
      </c>
      <c r="L7" s="350">
        <f t="shared" si="0"/>
        <v>9.9656111784768353E-2</v>
      </c>
      <c r="M7" s="33"/>
      <c r="Z7"/>
    </row>
    <row r="8" spans="1:26" s="6" customFormat="1" ht="15.75" thickBot="1">
      <c r="A8" s="117" t="s">
        <v>180</v>
      </c>
      <c r="B8" s="143" t="s">
        <v>396</v>
      </c>
      <c r="C8" s="117">
        <v>2000</v>
      </c>
      <c r="D8" s="9" t="s">
        <v>92</v>
      </c>
      <c r="E8" s="338">
        <v>16.7798639999999</v>
      </c>
      <c r="F8" s="186" t="s">
        <v>778</v>
      </c>
      <c r="G8" s="250">
        <v>1</v>
      </c>
      <c r="H8" s="13">
        <v>1</v>
      </c>
      <c r="I8" s="13">
        <v>1</v>
      </c>
      <c r="J8" s="13">
        <v>1</v>
      </c>
      <c r="K8" s="317">
        <v>1</v>
      </c>
      <c r="L8" s="350">
        <f t="shared" si="0"/>
        <v>9.9656111784768353E-2</v>
      </c>
      <c r="M8" s="33"/>
      <c r="Z8"/>
    </row>
    <row r="9" spans="1:26" s="6" customFormat="1" ht="15.75" thickBot="1">
      <c r="A9" s="117" t="s">
        <v>180</v>
      </c>
      <c r="B9" s="143" t="s">
        <v>396</v>
      </c>
      <c r="C9" s="117">
        <v>2005</v>
      </c>
      <c r="D9" s="9" t="s">
        <v>92</v>
      </c>
      <c r="E9" s="338">
        <v>17.777562999999997</v>
      </c>
      <c r="F9" s="186" t="s">
        <v>778</v>
      </c>
      <c r="G9" s="250">
        <v>1</v>
      </c>
      <c r="H9" s="13">
        <v>1</v>
      </c>
      <c r="I9" s="13">
        <v>1</v>
      </c>
      <c r="J9" s="13">
        <v>1</v>
      </c>
      <c r="K9" s="317">
        <v>1</v>
      </c>
      <c r="L9" s="350">
        <f t="shared" si="0"/>
        <v>9.9656111784768353E-2</v>
      </c>
      <c r="M9" s="33"/>
      <c r="Z9"/>
    </row>
    <row r="10" spans="1:26" s="131" customFormat="1" ht="30" customHeight="1" thickBot="1">
      <c r="A10" s="117" t="s">
        <v>180</v>
      </c>
      <c r="B10" s="143" t="s">
        <v>396</v>
      </c>
      <c r="C10" s="117">
        <v>2010</v>
      </c>
      <c r="D10" s="9" t="s">
        <v>92</v>
      </c>
      <c r="E10" s="338">
        <v>18.043420999999999</v>
      </c>
      <c r="F10" s="186" t="s">
        <v>778</v>
      </c>
      <c r="G10" s="250">
        <v>1</v>
      </c>
      <c r="H10" s="13">
        <v>1</v>
      </c>
      <c r="I10" s="13">
        <v>1</v>
      </c>
      <c r="J10" s="13">
        <v>1</v>
      </c>
      <c r="K10" s="317">
        <v>1</v>
      </c>
      <c r="L10" s="350">
        <f t="shared" si="0"/>
        <v>9.9656111784768353E-2</v>
      </c>
      <c r="M10" s="33"/>
      <c r="O10" s="6"/>
      <c r="P10" s="6"/>
      <c r="Q10" s="6"/>
      <c r="R10" s="6"/>
      <c r="Z10"/>
    </row>
    <row r="11" spans="1:26" s="6" customFormat="1" ht="30" customHeight="1" thickBot="1">
      <c r="A11" s="117" t="s">
        <v>180</v>
      </c>
      <c r="B11" s="143" t="s">
        <v>396</v>
      </c>
      <c r="C11" s="117">
        <v>2015</v>
      </c>
      <c r="D11" s="9" t="s">
        <v>92</v>
      </c>
      <c r="E11" s="338">
        <v>18.230867999999997</v>
      </c>
      <c r="F11" s="186" t="s">
        <v>778</v>
      </c>
      <c r="G11" s="250">
        <v>1</v>
      </c>
      <c r="H11" s="13">
        <v>1</v>
      </c>
      <c r="I11" s="13">
        <v>1</v>
      </c>
      <c r="J11" s="13">
        <v>1</v>
      </c>
      <c r="K11" s="317">
        <v>1</v>
      </c>
      <c r="L11" s="350">
        <f t="shared" si="0"/>
        <v>9.9656111784768353E-2</v>
      </c>
      <c r="M11" s="33"/>
      <c r="Z11"/>
    </row>
    <row r="12" spans="1:26" s="6" customFormat="1" ht="15.75" thickBot="1">
      <c r="A12" s="117" t="s">
        <v>180</v>
      </c>
      <c r="B12" s="143" t="s">
        <v>396</v>
      </c>
      <c r="C12" s="117">
        <v>2019</v>
      </c>
      <c r="D12" s="9" t="s">
        <v>92</v>
      </c>
      <c r="E12" s="338">
        <v>19.338638</v>
      </c>
      <c r="F12" s="186" t="s">
        <v>778</v>
      </c>
      <c r="G12" s="250">
        <v>1</v>
      </c>
      <c r="H12" s="13">
        <v>1</v>
      </c>
      <c r="I12" s="13">
        <v>1</v>
      </c>
      <c r="J12" s="13">
        <v>1</v>
      </c>
      <c r="K12" s="317">
        <v>1</v>
      </c>
      <c r="L12" s="350">
        <f t="shared" si="0"/>
        <v>9.9656111784768353E-2</v>
      </c>
      <c r="M12" s="33"/>
      <c r="Z12"/>
    </row>
    <row r="13" spans="1:26" s="6" customFormat="1" ht="15.75" thickBot="1">
      <c r="A13" s="117" t="s">
        <v>180</v>
      </c>
      <c r="B13" s="143" t="s">
        <v>396</v>
      </c>
      <c r="C13" s="117">
        <v>2020</v>
      </c>
      <c r="D13" s="9" t="s">
        <v>92</v>
      </c>
      <c r="E13" s="338">
        <v>16.756188426510999</v>
      </c>
      <c r="F13" s="186" t="s">
        <v>778</v>
      </c>
      <c r="G13" s="250">
        <v>1</v>
      </c>
      <c r="H13" s="13">
        <v>1</v>
      </c>
      <c r="I13" s="13">
        <v>1</v>
      </c>
      <c r="J13" s="13">
        <v>1</v>
      </c>
      <c r="K13" s="317">
        <v>1</v>
      </c>
      <c r="L13" s="350">
        <f t="shared" si="0"/>
        <v>9.9656111784768353E-2</v>
      </c>
      <c r="M13" s="33"/>
      <c r="Z13"/>
    </row>
    <row r="14" spans="1:26" s="6" customFormat="1" ht="15.7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75" thickBot="1">
      <c r="A15" s="117" t="s">
        <v>180</v>
      </c>
      <c r="B15" s="143" t="s">
        <v>396</v>
      </c>
      <c r="C15" s="117">
        <v>1990</v>
      </c>
      <c r="D15" s="9" t="s">
        <v>92</v>
      </c>
      <c r="E15" s="338">
        <v>9.7959110544217687</v>
      </c>
      <c r="F15" s="186" t="s">
        <v>783</v>
      </c>
      <c r="G15" s="250">
        <v>1</v>
      </c>
      <c r="H15" s="13">
        <v>1</v>
      </c>
      <c r="I15" s="13">
        <v>1</v>
      </c>
      <c r="J15" s="13">
        <v>1</v>
      </c>
      <c r="K15" s="317">
        <v>1</v>
      </c>
      <c r="L15" s="350">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396</v>
      </c>
      <c r="C16" s="117">
        <v>1995</v>
      </c>
      <c r="D16" s="9" t="s">
        <v>92</v>
      </c>
      <c r="E16" s="338">
        <v>10.531216071428499</v>
      </c>
      <c r="F16" s="186" t="s">
        <v>783</v>
      </c>
      <c r="G16" s="250">
        <v>1</v>
      </c>
      <c r="H16" s="13">
        <v>1</v>
      </c>
      <c r="I16" s="13">
        <v>1</v>
      </c>
      <c r="J16" s="13">
        <v>1</v>
      </c>
      <c r="K16" s="317">
        <v>1</v>
      </c>
      <c r="L16" s="350">
        <f t="shared" si="1"/>
        <v>9.9656111784768353E-2</v>
      </c>
      <c r="M16" s="33"/>
      <c r="Z16"/>
    </row>
    <row r="17" spans="1:30" s="6" customFormat="1" ht="15.75" thickBot="1">
      <c r="A17" s="117" t="s">
        <v>180</v>
      </c>
      <c r="B17" s="143" t="s">
        <v>396</v>
      </c>
      <c r="C17" s="117">
        <v>2000</v>
      </c>
      <c r="D17" s="9" t="s">
        <v>92</v>
      </c>
      <c r="E17" s="338">
        <v>11.700245306122401</v>
      </c>
      <c r="F17" s="186" t="s">
        <v>783</v>
      </c>
      <c r="G17" s="250">
        <v>1</v>
      </c>
      <c r="H17" s="13">
        <v>1</v>
      </c>
      <c r="I17" s="13">
        <v>1</v>
      </c>
      <c r="J17" s="13">
        <v>1</v>
      </c>
      <c r="K17" s="317">
        <v>1</v>
      </c>
      <c r="L17" s="350">
        <f t="shared" si="1"/>
        <v>9.9656111784768353E-2</v>
      </c>
      <c r="M17" s="33"/>
      <c r="Z17"/>
    </row>
    <row r="18" spans="1:30" s="6" customFormat="1" ht="15.75" thickBot="1">
      <c r="A18" s="117" t="s">
        <v>180</v>
      </c>
      <c r="B18" s="143" t="s">
        <v>396</v>
      </c>
      <c r="C18" s="117">
        <v>2005</v>
      </c>
      <c r="D18" s="9" t="s">
        <v>92</v>
      </c>
      <c r="E18" s="338">
        <v>12.3959197789115</v>
      </c>
      <c r="F18" s="186" t="s">
        <v>783</v>
      </c>
      <c r="G18" s="250">
        <v>1</v>
      </c>
      <c r="H18" s="13">
        <v>1</v>
      </c>
      <c r="I18" s="13">
        <v>1</v>
      </c>
      <c r="J18" s="13">
        <v>1</v>
      </c>
      <c r="K18" s="317">
        <v>1</v>
      </c>
      <c r="L18" s="350">
        <f t="shared" si="1"/>
        <v>9.9656111784768353E-2</v>
      </c>
      <c r="M18" s="33"/>
      <c r="Z18"/>
    </row>
    <row r="19" spans="1:30" s="6" customFormat="1" ht="15.75" thickBot="1">
      <c r="A19" s="117" t="s">
        <v>180</v>
      </c>
      <c r="B19" s="143" t="s">
        <v>396</v>
      </c>
      <c r="C19" s="117">
        <v>2010</v>
      </c>
      <c r="D19" s="9" t="s">
        <v>92</v>
      </c>
      <c r="E19" s="338">
        <v>12.5812969557823</v>
      </c>
      <c r="F19" s="186" t="s">
        <v>783</v>
      </c>
      <c r="G19" s="250">
        <v>1</v>
      </c>
      <c r="H19" s="13">
        <v>1</v>
      </c>
      <c r="I19" s="13">
        <v>1</v>
      </c>
      <c r="J19" s="13">
        <v>1</v>
      </c>
      <c r="K19" s="317">
        <v>1</v>
      </c>
      <c r="L19" s="350">
        <f t="shared" si="1"/>
        <v>9.9656111784768353E-2</v>
      </c>
      <c r="M19" s="33"/>
      <c r="R19" s="383"/>
      <c r="Z19"/>
    </row>
    <row r="20" spans="1:30" s="6" customFormat="1" ht="15.75" thickBot="1">
      <c r="A20" s="117" t="s">
        <v>180</v>
      </c>
      <c r="B20" s="143" t="s">
        <v>396</v>
      </c>
      <c r="C20" s="117">
        <v>2015</v>
      </c>
      <c r="D20" s="9" t="s">
        <v>92</v>
      </c>
      <c r="E20" s="338">
        <v>12.711999795918301</v>
      </c>
      <c r="F20" s="186" t="s">
        <v>783</v>
      </c>
      <c r="G20" s="250">
        <v>1</v>
      </c>
      <c r="H20" s="13">
        <v>1</v>
      </c>
      <c r="I20" s="13">
        <v>1</v>
      </c>
      <c r="J20" s="13">
        <v>1</v>
      </c>
      <c r="K20" s="317">
        <v>1</v>
      </c>
      <c r="L20" s="350">
        <f t="shared" si="1"/>
        <v>9.9656111784768353E-2</v>
      </c>
      <c r="M20" s="33"/>
      <c r="Z20"/>
    </row>
    <row r="21" spans="1:30" s="6" customFormat="1" ht="15" customHeight="1" thickBot="1">
      <c r="A21" s="117" t="s">
        <v>180</v>
      </c>
      <c r="B21" s="143" t="s">
        <v>396</v>
      </c>
      <c r="C21" s="117">
        <v>2019</v>
      </c>
      <c r="D21" s="9" t="s">
        <v>92</v>
      </c>
      <c r="E21" s="338">
        <v>13.4844244557823</v>
      </c>
      <c r="F21" s="186" t="s">
        <v>783</v>
      </c>
      <c r="G21" s="250">
        <v>1</v>
      </c>
      <c r="H21" s="13">
        <v>1</v>
      </c>
      <c r="I21" s="13">
        <v>1</v>
      </c>
      <c r="J21" s="13">
        <v>1</v>
      </c>
      <c r="K21" s="317">
        <v>1</v>
      </c>
      <c r="L21" s="350">
        <f t="shared" si="1"/>
        <v>9.9656111784768353E-2</v>
      </c>
      <c r="M21" s="33"/>
      <c r="Z21"/>
    </row>
    <row r="22" spans="1:30" s="6" customFormat="1" ht="15" customHeight="1" thickBot="1">
      <c r="A22" s="117" t="s">
        <v>180</v>
      </c>
      <c r="B22" s="143" t="s">
        <v>396</v>
      </c>
      <c r="C22" s="117">
        <v>2020</v>
      </c>
      <c r="D22" s="9" t="s">
        <v>92</v>
      </c>
      <c r="E22" s="338">
        <v>11.683736828009399</v>
      </c>
      <c r="F22" s="186" t="s">
        <v>783</v>
      </c>
      <c r="G22" s="250">
        <v>1</v>
      </c>
      <c r="H22" s="13">
        <v>1</v>
      </c>
      <c r="I22" s="13">
        <v>1</v>
      </c>
      <c r="J22" s="13">
        <v>1</v>
      </c>
      <c r="K22" s="317">
        <v>1</v>
      </c>
      <c r="L22" s="350">
        <f t="shared" si="1"/>
        <v>9.9656111784768353E-2</v>
      </c>
      <c r="M22" s="33"/>
      <c r="Z22"/>
    </row>
    <row r="23" spans="1:30" s="6" customFormat="1" ht="15.7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396</v>
      </c>
      <c r="C24" s="117">
        <v>1990</v>
      </c>
      <c r="D24" s="9" t="s">
        <v>92</v>
      </c>
      <c r="E24" s="338">
        <v>18.038811819727801</v>
      </c>
      <c r="F24" s="186" t="s">
        <v>784</v>
      </c>
      <c r="G24" s="250">
        <v>1</v>
      </c>
      <c r="H24" s="13">
        <v>1</v>
      </c>
      <c r="I24" s="13">
        <v>1</v>
      </c>
      <c r="J24" s="13">
        <v>1</v>
      </c>
      <c r="K24" s="317">
        <v>1</v>
      </c>
      <c r="L24" s="350">
        <f t="shared" ref="L24:L31" si="2">IF( OR( ISBLANK(G24),ISBLANK(H24), ISBLANK(I24), ISBLANK(J24), ISBLANK(K24) ), "", 1.5*SQRT( EXP(2.21*(G24-1)) + EXP(2.21*(H24-1)) + EXP(2.21*(I24-1)) + EXP(2.21*(J24-1)) + EXP(2.21*K24-1)   )/100*2.45 )</f>
        <v>9.9656111784768353E-2</v>
      </c>
      <c r="M24" s="33"/>
      <c r="Z24"/>
    </row>
    <row r="25" spans="1:30" s="6" customFormat="1" ht="15.75" thickBot="1">
      <c r="A25" s="117" t="s">
        <v>180</v>
      </c>
      <c r="B25" s="143" t="s">
        <v>396</v>
      </c>
      <c r="C25" s="117">
        <v>1995</v>
      </c>
      <c r="D25" s="9" t="s">
        <v>92</v>
      </c>
      <c r="E25" s="338">
        <v>19.392849107142801</v>
      </c>
      <c r="F25" s="186" t="s">
        <v>784</v>
      </c>
      <c r="G25" s="250">
        <v>1</v>
      </c>
      <c r="H25" s="13">
        <v>1</v>
      </c>
      <c r="I25" s="13">
        <v>1</v>
      </c>
      <c r="J25" s="13">
        <v>1</v>
      </c>
      <c r="K25" s="317">
        <v>1</v>
      </c>
      <c r="L25" s="350">
        <f t="shared" si="2"/>
        <v>9.9656111784768353E-2</v>
      </c>
      <c r="M25" s="33"/>
      <c r="Z25"/>
    </row>
    <row r="26" spans="1:30" s="131" customFormat="1" ht="30" customHeight="1" thickBot="1">
      <c r="A26" s="117" t="s">
        <v>180</v>
      </c>
      <c r="B26" s="143" t="s">
        <v>396</v>
      </c>
      <c r="C26" s="117">
        <v>2000</v>
      </c>
      <c r="D26" s="9" t="s">
        <v>92</v>
      </c>
      <c r="E26" s="338">
        <v>21.545573673469299</v>
      </c>
      <c r="F26" s="186" t="s">
        <v>784</v>
      </c>
      <c r="G26" s="250">
        <v>1</v>
      </c>
      <c r="H26" s="13">
        <v>1</v>
      </c>
      <c r="I26" s="13">
        <v>1</v>
      </c>
      <c r="J26" s="13">
        <v>1</v>
      </c>
      <c r="K26" s="317">
        <v>1</v>
      </c>
      <c r="L26" s="350">
        <f t="shared" si="2"/>
        <v>9.9656111784768353E-2</v>
      </c>
      <c r="M26" s="33"/>
      <c r="O26" s="6"/>
      <c r="P26" s="6"/>
      <c r="Q26" s="6"/>
      <c r="R26" s="6"/>
      <c r="Z26"/>
    </row>
    <row r="27" spans="1:30" s="6" customFormat="1" ht="30" customHeight="1" thickBot="1">
      <c r="A27" s="117" t="s">
        <v>180</v>
      </c>
      <c r="B27" s="143" t="s">
        <v>396</v>
      </c>
      <c r="C27" s="117">
        <v>2005</v>
      </c>
      <c r="D27" s="9" t="s">
        <v>92</v>
      </c>
      <c r="E27" s="338">
        <v>22.826632763605399</v>
      </c>
      <c r="F27" s="186" t="s">
        <v>784</v>
      </c>
      <c r="G27" s="250">
        <v>1</v>
      </c>
      <c r="H27" s="13">
        <v>1</v>
      </c>
      <c r="I27" s="13">
        <v>1</v>
      </c>
      <c r="J27" s="13">
        <v>1</v>
      </c>
      <c r="K27" s="317">
        <v>1</v>
      </c>
      <c r="L27" s="350">
        <f t="shared" si="2"/>
        <v>9.9656111784768353E-2</v>
      </c>
      <c r="M27" s="33"/>
      <c r="Z27"/>
      <c r="AA27" s="368"/>
      <c r="AB27"/>
    </row>
    <row r="28" spans="1:30" s="6" customFormat="1" ht="15.75" thickBot="1">
      <c r="A28" s="117" t="s">
        <v>180</v>
      </c>
      <c r="B28" s="143" t="s">
        <v>396</v>
      </c>
      <c r="C28" s="117">
        <v>2010</v>
      </c>
      <c r="D28" s="9" t="s">
        <v>92</v>
      </c>
      <c r="E28" s="338">
        <v>23.167998052721</v>
      </c>
      <c r="F28" s="186" t="s">
        <v>784</v>
      </c>
      <c r="G28" s="250">
        <v>1</v>
      </c>
      <c r="H28" s="13">
        <v>1</v>
      </c>
      <c r="I28" s="13">
        <v>1</v>
      </c>
      <c r="J28" s="13">
        <v>1</v>
      </c>
      <c r="K28" s="317">
        <v>1</v>
      </c>
      <c r="L28" s="350">
        <f t="shared" si="2"/>
        <v>9.9656111784768353E-2</v>
      </c>
      <c r="M28" s="33"/>
      <c r="Z28"/>
      <c r="AC28" s="368"/>
      <c r="AD28"/>
    </row>
    <row r="29" spans="1:30" s="6" customFormat="1" ht="15.75" thickBot="1">
      <c r="A29" s="117" t="s">
        <v>180</v>
      </c>
      <c r="B29" s="143" t="s">
        <v>396</v>
      </c>
      <c r="C29" s="117">
        <v>2015</v>
      </c>
      <c r="D29" s="9" t="s">
        <v>92</v>
      </c>
      <c r="E29" s="338">
        <v>23.408682551020402</v>
      </c>
      <c r="F29" s="186" t="s">
        <v>784</v>
      </c>
      <c r="G29" s="250">
        <v>1</v>
      </c>
      <c r="H29" s="13">
        <v>1</v>
      </c>
      <c r="I29" s="13">
        <v>1</v>
      </c>
      <c r="J29" s="13">
        <v>1</v>
      </c>
      <c r="K29" s="317">
        <v>1</v>
      </c>
      <c r="L29" s="350">
        <f t="shared" si="2"/>
        <v>9.9656111784768353E-2</v>
      </c>
      <c r="M29" s="33"/>
      <c r="Z29"/>
      <c r="AC29" s="368"/>
      <c r="AD29"/>
    </row>
    <row r="30" spans="1:30" s="6" customFormat="1" ht="15.75" thickBot="1">
      <c r="A30" s="117" t="s">
        <v>180</v>
      </c>
      <c r="B30" s="143" t="s">
        <v>396</v>
      </c>
      <c r="C30" s="117">
        <v>2019</v>
      </c>
      <c r="D30" s="9" t="s">
        <v>92</v>
      </c>
      <c r="E30" s="338">
        <v>24.831074302720999</v>
      </c>
      <c r="F30" s="186" t="s">
        <v>784</v>
      </c>
      <c r="G30" s="250">
        <v>1</v>
      </c>
      <c r="H30" s="13">
        <v>1</v>
      </c>
      <c r="I30" s="13">
        <v>1</v>
      </c>
      <c r="J30" s="13">
        <v>1</v>
      </c>
      <c r="K30" s="317">
        <v>1</v>
      </c>
      <c r="L30" s="350">
        <f t="shared" si="2"/>
        <v>9.9656111784768353E-2</v>
      </c>
      <c r="M30" s="33"/>
      <c r="Z30"/>
      <c r="AC30" s="368"/>
      <c r="AD30"/>
    </row>
    <row r="31" spans="1:30" s="6" customFormat="1">
      <c r="A31" s="117" t="s">
        <v>180</v>
      </c>
      <c r="B31" s="143" t="s">
        <v>396</v>
      </c>
      <c r="C31" s="117">
        <v>2020</v>
      </c>
      <c r="D31" s="9" t="s">
        <v>92</v>
      </c>
      <c r="E31" s="338">
        <v>21.5151739149929</v>
      </c>
      <c r="F31" s="186" t="s">
        <v>784</v>
      </c>
      <c r="G31" s="250">
        <v>1</v>
      </c>
      <c r="H31" s="13">
        <v>1</v>
      </c>
      <c r="I31" s="13">
        <v>1</v>
      </c>
      <c r="J31" s="13">
        <v>1</v>
      </c>
      <c r="K31" s="317">
        <v>1</v>
      </c>
      <c r="L31" s="350">
        <f t="shared" si="2"/>
        <v>9.9656111784768353E-2</v>
      </c>
      <c r="M31" s="33"/>
      <c r="Z31"/>
      <c r="AC31" s="368"/>
      <c r="AD31"/>
    </row>
    <row r="32" spans="1:30" s="6" customFormat="1">
      <c r="B32" s="862"/>
      <c r="D32" s="7"/>
      <c r="E32" s="863"/>
      <c r="F32" s="2"/>
      <c r="G32" s="1"/>
      <c r="H32" s="1"/>
      <c r="I32" s="1"/>
      <c r="J32" s="1"/>
      <c r="K32" s="1"/>
      <c r="L32" s="763"/>
      <c r="M32" s="7"/>
      <c r="Z32"/>
      <c r="AC32" s="368"/>
      <c r="AD32"/>
    </row>
    <row r="33" spans="1:30" s="6" customFormat="1">
      <c r="A33" s="861"/>
      <c r="B33" s="864"/>
      <c r="C33" s="861"/>
      <c r="D33" s="865"/>
      <c r="E33" s="866"/>
      <c r="F33" s="861"/>
      <c r="G33" s="861"/>
      <c r="H33" s="861"/>
      <c r="I33" s="861"/>
      <c r="J33" s="861"/>
      <c r="K33" s="861"/>
      <c r="L33" s="861"/>
      <c r="M33" s="861"/>
      <c r="N33" s="861"/>
      <c r="O33" s="861"/>
      <c r="P33" s="861"/>
      <c r="Q33" s="861"/>
      <c r="Z33"/>
      <c r="AC33" s="369"/>
      <c r="AD33"/>
    </row>
    <row r="34" spans="1:30" s="6" customFormat="1" ht="18.75">
      <c r="A34" s="382" t="s">
        <v>785</v>
      </c>
      <c r="B34" s="382"/>
      <c r="C34" s="382"/>
      <c r="D34" s="382"/>
      <c r="E34" s="382"/>
      <c r="F34" s="382"/>
      <c r="G34" s="382"/>
      <c r="H34" s="382"/>
      <c r="I34" s="382"/>
      <c r="J34" s="382"/>
      <c r="K34" s="382"/>
      <c r="L34" s="382"/>
      <c r="M34" s="382"/>
      <c r="N34" s="382"/>
      <c r="O34" s="382"/>
      <c r="P34" s="382"/>
      <c r="Q34" s="382"/>
      <c r="Z34"/>
    </row>
    <row r="35" spans="1:30" s="6" customFormat="1" ht="15.75" thickBot="1">
      <c r="K35"/>
      <c r="Z35"/>
    </row>
    <row r="36" spans="1:30" s="6" customFormat="1" ht="15.7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75" thickBot="1">
      <c r="A37" s="117" t="s">
        <v>182</v>
      </c>
      <c r="B37" s="143" t="s">
        <v>396</v>
      </c>
      <c r="C37" s="117">
        <v>1990</v>
      </c>
      <c r="D37" s="9" t="s">
        <v>92</v>
      </c>
      <c r="E37" s="219">
        <f>_xlfn.XLOOKUP('Tyre wear'!C37,'Scaling tables'!$B$3:$B$12,'Scaling tables'!$H$3:$H$12)*_xlfn.XLOOKUP('Tyre wear'!C37,'Tyre wear'!$C$6:$C$13,'Tyre wear'!$E$6:$E$13)</f>
        <v>393.48030195907643</v>
      </c>
      <c r="F37" s="186" t="s">
        <v>786</v>
      </c>
      <c r="G37" s="13">
        <v>1</v>
      </c>
      <c r="H37" s="13">
        <v>1</v>
      </c>
      <c r="I37" s="13">
        <v>1</v>
      </c>
      <c r="J37" s="13">
        <v>1</v>
      </c>
      <c r="K37" s="317">
        <v>2</v>
      </c>
      <c r="L37" s="350">
        <f>IF( OR( ISBLANK(G37),ISBLANK(H37), ISBLANK(I37), ISBLANK(J37), ISBLANK(K37) ), "", 1.5*SQRT( EXP(2.21*(G37-1)) + EXP(2.21*(H37-1)) + EXP(2.21*(I37-1)) + EXP(2.21*(J37-1)) + EXP(2.21*K37-1)   )/100*2.45 )</f>
        <v>0.2160744213792255</v>
      </c>
      <c r="M37" s="33"/>
      <c r="Z37"/>
    </row>
    <row r="38" spans="1:30" s="6" customFormat="1" ht="15.75" thickBot="1">
      <c r="A38" s="117" t="s">
        <v>182</v>
      </c>
      <c r="B38" s="143" t="s">
        <v>396</v>
      </c>
      <c r="C38" s="117">
        <v>1995</v>
      </c>
      <c r="D38" s="9" t="s">
        <v>92</v>
      </c>
      <c r="E38" s="219">
        <f>_xlfn.XLOOKUP('Tyre wear'!C38,'Scaling tables'!$B$3:$B$12,'Scaling tables'!$H$3:$H$12)*_xlfn.XLOOKUP('Tyre wear'!C38,'Tyre wear'!$C$6:$C$13,'Tyre wear'!$E$6:$E$13)</f>
        <v>414.53829746083062</v>
      </c>
      <c r="F38" s="186" t="s">
        <v>786</v>
      </c>
      <c r="G38" s="13">
        <v>1</v>
      </c>
      <c r="H38" s="13">
        <v>1</v>
      </c>
      <c r="I38" s="13">
        <v>1</v>
      </c>
      <c r="J38" s="13">
        <v>1</v>
      </c>
      <c r="K38" s="317">
        <v>2</v>
      </c>
      <c r="L38" s="350">
        <f t="shared" ref="L38:L44" si="3">IF( OR( ISBLANK(G38),ISBLANK(H38), ISBLANK(I38), ISBLANK(J38), ISBLANK(K38) ), "", 1.5*SQRT( EXP(2.21*(G38-1)) + EXP(2.21*(H38-1)) + EXP(2.21*(I38-1)) + EXP(2.21*(J38-1)) + EXP(2.21*K38-1)   )/100*2.45 )</f>
        <v>0.2160744213792255</v>
      </c>
      <c r="M38" s="33"/>
      <c r="Z38"/>
    </row>
    <row r="39" spans="1:30" s="6" customFormat="1" ht="15.75" thickBot="1">
      <c r="A39" s="117" t="s">
        <v>182</v>
      </c>
      <c r="B39" s="143" t="s">
        <v>396</v>
      </c>
      <c r="C39" s="117">
        <v>2000</v>
      </c>
      <c r="D39" s="9" t="s">
        <v>92</v>
      </c>
      <c r="E39" s="219">
        <f>_xlfn.XLOOKUP('Tyre wear'!C39,'Scaling tables'!$B$3:$B$12,'Scaling tables'!$H$3:$H$12)*_xlfn.XLOOKUP('Tyre wear'!C39,'Tyre wear'!$C$6:$C$13,'Tyre wear'!$E$6:$E$13)</f>
        <v>451.93964163246113</v>
      </c>
      <c r="F39" s="186" t="s">
        <v>786</v>
      </c>
      <c r="G39" s="13">
        <v>1</v>
      </c>
      <c r="H39" s="13">
        <v>1</v>
      </c>
      <c r="I39" s="13">
        <v>1</v>
      </c>
      <c r="J39" s="13">
        <v>1</v>
      </c>
      <c r="K39" s="317">
        <v>2</v>
      </c>
      <c r="L39" s="350">
        <f t="shared" si="3"/>
        <v>0.2160744213792255</v>
      </c>
      <c r="M39" s="33"/>
      <c r="R39"/>
      <c r="Z39"/>
    </row>
    <row r="40" spans="1:30" s="6" customFormat="1" ht="15.75" thickBot="1">
      <c r="A40" s="117" t="s">
        <v>182</v>
      </c>
      <c r="B40" s="143" t="s">
        <v>396</v>
      </c>
      <c r="C40" s="117">
        <v>2005</v>
      </c>
      <c r="D40" s="9" t="s">
        <v>92</v>
      </c>
      <c r="E40" s="219">
        <f>_xlfn.XLOOKUP('Tyre wear'!C40,'Scaling tables'!$B$3:$B$12,'Scaling tables'!$H$3:$H$12)*_xlfn.XLOOKUP('Tyre wear'!C40,'Tyre wear'!$C$6:$C$13,'Tyre wear'!$E$6:$E$13)</f>
        <v>473.98095485876485</v>
      </c>
      <c r="F40" s="186" t="s">
        <v>786</v>
      </c>
      <c r="G40" s="13">
        <v>1</v>
      </c>
      <c r="H40" s="13">
        <v>1</v>
      </c>
      <c r="I40" s="13">
        <v>1</v>
      </c>
      <c r="J40" s="13">
        <v>1</v>
      </c>
      <c r="K40" s="317">
        <v>2</v>
      </c>
      <c r="L40" s="350">
        <f t="shared" si="3"/>
        <v>0.2160744213792255</v>
      </c>
      <c r="M40" s="33"/>
      <c r="R40"/>
      <c r="Z40"/>
    </row>
    <row r="41" spans="1:30" s="6" customFormat="1" ht="15.75" thickBot="1">
      <c r="A41" s="117" t="s">
        <v>182</v>
      </c>
      <c r="B41" s="143" t="s">
        <v>396</v>
      </c>
      <c r="C41" s="117">
        <v>2010</v>
      </c>
      <c r="D41" s="9" t="s">
        <v>92</v>
      </c>
      <c r="E41" s="219">
        <f>_xlfn.XLOOKUP('Tyre wear'!C41,'Scaling tables'!$B$3:$B$12,'Scaling tables'!$H$3:$H$12)*_xlfn.XLOOKUP('Tyre wear'!C41,'Tyre wear'!$C$6:$C$13,'Tyre wear'!$E$6:$E$13)</f>
        <v>478.9472033360608</v>
      </c>
      <c r="F41" s="186" t="s">
        <v>786</v>
      </c>
      <c r="G41" s="13">
        <v>1</v>
      </c>
      <c r="H41" s="13">
        <v>1</v>
      </c>
      <c r="I41" s="13">
        <v>1</v>
      </c>
      <c r="J41" s="13">
        <v>1</v>
      </c>
      <c r="K41" s="317">
        <v>2</v>
      </c>
      <c r="L41" s="350">
        <f t="shared" si="3"/>
        <v>0.2160744213792255</v>
      </c>
      <c r="M41" s="33"/>
      <c r="R41"/>
      <c r="Z41"/>
    </row>
    <row r="42" spans="1:30" ht="15.75" thickBot="1">
      <c r="A42" s="117" t="s">
        <v>182</v>
      </c>
      <c r="B42" s="143" t="s">
        <v>396</v>
      </c>
      <c r="C42" s="117">
        <v>2015</v>
      </c>
      <c r="D42" s="9" t="s">
        <v>92</v>
      </c>
      <c r="E42" s="219">
        <f>_xlfn.XLOOKUP('Tyre wear'!C42,'Scaling tables'!$B$3:$B$12,'Scaling tables'!$H$3:$H$12)*_xlfn.XLOOKUP('Tyre wear'!C42,'Tyre wear'!$C$6:$C$13,'Tyre wear'!$E$6:$E$13)</f>
        <v>478.08873645143643</v>
      </c>
      <c r="F42" s="186" t="s">
        <v>786</v>
      </c>
      <c r="G42" s="13">
        <v>1</v>
      </c>
      <c r="H42" s="13">
        <v>1</v>
      </c>
      <c r="I42" s="13">
        <v>1</v>
      </c>
      <c r="J42" s="13">
        <v>1</v>
      </c>
      <c r="K42" s="317">
        <v>2</v>
      </c>
      <c r="L42" s="350">
        <f t="shared" si="3"/>
        <v>0.2160744213792255</v>
      </c>
      <c r="M42" s="33"/>
      <c r="P42" s="6"/>
      <c r="Q42" s="6"/>
    </row>
    <row r="43" spans="1:30" ht="15.75" thickBot="1">
      <c r="A43" s="117" t="s">
        <v>182</v>
      </c>
      <c r="B43" s="143" t="s">
        <v>396</v>
      </c>
      <c r="C43" s="117">
        <v>2019</v>
      </c>
      <c r="D43" s="9" t="s">
        <v>92</v>
      </c>
      <c r="E43" s="219">
        <f>_xlfn.XLOOKUP('Tyre wear'!C43,'Scaling tables'!$B$3:$B$12,'Scaling tables'!$H$3:$H$12)*_xlfn.XLOOKUP('Tyre wear'!C43,'Tyre wear'!$C$6:$C$13,'Tyre wear'!$E$6:$E$13)</f>
        <v>498.40670894401939</v>
      </c>
      <c r="F43" s="186" t="s">
        <v>786</v>
      </c>
      <c r="G43" s="13">
        <v>1</v>
      </c>
      <c r="H43" s="13">
        <v>1</v>
      </c>
      <c r="I43" s="13">
        <v>1</v>
      </c>
      <c r="J43" s="13">
        <v>1</v>
      </c>
      <c r="K43" s="317">
        <v>2</v>
      </c>
      <c r="L43" s="350">
        <f t="shared" si="3"/>
        <v>0.2160744213792255</v>
      </c>
      <c r="M43" s="33"/>
      <c r="P43" s="6"/>
      <c r="Q43" s="6"/>
    </row>
    <row r="44" spans="1:30" ht="15.75" thickBot="1">
      <c r="A44" s="117" t="s">
        <v>182</v>
      </c>
      <c r="B44" s="143" t="s">
        <v>396</v>
      </c>
      <c r="C44" s="117">
        <v>2020</v>
      </c>
      <c r="D44" s="9" t="s">
        <v>92</v>
      </c>
      <c r="E44" s="219">
        <f>_xlfn.XLOOKUP('Tyre wear'!C44,'Scaling tables'!$B$3:$B$12,'Scaling tables'!$H$3:$H$12)*_xlfn.XLOOKUP('Tyre wear'!C44,'Tyre wear'!$C$6:$C$13,'Tyre wear'!$E$6:$E$13)</f>
        <v>429.76922283483776</v>
      </c>
      <c r="F44" s="186" t="s">
        <v>786</v>
      </c>
      <c r="G44" s="13">
        <v>1</v>
      </c>
      <c r="H44" s="13">
        <v>1</v>
      </c>
      <c r="I44" s="13">
        <v>1</v>
      </c>
      <c r="J44" s="13">
        <v>1</v>
      </c>
      <c r="K44" s="317">
        <v>2</v>
      </c>
      <c r="L44" s="350">
        <f t="shared" si="3"/>
        <v>0.2160744213792255</v>
      </c>
      <c r="M44" s="33"/>
      <c r="P44" s="6"/>
      <c r="Q44" s="6"/>
    </row>
    <row r="45" spans="1:30" ht="15.7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75" thickBot="1">
      <c r="A46" s="117" t="s">
        <v>182</v>
      </c>
      <c r="B46" s="143" t="s">
        <v>396</v>
      </c>
      <c r="C46" s="117">
        <v>1990</v>
      </c>
      <c r="D46" s="9" t="s">
        <v>92</v>
      </c>
      <c r="E46" s="219">
        <f>_xlfn.XLOOKUP('Tyre wear'!C46,'Scaling tables'!$B$3:$B$12,'Scaling tables'!$H$3:$H$12)*_xlfn.XLOOKUP('Tyre wear'!C46,'Tyre wear'!$C$15:$C$22,'Tyre wear'!$E$15:$E$22)</f>
        <v>274.36551667214508</v>
      </c>
      <c r="F46" s="186" t="s">
        <v>787</v>
      </c>
      <c r="G46" s="13">
        <v>1</v>
      </c>
      <c r="H46" s="13">
        <v>1</v>
      </c>
      <c r="I46" s="13">
        <v>1</v>
      </c>
      <c r="J46" s="13">
        <v>1</v>
      </c>
      <c r="K46" s="317">
        <v>2</v>
      </c>
      <c r="L46" s="350">
        <f t="shared" ref="L46:L53" si="4">IF( OR( ISBLANK(G46),ISBLANK(H46), ISBLANK(I46), ISBLANK(J46), ISBLANK(K46) ), "", 1.5*SQRT( EXP(2.21*(G46-1)) + EXP(2.21*(H46-1)) + EXP(2.21*(I46-1)) + EXP(2.21*(J46-1)) + EXP(2.21*K46-1)   )/100*2.45 )</f>
        <v>0.2160744213792255</v>
      </c>
      <c r="M46" s="33"/>
      <c r="P46" s="6"/>
      <c r="Q46" s="6"/>
    </row>
    <row r="47" spans="1:30" ht="15.75" thickBot="1">
      <c r="A47" s="117" t="s">
        <v>182</v>
      </c>
      <c r="B47" s="143" t="s">
        <v>396</v>
      </c>
      <c r="C47" s="117">
        <v>1995</v>
      </c>
      <c r="D47" s="9" t="s">
        <v>92</v>
      </c>
      <c r="E47" s="219">
        <f>_xlfn.XLOOKUP('Tyre wear'!C47,'Scaling tables'!$B$3:$B$12,'Scaling tables'!$H$3:$H$12)*_xlfn.XLOOKUP('Tyre wear'!C47,'Tyre wear'!$C$15:$C$22,'Tyre wear'!$E$15:$E$22)</f>
        <v>289.04881285533907</v>
      </c>
      <c r="F47" s="186" t="s">
        <v>787</v>
      </c>
      <c r="G47" s="13">
        <v>1</v>
      </c>
      <c r="H47" s="13">
        <v>1</v>
      </c>
      <c r="I47" s="13">
        <v>1</v>
      </c>
      <c r="J47" s="13">
        <v>1</v>
      </c>
      <c r="K47" s="317">
        <v>2</v>
      </c>
      <c r="L47" s="350">
        <f t="shared" si="4"/>
        <v>0.2160744213792255</v>
      </c>
      <c r="M47" s="33"/>
      <c r="P47" s="6"/>
      <c r="Q47" s="6"/>
    </row>
    <row r="48" spans="1:30" ht="15.75" thickBot="1">
      <c r="A48" s="117" t="s">
        <v>182</v>
      </c>
      <c r="B48" s="143" t="s">
        <v>396</v>
      </c>
      <c r="C48" s="117">
        <v>2000</v>
      </c>
      <c r="D48" s="9" t="s">
        <v>92</v>
      </c>
      <c r="E48" s="219">
        <f>_xlfn.XLOOKUP('Tyre wear'!C48,'Scaling tables'!$B$3:$B$12,'Scaling tables'!$H$3:$H$12)*_xlfn.XLOOKUP('Tyre wear'!C48,'Tyre wear'!$C$15:$C$22,'Tyre wear'!$E$15:$E$22)</f>
        <v>315.12798141039013</v>
      </c>
      <c r="F48" s="186" t="s">
        <v>787</v>
      </c>
      <c r="G48" s="13">
        <v>1</v>
      </c>
      <c r="H48" s="13">
        <v>1</v>
      </c>
      <c r="I48" s="13">
        <v>1</v>
      </c>
      <c r="J48" s="13">
        <v>1</v>
      </c>
      <c r="K48" s="317">
        <v>2</v>
      </c>
      <c r="L48" s="350">
        <f t="shared" si="4"/>
        <v>0.2160744213792255</v>
      </c>
      <c r="M48" s="33"/>
      <c r="P48" s="6"/>
      <c r="Q48" s="6"/>
    </row>
    <row r="49" spans="1:17" ht="15.75" thickBot="1">
      <c r="A49" s="117" t="s">
        <v>182</v>
      </c>
      <c r="B49" s="143" t="s">
        <v>396</v>
      </c>
      <c r="C49" s="117">
        <v>2005</v>
      </c>
      <c r="D49" s="9" t="s">
        <v>92</v>
      </c>
      <c r="E49" s="219">
        <f>_xlfn.XLOOKUP('Tyre wear'!C49,'Scaling tables'!$B$3:$B$12,'Scaling tables'!$H$3:$H$12)*_xlfn.XLOOKUP('Tyre wear'!C49,'Tyre wear'!$C$15:$C$22,'Tyre wear'!$E$15:$E$22)</f>
        <v>330.49692430627994</v>
      </c>
      <c r="F49" s="186" t="s">
        <v>787</v>
      </c>
      <c r="G49" s="13">
        <v>1</v>
      </c>
      <c r="H49" s="13">
        <v>1</v>
      </c>
      <c r="I49" s="13">
        <v>1</v>
      </c>
      <c r="J49" s="13">
        <v>1</v>
      </c>
      <c r="K49" s="317">
        <v>2</v>
      </c>
      <c r="L49" s="350">
        <f t="shared" si="4"/>
        <v>0.2160744213792255</v>
      </c>
      <c r="M49" s="33"/>
      <c r="P49" s="6"/>
      <c r="Q49" s="6"/>
    </row>
    <row r="50" spans="1:17" ht="15.75" thickBot="1">
      <c r="A50" s="117" t="s">
        <v>182</v>
      </c>
      <c r="B50" s="143" t="s">
        <v>396</v>
      </c>
      <c r="C50" s="117">
        <v>2010</v>
      </c>
      <c r="D50" s="9" t="s">
        <v>92</v>
      </c>
      <c r="E50" s="219">
        <f>_xlfn.XLOOKUP('Tyre wear'!C50,'Scaling tables'!$B$3:$B$12,'Scaling tables'!$H$3:$H$12)*_xlfn.XLOOKUP('Tyre wear'!C50,'Tyre wear'!$C$15:$C$22,'Tyre wear'!$E$15:$E$22)</f>
        <v>333.95978463908972</v>
      </c>
      <c r="F50" s="186" t="s">
        <v>787</v>
      </c>
      <c r="G50" s="13">
        <v>1</v>
      </c>
      <c r="H50" s="13">
        <v>1</v>
      </c>
      <c r="I50" s="13">
        <v>1</v>
      </c>
      <c r="J50" s="13">
        <v>1</v>
      </c>
      <c r="K50" s="317">
        <v>2</v>
      </c>
      <c r="L50" s="350">
        <f t="shared" si="4"/>
        <v>0.2160744213792255</v>
      </c>
      <c r="M50" s="33"/>
      <c r="P50" s="6"/>
      <c r="Q50" s="6"/>
    </row>
    <row r="51" spans="1:17" ht="15.75" thickBot="1">
      <c r="A51" s="117" t="s">
        <v>182</v>
      </c>
      <c r="B51" s="143" t="s">
        <v>396</v>
      </c>
      <c r="C51" s="117">
        <v>2015</v>
      </c>
      <c r="D51" s="9" t="s">
        <v>92</v>
      </c>
      <c r="E51" s="219">
        <f>_xlfn.XLOOKUP('Tyre wear'!C51,'Scaling tables'!$B$3:$B$12,'Scaling tables'!$H$3:$H$12)*_xlfn.XLOOKUP('Tyre wear'!C51,'Tyre wear'!$C$15:$C$22,'Tyre wear'!$E$15:$E$22)</f>
        <v>333.36119378416316</v>
      </c>
      <c r="F51" s="186" t="s">
        <v>787</v>
      </c>
      <c r="G51" s="13">
        <v>1</v>
      </c>
      <c r="H51" s="13">
        <v>1</v>
      </c>
      <c r="I51" s="13">
        <v>1</v>
      </c>
      <c r="J51" s="13">
        <v>1</v>
      </c>
      <c r="K51" s="317">
        <v>2</v>
      </c>
      <c r="L51" s="350">
        <f t="shared" si="4"/>
        <v>0.2160744213792255</v>
      </c>
      <c r="M51" s="33"/>
      <c r="P51" s="6"/>
      <c r="Q51" s="6"/>
    </row>
    <row r="52" spans="1:17" ht="15.75" thickBot="1">
      <c r="A52" s="117" t="s">
        <v>182</v>
      </c>
      <c r="B52" s="143" t="s">
        <v>396</v>
      </c>
      <c r="C52" s="117">
        <v>2019</v>
      </c>
      <c r="D52" s="9" t="s">
        <v>92</v>
      </c>
      <c r="E52" s="219">
        <f>_xlfn.XLOOKUP('Tyre wear'!C52,'Scaling tables'!$B$3:$B$12,'Scaling tables'!$H$3:$H$12)*_xlfn.XLOOKUP('Tyre wear'!C52,'Tyre wear'!$C$15:$C$22,'Tyre wear'!$E$15:$E$22)</f>
        <v>347.5284875289928</v>
      </c>
      <c r="F52" s="186" t="s">
        <v>787</v>
      </c>
      <c r="G52" s="13">
        <v>1</v>
      </c>
      <c r="H52" s="13">
        <v>1</v>
      </c>
      <c r="I52" s="13">
        <v>1</v>
      </c>
      <c r="J52" s="13">
        <v>1</v>
      </c>
      <c r="K52" s="317">
        <v>2</v>
      </c>
      <c r="L52" s="350">
        <f t="shared" si="4"/>
        <v>0.2160744213792255</v>
      </c>
      <c r="M52" s="33"/>
      <c r="P52" s="6"/>
      <c r="Q52" s="6"/>
    </row>
    <row r="53" spans="1:17" ht="15.75" thickBot="1">
      <c r="A53" s="117" t="s">
        <v>182</v>
      </c>
      <c r="B53" s="143" t="s">
        <v>396</v>
      </c>
      <c r="C53" s="117">
        <v>2020</v>
      </c>
      <c r="D53" s="9" t="s">
        <v>92</v>
      </c>
      <c r="E53" s="219">
        <f>_xlfn.XLOOKUP('Tyre wear'!C53,'Scaling tables'!$B$3:$B$12,'Scaling tables'!$H$3:$H$12)*_xlfn.XLOOKUP('Tyre wear'!C53,'Tyre wear'!$C$15:$C$22,'Tyre wear'!$E$15:$E$22)</f>
        <v>299.66901592225156</v>
      </c>
      <c r="F53" s="186" t="s">
        <v>787</v>
      </c>
      <c r="G53" s="13">
        <v>1</v>
      </c>
      <c r="H53" s="13">
        <v>1</v>
      </c>
      <c r="I53" s="13">
        <v>1</v>
      </c>
      <c r="J53" s="13">
        <v>1</v>
      </c>
      <c r="K53" s="317">
        <v>2</v>
      </c>
      <c r="L53" s="350">
        <f t="shared" si="4"/>
        <v>0.2160744213792255</v>
      </c>
      <c r="M53" s="33"/>
      <c r="P53" s="6"/>
      <c r="Q53" s="6"/>
    </row>
    <row r="54" spans="1:17" ht="15.7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75" thickBot="1">
      <c r="A55" s="117" t="s">
        <v>182</v>
      </c>
      <c r="B55" s="143" t="s">
        <v>396</v>
      </c>
      <c r="C55" s="117">
        <v>1990</v>
      </c>
      <c r="D55" s="9" t="s">
        <v>92</v>
      </c>
      <c r="E55" s="219">
        <f>_xlfn.XLOOKUP('Tyre wear'!C55,'Scaling tables'!$B$3:$B$12,'Scaling tables'!$H$3:$H$12)*_xlfn.XLOOKUP('Tyre wear'!C55,'Tyre wear'!$C$24:$C$31,'Tyre wear'!$E$24:$E$31)</f>
        <v>505.23406118894758</v>
      </c>
      <c r="F55" s="186" t="s">
        <v>788</v>
      </c>
      <c r="G55" s="13">
        <v>1</v>
      </c>
      <c r="H55" s="13">
        <v>1</v>
      </c>
      <c r="I55" s="13">
        <v>1</v>
      </c>
      <c r="J55" s="13">
        <v>1</v>
      </c>
      <c r="K55" s="317">
        <v>2</v>
      </c>
      <c r="L55" s="350">
        <f t="shared" ref="L55:L62" si="5">IF( OR( ISBLANK(G55),ISBLANK(H55), ISBLANK(I55), ISBLANK(J55), ISBLANK(K55) ), "", 1.5*SQRT( EXP(2.21*(G55-1)) + EXP(2.21*(H55-1)) + EXP(2.21*(I55-1)) + EXP(2.21*(J55-1)) + EXP(2.21*K55-1)   )/100*2.45 )</f>
        <v>0.2160744213792255</v>
      </c>
      <c r="M55" s="33"/>
      <c r="P55" s="6"/>
      <c r="Q55" s="6"/>
    </row>
    <row r="56" spans="1:17" ht="15.75" thickBot="1">
      <c r="A56" s="117" t="s">
        <v>182</v>
      </c>
      <c r="B56" s="143" t="s">
        <v>396</v>
      </c>
      <c r="C56" s="117">
        <v>1995</v>
      </c>
      <c r="D56" s="9" t="s">
        <v>92</v>
      </c>
      <c r="E56" s="219">
        <f>_xlfn.XLOOKUP('Tyre wear'!C56,'Scaling tables'!$B$3:$B$12,'Scaling tables'!$H$3:$H$12)*_xlfn.XLOOKUP('Tyre wear'!C56,'Tyre wear'!$C$24:$C$31,'Tyre wear'!$E$24:$E$31)</f>
        <v>532.27281391654117</v>
      </c>
      <c r="F56" s="186" t="s">
        <v>788</v>
      </c>
      <c r="G56" s="13">
        <v>1</v>
      </c>
      <c r="H56" s="13">
        <v>1</v>
      </c>
      <c r="I56" s="13">
        <v>1</v>
      </c>
      <c r="J56" s="13">
        <v>1</v>
      </c>
      <c r="K56" s="317">
        <v>2</v>
      </c>
      <c r="L56" s="350">
        <f t="shared" si="5"/>
        <v>0.2160744213792255</v>
      </c>
      <c r="M56" s="33"/>
      <c r="P56" s="6"/>
      <c r="Q56" s="6"/>
    </row>
    <row r="57" spans="1:17" ht="15.75" thickBot="1">
      <c r="A57" s="117" t="s">
        <v>182</v>
      </c>
      <c r="B57" s="143" t="s">
        <v>396</v>
      </c>
      <c r="C57" s="117">
        <v>2000</v>
      </c>
      <c r="D57" s="9" t="s">
        <v>92</v>
      </c>
      <c r="E57" s="219">
        <f>_xlfn.XLOOKUP('Tyre wear'!C57,'Scaling tables'!$B$3:$B$12,'Scaling tables'!$H$3:$H$12)*_xlfn.XLOOKUP('Tyre wear'!C57,'Tyre wear'!$C$24:$C$31,'Tyre wear'!$E$24:$E$31)</f>
        <v>580.29664869474288</v>
      </c>
      <c r="F57" s="186" t="s">
        <v>788</v>
      </c>
      <c r="G57" s="13">
        <v>1</v>
      </c>
      <c r="H57" s="13">
        <v>1</v>
      </c>
      <c r="I57" s="13">
        <v>1</v>
      </c>
      <c r="J57" s="13">
        <v>1</v>
      </c>
      <c r="K57" s="317">
        <v>2</v>
      </c>
      <c r="L57" s="350">
        <f t="shared" si="5"/>
        <v>0.2160744213792255</v>
      </c>
      <c r="M57" s="33"/>
      <c r="P57" s="6"/>
      <c r="Q57" s="6"/>
    </row>
    <row r="58" spans="1:17" ht="15.75" thickBot="1">
      <c r="A58" s="117" t="s">
        <v>182</v>
      </c>
      <c r="B58" s="143" t="s">
        <v>396</v>
      </c>
      <c r="C58" s="117">
        <v>2005</v>
      </c>
      <c r="D58" s="9" t="s">
        <v>92</v>
      </c>
      <c r="E58" s="219">
        <f>_xlfn.XLOOKUP('Tyre wear'!C58,'Scaling tables'!$B$3:$B$12,'Scaling tables'!$H$3:$H$12)*_xlfn.XLOOKUP('Tyre wear'!C58,'Tyre wear'!$C$24:$C$31,'Tyre wear'!$E$24:$E$31)</f>
        <v>608.59799475912735</v>
      </c>
      <c r="F58" s="186" t="s">
        <v>788</v>
      </c>
      <c r="G58" s="13">
        <v>1</v>
      </c>
      <c r="H58" s="13">
        <v>1</v>
      </c>
      <c r="I58" s="13">
        <v>1</v>
      </c>
      <c r="J58" s="13">
        <v>1</v>
      </c>
      <c r="K58" s="317">
        <v>2</v>
      </c>
      <c r="L58" s="350">
        <f t="shared" si="5"/>
        <v>0.2160744213792255</v>
      </c>
      <c r="M58" s="33"/>
      <c r="P58" s="6"/>
      <c r="Q58" s="6"/>
    </row>
    <row r="59" spans="1:17" ht="15.75" thickBot="1">
      <c r="A59" s="117" t="s">
        <v>182</v>
      </c>
      <c r="B59" s="143" t="s">
        <v>396</v>
      </c>
      <c r="C59" s="117">
        <v>2010</v>
      </c>
      <c r="D59" s="9" t="s">
        <v>92</v>
      </c>
      <c r="E59" s="219">
        <f>_xlfn.XLOOKUP('Tyre wear'!C59,'Scaling tables'!$B$3:$B$12,'Scaling tables'!$H$3:$H$12)*_xlfn.XLOOKUP('Tyre wear'!C59,'Tyre wear'!$C$24:$C$31,'Tyre wear'!$E$24:$E$31)</f>
        <v>614.97472537198053</v>
      </c>
      <c r="F59" s="186" t="s">
        <v>788</v>
      </c>
      <c r="G59" s="13">
        <v>1</v>
      </c>
      <c r="H59" s="13">
        <v>1</v>
      </c>
      <c r="I59" s="13">
        <v>1</v>
      </c>
      <c r="J59" s="13">
        <v>1</v>
      </c>
      <c r="K59" s="317">
        <v>2</v>
      </c>
      <c r="L59" s="350">
        <f t="shared" si="5"/>
        <v>0.2160744213792255</v>
      </c>
      <c r="M59" s="33"/>
      <c r="P59" s="6"/>
      <c r="Q59" s="6"/>
    </row>
    <row r="60" spans="1:17" ht="15.75" thickBot="1">
      <c r="A60" s="117" t="s">
        <v>182</v>
      </c>
      <c r="B60" s="143" t="s">
        <v>396</v>
      </c>
      <c r="C60" s="117">
        <v>2015</v>
      </c>
      <c r="D60" s="9" t="s">
        <v>92</v>
      </c>
      <c r="E60" s="219">
        <f>_xlfn.XLOOKUP('Tyre wear'!C60,'Scaling tables'!$B$3:$B$12,'Scaling tables'!$H$3:$H$12)*_xlfn.XLOOKUP('Tyre wear'!C60,'Tyre wear'!$C$24:$C$31,'Tyre wear'!$E$24:$E$31)</f>
        <v>613.87244221230344</v>
      </c>
      <c r="F60" s="186" t="s">
        <v>788</v>
      </c>
      <c r="G60" s="13">
        <v>1</v>
      </c>
      <c r="H60" s="13">
        <v>1</v>
      </c>
      <c r="I60" s="13">
        <v>1</v>
      </c>
      <c r="J60" s="13">
        <v>1</v>
      </c>
      <c r="K60" s="317">
        <v>2</v>
      </c>
      <c r="L60" s="350">
        <f t="shared" si="5"/>
        <v>0.2160744213792255</v>
      </c>
      <c r="M60" s="33"/>
      <c r="P60" s="6"/>
      <c r="Q60" s="6"/>
    </row>
    <row r="61" spans="1:17" ht="15.75" thickBot="1">
      <c r="A61" s="117" t="s">
        <v>182</v>
      </c>
      <c r="B61" s="143" t="s">
        <v>396</v>
      </c>
      <c r="C61" s="117">
        <v>2019</v>
      </c>
      <c r="D61" s="9" t="s">
        <v>92</v>
      </c>
      <c r="E61" s="219">
        <f>_xlfn.XLOOKUP('Tyre wear'!C61,'Scaling tables'!$B$3:$B$12,'Scaling tables'!$H$3:$H$12)*_xlfn.XLOOKUP('Tyre wear'!C61,'Tyre wear'!$C$24:$C$31,'Tyre wear'!$E$24:$E$31)</f>
        <v>639.96099532777771</v>
      </c>
      <c r="F61" s="186" t="s">
        <v>788</v>
      </c>
      <c r="G61" s="13">
        <v>1</v>
      </c>
      <c r="H61" s="13">
        <v>1</v>
      </c>
      <c r="I61" s="13">
        <v>1</v>
      </c>
      <c r="J61" s="13">
        <v>1</v>
      </c>
      <c r="K61" s="317">
        <v>2</v>
      </c>
      <c r="L61" s="350">
        <f t="shared" si="5"/>
        <v>0.2160744213792255</v>
      </c>
      <c r="M61" s="33"/>
      <c r="P61" s="6"/>
      <c r="Q61" s="6"/>
    </row>
    <row r="62" spans="1:17">
      <c r="A62" s="117" t="s">
        <v>182</v>
      </c>
      <c r="B62" s="143" t="s">
        <v>396</v>
      </c>
      <c r="C62" s="117">
        <v>2020</v>
      </c>
      <c r="D62" s="9" t="s">
        <v>92</v>
      </c>
      <c r="E62" s="219">
        <f>_xlfn.XLOOKUP('Tyre wear'!C62,'Scaling tables'!$B$3:$B$12,'Scaling tables'!$H$3:$H$12)*_xlfn.XLOOKUP('Tyre wear'!C62,'Tyre wear'!$C$24:$C$31,'Tyre wear'!$E$24:$E$31)</f>
        <v>551.8295293202433</v>
      </c>
      <c r="F62" s="186" t="s">
        <v>788</v>
      </c>
      <c r="G62" s="13">
        <v>1</v>
      </c>
      <c r="H62" s="13">
        <v>1</v>
      </c>
      <c r="I62" s="13">
        <v>1</v>
      </c>
      <c r="J62" s="13">
        <v>1</v>
      </c>
      <c r="K62" s="317">
        <v>2</v>
      </c>
      <c r="L62" s="350">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2" t="s">
        <v>15</v>
      </c>
      <c r="B64" s="382"/>
      <c r="C64" s="382"/>
      <c r="D64" s="382"/>
      <c r="E64" s="382"/>
      <c r="F64" s="382"/>
      <c r="G64" s="382"/>
      <c r="H64" s="382"/>
      <c r="I64" s="382"/>
      <c r="J64" s="382"/>
      <c r="K64" s="382"/>
      <c r="L64" s="382"/>
      <c r="M64" s="382"/>
      <c r="N64" s="382"/>
      <c r="O64" s="382"/>
      <c r="P64" s="382"/>
      <c r="Q64" s="382"/>
    </row>
    <row r="65" spans="1:17" ht="15.75" thickBot="1">
      <c r="A65" s="500" t="s">
        <v>129</v>
      </c>
      <c r="B65" s="512" t="s">
        <v>130</v>
      </c>
      <c r="C65" s="500" t="s">
        <v>101</v>
      </c>
      <c r="D65" s="500" t="s">
        <v>131</v>
      </c>
      <c r="E65" s="499" t="s">
        <v>102</v>
      </c>
      <c r="F65" s="513" t="s">
        <v>132</v>
      </c>
      <c r="G65" s="513" t="s">
        <v>133</v>
      </c>
      <c r="H65" s="361" t="s">
        <v>104</v>
      </c>
      <c r="I65" s="111" t="s">
        <v>134</v>
      </c>
      <c r="J65" s="112" t="s">
        <v>135</v>
      </c>
      <c r="K65" s="112" t="s">
        <v>65</v>
      </c>
      <c r="L65" s="112" t="s">
        <v>67</v>
      </c>
      <c r="M65" s="112" t="s">
        <v>73</v>
      </c>
      <c r="N65" s="113" t="s">
        <v>79</v>
      </c>
      <c r="O65" s="114" t="s">
        <v>106</v>
      </c>
      <c r="P65" s="115" t="s">
        <v>123</v>
      </c>
      <c r="Q65" s="6"/>
    </row>
    <row r="66" spans="1:17">
      <c r="A66" t="s">
        <v>396</v>
      </c>
      <c r="B66" s="95" t="s">
        <v>269</v>
      </c>
      <c r="C66" s="514">
        <v>2020</v>
      </c>
      <c r="D66" s="95" t="s">
        <v>180</v>
      </c>
      <c r="E66" s="319" t="s">
        <v>789</v>
      </c>
      <c r="F66" s="517">
        <v>0.51183817172326096</v>
      </c>
      <c r="G66" s="319">
        <v>1</v>
      </c>
      <c r="H66" s="520" t="s">
        <v>790</v>
      </c>
      <c r="I66" s="401">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396</v>
      </c>
      <c r="B67" s="68" t="s">
        <v>398</v>
      </c>
      <c r="C67" s="515">
        <v>2020</v>
      </c>
      <c r="D67" s="68" t="s">
        <v>180</v>
      </c>
      <c r="E67" s="307" t="s">
        <v>789</v>
      </c>
      <c r="F67" s="518">
        <v>0.23042071552195001</v>
      </c>
      <c r="G67" s="307">
        <v>1</v>
      </c>
      <c r="H67" s="521" t="s">
        <v>790</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396</v>
      </c>
      <c r="B68" s="68" t="s">
        <v>395</v>
      </c>
      <c r="C68" s="515">
        <v>2020</v>
      </c>
      <c r="D68" s="68" t="s">
        <v>180</v>
      </c>
      <c r="E68" s="307" t="s">
        <v>789</v>
      </c>
      <c r="F68" s="518">
        <v>0.257741112754788</v>
      </c>
      <c r="G68" s="307">
        <v>1</v>
      </c>
      <c r="H68" s="521" t="s">
        <v>790</v>
      </c>
      <c r="I68" s="172">
        <v>1</v>
      </c>
      <c r="J68" s="10"/>
      <c r="K68" s="10">
        <v>1</v>
      </c>
      <c r="L68" s="10">
        <v>1</v>
      </c>
      <c r="M68" s="10">
        <v>1</v>
      </c>
      <c r="N68" s="10">
        <v>1</v>
      </c>
      <c r="O68" s="177" t="str">
        <f t="shared" si="6"/>
        <v/>
      </c>
      <c r="P68" s="34"/>
      <c r="Q68" s="6"/>
    </row>
    <row r="69" spans="1:17">
      <c r="A69" t="s">
        <v>396</v>
      </c>
      <c r="B69" s="68" t="s">
        <v>269</v>
      </c>
      <c r="C69" s="515">
        <v>2020</v>
      </c>
      <c r="D69" s="68" t="s">
        <v>182</v>
      </c>
      <c r="E69" s="307" t="s">
        <v>789</v>
      </c>
      <c r="F69" s="518">
        <v>0.51183817172326096</v>
      </c>
      <c r="G69" s="307">
        <v>1</v>
      </c>
      <c r="H69" s="521" t="s">
        <v>791</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396</v>
      </c>
      <c r="B70" s="68" t="s">
        <v>398</v>
      </c>
      <c r="C70" s="515">
        <v>2020</v>
      </c>
      <c r="D70" s="68" t="s">
        <v>182</v>
      </c>
      <c r="E70" s="307" t="s">
        <v>789</v>
      </c>
      <c r="F70" s="518">
        <v>0.23042071552195001</v>
      </c>
      <c r="G70" s="307">
        <v>1</v>
      </c>
      <c r="H70" s="521" t="s">
        <v>791</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75" thickBot="1">
      <c r="A71" t="s">
        <v>396</v>
      </c>
      <c r="B71" s="72" t="s">
        <v>395</v>
      </c>
      <c r="C71" s="516">
        <v>2020</v>
      </c>
      <c r="D71" s="72" t="s">
        <v>182</v>
      </c>
      <c r="E71" s="320" t="s">
        <v>789</v>
      </c>
      <c r="F71" s="519">
        <v>0.257741112754788</v>
      </c>
      <c r="G71" s="320">
        <v>1</v>
      </c>
      <c r="H71" s="522" t="s">
        <v>791</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75" thickBot="1">
      <c r="A74" s="151" t="s">
        <v>271</v>
      </c>
      <c r="B74" s="150" t="s">
        <v>231</v>
      </c>
      <c r="C74" s="33">
        <v>2020</v>
      </c>
      <c r="D74" s="39" t="s">
        <v>139</v>
      </c>
      <c r="E74" s="33" t="s">
        <v>139</v>
      </c>
      <c r="F74" s="261">
        <v>0.05</v>
      </c>
      <c r="G74" s="231">
        <v>2</v>
      </c>
      <c r="H74" s="523" t="s">
        <v>276</v>
      </c>
      <c r="I74" s="250">
        <v>1</v>
      </c>
      <c r="J74" s="13">
        <v>2</v>
      </c>
      <c r="K74" s="13">
        <v>1</v>
      </c>
      <c r="L74" s="13">
        <v>1</v>
      </c>
      <c r="M74" s="13">
        <v>2</v>
      </c>
      <c r="N74" s="13">
        <v>3</v>
      </c>
      <c r="O74" s="426">
        <f t="shared" ref="O74:O111" si="7">IF( OR( ISBLANK(I74),ISBLANK(K74), ISBLANK(L74), ISBLANK(M74), ISBLANK(N74) ), "", 1.5*SQRT( EXP(2.21*(I74-1)) + EXP(2.21*(K74-1)) + EXP(2.21*(L74-1)) + EXP(2.21*(M74-1)) + EXP(2.21*N74-1)   )/100*2.45 )</f>
        <v>0.62666868317065927</v>
      </c>
      <c r="P74" s="346"/>
    </row>
    <row r="75" spans="1:17">
      <c r="A75" s="151" t="s">
        <v>270</v>
      </c>
      <c r="B75" s="150" t="s">
        <v>231</v>
      </c>
      <c r="C75" s="33">
        <v>2020</v>
      </c>
      <c r="D75" s="39" t="s">
        <v>139</v>
      </c>
      <c r="E75" s="33" t="s">
        <v>139</v>
      </c>
      <c r="F75" s="261">
        <v>0.05</v>
      </c>
      <c r="G75" s="231">
        <v>2</v>
      </c>
      <c r="H75" s="523" t="s">
        <v>276</v>
      </c>
      <c r="I75" s="250">
        <v>1</v>
      </c>
      <c r="J75" s="13">
        <v>2</v>
      </c>
      <c r="K75" s="13">
        <v>1</v>
      </c>
      <c r="L75" s="13">
        <v>1</v>
      </c>
      <c r="M75" s="13">
        <v>2</v>
      </c>
      <c r="N75" s="13">
        <v>3</v>
      </c>
      <c r="O75" s="426">
        <f t="shared" ref="O75" si="8">IF( OR( ISBLANK(I75),ISBLANK(K75), ISBLANK(L75), ISBLANK(M75), ISBLANK(N75) ), "", 1.5*SQRT( EXP(2.21*(I75-1)) + EXP(2.21*(K75-1)) + EXP(2.21*(L75-1)) + EXP(2.21*(M75-1)) + EXP(2.21*N75-1)   )/100*2.45 )</f>
        <v>0.62666868317065927</v>
      </c>
      <c r="P75" s="229"/>
    </row>
    <row r="76" spans="1:17">
      <c r="A76" s="151" t="s">
        <v>398</v>
      </c>
      <c r="B76" s="151" t="s">
        <v>231</v>
      </c>
      <c r="C76" s="34">
        <v>2020</v>
      </c>
      <c r="D76" s="40" t="s">
        <v>139</v>
      </c>
      <c r="E76" s="34" t="s">
        <v>139</v>
      </c>
      <c r="F76" s="262">
        <v>0.05</v>
      </c>
      <c r="G76" s="232">
        <v>2</v>
      </c>
      <c r="H76" s="524" t="s">
        <v>276</v>
      </c>
      <c r="I76" s="249">
        <v>1</v>
      </c>
      <c r="J76" s="10">
        <v>2</v>
      </c>
      <c r="K76" s="10">
        <v>1</v>
      </c>
      <c r="L76" s="10">
        <v>1</v>
      </c>
      <c r="M76" s="10">
        <v>2</v>
      </c>
      <c r="N76" s="10">
        <v>3</v>
      </c>
      <c r="O76" s="427">
        <f t="shared" si="7"/>
        <v>0.62666868317065927</v>
      </c>
      <c r="P76" s="63"/>
    </row>
    <row r="77" spans="1:17">
      <c r="A77" s="151" t="s">
        <v>395</v>
      </c>
      <c r="B77" s="151" t="s">
        <v>231</v>
      </c>
      <c r="C77" s="34">
        <v>2020</v>
      </c>
      <c r="D77" s="40" t="s">
        <v>139</v>
      </c>
      <c r="E77" s="34" t="s">
        <v>139</v>
      </c>
      <c r="F77" s="262">
        <v>0.05</v>
      </c>
      <c r="G77" s="232">
        <v>2</v>
      </c>
      <c r="H77" s="524" t="s">
        <v>276</v>
      </c>
      <c r="I77" s="249">
        <v>1</v>
      </c>
      <c r="J77" s="10">
        <v>2</v>
      </c>
      <c r="K77" s="10">
        <v>1</v>
      </c>
      <c r="L77" s="10">
        <v>1</v>
      </c>
      <c r="M77" s="10">
        <v>2</v>
      </c>
      <c r="N77" s="10">
        <v>3</v>
      </c>
      <c r="O77" s="427">
        <f t="shared" si="7"/>
        <v>0.62666868317065927</v>
      </c>
      <c r="P77" s="63"/>
    </row>
    <row r="78" spans="1:17" ht="15.75" thickBot="1">
      <c r="A78" s="151" t="s">
        <v>271</v>
      </c>
      <c r="B78" s="151" t="s">
        <v>231</v>
      </c>
      <c r="C78" s="34">
        <v>2014</v>
      </c>
      <c r="D78" s="40" t="s">
        <v>139</v>
      </c>
      <c r="E78" s="34" t="s">
        <v>139</v>
      </c>
      <c r="F78" s="262">
        <v>0.1</v>
      </c>
      <c r="G78" s="232">
        <v>2</v>
      </c>
      <c r="H78" s="525" t="s">
        <v>277</v>
      </c>
      <c r="I78" s="249">
        <v>1</v>
      </c>
      <c r="J78" s="10">
        <v>2</v>
      </c>
      <c r="K78" s="10">
        <v>2</v>
      </c>
      <c r="L78" s="10">
        <v>1</v>
      </c>
      <c r="M78" s="10">
        <v>2</v>
      </c>
      <c r="N78" s="10">
        <v>3</v>
      </c>
      <c r="O78" s="427">
        <f t="shared" si="7"/>
        <v>0.63535377600823584</v>
      </c>
      <c r="P78" s="63"/>
    </row>
    <row r="79" spans="1:17">
      <c r="A79" s="151" t="s">
        <v>270</v>
      </c>
      <c r="B79" s="150" t="s">
        <v>231</v>
      </c>
      <c r="C79" s="34">
        <v>2014</v>
      </c>
      <c r="D79" s="40" t="s">
        <v>139</v>
      </c>
      <c r="E79" s="34" t="s">
        <v>139</v>
      </c>
      <c r="F79" s="262">
        <v>0.1</v>
      </c>
      <c r="G79" s="232">
        <v>2</v>
      </c>
      <c r="H79" s="525" t="s">
        <v>277</v>
      </c>
      <c r="I79" s="249">
        <v>1</v>
      </c>
      <c r="J79" s="10">
        <v>2</v>
      </c>
      <c r="K79" s="10">
        <v>2</v>
      </c>
      <c r="L79" s="10">
        <v>1</v>
      </c>
      <c r="M79" s="10">
        <v>2</v>
      </c>
      <c r="N79" s="10">
        <v>3</v>
      </c>
      <c r="O79" s="427">
        <f t="shared" ref="O79" si="9">IF( OR( ISBLANK(I79),ISBLANK(K79), ISBLANK(L79), ISBLANK(M79), ISBLANK(N79) ), "", 1.5*SQRT( EXP(2.21*(I79-1)) + EXP(2.21*(K79-1)) + EXP(2.21*(L79-1)) + EXP(2.21*(M79-1)) + EXP(2.21*N79-1)   )/100*2.45 )</f>
        <v>0.63535377600823584</v>
      </c>
      <c r="P79" s="63"/>
    </row>
    <row r="80" spans="1:17">
      <c r="A80" s="151" t="s">
        <v>398</v>
      </c>
      <c r="B80" s="151" t="s">
        <v>231</v>
      </c>
      <c r="C80" s="34">
        <v>2014</v>
      </c>
      <c r="D80" s="40" t="s">
        <v>139</v>
      </c>
      <c r="E80" s="34" t="s">
        <v>139</v>
      </c>
      <c r="F80" s="262">
        <v>0.1</v>
      </c>
      <c r="G80" s="232">
        <v>2</v>
      </c>
      <c r="H80" s="525" t="s">
        <v>277</v>
      </c>
      <c r="I80" s="249">
        <v>1</v>
      </c>
      <c r="J80" s="10">
        <v>2</v>
      </c>
      <c r="K80" s="10">
        <v>2</v>
      </c>
      <c r="L80" s="10">
        <v>1</v>
      </c>
      <c r="M80" s="10">
        <v>2</v>
      </c>
      <c r="N80" s="10">
        <v>3</v>
      </c>
      <c r="O80" s="427">
        <f t="shared" si="7"/>
        <v>0.63535377600823584</v>
      </c>
      <c r="P80" s="63"/>
    </row>
    <row r="81" spans="1:16">
      <c r="A81" s="151" t="s">
        <v>395</v>
      </c>
      <c r="B81" s="151" t="s">
        <v>231</v>
      </c>
      <c r="C81" s="34">
        <v>2014</v>
      </c>
      <c r="D81" s="40" t="s">
        <v>139</v>
      </c>
      <c r="E81" s="34" t="s">
        <v>139</v>
      </c>
      <c r="F81" s="262">
        <v>0.1</v>
      </c>
      <c r="G81" s="232">
        <v>2</v>
      </c>
      <c r="H81" s="525" t="s">
        <v>277</v>
      </c>
      <c r="I81" s="249">
        <v>1</v>
      </c>
      <c r="J81" s="10">
        <v>2</v>
      </c>
      <c r="K81" s="10">
        <v>2</v>
      </c>
      <c r="L81" s="10">
        <v>1</v>
      </c>
      <c r="M81" s="10">
        <v>2</v>
      </c>
      <c r="N81" s="10">
        <v>3</v>
      </c>
      <c r="O81" s="427">
        <f t="shared" si="7"/>
        <v>0.63535377600823584</v>
      </c>
      <c r="P81" s="63"/>
    </row>
    <row r="82" spans="1:16">
      <c r="A82" s="151" t="s">
        <v>269</v>
      </c>
      <c r="B82" s="151" t="s">
        <v>270</v>
      </c>
      <c r="C82" s="34" t="s">
        <v>139</v>
      </c>
      <c r="D82" s="40" t="s">
        <v>180</v>
      </c>
      <c r="E82" s="34" t="s">
        <v>139</v>
      </c>
      <c r="F82" s="262" t="s">
        <v>150</v>
      </c>
      <c r="G82" s="232">
        <v>1</v>
      </c>
      <c r="H82" s="40"/>
      <c r="I82" s="251"/>
      <c r="J82" s="66"/>
      <c r="K82" s="66"/>
      <c r="L82" s="66"/>
      <c r="M82" s="66"/>
      <c r="N82" s="295"/>
      <c r="O82" s="427" t="str">
        <f t="shared" si="7"/>
        <v/>
      </c>
      <c r="P82" s="63" t="s">
        <v>792</v>
      </c>
    </row>
    <row r="83" spans="1:16">
      <c r="A83" s="151" t="s">
        <v>269</v>
      </c>
      <c r="B83" s="151" t="s">
        <v>271</v>
      </c>
      <c r="C83" s="34">
        <v>2020</v>
      </c>
      <c r="D83" s="40" t="s">
        <v>180</v>
      </c>
      <c r="E83" s="34" t="s">
        <v>139</v>
      </c>
      <c r="F83" s="262">
        <v>0.9</v>
      </c>
      <c r="G83" s="232">
        <v>1</v>
      </c>
      <c r="H83" s="524" t="s">
        <v>276</v>
      </c>
      <c r="I83" s="249">
        <v>1</v>
      </c>
      <c r="J83" s="66"/>
      <c r="K83" s="10">
        <v>1</v>
      </c>
      <c r="L83" s="10">
        <v>1</v>
      </c>
      <c r="M83" s="10">
        <v>1</v>
      </c>
      <c r="N83" s="10">
        <v>1</v>
      </c>
      <c r="O83" s="427">
        <f t="shared" si="7"/>
        <v>9.9656111784768353E-2</v>
      </c>
      <c r="P83" s="63" t="s">
        <v>272</v>
      </c>
    </row>
    <row r="84" spans="1:16">
      <c r="A84" s="151" t="s">
        <v>398</v>
      </c>
      <c r="B84" s="151" t="s">
        <v>301</v>
      </c>
      <c r="C84" s="34">
        <v>2005</v>
      </c>
      <c r="D84" s="40" t="s">
        <v>139</v>
      </c>
      <c r="E84" s="34" t="s">
        <v>139</v>
      </c>
      <c r="F84" s="262">
        <v>0.1</v>
      </c>
      <c r="G84" s="232">
        <v>2</v>
      </c>
      <c r="H84" s="40" t="s">
        <v>302</v>
      </c>
      <c r="I84" s="249">
        <v>2</v>
      </c>
      <c r="J84" s="10">
        <v>2</v>
      </c>
      <c r="K84" s="10">
        <v>2</v>
      </c>
      <c r="L84" s="10">
        <v>2</v>
      </c>
      <c r="M84" s="10">
        <v>1</v>
      </c>
      <c r="N84" s="10">
        <v>1</v>
      </c>
      <c r="O84" s="427">
        <f t="shared" si="7"/>
        <v>0.20691468599228219</v>
      </c>
      <c r="P84" s="63"/>
    </row>
    <row r="85" spans="1:16">
      <c r="A85" s="151" t="s">
        <v>395</v>
      </c>
      <c r="B85" s="151" t="s">
        <v>301</v>
      </c>
      <c r="C85" s="34">
        <v>2005</v>
      </c>
      <c r="D85" s="40" t="s">
        <v>139</v>
      </c>
      <c r="E85" s="34" t="s">
        <v>139</v>
      </c>
      <c r="F85" s="262">
        <v>0.01</v>
      </c>
      <c r="G85" s="232">
        <v>2</v>
      </c>
      <c r="H85" s="40" t="s">
        <v>302</v>
      </c>
      <c r="I85" s="249">
        <v>2</v>
      </c>
      <c r="J85" s="10">
        <v>2</v>
      </c>
      <c r="K85" s="10">
        <v>2</v>
      </c>
      <c r="L85" s="10">
        <v>2</v>
      </c>
      <c r="M85" s="10">
        <v>1</v>
      </c>
      <c r="N85" s="10">
        <v>1</v>
      </c>
      <c r="O85" s="427">
        <f t="shared" si="7"/>
        <v>0.20691468599228219</v>
      </c>
      <c r="P85" s="63"/>
    </row>
    <row r="86" spans="1:16">
      <c r="A86" s="151" t="s">
        <v>269</v>
      </c>
      <c r="B86" s="151" t="s">
        <v>271</v>
      </c>
      <c r="C86" s="34">
        <v>2020</v>
      </c>
      <c r="D86" s="40" t="s">
        <v>182</v>
      </c>
      <c r="E86" s="34" t="s">
        <v>139</v>
      </c>
      <c r="F86" s="262">
        <v>0.05</v>
      </c>
      <c r="G86" s="232">
        <v>2</v>
      </c>
      <c r="H86" s="40" t="s">
        <v>273</v>
      </c>
      <c r="I86" s="66"/>
      <c r="J86" s="10">
        <v>1</v>
      </c>
      <c r="K86" s="10">
        <v>1</v>
      </c>
      <c r="L86" s="10">
        <v>2</v>
      </c>
      <c r="M86" s="10">
        <v>1</v>
      </c>
      <c r="N86" s="10">
        <v>4</v>
      </c>
      <c r="O86" s="427" t="str">
        <f t="shared" si="7"/>
        <v/>
      </c>
      <c r="P86" s="63" t="s">
        <v>274</v>
      </c>
    </row>
    <row r="87" spans="1:16">
      <c r="A87" s="151" t="s">
        <v>269</v>
      </c>
      <c r="B87" s="151" t="s">
        <v>270</v>
      </c>
      <c r="C87" s="34">
        <v>2020</v>
      </c>
      <c r="D87" s="40" t="s">
        <v>182</v>
      </c>
      <c r="E87" s="34" t="s">
        <v>139</v>
      </c>
      <c r="F87" s="262" t="s">
        <v>150</v>
      </c>
      <c r="G87" s="232">
        <v>1</v>
      </c>
      <c r="H87" s="40"/>
      <c r="I87" s="251"/>
      <c r="J87" s="66"/>
      <c r="K87" s="66"/>
      <c r="L87" s="66"/>
      <c r="M87" s="66"/>
      <c r="N87" s="295"/>
      <c r="O87" s="427" t="str">
        <f t="shared" si="7"/>
        <v/>
      </c>
      <c r="P87" s="63"/>
    </row>
    <row r="88" spans="1:16">
      <c r="A88" s="151" t="s">
        <v>398</v>
      </c>
      <c r="B88" s="151" t="s">
        <v>301</v>
      </c>
      <c r="C88" s="34">
        <v>2005</v>
      </c>
      <c r="D88" s="40" t="s">
        <v>139</v>
      </c>
      <c r="E88" s="34" t="s">
        <v>139</v>
      </c>
      <c r="F88" s="262">
        <v>0.02</v>
      </c>
      <c r="G88" s="232">
        <v>2</v>
      </c>
      <c r="H88" s="40" t="s">
        <v>302</v>
      </c>
      <c r="I88" s="249">
        <v>2</v>
      </c>
      <c r="J88" s="10">
        <v>2</v>
      </c>
      <c r="K88" s="10">
        <v>2</v>
      </c>
      <c r="L88" s="10">
        <v>2</v>
      </c>
      <c r="M88" s="10">
        <v>1</v>
      </c>
      <c r="N88" s="10">
        <v>1</v>
      </c>
      <c r="O88" s="427">
        <f t="shared" si="7"/>
        <v>0.20691468599228219</v>
      </c>
      <c r="P88" s="63"/>
    </row>
    <row r="89" spans="1:16">
      <c r="A89" s="151" t="s">
        <v>395</v>
      </c>
      <c r="B89" s="151" t="s">
        <v>301</v>
      </c>
      <c r="C89" s="34">
        <v>2005</v>
      </c>
      <c r="D89" s="40" t="s">
        <v>139</v>
      </c>
      <c r="E89" s="34" t="s">
        <v>139</v>
      </c>
      <c r="F89" s="262">
        <v>0.02</v>
      </c>
      <c r="G89" s="232">
        <v>2</v>
      </c>
      <c r="H89" s="40" t="s">
        <v>302</v>
      </c>
      <c r="I89" s="249">
        <v>2</v>
      </c>
      <c r="J89" s="10">
        <v>2</v>
      </c>
      <c r="K89" s="10">
        <v>2</v>
      </c>
      <c r="L89" s="10">
        <v>2</v>
      </c>
      <c r="M89" s="10">
        <v>1</v>
      </c>
      <c r="N89" s="10">
        <v>1</v>
      </c>
      <c r="O89" s="427">
        <f t="shared" si="7"/>
        <v>0.20691468599228219</v>
      </c>
      <c r="P89" s="63"/>
    </row>
    <row r="90" spans="1:16">
      <c r="A90" s="151" t="s">
        <v>271</v>
      </c>
      <c r="B90" s="151" t="s">
        <v>301</v>
      </c>
      <c r="C90" s="34">
        <v>2020</v>
      </c>
      <c r="D90" s="40" t="s">
        <v>139</v>
      </c>
      <c r="E90" s="34" t="s">
        <v>139</v>
      </c>
      <c r="F90" s="262">
        <v>0.8</v>
      </c>
      <c r="G90" s="232">
        <v>2</v>
      </c>
      <c r="H90" s="40" t="s">
        <v>381</v>
      </c>
      <c r="I90" s="249">
        <v>1</v>
      </c>
      <c r="J90" s="10">
        <v>2</v>
      </c>
      <c r="K90" s="10">
        <v>1</v>
      </c>
      <c r="L90" s="10">
        <v>1</v>
      </c>
      <c r="M90" s="10">
        <v>3</v>
      </c>
      <c r="N90" s="10">
        <v>3</v>
      </c>
      <c r="O90" s="427">
        <f t="shared" si="7"/>
        <v>0.70187535976129745</v>
      </c>
      <c r="P90" s="63"/>
    </row>
    <row r="91" spans="1:16">
      <c r="A91" s="151" t="s">
        <v>270</v>
      </c>
      <c r="B91" s="151" t="s">
        <v>301</v>
      </c>
      <c r="C91" s="34">
        <v>2005</v>
      </c>
      <c r="D91" s="40" t="s">
        <v>139</v>
      </c>
      <c r="E91" s="34" t="s">
        <v>139</v>
      </c>
      <c r="F91" s="262">
        <v>0.01</v>
      </c>
      <c r="G91" s="232">
        <v>2</v>
      </c>
      <c r="H91" s="40" t="s">
        <v>302</v>
      </c>
      <c r="I91" s="249">
        <v>2</v>
      </c>
      <c r="J91" s="10">
        <v>2</v>
      </c>
      <c r="K91" s="10">
        <v>2</v>
      </c>
      <c r="L91" s="10">
        <v>2</v>
      </c>
      <c r="M91" s="10">
        <v>1</v>
      </c>
      <c r="N91" s="10">
        <v>1</v>
      </c>
      <c r="O91" s="427">
        <f t="shared" si="7"/>
        <v>0.20691468599228219</v>
      </c>
      <c r="P91" s="63"/>
    </row>
    <row r="92" spans="1:16">
      <c r="A92" s="151" t="s">
        <v>271</v>
      </c>
      <c r="B92" s="151" t="s">
        <v>301</v>
      </c>
      <c r="C92" s="34">
        <v>2015</v>
      </c>
      <c r="D92" s="40" t="s">
        <v>139</v>
      </c>
      <c r="E92" s="34" t="s">
        <v>139</v>
      </c>
      <c r="F92" s="262">
        <v>0.9</v>
      </c>
      <c r="G92" s="232">
        <v>2</v>
      </c>
      <c r="H92" s="40" t="s">
        <v>379</v>
      </c>
      <c r="I92" s="249">
        <v>1</v>
      </c>
      <c r="J92" s="10">
        <v>2</v>
      </c>
      <c r="K92" s="10">
        <v>1</v>
      </c>
      <c r="L92" s="10">
        <v>1</v>
      </c>
      <c r="M92" s="10">
        <v>3</v>
      </c>
      <c r="N92" s="10">
        <v>3</v>
      </c>
      <c r="O92" s="427">
        <f t="shared" si="7"/>
        <v>0.70187535976129745</v>
      </c>
      <c r="P92" s="63"/>
    </row>
    <row r="93" spans="1:16">
      <c r="A93" s="151" t="s">
        <v>270</v>
      </c>
      <c r="B93" s="151" t="s">
        <v>301</v>
      </c>
      <c r="C93" s="34">
        <v>2005</v>
      </c>
      <c r="D93" s="40" t="s">
        <v>139</v>
      </c>
      <c r="E93" s="34" t="s">
        <v>139</v>
      </c>
      <c r="F93" s="262">
        <v>0.02</v>
      </c>
      <c r="G93" s="232">
        <v>2</v>
      </c>
      <c r="H93" s="40" t="s">
        <v>302</v>
      </c>
      <c r="I93" s="249">
        <v>2</v>
      </c>
      <c r="J93" s="10">
        <v>2</v>
      </c>
      <c r="K93" s="10">
        <v>2</v>
      </c>
      <c r="L93" s="10">
        <v>2</v>
      </c>
      <c r="M93" s="10">
        <v>1</v>
      </c>
      <c r="N93" s="10">
        <v>1</v>
      </c>
      <c r="O93" s="427">
        <f t="shared" si="7"/>
        <v>0.20691468599228219</v>
      </c>
      <c r="P93" s="63"/>
    </row>
    <row r="94" spans="1:16">
      <c r="A94" s="151" t="s">
        <v>270</v>
      </c>
      <c r="B94" s="151" t="s">
        <v>275</v>
      </c>
      <c r="C94" s="149" t="s">
        <v>139</v>
      </c>
      <c r="D94" s="153" t="s">
        <v>139</v>
      </c>
      <c r="E94" s="149" t="s">
        <v>139</v>
      </c>
      <c r="F94" s="290" t="s">
        <v>150</v>
      </c>
      <c r="G94" s="235">
        <v>1</v>
      </c>
      <c r="H94" s="153"/>
      <c r="I94" s="251"/>
      <c r="J94" s="66"/>
      <c r="K94" s="66"/>
      <c r="L94" s="66"/>
      <c r="M94" s="66"/>
      <c r="N94" s="295"/>
      <c r="O94" s="431"/>
      <c r="P94" s="505"/>
    </row>
    <row r="95" spans="1:16" ht="15.75" thickBot="1">
      <c r="A95" s="152" t="s">
        <v>271</v>
      </c>
      <c r="B95" s="152" t="s">
        <v>380</v>
      </c>
      <c r="C95" s="35" t="s">
        <v>139</v>
      </c>
      <c r="D95" s="41" t="s">
        <v>139</v>
      </c>
      <c r="E95" s="35" t="s">
        <v>139</v>
      </c>
      <c r="F95" s="41" t="s">
        <v>150</v>
      </c>
      <c r="G95" s="233">
        <v>1</v>
      </c>
      <c r="H95" s="41"/>
      <c r="I95" s="251"/>
      <c r="J95" s="66"/>
      <c r="K95" s="66"/>
      <c r="L95" s="66"/>
      <c r="M95" s="66"/>
      <c r="N95" s="295"/>
      <c r="O95" s="429" t="str">
        <f t="shared" si="7"/>
        <v/>
      </c>
      <c r="P95" s="62"/>
    </row>
    <row r="96" spans="1:16">
      <c r="I96" s="383"/>
      <c r="J96" s="383"/>
      <c r="K96" s="383"/>
      <c r="L96" s="383"/>
      <c r="M96" s="383"/>
      <c r="N96" s="383"/>
      <c r="O96" s="383" t="str">
        <f t="shared" si="7"/>
        <v/>
      </c>
      <c r="P96" s="383"/>
    </row>
    <row r="97" spans="1:16" ht="15.75" thickBot="1">
      <c r="A97" s="222" t="s">
        <v>793</v>
      </c>
      <c r="I97" s="383"/>
      <c r="J97" s="383"/>
      <c r="K97" s="383"/>
      <c r="L97" s="383"/>
      <c r="M97" s="383"/>
      <c r="N97" s="383"/>
      <c r="O97" s="383" t="str">
        <f t="shared" si="7"/>
        <v/>
      </c>
      <c r="P97" s="383"/>
    </row>
    <row r="98" spans="1:16">
      <c r="A98" s="33" t="s">
        <v>398</v>
      </c>
      <c r="B98" s="346" t="s">
        <v>394</v>
      </c>
      <c r="C98" s="39" t="s">
        <v>139</v>
      </c>
      <c r="D98" s="33" t="s">
        <v>139</v>
      </c>
      <c r="E98" s="39" t="s">
        <v>139</v>
      </c>
      <c r="F98" s="54" t="s">
        <v>150</v>
      </c>
      <c r="G98" s="167">
        <v>1</v>
      </c>
      <c r="H98" s="33"/>
      <c r="I98" s="251"/>
      <c r="J98" s="66"/>
      <c r="K98" s="66"/>
      <c r="L98" s="66"/>
      <c r="M98" s="66"/>
      <c r="N98" s="295"/>
      <c r="O98" s="176" t="str">
        <f t="shared" si="7"/>
        <v/>
      </c>
      <c r="P98" s="33" t="s">
        <v>794</v>
      </c>
    </row>
    <row r="99" spans="1:16">
      <c r="A99" s="34" t="s">
        <v>395</v>
      </c>
      <c r="B99" s="63" t="s">
        <v>258</v>
      </c>
      <c r="C99" s="40" t="s">
        <v>139</v>
      </c>
      <c r="D99" s="34" t="s">
        <v>139</v>
      </c>
      <c r="E99" s="40" t="s">
        <v>139</v>
      </c>
      <c r="F99" s="55">
        <v>0.1</v>
      </c>
      <c r="G99" s="168">
        <v>1</v>
      </c>
      <c r="H99" s="34" t="s">
        <v>379</v>
      </c>
      <c r="I99" s="172">
        <v>1</v>
      </c>
      <c r="J99" s="10">
        <v>3</v>
      </c>
      <c r="K99" s="10">
        <v>2</v>
      </c>
      <c r="L99" s="10">
        <v>1</v>
      </c>
      <c r="M99" s="10">
        <v>1</v>
      </c>
      <c r="N99" s="10">
        <v>2</v>
      </c>
      <c r="O99" s="177">
        <f t="shared" si="7"/>
        <v>0.24010193209435579</v>
      </c>
      <c r="P99" s="34"/>
    </row>
    <row r="100" spans="1:16">
      <c r="A100" s="34" t="s">
        <v>380</v>
      </c>
      <c r="B100" s="63" t="s">
        <v>258</v>
      </c>
      <c r="C100" s="40" t="s">
        <v>139</v>
      </c>
      <c r="D100" s="34" t="s">
        <v>139</v>
      </c>
      <c r="E100" s="40" t="s">
        <v>139</v>
      </c>
      <c r="F100" s="55">
        <v>0.1</v>
      </c>
      <c r="G100" s="168">
        <v>2</v>
      </c>
      <c r="H100" s="34" t="s">
        <v>379</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379</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795</v>
      </c>
    </row>
    <row r="102" spans="1:16">
      <c r="A102" s="34" t="s">
        <v>398</v>
      </c>
      <c r="B102" s="63" t="s">
        <v>378</v>
      </c>
      <c r="C102" s="307">
        <v>2015</v>
      </c>
      <c r="D102" s="34" t="s">
        <v>139</v>
      </c>
      <c r="E102" s="40" t="s">
        <v>139</v>
      </c>
      <c r="F102" s="55">
        <v>0.4</v>
      </c>
      <c r="G102" s="168">
        <v>2</v>
      </c>
      <c r="H102" s="34" t="s">
        <v>379</v>
      </c>
      <c r="I102" s="172">
        <v>1</v>
      </c>
      <c r="J102" s="10">
        <v>3</v>
      </c>
      <c r="K102" s="10">
        <v>2</v>
      </c>
      <c r="L102" s="10">
        <v>1</v>
      </c>
      <c r="M102" s="10">
        <v>1</v>
      </c>
      <c r="N102" s="10">
        <v>2</v>
      </c>
      <c r="O102" s="177">
        <f t="shared" si="7"/>
        <v>0.24010193209435579</v>
      </c>
      <c r="P102" s="34" t="s">
        <v>796</v>
      </c>
    </row>
    <row r="103" spans="1:16">
      <c r="A103" s="34" t="s">
        <v>395</v>
      </c>
      <c r="B103" s="63" t="s">
        <v>378</v>
      </c>
      <c r="C103" s="307">
        <v>2015</v>
      </c>
      <c r="D103" s="34" t="s">
        <v>139</v>
      </c>
      <c r="E103" s="40" t="s">
        <v>139</v>
      </c>
      <c r="F103" s="55">
        <v>0.9</v>
      </c>
      <c r="G103" s="168">
        <v>1</v>
      </c>
      <c r="H103" s="34" t="s">
        <v>379</v>
      </c>
      <c r="I103" s="172">
        <v>1</v>
      </c>
      <c r="J103" s="10">
        <v>3</v>
      </c>
      <c r="K103" s="10">
        <v>2</v>
      </c>
      <c r="L103" s="10">
        <v>1</v>
      </c>
      <c r="M103" s="10">
        <v>1</v>
      </c>
      <c r="N103" s="10">
        <v>2</v>
      </c>
      <c r="O103" s="177">
        <f t="shared" si="7"/>
        <v>0.24010193209435579</v>
      </c>
      <c r="P103" s="34"/>
    </row>
    <row r="104" spans="1:16">
      <c r="A104" s="34" t="s">
        <v>275</v>
      </c>
      <c r="B104" s="63" t="s">
        <v>378</v>
      </c>
      <c r="C104" s="307">
        <v>2015</v>
      </c>
      <c r="D104" s="34" t="s">
        <v>139</v>
      </c>
      <c r="E104" s="40" t="s">
        <v>139</v>
      </c>
      <c r="F104" s="55">
        <v>0.9</v>
      </c>
      <c r="G104" s="168">
        <v>2</v>
      </c>
      <c r="H104" s="34" t="s">
        <v>379</v>
      </c>
      <c r="I104" s="172">
        <v>1</v>
      </c>
      <c r="J104" s="10">
        <v>3</v>
      </c>
      <c r="K104" s="10">
        <v>2</v>
      </c>
      <c r="L104" s="10">
        <v>1</v>
      </c>
      <c r="M104" s="10">
        <v>1</v>
      </c>
      <c r="N104" s="10">
        <v>2</v>
      </c>
      <c r="O104" s="177">
        <f t="shared" si="7"/>
        <v>0.24010193209435579</v>
      </c>
      <c r="P104" s="34"/>
    </row>
    <row r="105" spans="1:16">
      <c r="A105" s="34" t="s">
        <v>380</v>
      </c>
      <c r="B105" s="63" t="s">
        <v>378</v>
      </c>
      <c r="C105" s="307">
        <v>2015</v>
      </c>
      <c r="D105" s="34" t="s">
        <v>139</v>
      </c>
      <c r="E105" s="40" t="s">
        <v>139</v>
      </c>
      <c r="F105" s="55">
        <v>0.9</v>
      </c>
      <c r="G105" s="168">
        <v>2</v>
      </c>
      <c r="H105" s="34" t="s">
        <v>379</v>
      </c>
      <c r="I105" s="172">
        <v>1</v>
      </c>
      <c r="J105" s="10">
        <v>3</v>
      </c>
      <c r="K105" s="10">
        <v>2</v>
      </c>
      <c r="L105" s="10">
        <v>1</v>
      </c>
      <c r="M105" s="10">
        <v>1</v>
      </c>
      <c r="N105" s="10">
        <v>2</v>
      </c>
      <c r="O105" s="177">
        <f t="shared" si="7"/>
        <v>0.24010193209435579</v>
      </c>
      <c r="P105" s="34"/>
    </row>
    <row r="106" spans="1:16">
      <c r="A106" s="34" t="s">
        <v>301</v>
      </c>
      <c r="B106" s="63" t="s">
        <v>179</v>
      </c>
      <c r="C106" s="40"/>
      <c r="D106" s="34" t="s">
        <v>139</v>
      </c>
      <c r="E106" s="40" t="s">
        <v>139</v>
      </c>
      <c r="F106" s="55" t="s">
        <v>150</v>
      </c>
      <c r="G106" s="168">
        <v>1</v>
      </c>
      <c r="H106" s="34" t="s">
        <v>302</v>
      </c>
      <c r="I106" s="251"/>
      <c r="J106" s="66"/>
      <c r="K106" s="66"/>
      <c r="L106" s="66"/>
      <c r="M106" s="66"/>
      <c r="N106" s="295"/>
      <c r="O106" s="177" t="str">
        <f t="shared" si="7"/>
        <v/>
      </c>
      <c r="P106" s="34"/>
    </row>
    <row r="107" spans="1:16">
      <c r="A107" s="34" t="s">
        <v>301</v>
      </c>
      <c r="B107" s="63" t="s">
        <v>232</v>
      </c>
      <c r="C107" s="40">
        <v>2020</v>
      </c>
      <c r="D107" s="34" t="s">
        <v>139</v>
      </c>
      <c r="E107" s="40" t="s">
        <v>139</v>
      </c>
      <c r="F107" s="55">
        <v>0.05</v>
      </c>
      <c r="G107" s="168">
        <v>2</v>
      </c>
      <c r="H107" s="34" t="s">
        <v>393</v>
      </c>
      <c r="I107" s="172">
        <v>1</v>
      </c>
      <c r="J107" s="10">
        <v>2</v>
      </c>
      <c r="K107" s="10">
        <v>1</v>
      </c>
      <c r="L107" s="10">
        <v>2</v>
      </c>
      <c r="M107" s="10">
        <v>2</v>
      </c>
      <c r="N107" s="10">
        <v>4</v>
      </c>
      <c r="O107" s="177">
        <f t="shared" si="7"/>
        <v>1.8595776954264098</v>
      </c>
      <c r="P107" s="34"/>
    </row>
    <row r="108" spans="1:16">
      <c r="A108" s="34" t="s">
        <v>394</v>
      </c>
      <c r="B108" s="63" t="s">
        <v>378</v>
      </c>
      <c r="C108" s="40">
        <v>2014</v>
      </c>
      <c r="D108" s="34" t="s">
        <v>180</v>
      </c>
      <c r="E108" s="40" t="s">
        <v>139</v>
      </c>
      <c r="F108" s="55" t="s">
        <v>150</v>
      </c>
      <c r="G108" s="168">
        <v>1</v>
      </c>
      <c r="H108" s="34" t="s">
        <v>381</v>
      </c>
      <c r="I108" s="172">
        <v>1</v>
      </c>
      <c r="J108" s="10">
        <v>2</v>
      </c>
      <c r="K108" s="10">
        <v>3</v>
      </c>
      <c r="L108" s="10">
        <v>1</v>
      </c>
      <c r="M108" s="10">
        <v>2</v>
      </c>
      <c r="N108" s="10">
        <v>1</v>
      </c>
      <c r="O108" s="177">
        <f t="shared" si="7"/>
        <v>0.36299901822375763</v>
      </c>
      <c r="P108" s="34"/>
    </row>
    <row r="109" spans="1:16">
      <c r="A109" s="34" t="s">
        <v>394</v>
      </c>
      <c r="B109" s="63" t="s">
        <v>258</v>
      </c>
      <c r="C109" s="40">
        <v>2014</v>
      </c>
      <c r="D109" s="34" t="s">
        <v>180</v>
      </c>
      <c r="E109" s="40" t="s">
        <v>139</v>
      </c>
      <c r="F109" s="55">
        <v>0.255</v>
      </c>
      <c r="G109" s="168">
        <v>2</v>
      </c>
      <c r="H109" s="34" t="s">
        <v>381</v>
      </c>
      <c r="I109" s="172">
        <v>1</v>
      </c>
      <c r="J109" s="10">
        <v>2</v>
      </c>
      <c r="K109" s="10">
        <v>3</v>
      </c>
      <c r="L109" s="10">
        <v>1</v>
      </c>
      <c r="M109" s="10">
        <v>2</v>
      </c>
      <c r="N109" s="10">
        <v>1</v>
      </c>
      <c r="O109" s="177">
        <f t="shared" si="7"/>
        <v>0.36299901822375763</v>
      </c>
      <c r="P109" s="34"/>
    </row>
    <row r="110" spans="1:16">
      <c r="A110" s="34" t="s">
        <v>394</v>
      </c>
      <c r="B110" s="63" t="s">
        <v>232</v>
      </c>
      <c r="C110" s="40">
        <v>2014</v>
      </c>
      <c r="D110" s="34" t="s">
        <v>180</v>
      </c>
      <c r="E110" s="40" t="s">
        <v>139</v>
      </c>
      <c r="F110" s="55">
        <f>0.526*0.66</f>
        <v>0.34716000000000002</v>
      </c>
      <c r="G110" s="168">
        <v>2</v>
      </c>
      <c r="H110" s="34" t="s">
        <v>381</v>
      </c>
      <c r="I110" s="172">
        <v>1</v>
      </c>
      <c r="J110" s="10">
        <v>2</v>
      </c>
      <c r="K110" s="10">
        <v>3</v>
      </c>
      <c r="L110" s="10">
        <v>1</v>
      </c>
      <c r="M110" s="10">
        <v>2</v>
      </c>
      <c r="N110" s="10">
        <v>1</v>
      </c>
      <c r="O110" s="177">
        <f t="shared" si="7"/>
        <v>0.36299901822375763</v>
      </c>
      <c r="P110" s="34" t="s">
        <v>797</v>
      </c>
    </row>
    <row r="111" spans="1:16" ht="15.75" thickBot="1">
      <c r="A111" s="35" t="s">
        <v>394</v>
      </c>
      <c r="B111" s="62" t="s">
        <v>266</v>
      </c>
      <c r="C111" s="41">
        <v>2014</v>
      </c>
      <c r="D111" s="35" t="s">
        <v>180</v>
      </c>
      <c r="E111" s="41" t="s">
        <v>139</v>
      </c>
      <c r="F111" s="56">
        <f>0.526*0.34</f>
        <v>0.17884000000000003</v>
      </c>
      <c r="G111" s="169">
        <v>2</v>
      </c>
      <c r="H111" s="35" t="s">
        <v>381</v>
      </c>
      <c r="I111" s="173">
        <v>1</v>
      </c>
      <c r="J111" s="14">
        <v>2</v>
      </c>
      <c r="K111" s="14">
        <v>3</v>
      </c>
      <c r="L111" s="14">
        <v>1</v>
      </c>
      <c r="M111" s="14">
        <v>2</v>
      </c>
      <c r="N111" s="14">
        <v>1</v>
      </c>
      <c r="O111" s="178">
        <f t="shared" si="7"/>
        <v>0.36299901822375763</v>
      </c>
      <c r="P111" s="35" t="s">
        <v>798</v>
      </c>
    </row>
    <row r="114" spans="1:17">
      <c r="A114" s="1115" t="s">
        <v>2005</v>
      </c>
      <c r="B114" s="1115"/>
      <c r="C114" s="1115"/>
      <c r="D114" s="1115"/>
      <c r="E114" s="1115"/>
      <c r="F114" s="1115"/>
      <c r="G114" s="1115"/>
      <c r="H114" s="1115"/>
      <c r="I114" s="1115"/>
      <c r="J114" s="1115"/>
      <c r="K114" s="1115"/>
      <c r="L114" s="1115"/>
      <c r="M114" s="1115"/>
      <c r="N114" s="1115"/>
      <c r="O114" s="1115"/>
      <c r="P114" s="1115"/>
      <c r="Q114" s="1115"/>
    </row>
    <row r="115" spans="1:17">
      <c r="A115" s="1115"/>
      <c r="B115" s="1115"/>
      <c r="C115" s="1115"/>
      <c r="D115" s="1115"/>
      <c r="E115" s="1115"/>
      <c r="F115" s="1115"/>
      <c r="G115" s="1115"/>
      <c r="H115" s="1115"/>
      <c r="I115" s="1115"/>
      <c r="J115" s="1115"/>
      <c r="K115" s="1115"/>
      <c r="L115" s="1115"/>
      <c r="M115" s="1115"/>
      <c r="N115" s="1115"/>
      <c r="O115" s="1115"/>
      <c r="P115" s="1115"/>
      <c r="Q115" s="1115"/>
    </row>
    <row r="117" spans="1:17">
      <c r="A117" s="117" t="s">
        <v>768</v>
      </c>
      <c r="B117" s="117"/>
      <c r="C117" s="117"/>
      <c r="D117" s="117"/>
      <c r="E117" s="117"/>
      <c r="F117" s="117"/>
    </row>
    <row r="118" spans="1:17">
      <c r="A118" s="224" t="s">
        <v>769</v>
      </c>
      <c r="B118" s="224" t="s">
        <v>770</v>
      </c>
      <c r="C118" s="224" t="s">
        <v>771</v>
      </c>
      <c r="D118" s="224" t="s">
        <v>772</v>
      </c>
      <c r="E118" s="224" t="s">
        <v>773</v>
      </c>
      <c r="F118" s="224" t="s">
        <v>774</v>
      </c>
    </row>
    <row r="119" spans="1:17">
      <c r="A119" s="224">
        <v>1990</v>
      </c>
      <c r="B119" s="224" t="s">
        <v>776</v>
      </c>
      <c r="C119" s="867">
        <v>9795.9110544217692</v>
      </c>
      <c r="D119" s="224" t="s">
        <v>777</v>
      </c>
      <c r="E119" s="868">
        <v>3605.0184353741402</v>
      </c>
      <c r="F119" s="868">
        <v>0.36801257334271897</v>
      </c>
    </row>
    <row r="120" spans="1:17">
      <c r="A120" s="224">
        <v>1990</v>
      </c>
      <c r="B120" s="224" t="s">
        <v>776</v>
      </c>
      <c r="C120" s="867">
        <v>14048.77</v>
      </c>
      <c r="D120" s="224" t="s">
        <v>779</v>
      </c>
      <c r="E120" s="224">
        <v>5170.1239999999998</v>
      </c>
      <c r="F120" s="868">
        <v>0.36801257334271897</v>
      </c>
    </row>
    <row r="121" spans="1:17">
      <c r="A121" s="224">
        <v>1990</v>
      </c>
      <c r="B121" s="224" t="s">
        <v>776</v>
      </c>
      <c r="C121" s="869">
        <v>18038.811819727802</v>
      </c>
      <c r="D121" s="224" t="s">
        <v>780</v>
      </c>
      <c r="E121" s="868">
        <v>6638.5095578231203</v>
      </c>
      <c r="F121" s="868">
        <v>0.36801257334271897</v>
      </c>
    </row>
    <row r="122" spans="1:17">
      <c r="A122" s="224">
        <v>1990</v>
      </c>
      <c r="B122" s="224" t="s">
        <v>781</v>
      </c>
      <c r="C122" s="867">
        <v>9795.9110544217692</v>
      </c>
      <c r="D122" s="224" t="s">
        <v>777</v>
      </c>
      <c r="E122" s="868">
        <v>3470.8689455782301</v>
      </c>
      <c r="F122" s="868">
        <v>0.35431813603610801</v>
      </c>
    </row>
    <row r="123" spans="1:17">
      <c r="A123" s="224">
        <v>1990</v>
      </c>
      <c r="B123" s="224" t="s">
        <v>781</v>
      </c>
      <c r="C123" s="867">
        <v>14048.77</v>
      </c>
      <c r="D123" s="224" t="s">
        <v>779</v>
      </c>
      <c r="E123" s="224">
        <v>4977.7340000000004</v>
      </c>
      <c r="F123" s="868">
        <v>0.35431813603610801</v>
      </c>
    </row>
    <row r="124" spans="1:17">
      <c r="A124" s="224">
        <v>1990</v>
      </c>
      <c r="B124" s="224" t="s">
        <v>781</v>
      </c>
      <c r="C124" s="869">
        <v>18038.811819727802</v>
      </c>
      <c r="D124" s="224" t="s">
        <v>780</v>
      </c>
      <c r="E124" s="868">
        <v>6391.4781802721</v>
      </c>
      <c r="F124" s="868">
        <v>0.35431813603610801</v>
      </c>
    </row>
    <row r="125" spans="1:17">
      <c r="A125" s="224">
        <v>1990</v>
      </c>
      <c r="B125" s="224" t="s">
        <v>782</v>
      </c>
      <c r="C125" s="867">
        <v>9795.9110544217692</v>
      </c>
      <c r="D125" s="224" t="s">
        <v>777</v>
      </c>
      <c r="E125" s="868">
        <v>2720.0236734693799</v>
      </c>
      <c r="F125" s="868">
        <v>0.27766929062117102</v>
      </c>
    </row>
    <row r="126" spans="1:17">
      <c r="A126" s="224">
        <v>1990</v>
      </c>
      <c r="B126" s="224" t="s">
        <v>782</v>
      </c>
      <c r="C126" s="867">
        <v>14048.77</v>
      </c>
      <c r="D126" s="224" t="s">
        <v>779</v>
      </c>
      <c r="E126" s="224">
        <v>3900.9119999999998</v>
      </c>
      <c r="F126" s="868">
        <v>0.27766929062117102</v>
      </c>
    </row>
    <row r="127" spans="1:17">
      <c r="A127" s="224">
        <v>1990</v>
      </c>
      <c r="B127" s="224" t="s">
        <v>782</v>
      </c>
      <c r="C127" s="869">
        <v>18038.811819727802</v>
      </c>
      <c r="D127" s="224" t="s">
        <v>780</v>
      </c>
      <c r="E127" s="868">
        <v>5008.8240816326497</v>
      </c>
      <c r="F127" s="868">
        <v>0.27766929062117102</v>
      </c>
    </row>
    <row r="128" spans="1:17">
      <c r="A128" s="224">
        <v>1995</v>
      </c>
      <c r="B128" s="224" t="s">
        <v>776</v>
      </c>
      <c r="C128" s="869">
        <v>10531.2160714285</v>
      </c>
      <c r="D128" s="224" t="s">
        <v>777</v>
      </c>
      <c r="E128" s="868">
        <v>4567.2933163265297</v>
      </c>
      <c r="F128" s="868">
        <v>0.43369097028762899</v>
      </c>
    </row>
    <row r="129" spans="1:6">
      <c r="A129" s="224">
        <v>1995</v>
      </c>
      <c r="B129" s="224" t="s">
        <v>776</v>
      </c>
      <c r="C129" s="867">
        <v>15103.305</v>
      </c>
      <c r="D129" s="224" t="s">
        <v>779</v>
      </c>
      <c r="E129" s="224">
        <v>6550.1670000000004</v>
      </c>
      <c r="F129" s="868">
        <v>0.43369097028762899</v>
      </c>
    </row>
    <row r="130" spans="1:6">
      <c r="A130" s="224">
        <v>1995</v>
      </c>
      <c r="B130" s="224" t="s">
        <v>776</v>
      </c>
      <c r="C130" s="869">
        <v>19392.8491071428</v>
      </c>
      <c r="D130" s="224" t="s">
        <v>780</v>
      </c>
      <c r="E130" s="868">
        <v>8410.50354591836</v>
      </c>
      <c r="F130" s="868">
        <v>0.43369097028762899</v>
      </c>
    </row>
    <row r="131" spans="1:6">
      <c r="A131" s="224">
        <v>1995</v>
      </c>
      <c r="B131" s="224" t="s">
        <v>781</v>
      </c>
      <c r="C131" s="869">
        <v>10531.2160714285</v>
      </c>
      <c r="D131" s="224" t="s">
        <v>777</v>
      </c>
      <c r="E131" s="868">
        <v>3200.3805102040801</v>
      </c>
      <c r="F131" s="224">
        <v>0.30389467735704201</v>
      </c>
    </row>
    <row r="132" spans="1:6">
      <c r="A132" s="224">
        <v>1995</v>
      </c>
      <c r="B132" s="224" t="s">
        <v>781</v>
      </c>
      <c r="C132" s="867">
        <v>15103.305</v>
      </c>
      <c r="D132" s="224" t="s">
        <v>779</v>
      </c>
      <c r="E132" s="868">
        <v>4589.8139999999903</v>
      </c>
      <c r="F132" s="224">
        <v>0.30389467735704201</v>
      </c>
    </row>
    <row r="133" spans="1:6">
      <c r="A133" s="224">
        <v>1995</v>
      </c>
      <c r="B133" s="224" t="s">
        <v>781</v>
      </c>
      <c r="C133" s="869">
        <v>19392.8491071428</v>
      </c>
      <c r="D133" s="224" t="s">
        <v>780</v>
      </c>
      <c r="E133" s="224">
        <v>5893.3836224489796</v>
      </c>
      <c r="F133" s="868">
        <v>0.30389467735704201</v>
      </c>
    </row>
    <row r="134" spans="1:6">
      <c r="A134" s="224">
        <v>1995</v>
      </c>
      <c r="B134" s="224" t="s">
        <v>782</v>
      </c>
      <c r="C134" s="869">
        <v>10531.2160714285</v>
      </c>
      <c r="D134" s="224" t="s">
        <v>777</v>
      </c>
      <c r="E134" s="868">
        <v>2763.5422448979498</v>
      </c>
      <c r="F134" s="868">
        <v>0.26241435235532801</v>
      </c>
    </row>
    <row r="135" spans="1:6">
      <c r="A135" s="224">
        <v>1995</v>
      </c>
      <c r="B135" s="224" t="s">
        <v>782</v>
      </c>
      <c r="C135" s="867">
        <v>15103.305</v>
      </c>
      <c r="D135" s="224" t="s">
        <v>779</v>
      </c>
      <c r="E135" s="224">
        <v>3963.3240000000001</v>
      </c>
      <c r="F135" s="868">
        <v>0.26241435235532801</v>
      </c>
    </row>
    <row r="136" spans="1:6">
      <c r="A136" s="224">
        <v>1995</v>
      </c>
      <c r="B136" s="224" t="s">
        <v>782</v>
      </c>
      <c r="C136" s="869">
        <v>19392.8491071428</v>
      </c>
      <c r="D136" s="224" t="s">
        <v>780</v>
      </c>
      <c r="E136" s="224">
        <v>5088.9619387755101</v>
      </c>
      <c r="F136" s="868">
        <v>0.26241435235532801</v>
      </c>
    </row>
    <row r="137" spans="1:6">
      <c r="A137" s="224">
        <v>2000</v>
      </c>
      <c r="B137" s="224" t="s">
        <v>776</v>
      </c>
      <c r="C137" s="869">
        <v>11700.245306122401</v>
      </c>
      <c r="D137" s="224" t="s">
        <v>777</v>
      </c>
      <c r="E137" s="868">
        <v>6023.5603231292498</v>
      </c>
      <c r="F137" s="224">
        <v>0.51482342169161799</v>
      </c>
    </row>
    <row r="138" spans="1:6">
      <c r="A138" s="224">
        <v>2000</v>
      </c>
      <c r="B138" s="224" t="s">
        <v>776</v>
      </c>
      <c r="C138" s="869">
        <v>16779.8639999999</v>
      </c>
      <c r="D138" s="224" t="s">
        <v>779</v>
      </c>
      <c r="E138" s="224">
        <v>8638.6669999999995</v>
      </c>
      <c r="F138" s="224">
        <v>0.51482342169161799</v>
      </c>
    </row>
    <row r="139" spans="1:6">
      <c r="A139" s="224">
        <v>2000</v>
      </c>
      <c r="B139" s="224" t="s">
        <v>776</v>
      </c>
      <c r="C139" s="869">
        <v>21545.573673469298</v>
      </c>
      <c r="D139" s="224" t="s">
        <v>780</v>
      </c>
      <c r="E139" s="868">
        <v>11092.1659608843</v>
      </c>
      <c r="F139" s="868">
        <v>0.51482342169161699</v>
      </c>
    </row>
    <row r="140" spans="1:6">
      <c r="A140" s="224">
        <v>2000</v>
      </c>
      <c r="B140" s="224" t="s">
        <v>781</v>
      </c>
      <c r="C140" s="869">
        <v>11700.245306122401</v>
      </c>
      <c r="D140" s="224" t="s">
        <v>777</v>
      </c>
      <c r="E140" s="868">
        <v>2729.0597108843499</v>
      </c>
      <c r="F140" s="868">
        <v>0.23324807638488601</v>
      </c>
    </row>
    <row r="141" spans="1:6">
      <c r="A141" s="224">
        <v>2000</v>
      </c>
      <c r="B141" s="224" t="s">
        <v>781</v>
      </c>
      <c r="C141" s="869">
        <v>16779.8639999999</v>
      </c>
      <c r="D141" s="224" t="s">
        <v>779</v>
      </c>
      <c r="E141" s="224">
        <v>3913.8710000000001</v>
      </c>
      <c r="F141" s="868">
        <v>0.23324807638488601</v>
      </c>
    </row>
    <row r="142" spans="1:6">
      <c r="A142" s="224">
        <v>2000</v>
      </c>
      <c r="B142" s="224" t="s">
        <v>781</v>
      </c>
      <c r="C142" s="869">
        <v>21545.573673469298</v>
      </c>
      <c r="D142" s="224" t="s">
        <v>780</v>
      </c>
      <c r="E142" s="868">
        <v>5025.4636139455697</v>
      </c>
      <c r="F142" s="868">
        <v>0.23324807638488601</v>
      </c>
    </row>
    <row r="143" spans="1:6">
      <c r="A143" s="224">
        <v>2000</v>
      </c>
      <c r="B143" s="224" t="s">
        <v>782</v>
      </c>
      <c r="C143" s="869">
        <v>11700.245306122401</v>
      </c>
      <c r="D143" s="224" t="s">
        <v>777</v>
      </c>
      <c r="E143" s="868">
        <v>2947.6252721088399</v>
      </c>
      <c r="F143" s="224">
        <v>0.25192850192349597</v>
      </c>
    </row>
    <row r="144" spans="1:6">
      <c r="A144" s="224">
        <v>2000</v>
      </c>
      <c r="B144" s="224" t="s">
        <v>782</v>
      </c>
      <c r="C144" s="869">
        <v>16779.8639999999</v>
      </c>
      <c r="D144" s="224" t="s">
        <v>779</v>
      </c>
      <c r="E144" s="224">
        <v>4227.326</v>
      </c>
      <c r="F144" s="224">
        <v>0.25192850192349597</v>
      </c>
    </row>
    <row r="145" spans="1:6">
      <c r="A145" s="224">
        <v>2000</v>
      </c>
      <c r="B145" s="224" t="s">
        <v>782</v>
      </c>
      <c r="C145" s="869">
        <v>21545.573673469298</v>
      </c>
      <c r="D145" s="224" t="s">
        <v>780</v>
      </c>
      <c r="E145" s="868">
        <v>5427.9440986394502</v>
      </c>
      <c r="F145" s="868">
        <v>0.25192850192349497</v>
      </c>
    </row>
    <row r="146" spans="1:6">
      <c r="A146" s="224">
        <v>2005</v>
      </c>
      <c r="B146" s="224" t="s">
        <v>776</v>
      </c>
      <c r="C146" s="869">
        <v>12395.919778911501</v>
      </c>
      <c r="D146" s="224" t="s">
        <v>777</v>
      </c>
      <c r="E146" s="868">
        <v>6396.0460204081601</v>
      </c>
      <c r="F146" s="868">
        <v>0.51597994618272403</v>
      </c>
    </row>
    <row r="147" spans="1:6">
      <c r="A147" s="224">
        <v>2005</v>
      </c>
      <c r="B147" s="224" t="s">
        <v>776</v>
      </c>
      <c r="C147" s="867">
        <v>17777.562999999998</v>
      </c>
      <c r="D147" s="224" t="s">
        <v>779</v>
      </c>
      <c r="E147" s="224">
        <v>9172.866</v>
      </c>
      <c r="F147" s="868">
        <v>0.51597994618272403</v>
      </c>
    </row>
    <row r="148" spans="1:6">
      <c r="A148" s="224">
        <v>2005</v>
      </c>
      <c r="B148" s="224" t="s">
        <v>776</v>
      </c>
      <c r="C148" s="869">
        <v>22826.632763605401</v>
      </c>
      <c r="D148" s="224" t="s">
        <v>780</v>
      </c>
      <c r="E148" s="868">
        <v>11778.0847448979</v>
      </c>
      <c r="F148" s="868">
        <v>0.51597994618272403</v>
      </c>
    </row>
    <row r="149" spans="1:6">
      <c r="A149" s="224">
        <v>2005</v>
      </c>
      <c r="B149" s="224" t="s">
        <v>781</v>
      </c>
      <c r="C149" s="869">
        <v>12395.919778911501</v>
      </c>
      <c r="D149" s="224" t="s">
        <v>777</v>
      </c>
      <c r="E149" s="868">
        <v>2854.1864115646199</v>
      </c>
      <c r="F149" s="868">
        <v>0.23025208798303701</v>
      </c>
    </row>
    <row r="150" spans="1:6">
      <c r="A150" s="224">
        <v>2005</v>
      </c>
      <c r="B150" s="224" t="s">
        <v>781</v>
      </c>
      <c r="C150" s="867">
        <v>17777.562999999998</v>
      </c>
      <c r="D150" s="224" t="s">
        <v>779</v>
      </c>
      <c r="E150" s="224">
        <v>4093.3209999999999</v>
      </c>
      <c r="F150" s="868">
        <v>0.23025208798303701</v>
      </c>
    </row>
    <row r="151" spans="1:6">
      <c r="A151" s="224">
        <v>2005</v>
      </c>
      <c r="B151" s="224" t="s">
        <v>781</v>
      </c>
      <c r="C151" s="869">
        <v>22826.632763605401</v>
      </c>
      <c r="D151" s="224" t="s">
        <v>780</v>
      </c>
      <c r="E151" s="868">
        <v>5255.8798554421701</v>
      </c>
      <c r="F151" s="868">
        <v>0.23025208798303701</v>
      </c>
    </row>
    <row r="152" spans="1:6">
      <c r="A152" s="224">
        <v>2005</v>
      </c>
      <c r="B152" s="224" t="s">
        <v>782</v>
      </c>
      <c r="C152" s="869">
        <v>12395.919778911501</v>
      </c>
      <c r="D152" s="224" t="s">
        <v>777</v>
      </c>
      <c r="E152" s="868">
        <v>3145.6873469387701</v>
      </c>
      <c r="F152" s="868">
        <v>0.253767965834237</v>
      </c>
    </row>
    <row r="153" spans="1:6">
      <c r="A153" s="224">
        <v>2005</v>
      </c>
      <c r="B153" s="224" t="s">
        <v>782</v>
      </c>
      <c r="C153" s="867">
        <v>17777.562999999998</v>
      </c>
      <c r="D153" s="224" t="s">
        <v>779</v>
      </c>
      <c r="E153" s="224">
        <v>4511.3760000000002</v>
      </c>
      <c r="F153" s="868">
        <v>0.253767965834237</v>
      </c>
    </row>
    <row r="154" spans="1:6">
      <c r="A154" s="224">
        <v>2005</v>
      </c>
      <c r="B154" s="224" t="s">
        <v>782</v>
      </c>
      <c r="C154" s="869">
        <v>22826.632763605401</v>
      </c>
      <c r="D154" s="224" t="s">
        <v>780</v>
      </c>
      <c r="E154" s="868">
        <v>5792.6681632652999</v>
      </c>
      <c r="F154" s="868">
        <v>0.253767965834237</v>
      </c>
    </row>
    <row r="155" spans="1:6">
      <c r="A155" s="224">
        <v>2010</v>
      </c>
      <c r="B155" s="224" t="s">
        <v>776</v>
      </c>
      <c r="C155" s="869">
        <v>12581.2969557823</v>
      </c>
      <c r="D155" s="224" t="s">
        <v>777</v>
      </c>
      <c r="E155" s="868">
        <v>6475.2931632652999</v>
      </c>
      <c r="F155" s="224">
        <v>0.51467612488784698</v>
      </c>
    </row>
    <row r="156" spans="1:6">
      <c r="A156" s="224">
        <v>2010</v>
      </c>
      <c r="B156" s="224" t="s">
        <v>776</v>
      </c>
      <c r="C156" s="867">
        <v>18043.420999999998</v>
      </c>
      <c r="D156" s="224" t="s">
        <v>779</v>
      </c>
      <c r="E156" s="224">
        <v>9286.518</v>
      </c>
      <c r="F156" s="224">
        <v>0.51467612488784698</v>
      </c>
    </row>
    <row r="157" spans="1:6">
      <c r="A157" s="224">
        <v>2010</v>
      </c>
      <c r="B157" s="224" t="s">
        <v>776</v>
      </c>
      <c r="C157" s="869">
        <v>23167.998052720999</v>
      </c>
      <c r="D157" s="224" t="s">
        <v>780</v>
      </c>
      <c r="E157" s="868">
        <v>11924.0154591836</v>
      </c>
      <c r="F157" s="868">
        <v>0.51467612488784598</v>
      </c>
    </row>
    <row r="158" spans="1:6">
      <c r="A158" s="224">
        <v>2010</v>
      </c>
      <c r="B158" s="224" t="s">
        <v>781</v>
      </c>
      <c r="C158" s="869">
        <v>12581.2969557823</v>
      </c>
      <c r="D158" s="224" t="s">
        <v>777</v>
      </c>
      <c r="E158" s="868">
        <v>2894.6230102040799</v>
      </c>
      <c r="F158" s="868">
        <v>0.230073498811561</v>
      </c>
    </row>
    <row r="159" spans="1:6">
      <c r="A159" s="224">
        <v>2010</v>
      </c>
      <c r="B159" s="224" t="s">
        <v>781</v>
      </c>
      <c r="C159" s="867">
        <v>18043.420999999998</v>
      </c>
      <c r="D159" s="224" t="s">
        <v>779</v>
      </c>
      <c r="E159" s="224">
        <v>4151.3130000000001</v>
      </c>
      <c r="F159" s="868">
        <v>0.230073498811561</v>
      </c>
    </row>
    <row r="160" spans="1:6">
      <c r="A160" s="224">
        <v>2010</v>
      </c>
      <c r="B160" s="224" t="s">
        <v>781</v>
      </c>
      <c r="C160" s="869">
        <v>23167.998052720999</v>
      </c>
      <c r="D160" s="224" t="s">
        <v>780</v>
      </c>
      <c r="E160" s="224">
        <v>5330.3423724489803</v>
      </c>
      <c r="F160" s="868">
        <v>0.230073498811561</v>
      </c>
    </row>
    <row r="161" spans="1:6">
      <c r="A161" s="224">
        <v>2010</v>
      </c>
      <c r="B161" s="224" t="s">
        <v>782</v>
      </c>
      <c r="C161" s="869">
        <v>12581.2969557823</v>
      </c>
      <c r="D161" s="224" t="s">
        <v>777</v>
      </c>
      <c r="E161" s="868">
        <v>3211.38078231292</v>
      </c>
      <c r="F161" s="868">
        <v>0.255250376300591</v>
      </c>
    </row>
    <row r="162" spans="1:6">
      <c r="A162" s="224">
        <v>2010</v>
      </c>
      <c r="B162" s="224" t="s">
        <v>782</v>
      </c>
      <c r="C162" s="867">
        <v>18043.420999999998</v>
      </c>
      <c r="D162" s="224" t="s">
        <v>779</v>
      </c>
      <c r="E162" s="224">
        <v>4605.59</v>
      </c>
      <c r="F162" s="868">
        <v>0.255250376300591</v>
      </c>
    </row>
    <row r="163" spans="1:6">
      <c r="A163" s="224">
        <v>2010</v>
      </c>
      <c r="B163" s="224" t="s">
        <v>782</v>
      </c>
      <c r="C163" s="869">
        <v>23167.998052720999</v>
      </c>
      <c r="D163" s="224" t="s">
        <v>780</v>
      </c>
      <c r="E163" s="868">
        <v>5913.6402210884298</v>
      </c>
      <c r="F163" s="868">
        <v>0.255250376300591</v>
      </c>
    </row>
    <row r="164" spans="1:6">
      <c r="A164" s="224">
        <v>2015</v>
      </c>
      <c r="B164" s="224" t="s">
        <v>776</v>
      </c>
      <c r="C164" s="869">
        <v>12711.9997959183</v>
      </c>
      <c r="D164" s="224" t="s">
        <v>777</v>
      </c>
      <c r="E164" s="868">
        <v>6532.1520748299299</v>
      </c>
      <c r="F164" s="868">
        <v>0.51385715699329204</v>
      </c>
    </row>
    <row r="165" spans="1:6">
      <c r="A165" s="224">
        <v>2015</v>
      </c>
      <c r="B165" s="224" t="s">
        <v>776</v>
      </c>
      <c r="C165" s="867">
        <v>18230.867999999999</v>
      </c>
      <c r="D165" s="224" t="s">
        <v>779</v>
      </c>
      <c r="E165" s="224">
        <v>9368.0619999999999</v>
      </c>
      <c r="F165" s="868">
        <v>0.51385715699329204</v>
      </c>
    </row>
    <row r="166" spans="1:6">
      <c r="A166" s="224">
        <v>2015</v>
      </c>
      <c r="B166" s="224" t="s">
        <v>776</v>
      </c>
      <c r="C166" s="869">
        <v>23408.6825510204</v>
      </c>
      <c r="D166" s="224" t="s">
        <v>780</v>
      </c>
      <c r="E166" s="868">
        <v>12028.7190646258</v>
      </c>
      <c r="F166" s="868">
        <v>0.51385715699329204</v>
      </c>
    </row>
    <row r="167" spans="1:6">
      <c r="A167" s="224">
        <v>2015</v>
      </c>
      <c r="B167" s="224" t="s">
        <v>781</v>
      </c>
      <c r="C167" s="869">
        <v>12711.9997959183</v>
      </c>
      <c r="D167" s="224" t="s">
        <v>777</v>
      </c>
      <c r="E167" s="868">
        <v>2919.1442176870701</v>
      </c>
      <c r="F167" s="868">
        <v>0.22963689935114401</v>
      </c>
    </row>
    <row r="168" spans="1:6">
      <c r="A168" s="224">
        <v>2015</v>
      </c>
      <c r="B168" s="224" t="s">
        <v>781</v>
      </c>
      <c r="C168" s="867">
        <v>18230.867999999999</v>
      </c>
      <c r="D168" s="224" t="s">
        <v>779</v>
      </c>
      <c r="E168" s="224">
        <v>4186.4799999999996</v>
      </c>
      <c r="F168" s="868">
        <v>0.22963689935114401</v>
      </c>
    </row>
    <row r="169" spans="1:6">
      <c r="A169" s="224">
        <v>2015</v>
      </c>
      <c r="B169" s="224" t="s">
        <v>781</v>
      </c>
      <c r="C169" s="869">
        <v>23408.6825510204</v>
      </c>
      <c r="D169" s="224" t="s">
        <v>780</v>
      </c>
      <c r="E169" s="868">
        <v>5375.49727891156</v>
      </c>
      <c r="F169" s="868">
        <v>0.22963689935114401</v>
      </c>
    </row>
    <row r="170" spans="1:6">
      <c r="A170" s="224">
        <v>2015</v>
      </c>
      <c r="B170" s="224" t="s">
        <v>782</v>
      </c>
      <c r="C170" s="869">
        <v>12711.9997959183</v>
      </c>
      <c r="D170" s="224" t="s">
        <v>777</v>
      </c>
      <c r="E170" s="868">
        <v>3260.7035034013602</v>
      </c>
      <c r="F170" s="868">
        <v>0.25650594365556201</v>
      </c>
    </row>
    <row r="171" spans="1:6">
      <c r="A171" s="224">
        <v>2015</v>
      </c>
      <c r="B171" s="224" t="s">
        <v>782</v>
      </c>
      <c r="C171" s="867">
        <v>18230.867999999999</v>
      </c>
      <c r="D171" s="224" t="s">
        <v>779</v>
      </c>
      <c r="E171" s="224">
        <v>4676.326</v>
      </c>
      <c r="F171" s="868">
        <v>0.25650594365556201</v>
      </c>
    </row>
    <row r="172" spans="1:6">
      <c r="A172" s="224">
        <v>2015</v>
      </c>
      <c r="B172" s="224" t="s">
        <v>782</v>
      </c>
      <c r="C172" s="869">
        <v>23408.6825510204</v>
      </c>
      <c r="D172" s="224" t="s">
        <v>780</v>
      </c>
      <c r="E172" s="868">
        <v>6004.4662074829903</v>
      </c>
      <c r="F172" s="868">
        <v>0.25650594365556201</v>
      </c>
    </row>
    <row r="173" spans="1:6">
      <c r="A173" s="224">
        <v>2019</v>
      </c>
      <c r="B173" s="224" t="s">
        <v>776</v>
      </c>
      <c r="C173" s="869">
        <v>13484.4244557823</v>
      </c>
      <c r="D173" s="224" t="s">
        <v>777</v>
      </c>
      <c r="E173" s="868">
        <v>6901.6436564625801</v>
      </c>
      <c r="F173" s="868">
        <v>0.51182337659973698</v>
      </c>
    </row>
    <row r="174" spans="1:6">
      <c r="A174" s="224">
        <v>2019</v>
      </c>
      <c r="B174" s="224" t="s">
        <v>776</v>
      </c>
      <c r="C174" s="867">
        <v>19338.637999999999</v>
      </c>
      <c r="D174" s="224" t="s">
        <v>779</v>
      </c>
      <c r="E174" s="224">
        <v>9897.9670000000006</v>
      </c>
      <c r="F174" s="868">
        <v>0.51182337659973698</v>
      </c>
    </row>
    <row r="175" spans="1:6">
      <c r="A175" s="224">
        <v>2019</v>
      </c>
      <c r="B175" s="224" t="s">
        <v>776</v>
      </c>
      <c r="C175" s="869">
        <v>24831.074302721001</v>
      </c>
      <c r="D175" s="224" t="s">
        <v>780</v>
      </c>
      <c r="E175" s="868">
        <v>12709.1242942176</v>
      </c>
      <c r="F175" s="868">
        <v>0.51182337659973698</v>
      </c>
    </row>
    <row r="176" spans="1:6">
      <c r="A176" s="224">
        <v>2019</v>
      </c>
      <c r="B176" s="224" t="s">
        <v>781</v>
      </c>
      <c r="C176" s="869">
        <v>13484.4244557823</v>
      </c>
      <c r="D176" s="224" t="s">
        <v>777</v>
      </c>
      <c r="E176" s="868">
        <v>3107.2547278911502</v>
      </c>
      <c r="F176" s="868">
        <v>0.23043287743428401</v>
      </c>
    </row>
    <row r="177" spans="1:6">
      <c r="A177" s="224">
        <v>2019</v>
      </c>
      <c r="B177" s="224" t="s">
        <v>781</v>
      </c>
      <c r="C177" s="867">
        <v>19338.637999999999</v>
      </c>
      <c r="D177" s="224" t="s">
        <v>779</v>
      </c>
      <c r="E177" s="224">
        <v>4456.2579999999998</v>
      </c>
      <c r="F177" s="868">
        <v>0.23043287743428401</v>
      </c>
    </row>
    <row r="178" spans="1:6">
      <c r="A178" s="224">
        <v>2019</v>
      </c>
      <c r="B178" s="224" t="s">
        <v>781</v>
      </c>
      <c r="C178" s="869">
        <v>24831.074302721001</v>
      </c>
      <c r="D178" s="224" t="s">
        <v>780</v>
      </c>
      <c r="E178" s="868">
        <v>5721.8959013605399</v>
      </c>
      <c r="F178" s="868">
        <v>0.23043287743428401</v>
      </c>
    </row>
    <row r="179" spans="1:6">
      <c r="A179" s="224">
        <v>2019</v>
      </c>
      <c r="B179" s="224" t="s">
        <v>782</v>
      </c>
      <c r="C179" s="869">
        <v>13484.4244557823</v>
      </c>
      <c r="D179" s="224" t="s">
        <v>777</v>
      </c>
      <c r="E179" s="868">
        <v>3475.52607142857</v>
      </c>
      <c r="F179" s="868">
        <v>0.25774374596597699</v>
      </c>
    </row>
    <row r="180" spans="1:6">
      <c r="A180" s="224">
        <v>2019</v>
      </c>
      <c r="B180" s="224" t="s">
        <v>782</v>
      </c>
      <c r="C180" s="867">
        <v>19338.637999999999</v>
      </c>
      <c r="D180" s="224" t="s">
        <v>779</v>
      </c>
      <c r="E180" s="868">
        <v>4984.4129999999996</v>
      </c>
      <c r="F180" s="868">
        <v>0.25774374596597699</v>
      </c>
    </row>
    <row r="181" spans="1:6">
      <c r="A181" s="224">
        <v>2019</v>
      </c>
      <c r="B181" s="224" t="s">
        <v>782</v>
      </c>
      <c r="C181" s="869">
        <v>24831.074302721001</v>
      </c>
      <c r="D181" s="224" t="s">
        <v>780</v>
      </c>
      <c r="E181" s="868">
        <v>6400.0541071428497</v>
      </c>
      <c r="F181" s="868">
        <v>0.25774374596597699</v>
      </c>
    </row>
    <row r="182" spans="1:6">
      <c r="A182" s="224">
        <v>2020</v>
      </c>
      <c r="B182" s="224" t="s">
        <v>776</v>
      </c>
      <c r="C182" s="869">
        <v>11683.7368280094</v>
      </c>
      <c r="D182" s="224" t="s">
        <v>777</v>
      </c>
      <c r="E182" s="868">
        <v>6118.5902748969302</v>
      </c>
      <c r="F182" s="868">
        <v>0.52368436271423302</v>
      </c>
    </row>
    <row r="183" spans="1:6">
      <c r="A183" s="224">
        <v>2020</v>
      </c>
      <c r="B183" s="224" t="s">
        <v>776</v>
      </c>
      <c r="C183" s="869">
        <v>16756.188426510998</v>
      </c>
      <c r="D183" s="224" t="s">
        <v>779</v>
      </c>
      <c r="E183" s="868">
        <v>8774.9538576570594</v>
      </c>
      <c r="F183" s="868">
        <v>0.52368436271423302</v>
      </c>
    </row>
    <row r="184" spans="1:6">
      <c r="A184" s="224">
        <v>2020</v>
      </c>
      <c r="B184" s="224" t="s">
        <v>776</v>
      </c>
      <c r="C184" s="869">
        <v>21515.173914992902</v>
      </c>
      <c r="D184" s="224" t="s">
        <v>780</v>
      </c>
      <c r="E184" s="868">
        <v>11267.160140358899</v>
      </c>
      <c r="F184" s="224">
        <v>0.52368436271423302</v>
      </c>
    </row>
    <row r="185" spans="1:6">
      <c r="A185" s="224">
        <v>2020</v>
      </c>
      <c r="B185" s="224" t="s">
        <v>781</v>
      </c>
      <c r="C185" s="869">
        <v>11683.7368280094</v>
      </c>
      <c r="D185" s="224" t="s">
        <v>777</v>
      </c>
      <c r="E185" s="868">
        <v>2584.5872312710599</v>
      </c>
      <c r="F185" s="868">
        <v>0.221212380021692</v>
      </c>
    </row>
    <row r="186" spans="1:6">
      <c r="A186" s="224">
        <v>2020</v>
      </c>
      <c r="B186" s="224" t="s">
        <v>781</v>
      </c>
      <c r="C186" s="869">
        <v>16756.188426510998</v>
      </c>
      <c r="D186" s="224" t="s">
        <v>779</v>
      </c>
      <c r="E186" s="868">
        <v>3706.6763219204599</v>
      </c>
      <c r="F186" s="868">
        <v>0.221212380021692</v>
      </c>
    </row>
    <row r="187" spans="1:6">
      <c r="A187" s="224">
        <v>2020</v>
      </c>
      <c r="B187" s="224" t="s">
        <v>781</v>
      </c>
      <c r="C187" s="869">
        <v>21515.173914992902</v>
      </c>
      <c r="D187" s="224" t="s">
        <v>780</v>
      </c>
      <c r="E187" s="868">
        <v>4759.4228283162302</v>
      </c>
      <c r="F187" s="868">
        <v>0.221212380021692</v>
      </c>
    </row>
    <row r="188" spans="1:6">
      <c r="A188" s="224">
        <v>2020</v>
      </c>
      <c r="B188" s="224" t="s">
        <v>782</v>
      </c>
      <c r="C188" s="869">
        <v>11683.7368280094</v>
      </c>
      <c r="D188" s="224" t="s">
        <v>777</v>
      </c>
      <c r="E188" s="868">
        <v>2980.5593218414201</v>
      </c>
      <c r="F188" s="868">
        <v>0.25510325726407401</v>
      </c>
    </row>
    <row r="189" spans="1:6">
      <c r="A189" s="224">
        <v>2020</v>
      </c>
      <c r="B189" s="224" t="s">
        <v>782</v>
      </c>
      <c r="C189" s="869">
        <v>16756.188426510998</v>
      </c>
      <c r="D189" s="224" t="s">
        <v>779</v>
      </c>
      <c r="E189" s="868">
        <v>4274.5582469335604</v>
      </c>
      <c r="F189" s="868">
        <v>0.25510325726407401</v>
      </c>
    </row>
    <row r="190" spans="1:6">
      <c r="A190" s="224">
        <v>2020</v>
      </c>
      <c r="B190" s="224" t="s">
        <v>782</v>
      </c>
      <c r="C190" s="869">
        <v>21515.173914992902</v>
      </c>
      <c r="D190" s="224" t="s">
        <v>780</v>
      </c>
      <c r="E190" s="868">
        <v>5488.5909463177504</v>
      </c>
      <c r="F190" s="868">
        <v>0.25510325726407401</v>
      </c>
    </row>
  </sheetData>
  <mergeCells count="2">
    <mergeCell ref="A114:Q115"/>
    <mergeCell ref="A2:Q3"/>
  </mergeCells>
  <conditionalFormatting sqref="G6:K13 G15:K22 G24:K32">
    <cfRule type="cellIs" dxfId="130"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29"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86">
    <cfRule type="containsBlanks" dxfId="128"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27"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26"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25" priority="5" stopIfTrue="1" operator="notBetween">
      <formula>1</formula>
      <formula>4</formula>
    </cfRule>
  </conditionalFormatting>
  <conditionalFormatting sqref="I86:N86">
    <cfRule type="cellIs" dxfId="124" priority="2" stopIfTrue="1" operator="notBetween">
      <formula>1</formula>
      <formula>4</formula>
    </cfRule>
  </conditionalFormatting>
  <conditionalFormatting sqref="I87:N87">
    <cfRule type="containsBlanks" dxfId="123"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122"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121"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120"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119"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118" priority="48">
      <formula>LEN(TRIM(I66))=0</formula>
    </cfRule>
  </conditionalFormatting>
  <conditionalFormatting sqref="I74:O81 I88:O93 I83 K83:O83 I84:O85 J86:O86 G6:L13 G15:L22 G24:L32 G37:L44 G46:L53 G55:L62 O86:O87">
    <cfRule type="containsBlanks" dxfId="117" priority="54">
      <formula>LEN(TRIM(G6))=0</formula>
    </cfRule>
  </conditionalFormatting>
  <conditionalFormatting sqref="I82:O82">
    <cfRule type="containsBlanks" dxfId="116" priority="22">
      <formula>LEN(TRIM(I82))=0</formula>
    </cfRule>
  </conditionalFormatting>
  <conditionalFormatting sqref="I94:O95">
    <cfRule type="containsBlanks" dxfId="115" priority="13">
      <formula>LEN(TRIM(I94))=0</formula>
    </cfRule>
  </conditionalFormatting>
  <conditionalFormatting sqref="I98:O98">
    <cfRule type="containsBlanks" dxfId="114" priority="10">
      <formula>LEN(TRIM(I98))=0</formula>
    </cfRule>
  </conditionalFormatting>
  <conditionalFormatting sqref="I99:O105">
    <cfRule type="containsBlanks" dxfId="113" priority="61">
      <formula>LEN(TRIM(I99))=0</formula>
    </cfRule>
  </conditionalFormatting>
  <conditionalFormatting sqref="I106:O111">
    <cfRule type="containsBlanks" dxfId="112" priority="7">
      <formula>LEN(TRIM(I106))=0</formula>
    </cfRule>
  </conditionalFormatting>
  <conditionalFormatting sqref="J83">
    <cfRule type="containsBlanks" dxfId="111"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110" priority="62" operator="containsText" text="Actual TC">
      <formula>NOT(ISERROR(SEARCH("Actual TC",M6)))</formula>
    </cfRule>
  </conditionalFormatting>
  <conditionalFormatting sqref="M37:M44">
    <cfRule type="containsText" dxfId="109" priority="57" operator="containsText" text="Actual TC">
      <formula>NOT(ISERROR(SEARCH("Actual TC",M37)))</formula>
    </cfRule>
  </conditionalFormatting>
  <conditionalFormatting sqref="M46:M53">
    <cfRule type="containsText" dxfId="108" priority="26" operator="containsText" text="Actual TC">
      <formula>NOT(ISERROR(SEARCH("Actual TC",M46)))</formula>
    </cfRule>
  </conditionalFormatting>
  <conditionalFormatting sqref="M55:M62">
    <cfRule type="containsText" dxfId="107"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106"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109" zoomScale="85" zoomScaleNormal="85" workbookViewId="0">
      <selection activeCell="A142" sqref="A142:P144"/>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137" t="s">
        <v>801</v>
      </c>
      <c r="B1" s="1137"/>
      <c r="C1" s="1137"/>
      <c r="D1" s="1137"/>
      <c r="E1" s="1137"/>
      <c r="F1" s="1137"/>
      <c r="G1" s="1137"/>
      <c r="H1" s="1137"/>
      <c r="I1" s="1137"/>
      <c r="J1" s="1137"/>
      <c r="K1" s="1137"/>
      <c r="L1" s="1137"/>
      <c r="M1" s="1137"/>
      <c r="N1" s="1137"/>
      <c r="O1" s="1137"/>
      <c r="P1" s="1137"/>
      <c r="Q1" s="1137"/>
      <c r="R1" s="1137"/>
      <c r="S1" s="1137"/>
    </row>
    <row r="2" spans="1:19">
      <c r="A2" s="316" t="s">
        <v>802</v>
      </c>
      <c r="B2" s="316" t="s">
        <v>131</v>
      </c>
      <c r="C2" s="316" t="s">
        <v>101</v>
      </c>
      <c r="D2" s="316" t="s">
        <v>803</v>
      </c>
      <c r="E2" s="1172" t="s">
        <v>104</v>
      </c>
      <c r="F2" s="1173"/>
      <c r="G2" s="1173"/>
      <c r="H2" s="1173"/>
      <c r="I2" s="1173"/>
      <c r="J2" s="1173"/>
      <c r="K2" s="1173"/>
      <c r="L2" s="1173"/>
      <c r="M2" s="1173"/>
      <c r="N2" s="1173"/>
      <c r="O2" s="1173"/>
    </row>
    <row r="3" spans="1:19">
      <c r="A3" s="117" t="s">
        <v>804</v>
      </c>
      <c r="B3" s="117" t="s">
        <v>180</v>
      </c>
      <c r="C3" s="117">
        <v>2014</v>
      </c>
      <c r="D3" s="315">
        <v>161.19999999999999</v>
      </c>
      <c r="E3" s="1171" t="s">
        <v>805</v>
      </c>
      <c r="F3" s="1171"/>
      <c r="G3" s="1171"/>
      <c r="H3" s="1194" t="s">
        <v>806</v>
      </c>
      <c r="I3" s="1194"/>
      <c r="J3" s="1194"/>
      <c r="K3" s="1194"/>
      <c r="L3" s="1194"/>
      <c r="M3" s="1194"/>
      <c r="N3" s="1194"/>
      <c r="O3" s="1194"/>
    </row>
    <row r="4" spans="1:19">
      <c r="A4" s="117" t="s">
        <v>804</v>
      </c>
      <c r="B4" s="117" t="s">
        <v>180</v>
      </c>
      <c r="C4" s="117">
        <v>2015</v>
      </c>
      <c r="D4" s="315">
        <v>138.19999999999999</v>
      </c>
      <c r="E4" s="1171" t="s">
        <v>807</v>
      </c>
      <c r="F4" s="1171"/>
      <c r="G4" s="1171"/>
      <c r="H4" s="1174" t="s">
        <v>808</v>
      </c>
      <c r="I4" s="1174"/>
      <c r="J4" s="1174"/>
      <c r="K4" s="1174"/>
      <c r="L4" s="1174"/>
      <c r="M4" s="1174"/>
      <c r="N4" s="1174"/>
      <c r="O4" s="1174"/>
    </row>
    <row r="5" spans="1:19">
      <c r="A5" s="117" t="s">
        <v>804</v>
      </c>
      <c r="B5" s="117" t="s">
        <v>180</v>
      </c>
      <c r="C5" s="117">
        <v>2016</v>
      </c>
      <c r="D5" s="117">
        <v>110</v>
      </c>
      <c r="E5" s="1171" t="s">
        <v>807</v>
      </c>
      <c r="F5" s="1171"/>
      <c r="G5" s="1171"/>
      <c r="H5" s="1174" t="s">
        <v>808</v>
      </c>
      <c r="I5" s="1174"/>
      <c r="J5" s="1174"/>
      <c r="K5" s="1174"/>
      <c r="L5" s="1174"/>
      <c r="M5" s="1174"/>
      <c r="N5" s="1174"/>
      <c r="O5" s="1174"/>
    </row>
    <row r="6" spans="1:19">
      <c r="A6" s="117" t="s">
        <v>804</v>
      </c>
      <c r="B6" s="117" t="s">
        <v>180</v>
      </c>
      <c r="C6" s="117">
        <v>2017</v>
      </c>
      <c r="D6" s="117">
        <v>109.1</v>
      </c>
      <c r="E6" s="1171" t="s">
        <v>809</v>
      </c>
      <c r="F6" s="1171"/>
      <c r="G6" s="1171"/>
      <c r="H6" s="1174" t="s">
        <v>810</v>
      </c>
      <c r="I6" s="1174"/>
      <c r="J6" s="1174"/>
      <c r="K6" s="1174"/>
      <c r="L6" s="1174"/>
      <c r="M6" s="1174"/>
      <c r="N6" s="1174"/>
      <c r="O6" s="1174"/>
    </row>
    <row r="7" spans="1:19">
      <c r="A7" s="117" t="s">
        <v>804</v>
      </c>
      <c r="B7" s="117" t="s">
        <v>180</v>
      </c>
      <c r="C7" s="117">
        <v>2018</v>
      </c>
      <c r="D7" s="117">
        <v>108.2</v>
      </c>
      <c r="E7" s="1171" t="s">
        <v>809</v>
      </c>
      <c r="F7" s="1171"/>
      <c r="G7" s="1171"/>
      <c r="H7" s="1174" t="s">
        <v>810</v>
      </c>
      <c r="I7" s="1174"/>
      <c r="J7" s="1174"/>
      <c r="K7" s="1174"/>
      <c r="L7" s="1174"/>
      <c r="M7" s="1174"/>
      <c r="N7" s="1174"/>
      <c r="O7" s="1174"/>
    </row>
    <row r="8" spans="1:19">
      <c r="A8" s="117" t="s">
        <v>804</v>
      </c>
      <c r="B8" s="117" t="s">
        <v>180</v>
      </c>
      <c r="C8" s="117">
        <v>2019</v>
      </c>
      <c r="D8" s="117">
        <v>106.1</v>
      </c>
      <c r="E8" s="1171" t="s">
        <v>811</v>
      </c>
      <c r="F8" s="1171"/>
      <c r="G8" s="1171"/>
      <c r="H8" s="1174" t="s">
        <v>812</v>
      </c>
      <c r="I8" s="1174"/>
      <c r="J8" s="1174"/>
      <c r="K8" s="1174"/>
      <c r="L8" s="1174"/>
      <c r="M8" s="1174"/>
      <c r="N8" s="1174"/>
      <c r="O8" s="1174"/>
    </row>
    <row r="9" spans="1:19">
      <c r="A9" s="117" t="s">
        <v>804</v>
      </c>
      <c r="B9" s="117" t="s">
        <v>180</v>
      </c>
      <c r="C9" s="117">
        <v>2020</v>
      </c>
      <c r="D9" s="315">
        <v>112</v>
      </c>
      <c r="E9" s="1171" t="s">
        <v>813</v>
      </c>
      <c r="F9" s="1171"/>
      <c r="G9" s="1171"/>
      <c r="H9" s="1174" t="s">
        <v>814</v>
      </c>
      <c r="I9" s="1174"/>
      <c r="J9" s="1174"/>
      <c r="K9" s="1174"/>
      <c r="L9" s="1174"/>
      <c r="M9" s="1174"/>
      <c r="N9" s="1174"/>
      <c r="O9" s="1174"/>
    </row>
    <row r="10" spans="1:19">
      <c r="A10" s="117" t="s">
        <v>804</v>
      </c>
      <c r="B10" s="117" t="s">
        <v>180</v>
      </c>
      <c r="C10" s="117">
        <v>2021</v>
      </c>
      <c r="D10" s="117">
        <v>109.5</v>
      </c>
      <c r="E10" s="1171" t="s">
        <v>813</v>
      </c>
      <c r="F10" s="1171"/>
      <c r="G10" s="1171"/>
      <c r="H10" s="1174" t="s">
        <v>814</v>
      </c>
      <c r="I10" s="1174"/>
      <c r="J10" s="1174"/>
      <c r="K10" s="1174"/>
      <c r="L10" s="1174"/>
      <c r="M10" s="1174"/>
      <c r="N10" s="1174"/>
      <c r="O10" s="1174"/>
    </row>
    <row r="11" spans="1:19">
      <c r="A11" s="117" t="s">
        <v>804</v>
      </c>
      <c r="B11" s="117" t="s">
        <v>180</v>
      </c>
      <c r="C11" s="117">
        <v>2022</v>
      </c>
      <c r="D11" s="117">
        <v>98.2</v>
      </c>
      <c r="E11" s="1171" t="s">
        <v>813</v>
      </c>
      <c r="F11" s="1171"/>
      <c r="G11" s="1171"/>
      <c r="H11" s="1174" t="s">
        <v>814</v>
      </c>
      <c r="I11" s="1174"/>
      <c r="J11" s="1174"/>
      <c r="K11" s="1174"/>
      <c r="L11" s="1174"/>
      <c r="M11" s="1174"/>
      <c r="N11" s="1174"/>
      <c r="O11" s="1174"/>
    </row>
    <row r="12" spans="1:19">
      <c r="G12" s="337">
        <v>2015</v>
      </c>
      <c r="H12" s="337">
        <v>2016</v>
      </c>
      <c r="I12" s="337">
        <v>2017</v>
      </c>
      <c r="J12" s="337">
        <v>2018</v>
      </c>
      <c r="K12" s="337">
        <v>2019</v>
      </c>
      <c r="L12" s="337">
        <v>2020</v>
      </c>
      <c r="M12" s="337">
        <v>2021</v>
      </c>
      <c r="N12" s="337">
        <v>2022</v>
      </c>
    </row>
    <row r="13" spans="1:19" s="76" customFormat="1" ht="45" customHeight="1">
      <c r="A13" s="181" t="s">
        <v>129</v>
      </c>
      <c r="B13" s="181" t="s">
        <v>130</v>
      </c>
      <c r="C13" s="181" t="s">
        <v>815</v>
      </c>
      <c r="D13" s="1170" t="s">
        <v>104</v>
      </c>
      <c r="E13" s="1170"/>
      <c r="F13" s="181" t="s">
        <v>816</v>
      </c>
      <c r="G13" s="622" t="s">
        <v>803</v>
      </c>
      <c r="H13" s="622" t="s">
        <v>803</v>
      </c>
      <c r="I13" s="622" t="s">
        <v>803</v>
      </c>
      <c r="J13" s="622" t="s">
        <v>803</v>
      </c>
      <c r="K13" s="622" t="s">
        <v>803</v>
      </c>
      <c r="L13" s="622" t="s">
        <v>803</v>
      </c>
      <c r="M13" s="622" t="s">
        <v>803</v>
      </c>
      <c r="N13" s="622" t="s">
        <v>803</v>
      </c>
    </row>
    <row r="14" spans="1:19">
      <c r="A14" s="224" t="s">
        <v>804</v>
      </c>
      <c r="B14" s="224" t="s">
        <v>817</v>
      </c>
      <c r="C14" s="310">
        <v>0.48</v>
      </c>
      <c r="D14" s="1175" t="s">
        <v>818</v>
      </c>
      <c r="E14" s="1176"/>
      <c r="F14" s="117" t="s">
        <v>819</v>
      </c>
      <c r="G14" s="315">
        <f>$D$4*$C14</f>
        <v>66.335999999999999</v>
      </c>
      <c r="H14" s="315">
        <f>$D$5*$C14</f>
        <v>52.8</v>
      </c>
      <c r="I14" s="315">
        <f>$D$6*$C14</f>
        <v>52.367999999999995</v>
      </c>
      <c r="J14" s="315">
        <f>$D$7*$C14</f>
        <v>51.936</v>
      </c>
      <c r="K14" s="315">
        <f>$D$8*$C14</f>
        <v>50.927999999999997</v>
      </c>
      <c r="L14" s="315">
        <f>$D$9*$C14</f>
        <v>53.76</v>
      </c>
      <c r="M14" s="315">
        <f>$D$10*$C14</f>
        <v>52.559999999999995</v>
      </c>
      <c r="N14" s="315">
        <f>$D$11*$C14</f>
        <v>47.136000000000003</v>
      </c>
    </row>
    <row r="15" spans="1:19">
      <c r="A15" s="224" t="s">
        <v>804</v>
      </c>
      <c r="B15" s="224" t="s">
        <v>820</v>
      </c>
      <c r="C15" s="310">
        <v>0.24</v>
      </c>
      <c r="D15" s="1175" t="s">
        <v>818</v>
      </c>
      <c r="E15" s="1176"/>
      <c r="F15" s="117" t="s">
        <v>819</v>
      </c>
      <c r="G15" s="315">
        <f t="shared" ref="G15:G19" si="0">$D$4*$C15</f>
        <v>33.167999999999999</v>
      </c>
      <c r="H15" s="315">
        <f t="shared" ref="H15:H19" si="1">$D$5*$C15</f>
        <v>26.4</v>
      </c>
      <c r="I15" s="315">
        <f t="shared" ref="I15:I19" si="2">$D$6*$C15</f>
        <v>26.183999999999997</v>
      </c>
      <c r="J15" s="315">
        <f t="shared" ref="J15:J19" si="3">$D$7*$C15</f>
        <v>25.968</v>
      </c>
      <c r="K15" s="315">
        <f t="shared" ref="K15:K19" si="4">$D$8*$C15</f>
        <v>25.463999999999999</v>
      </c>
      <c r="L15" s="315">
        <f t="shared" ref="L15:L19" si="5">$D$9*$C15</f>
        <v>26.88</v>
      </c>
      <c r="M15" s="315">
        <f t="shared" ref="M15:M19" si="6">$D$10*$C15</f>
        <v>26.279999999999998</v>
      </c>
      <c r="N15" s="315">
        <f t="shared" ref="N15:N19" si="7">$D$11*$C15</f>
        <v>23.568000000000001</v>
      </c>
    </row>
    <row r="16" spans="1:19">
      <c r="A16" s="224" t="s">
        <v>804</v>
      </c>
      <c r="B16" s="224" t="s">
        <v>821</v>
      </c>
      <c r="C16" s="310">
        <v>0.09</v>
      </c>
      <c r="D16" s="1175" t="s">
        <v>818</v>
      </c>
      <c r="E16" s="1176"/>
      <c r="F16" s="117" t="s">
        <v>819</v>
      </c>
      <c r="G16" s="315">
        <f t="shared" si="0"/>
        <v>12.437999999999999</v>
      </c>
      <c r="H16" s="315">
        <f t="shared" si="1"/>
        <v>9.9</v>
      </c>
      <c r="I16" s="315">
        <f t="shared" si="2"/>
        <v>9.8189999999999991</v>
      </c>
      <c r="J16" s="315">
        <f t="shared" si="3"/>
        <v>9.7379999999999995</v>
      </c>
      <c r="K16" s="315">
        <f t="shared" si="4"/>
        <v>9.5489999999999995</v>
      </c>
      <c r="L16" s="315">
        <f t="shared" si="5"/>
        <v>10.08</v>
      </c>
      <c r="M16" s="315">
        <f t="shared" si="6"/>
        <v>9.8550000000000004</v>
      </c>
      <c r="N16" s="315">
        <f t="shared" si="7"/>
        <v>8.8379999999999992</v>
      </c>
    </row>
    <row r="17" spans="1:14">
      <c r="A17" s="313" t="s">
        <v>804</v>
      </c>
      <c r="B17" s="313" t="s">
        <v>822</v>
      </c>
      <c r="C17" s="620">
        <v>0.08</v>
      </c>
      <c r="D17" s="1183" t="s">
        <v>818</v>
      </c>
      <c r="E17" s="1184"/>
      <c r="F17" s="117" t="s">
        <v>823</v>
      </c>
      <c r="G17" s="315">
        <f t="shared" si="0"/>
        <v>11.055999999999999</v>
      </c>
      <c r="H17" s="315">
        <f t="shared" si="1"/>
        <v>8.8000000000000007</v>
      </c>
      <c r="I17" s="315">
        <f t="shared" si="2"/>
        <v>8.7279999999999998</v>
      </c>
      <c r="J17" s="315">
        <f t="shared" si="3"/>
        <v>8.6560000000000006</v>
      </c>
      <c r="K17" s="315">
        <f t="shared" si="4"/>
        <v>8.4879999999999995</v>
      </c>
      <c r="L17" s="315">
        <f t="shared" si="5"/>
        <v>8.9600000000000009</v>
      </c>
      <c r="M17" s="315">
        <f t="shared" si="6"/>
        <v>8.76</v>
      </c>
      <c r="N17" s="315">
        <f t="shared" si="7"/>
        <v>7.8560000000000008</v>
      </c>
    </row>
    <row r="18" spans="1:14">
      <c r="A18" s="313" t="s">
        <v>804</v>
      </c>
      <c r="B18" s="313" t="s">
        <v>824</v>
      </c>
      <c r="C18" s="620">
        <v>7.0000000000000007E-2</v>
      </c>
      <c r="D18" s="1183" t="s">
        <v>818</v>
      </c>
      <c r="E18" s="1184"/>
      <c r="F18" s="117" t="s">
        <v>823</v>
      </c>
      <c r="G18" s="315">
        <f t="shared" si="0"/>
        <v>9.6739999999999995</v>
      </c>
      <c r="H18" s="315">
        <f t="shared" si="1"/>
        <v>7.7000000000000011</v>
      </c>
      <c r="I18" s="315">
        <f t="shared" si="2"/>
        <v>7.6370000000000005</v>
      </c>
      <c r="J18" s="315">
        <f t="shared" si="3"/>
        <v>7.5740000000000007</v>
      </c>
      <c r="K18" s="315">
        <f t="shared" si="4"/>
        <v>7.4270000000000005</v>
      </c>
      <c r="L18" s="315">
        <f t="shared" si="5"/>
        <v>7.8400000000000007</v>
      </c>
      <c r="M18" s="315">
        <f t="shared" si="6"/>
        <v>7.6650000000000009</v>
      </c>
      <c r="N18" s="315">
        <f t="shared" si="7"/>
        <v>6.8740000000000006</v>
      </c>
    </row>
    <row r="19" spans="1:14">
      <c r="A19" s="313" t="s">
        <v>804</v>
      </c>
      <c r="B19" s="313" t="s">
        <v>825</v>
      </c>
      <c r="C19" s="620">
        <v>0.04</v>
      </c>
      <c r="D19" s="1183" t="s">
        <v>818</v>
      </c>
      <c r="E19" s="1184"/>
      <c r="F19" s="117" t="s">
        <v>823</v>
      </c>
      <c r="G19" s="315">
        <f t="shared" si="0"/>
        <v>5.5279999999999996</v>
      </c>
      <c r="H19" s="315">
        <f t="shared" si="1"/>
        <v>4.4000000000000004</v>
      </c>
      <c r="I19" s="315">
        <f t="shared" si="2"/>
        <v>4.3639999999999999</v>
      </c>
      <c r="J19" s="315">
        <f t="shared" si="3"/>
        <v>4.3280000000000003</v>
      </c>
      <c r="K19" s="315">
        <f t="shared" si="4"/>
        <v>4.2439999999999998</v>
      </c>
      <c r="L19" s="315">
        <f t="shared" si="5"/>
        <v>4.4800000000000004</v>
      </c>
      <c r="M19" s="315">
        <f t="shared" si="6"/>
        <v>4.38</v>
      </c>
      <c r="N19" s="315">
        <f t="shared" si="7"/>
        <v>3.9280000000000004</v>
      </c>
    </row>
    <row r="20" spans="1:14" s="76" customFormat="1" ht="45" customHeight="1">
      <c r="A20" s="181" t="s">
        <v>129</v>
      </c>
      <c r="B20" s="181" t="s">
        <v>130</v>
      </c>
      <c r="C20" s="181" t="s">
        <v>815</v>
      </c>
      <c r="D20" s="1170" t="s">
        <v>104</v>
      </c>
      <c r="E20" s="1170"/>
      <c r="F20" s="181" t="s">
        <v>816</v>
      </c>
      <c r="G20" s="623" t="s">
        <v>803</v>
      </c>
      <c r="H20" s="623" t="s">
        <v>803</v>
      </c>
      <c r="I20" s="623" t="s">
        <v>803</v>
      </c>
      <c r="J20" s="623" t="s">
        <v>803</v>
      </c>
      <c r="K20" s="623" t="s">
        <v>803</v>
      </c>
      <c r="L20" s="623" t="s">
        <v>803</v>
      </c>
      <c r="M20" s="623" t="s">
        <v>803</v>
      </c>
      <c r="N20" s="623" t="s">
        <v>803</v>
      </c>
    </row>
    <row r="21" spans="1:14">
      <c r="A21" s="224" t="s">
        <v>817</v>
      </c>
      <c r="B21" s="224" t="s">
        <v>432</v>
      </c>
      <c r="C21" s="619">
        <f>1/7</f>
        <v>0.14285714285714285</v>
      </c>
      <c r="D21" s="1177" t="s">
        <v>826</v>
      </c>
      <c r="E21" s="1178"/>
      <c r="F21" s="117" t="s">
        <v>819</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817</v>
      </c>
      <c r="B22" s="224" t="s">
        <v>434</v>
      </c>
      <c r="C22" s="619">
        <f t="shared" ref="C22:C27" si="14">1/7</f>
        <v>0.14285714285714285</v>
      </c>
      <c r="D22" s="1179"/>
      <c r="E22" s="1180"/>
      <c r="F22" s="117" t="s">
        <v>819</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817</v>
      </c>
      <c r="B23" s="224" t="s">
        <v>435</v>
      </c>
      <c r="C23" s="619">
        <f t="shared" si="14"/>
        <v>0.14285714285714285</v>
      </c>
      <c r="D23" s="1179"/>
      <c r="E23" s="1180"/>
      <c r="F23" s="117" t="s">
        <v>819</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817</v>
      </c>
      <c r="B24" s="224" t="s">
        <v>436</v>
      </c>
      <c r="C24" s="619">
        <f t="shared" si="14"/>
        <v>0.14285714285714285</v>
      </c>
      <c r="D24" s="1179"/>
      <c r="E24" s="1180"/>
      <c r="F24" s="117" t="s">
        <v>819</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817</v>
      </c>
      <c r="B25" s="224" t="s">
        <v>437</v>
      </c>
      <c r="C25" s="619">
        <f t="shared" si="14"/>
        <v>0.14285714285714285</v>
      </c>
      <c r="D25" s="1179"/>
      <c r="E25" s="1180"/>
      <c r="F25" s="117" t="s">
        <v>819</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817</v>
      </c>
      <c r="B26" s="224" t="s">
        <v>438</v>
      </c>
      <c r="C26" s="619">
        <f t="shared" si="14"/>
        <v>0.14285714285714285</v>
      </c>
      <c r="D26" s="1179"/>
      <c r="E26" s="1180"/>
      <c r="F26" s="117" t="s">
        <v>819</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817</v>
      </c>
      <c r="B27" s="224" t="s">
        <v>827</v>
      </c>
      <c r="C27" s="619">
        <f t="shared" si="14"/>
        <v>0.14285714285714285</v>
      </c>
      <c r="D27" s="1181"/>
      <c r="E27" s="1182"/>
      <c r="F27" s="117" t="s">
        <v>819</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820</v>
      </c>
      <c r="B28" s="224" t="s">
        <v>440</v>
      </c>
      <c r="C28" s="130">
        <f>1/5</f>
        <v>0.2</v>
      </c>
      <c r="D28" s="1177" t="s">
        <v>826</v>
      </c>
      <c r="E28" s="1178"/>
      <c r="F28" s="117" t="s">
        <v>819</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820</v>
      </c>
      <c r="B29" s="224" t="s">
        <v>441</v>
      </c>
      <c r="C29" s="130">
        <f t="shared" ref="C29:C32" si="17">1/5</f>
        <v>0.2</v>
      </c>
      <c r="D29" s="1179"/>
      <c r="E29" s="1180"/>
      <c r="F29" s="117" t="s">
        <v>819</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820</v>
      </c>
      <c r="B30" s="224" t="s">
        <v>442</v>
      </c>
      <c r="C30" s="130">
        <f t="shared" si="17"/>
        <v>0.2</v>
      </c>
      <c r="D30" s="1179"/>
      <c r="E30" s="1180"/>
      <c r="F30" s="117" t="s">
        <v>819</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820</v>
      </c>
      <c r="B31" s="224" t="s">
        <v>443</v>
      </c>
      <c r="C31" s="130">
        <f t="shared" si="17"/>
        <v>0.2</v>
      </c>
      <c r="D31" s="1179"/>
      <c r="E31" s="1180"/>
      <c r="F31" s="117" t="s">
        <v>819</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820</v>
      </c>
      <c r="B32" s="224" t="s">
        <v>444</v>
      </c>
      <c r="C32" s="130">
        <f t="shared" si="17"/>
        <v>0.2</v>
      </c>
      <c r="D32" s="1181"/>
      <c r="E32" s="1182"/>
      <c r="F32" s="117" t="s">
        <v>819</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821</v>
      </c>
      <c r="B33" s="224" t="s">
        <v>445</v>
      </c>
      <c r="C33" s="130">
        <v>0.5</v>
      </c>
      <c r="D33" s="1177" t="s">
        <v>826</v>
      </c>
      <c r="E33" s="1178"/>
      <c r="F33" s="117" t="s">
        <v>819</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821</v>
      </c>
      <c r="B34" s="224" t="s">
        <v>446</v>
      </c>
      <c r="C34" s="130">
        <v>0.5</v>
      </c>
      <c r="D34" s="1181"/>
      <c r="E34" s="1182"/>
      <c r="F34" s="117" t="s">
        <v>819</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815</v>
      </c>
      <c r="D35" s="1170" t="s">
        <v>104</v>
      </c>
      <c r="E35" s="1170"/>
      <c r="F35" s="181" t="s">
        <v>816</v>
      </c>
      <c r="G35" s="622" t="s">
        <v>828</v>
      </c>
      <c r="H35" s="622" t="s">
        <v>828</v>
      </c>
      <c r="I35" s="622" t="s">
        <v>828</v>
      </c>
      <c r="J35" s="622" t="s">
        <v>828</v>
      </c>
      <c r="K35" s="622" t="s">
        <v>828</v>
      </c>
      <c r="L35" s="622" t="s">
        <v>828</v>
      </c>
      <c r="M35" s="622" t="s">
        <v>828</v>
      </c>
      <c r="N35" s="622" t="s">
        <v>828</v>
      </c>
    </row>
    <row r="36" spans="1:19">
      <c r="A36" s="224" t="s">
        <v>432</v>
      </c>
      <c r="B36" s="224" t="s">
        <v>829</v>
      </c>
      <c r="C36" s="619">
        <v>0.75</v>
      </c>
      <c r="D36" s="1171" t="s">
        <v>830</v>
      </c>
      <c r="E36" s="1171"/>
      <c r="F36" s="117" t="s">
        <v>819</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434</v>
      </c>
      <c r="B37" s="224" t="s">
        <v>831</v>
      </c>
      <c r="C37" s="619">
        <v>0.8</v>
      </c>
      <c r="D37" s="1171" t="s">
        <v>830</v>
      </c>
      <c r="E37" s="1171"/>
      <c r="F37" s="117" t="s">
        <v>819</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435</v>
      </c>
      <c r="B38" s="224" t="s">
        <v>832</v>
      </c>
      <c r="C38" s="619">
        <v>0.5</v>
      </c>
      <c r="D38" s="1171" t="s">
        <v>830</v>
      </c>
      <c r="E38" s="1171"/>
      <c r="F38" s="117" t="s">
        <v>819</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436</v>
      </c>
      <c r="B39" s="224" t="s">
        <v>833</v>
      </c>
      <c r="C39" s="619">
        <v>0.55000000000000004</v>
      </c>
      <c r="D39" s="1171" t="s">
        <v>830</v>
      </c>
      <c r="E39" s="1171"/>
      <c r="F39" s="117" t="s">
        <v>819</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437</v>
      </c>
      <c r="B40" s="224" t="s">
        <v>834</v>
      </c>
      <c r="C40" s="619">
        <v>0.55000000000000004</v>
      </c>
      <c r="D40" s="1171" t="s">
        <v>830</v>
      </c>
      <c r="E40" s="1171"/>
      <c r="F40" s="117" t="s">
        <v>819</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438</v>
      </c>
      <c r="B41" s="224" t="s">
        <v>835</v>
      </c>
      <c r="C41" s="619">
        <v>0.75</v>
      </c>
      <c r="D41" s="1171" t="s">
        <v>830</v>
      </c>
      <c r="E41" s="1171"/>
      <c r="F41" s="117" t="s">
        <v>819</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827</v>
      </c>
      <c r="B42" s="224" t="s">
        <v>836</v>
      </c>
      <c r="C42" s="619">
        <v>0.6</v>
      </c>
      <c r="D42" s="1171" t="s">
        <v>830</v>
      </c>
      <c r="E42" s="1171"/>
      <c r="F42" s="117" t="s">
        <v>819</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440</v>
      </c>
      <c r="B43" s="224" t="s">
        <v>837</v>
      </c>
      <c r="C43" s="130">
        <v>0.65</v>
      </c>
      <c r="D43" s="1171" t="s">
        <v>830</v>
      </c>
      <c r="E43" s="1171"/>
      <c r="F43" s="117" t="s">
        <v>819</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441</v>
      </c>
      <c r="B44" s="224" t="s">
        <v>838</v>
      </c>
      <c r="C44" s="130">
        <v>0.2</v>
      </c>
      <c r="D44" s="1171" t="s">
        <v>830</v>
      </c>
      <c r="E44" s="1171"/>
      <c r="F44" s="117" t="s">
        <v>819</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442</v>
      </c>
      <c r="B45" s="224" t="s">
        <v>839</v>
      </c>
      <c r="C45" s="130">
        <v>0.55000000000000004</v>
      </c>
      <c r="D45" s="1171" t="s">
        <v>830</v>
      </c>
      <c r="E45" s="1171"/>
      <c r="F45" s="117" t="s">
        <v>819</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443</v>
      </c>
      <c r="B46" s="224" t="s">
        <v>840</v>
      </c>
      <c r="C46" s="130">
        <v>0.55000000000000004</v>
      </c>
      <c r="D46" s="1171" t="s">
        <v>830</v>
      </c>
      <c r="E46" s="1171"/>
      <c r="F46" s="117" t="s">
        <v>819</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444</v>
      </c>
      <c r="B47" s="224" t="s">
        <v>841</v>
      </c>
      <c r="C47" s="130">
        <v>0.65</v>
      </c>
      <c r="D47" s="1171" t="s">
        <v>830</v>
      </c>
      <c r="E47" s="1171"/>
      <c r="F47" s="117" t="s">
        <v>819</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445</v>
      </c>
      <c r="B48" s="224" t="s">
        <v>842</v>
      </c>
      <c r="C48" s="130">
        <v>0.5</v>
      </c>
      <c r="D48" s="1171" t="s">
        <v>830</v>
      </c>
      <c r="E48" s="1171"/>
      <c r="F48" s="117" t="s">
        <v>819</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446</v>
      </c>
      <c r="B49" s="224" t="s">
        <v>843</v>
      </c>
      <c r="C49" s="130">
        <v>0.6</v>
      </c>
      <c r="D49" s="1171" t="s">
        <v>830</v>
      </c>
      <c r="E49" s="1171"/>
      <c r="F49" s="117" t="s">
        <v>819</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191" t="s">
        <v>844</v>
      </c>
      <c r="B51" s="1192"/>
      <c r="C51" s="1192"/>
      <c r="D51" s="1192"/>
      <c r="E51" s="1192"/>
      <c r="F51" s="1192"/>
      <c r="G51" s="1193"/>
      <c r="H51" s="106"/>
      <c r="I51" s="106"/>
      <c r="J51" s="106"/>
      <c r="K51" s="106"/>
      <c r="L51" s="106"/>
      <c r="M51" s="106"/>
      <c r="N51" s="106"/>
    </row>
    <row r="52" spans="1:868" ht="30" customHeight="1">
      <c r="A52" s="615" t="s">
        <v>100</v>
      </c>
      <c r="B52" s="625" t="s">
        <v>101</v>
      </c>
      <c r="C52" s="616" t="s">
        <v>102</v>
      </c>
      <c r="D52" s="616" t="s">
        <v>103</v>
      </c>
      <c r="E52" s="616" t="s">
        <v>104</v>
      </c>
      <c r="F52" s="617" t="s">
        <v>105</v>
      </c>
      <c r="G52" s="617" t="s">
        <v>65</v>
      </c>
      <c r="H52" s="617" t="s">
        <v>67</v>
      </c>
      <c r="I52" s="617" t="s">
        <v>73</v>
      </c>
      <c r="J52" s="617" t="s">
        <v>79</v>
      </c>
      <c r="K52" s="624" t="s">
        <v>106</v>
      </c>
      <c r="L52" s="1185" t="s">
        <v>107</v>
      </c>
      <c r="M52" s="1186"/>
      <c r="N52" s="1187"/>
      <c r="O52" s="6"/>
    </row>
    <row r="53" spans="1:868" s="2" customFormat="1">
      <c r="A53" s="224" t="s">
        <v>118</v>
      </c>
      <c r="B53" s="122">
        <v>2019</v>
      </c>
      <c r="C53" s="9" t="s">
        <v>99</v>
      </c>
      <c r="D53" s="794">
        <f>SUM(L36:L49)</f>
        <v>54.081600000000002</v>
      </c>
      <c r="E53" s="224" t="s">
        <v>805</v>
      </c>
      <c r="F53" s="9">
        <v>1</v>
      </c>
      <c r="G53" s="9">
        <v>1</v>
      </c>
      <c r="H53" s="9">
        <v>2</v>
      </c>
      <c r="I53" s="9">
        <v>1</v>
      </c>
      <c r="J53" s="9">
        <v>2</v>
      </c>
      <c r="K53" s="185">
        <f>IF( OR( ISBLANK(F53),ISBLANK(G53), ISBLANK(H53), ISBLANK(I53), ISBLANK(J53) ), "", 1.5*SQRT(   EXP(2.21*(F53-1)) + EXP(2.21*(G53-1)) + EXP(2.21*(H53-1)) + EXP(2.21*(I53-1)) + EXP(2.21*J53)   )/100*2.45 )</f>
        <v>0.35859414261160716</v>
      </c>
      <c r="L53" s="1188" t="s">
        <v>120</v>
      </c>
      <c r="M53" s="1189"/>
      <c r="N53" s="1190"/>
      <c r="O53" s="6"/>
    </row>
    <row r="54" spans="1:868" s="6" customFormat="1" ht="30" customHeight="1">
      <c r="C54" s="106"/>
      <c r="G54" s="106"/>
      <c r="H54" s="106"/>
      <c r="I54" s="106"/>
      <c r="J54" s="106"/>
      <c r="K54" s="106"/>
      <c r="L54" s="106"/>
      <c r="M54" s="106"/>
      <c r="N54" s="106"/>
    </row>
    <row r="55" spans="1:868" s="6" customFormat="1" ht="30" customHeight="1">
      <c r="A55" s="1191" t="s">
        <v>845</v>
      </c>
      <c r="B55" s="1192"/>
      <c r="C55" s="1192"/>
      <c r="D55" s="1192"/>
      <c r="E55" s="1192"/>
      <c r="F55" s="1192"/>
      <c r="G55" s="1193"/>
      <c r="H55" s="106"/>
      <c r="I55" s="106"/>
      <c r="J55" s="106"/>
      <c r="K55" s="106"/>
      <c r="L55" s="106"/>
      <c r="M55" s="106"/>
      <c r="N55" s="106"/>
    </row>
    <row r="56" spans="1:868" ht="30" customHeight="1">
      <c r="A56" s="615" t="s">
        <v>100</v>
      </c>
      <c r="B56" s="625" t="s">
        <v>101</v>
      </c>
      <c r="C56" s="616" t="s">
        <v>102</v>
      </c>
      <c r="D56" s="616" t="s">
        <v>103</v>
      </c>
      <c r="E56" s="616" t="s">
        <v>104</v>
      </c>
      <c r="F56" s="617" t="s">
        <v>105</v>
      </c>
      <c r="G56" s="617" t="s">
        <v>65</v>
      </c>
      <c r="H56" s="617" t="s">
        <v>67</v>
      </c>
      <c r="I56" s="617" t="s">
        <v>73</v>
      </c>
      <c r="J56" s="617" t="s">
        <v>79</v>
      </c>
      <c r="K56" s="624" t="s">
        <v>106</v>
      </c>
      <c r="L56" s="1185" t="s">
        <v>107</v>
      </c>
      <c r="M56" s="1186"/>
      <c r="N56" s="1187"/>
      <c r="O56" s="6"/>
    </row>
    <row r="57" spans="1:868" s="2" customFormat="1">
      <c r="A57" s="224" t="s">
        <v>118</v>
      </c>
      <c r="B57" s="9">
        <v>2019</v>
      </c>
      <c r="C57" s="9" t="s">
        <v>99</v>
      </c>
      <c r="D57" s="315">
        <v>2326</v>
      </c>
      <c r="E57" s="224" t="s">
        <v>128</v>
      </c>
      <c r="F57" s="9">
        <v>1</v>
      </c>
      <c r="G57" s="9">
        <v>1</v>
      </c>
      <c r="H57" s="9">
        <v>2</v>
      </c>
      <c r="I57" s="9">
        <v>1</v>
      </c>
      <c r="J57" s="9">
        <v>2</v>
      </c>
      <c r="K57" s="185">
        <v>0.47802211380704585</v>
      </c>
      <c r="L57" s="1188"/>
      <c r="M57" s="1189"/>
      <c r="N57" s="1190"/>
      <c r="O57" s="6"/>
    </row>
    <row r="58" spans="1:868">
      <c r="C58" s="106"/>
      <c r="D58" s="16"/>
      <c r="E58" s="16"/>
      <c r="G58" s="106"/>
    </row>
    <row r="59" spans="1:868" s="6" customFormat="1" ht="30" customHeight="1">
      <c r="A59" s="1137" t="s">
        <v>846</v>
      </c>
      <c r="B59" s="1137"/>
      <c r="C59" s="1137"/>
      <c r="D59" s="1137"/>
      <c r="E59" s="1137"/>
      <c r="F59" s="1137"/>
      <c r="G59" s="1137"/>
      <c r="H59" s="1137"/>
      <c r="I59" s="1137"/>
      <c r="J59" s="1137"/>
      <c r="K59" s="1137"/>
      <c r="L59" s="1137"/>
      <c r="M59" s="1137"/>
      <c r="N59" s="1137"/>
      <c r="O59" s="1137"/>
      <c r="P59" s="1137"/>
      <c r="Q59" s="1137"/>
      <c r="R59" s="1137"/>
      <c r="S59" s="1137"/>
    </row>
    <row r="60" spans="1:868" s="2" customFormat="1" ht="30" customHeight="1" thickBot="1">
      <c r="A60" s="738" t="s">
        <v>129</v>
      </c>
      <c r="B60" s="738" t="s">
        <v>130</v>
      </c>
      <c r="C60" s="739" t="s">
        <v>131</v>
      </c>
      <c r="D60" s="739" t="s">
        <v>102</v>
      </c>
      <c r="E60" s="740" t="s">
        <v>132</v>
      </c>
      <c r="F60" s="739" t="s">
        <v>133</v>
      </c>
      <c r="G60" s="739" t="s">
        <v>104</v>
      </c>
      <c r="H60" s="741" t="s">
        <v>134</v>
      </c>
      <c r="I60" s="741" t="s">
        <v>135</v>
      </c>
      <c r="J60" s="741" t="s">
        <v>65</v>
      </c>
      <c r="K60" s="741" t="s">
        <v>67</v>
      </c>
      <c r="L60" s="741" t="s">
        <v>73</v>
      </c>
      <c r="M60" s="741" t="s">
        <v>79</v>
      </c>
      <c r="N60" s="742" t="s">
        <v>136</v>
      </c>
      <c r="O60" s="742" t="s">
        <v>137</v>
      </c>
      <c r="P60" s="743"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4" t="s">
        <v>118</v>
      </c>
      <c r="B61" s="783" t="s">
        <v>432</v>
      </c>
      <c r="C61" s="33" t="s">
        <v>139</v>
      </c>
      <c r="D61" s="121" t="s">
        <v>99</v>
      </c>
      <c r="E61" s="745">
        <f t="shared" ref="E61:E74" si="22">(G36)/(SUM($G$36:$G$49))</f>
        <v>0.10650572468270171</v>
      </c>
      <c r="F61" s="11">
        <v>1</v>
      </c>
      <c r="G61" s="11" t="s">
        <v>433</v>
      </c>
      <c r="H61" s="13">
        <v>1</v>
      </c>
      <c r="I61" s="13">
        <v>2</v>
      </c>
      <c r="J61" s="13">
        <v>2</v>
      </c>
      <c r="K61" s="13">
        <v>1</v>
      </c>
      <c r="L61" s="13">
        <v>1</v>
      </c>
      <c r="M61" s="13">
        <v>2</v>
      </c>
      <c r="N61" s="425">
        <f t="shared" ref="N61" si="23">IF( OR( ISBLANK(H61),ISBLANK(J61), ISBLANK(K61), ISBLANK(L61), ISBLANK(M61) ), "", 1.5*SQRT(   EXP(2.21*(H61-1)) + EXP(2.21*(J61-1)) + EXP(2.21*(K61-1)) + EXP(2.21*(L61-1)) + EXP(2.21*M61)   )/100*2.45 )</f>
        <v>0.35859414261160716</v>
      </c>
      <c r="O61" s="425">
        <f t="shared" ref="O61" si="24">IF( OR( ISBLANK(I61),ISBLANK(J61), ISBLANK(K61), ISBLANK(L61), ISBLANK(M61) ), "", 1.5*SQRT( EXP(2.21*(I61-1)) + EXP(2.21*(J61-1)) + EXP(2.21*(K61-1)) + EXP(2.21*(L61-1)) + EXP(2.21*M61)   )/100*2.45 )</f>
        <v>0.37356464144298934</v>
      </c>
      <c r="P61" s="42"/>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36"/>
      <c r="HX61" s="436"/>
      <c r="HY61" s="436"/>
      <c r="HZ61" s="436"/>
      <c r="IA61" s="436"/>
      <c r="IB61" s="436"/>
      <c r="IC61" s="436"/>
      <c r="ID61" s="436"/>
      <c r="IE61" s="436"/>
      <c r="IF61" s="436"/>
      <c r="IG61" s="436"/>
      <c r="IH61" s="436"/>
      <c r="II61" s="436"/>
      <c r="IJ61" s="436"/>
      <c r="IK61" s="436"/>
      <c r="IL61" s="436"/>
      <c r="IM61" s="436"/>
      <c r="IN61" s="436"/>
      <c r="IO61" s="436"/>
      <c r="IP61" s="436"/>
      <c r="IQ61" s="436"/>
      <c r="IR61" s="436"/>
      <c r="IS61" s="436"/>
      <c r="IT61" s="436"/>
      <c r="IU61" s="436"/>
      <c r="IV61" s="436"/>
      <c r="IW61" s="436"/>
      <c r="IX61" s="436"/>
      <c r="IY61" s="436"/>
      <c r="IZ61" s="436"/>
      <c r="JA61" s="436"/>
      <c r="JB61" s="436"/>
      <c r="JC61" s="436"/>
      <c r="JD61" s="436"/>
      <c r="JE61" s="436"/>
      <c r="JF61" s="436"/>
      <c r="JG61" s="436"/>
      <c r="JH61" s="436"/>
      <c r="JI61" s="436"/>
      <c r="JJ61" s="436"/>
      <c r="JK61" s="436"/>
      <c r="JL61" s="436"/>
      <c r="JM61" s="436"/>
      <c r="JN61" s="436"/>
      <c r="JO61" s="436"/>
      <c r="JP61" s="436"/>
      <c r="JQ61" s="436"/>
      <c r="JR61" s="436"/>
      <c r="JS61" s="436"/>
      <c r="JT61" s="436"/>
      <c r="JU61" s="436"/>
      <c r="JV61" s="436"/>
      <c r="JW61" s="436"/>
      <c r="JX61" s="436"/>
      <c r="JY61" s="436"/>
      <c r="JZ61" s="436"/>
      <c r="KA61" s="436"/>
      <c r="KB61" s="436"/>
      <c r="KC61" s="436"/>
      <c r="KD61" s="436"/>
      <c r="KE61" s="436"/>
      <c r="KF61" s="436"/>
      <c r="KG61" s="436"/>
      <c r="KH61" s="436"/>
      <c r="KI61" s="436"/>
      <c r="KJ61" s="436"/>
      <c r="KK61" s="436"/>
      <c r="KL61" s="436"/>
      <c r="KM61" s="436"/>
      <c r="KN61" s="436"/>
      <c r="KO61" s="436"/>
      <c r="KP61" s="436"/>
      <c r="KQ61" s="436"/>
      <c r="KR61" s="436"/>
      <c r="KS61" s="436"/>
      <c r="KT61" s="436"/>
      <c r="KU61" s="436"/>
      <c r="KV61" s="436"/>
      <c r="KW61" s="436"/>
      <c r="KX61" s="436"/>
      <c r="KY61" s="436"/>
      <c r="KZ61" s="436"/>
      <c r="LA61" s="436"/>
      <c r="LB61" s="436"/>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36"/>
      <c r="MA61" s="436"/>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36"/>
      <c r="MZ61" s="436"/>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36"/>
      <c r="NY61" s="436"/>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36"/>
      <c r="OX61" s="436"/>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36"/>
      <c r="PW61" s="436"/>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36"/>
      <c r="QV61" s="436"/>
      <c r="QW61" s="436"/>
      <c r="QX61" s="436"/>
      <c r="QY61" s="436"/>
      <c r="QZ61" s="436"/>
      <c r="RA61" s="436"/>
      <c r="RB61" s="436"/>
      <c r="RC61" s="436"/>
      <c r="RD61" s="436"/>
      <c r="RE61" s="436"/>
      <c r="RF61" s="436"/>
      <c r="RG61" s="436"/>
      <c r="RH61" s="436"/>
      <c r="RI61" s="436"/>
      <c r="RJ61" s="436"/>
      <c r="RK61" s="436"/>
      <c r="RL61" s="436"/>
      <c r="RM61" s="436"/>
      <c r="RN61" s="436"/>
      <c r="RO61" s="436"/>
      <c r="RP61" s="436"/>
      <c r="RQ61" s="436"/>
      <c r="RR61" s="436"/>
      <c r="RS61" s="436"/>
      <c r="RT61" s="436"/>
      <c r="RU61" s="436"/>
      <c r="RV61" s="436"/>
      <c r="RW61" s="436"/>
      <c r="RX61" s="436"/>
      <c r="RY61" s="436"/>
      <c r="RZ61" s="436"/>
      <c r="SA61" s="436"/>
      <c r="SB61" s="436"/>
      <c r="SC61" s="436"/>
      <c r="SD61" s="436"/>
      <c r="SE61" s="436"/>
      <c r="SF61" s="436"/>
      <c r="SG61" s="436"/>
      <c r="SH61" s="436"/>
      <c r="SI61" s="436"/>
      <c r="SJ61" s="436"/>
      <c r="SK61" s="436"/>
      <c r="SL61" s="436"/>
      <c r="SM61" s="436"/>
      <c r="SN61" s="436"/>
      <c r="SO61" s="436"/>
      <c r="SP61" s="436"/>
      <c r="SQ61" s="436"/>
      <c r="SR61" s="436"/>
      <c r="SS61" s="436"/>
      <c r="ST61" s="436"/>
      <c r="SU61" s="436"/>
      <c r="SV61" s="436"/>
      <c r="SW61" s="436"/>
      <c r="SX61" s="436"/>
      <c r="SY61" s="436"/>
      <c r="SZ61" s="436"/>
      <c r="TA61" s="436"/>
      <c r="TB61" s="436"/>
      <c r="TC61" s="436"/>
      <c r="TD61" s="436"/>
      <c r="TE61" s="436"/>
      <c r="TF61" s="436"/>
      <c r="TG61" s="436"/>
      <c r="TH61" s="436"/>
      <c r="TI61" s="436"/>
      <c r="TJ61" s="436"/>
      <c r="TK61" s="436"/>
      <c r="TL61" s="436"/>
      <c r="TM61" s="436"/>
      <c r="TN61" s="436"/>
      <c r="TO61" s="436"/>
      <c r="TP61" s="436"/>
      <c r="TQ61" s="436"/>
      <c r="TR61" s="436"/>
      <c r="TS61" s="436"/>
      <c r="TT61" s="436"/>
      <c r="TU61" s="436"/>
      <c r="TV61" s="436"/>
      <c r="TW61" s="436"/>
      <c r="TX61" s="436"/>
      <c r="TY61" s="436"/>
      <c r="TZ61" s="436"/>
      <c r="UA61" s="436"/>
      <c r="UB61" s="436"/>
      <c r="UC61" s="436"/>
      <c r="UD61" s="436"/>
      <c r="UE61" s="436"/>
      <c r="UF61" s="436"/>
      <c r="UG61" s="436"/>
      <c r="UH61" s="436"/>
      <c r="UI61" s="436"/>
      <c r="UJ61" s="436"/>
      <c r="UK61" s="436"/>
      <c r="UL61" s="436"/>
      <c r="UM61" s="436"/>
      <c r="UN61" s="436"/>
      <c r="UO61" s="436"/>
      <c r="UP61" s="436"/>
      <c r="UQ61" s="436"/>
      <c r="UR61" s="436"/>
      <c r="US61" s="436"/>
      <c r="UT61" s="436"/>
      <c r="UU61" s="436"/>
      <c r="UV61" s="436"/>
      <c r="UW61" s="436"/>
      <c r="UX61" s="436"/>
      <c r="UY61" s="436"/>
      <c r="UZ61" s="436"/>
      <c r="VA61" s="436"/>
      <c r="VB61" s="436"/>
      <c r="VC61" s="436"/>
      <c r="VD61" s="436"/>
      <c r="VE61" s="436"/>
      <c r="VF61" s="436"/>
      <c r="VG61" s="436"/>
      <c r="VH61" s="436"/>
      <c r="VI61" s="436"/>
      <c r="VJ61" s="436"/>
      <c r="VK61" s="436"/>
      <c r="VL61" s="436"/>
      <c r="VM61" s="436"/>
      <c r="VN61" s="436"/>
      <c r="VO61" s="436"/>
      <c r="VP61" s="436"/>
      <c r="VQ61" s="436"/>
      <c r="VR61" s="436"/>
      <c r="VS61" s="436"/>
      <c r="VT61" s="436"/>
      <c r="VU61" s="436"/>
      <c r="VV61" s="436"/>
      <c r="VW61" s="436"/>
      <c r="VX61" s="436"/>
      <c r="VY61" s="436"/>
      <c r="VZ61" s="436"/>
      <c r="WA61" s="436"/>
      <c r="WB61" s="436"/>
      <c r="WC61" s="436"/>
      <c r="WD61" s="436"/>
      <c r="WE61" s="436"/>
      <c r="WF61" s="436"/>
      <c r="WG61" s="436"/>
      <c r="WH61" s="436"/>
      <c r="WI61" s="436"/>
      <c r="WJ61" s="436"/>
      <c r="WK61" s="436"/>
      <c r="WL61" s="436"/>
      <c r="WM61" s="436"/>
      <c r="WN61" s="436"/>
      <c r="WO61" s="436"/>
      <c r="WP61" s="436"/>
      <c r="WQ61" s="436"/>
      <c r="WR61" s="436"/>
      <c r="WS61" s="436"/>
      <c r="WT61" s="436"/>
      <c r="WU61" s="436"/>
      <c r="WV61" s="436"/>
      <c r="WW61" s="436"/>
      <c r="WX61" s="436"/>
      <c r="WY61" s="436"/>
      <c r="WZ61" s="436"/>
      <c r="XA61" s="436"/>
      <c r="XB61" s="436"/>
      <c r="XC61" s="436"/>
      <c r="XD61" s="436"/>
      <c r="XE61" s="436"/>
      <c r="XF61" s="436"/>
      <c r="XG61" s="436"/>
      <c r="XH61" s="436"/>
      <c r="XI61" s="436"/>
      <c r="XJ61" s="436"/>
      <c r="XK61" s="436"/>
      <c r="XL61" s="436"/>
      <c r="XM61" s="436"/>
      <c r="XN61" s="436"/>
      <c r="XO61" s="436"/>
      <c r="XP61" s="436"/>
      <c r="XQ61" s="436"/>
      <c r="XR61" s="436"/>
      <c r="XS61" s="436"/>
      <c r="XT61" s="436"/>
      <c r="XU61" s="436"/>
      <c r="XV61" s="436"/>
      <c r="XW61" s="436"/>
      <c r="XX61" s="436"/>
      <c r="XY61" s="436"/>
      <c r="XZ61" s="436"/>
      <c r="YA61" s="436"/>
      <c r="YB61" s="436"/>
      <c r="YC61" s="436"/>
      <c r="YD61" s="436"/>
      <c r="YE61" s="436"/>
      <c r="YF61" s="436"/>
      <c r="YG61" s="436"/>
      <c r="YH61" s="436"/>
      <c r="YI61" s="436"/>
      <c r="YJ61" s="436"/>
      <c r="YK61" s="436"/>
      <c r="YL61" s="436"/>
      <c r="YM61" s="436"/>
      <c r="YN61" s="436"/>
      <c r="YO61" s="436"/>
      <c r="YP61" s="436"/>
      <c r="YQ61" s="436"/>
      <c r="YR61" s="436"/>
      <c r="YS61" s="436"/>
      <c r="YT61" s="436"/>
      <c r="YU61" s="436"/>
      <c r="YV61" s="436"/>
      <c r="YW61" s="436"/>
      <c r="YX61" s="436"/>
      <c r="YY61" s="436"/>
      <c r="YZ61" s="436"/>
      <c r="ZA61" s="436"/>
      <c r="ZB61" s="436"/>
      <c r="ZC61" s="436"/>
      <c r="ZD61" s="436"/>
      <c r="ZE61" s="436"/>
      <c r="ZF61" s="436"/>
      <c r="ZG61" s="436"/>
      <c r="ZH61" s="436"/>
      <c r="ZI61" s="436"/>
      <c r="ZJ61" s="436"/>
      <c r="ZK61" s="436"/>
      <c r="ZL61" s="436"/>
      <c r="ZM61" s="436"/>
      <c r="ZN61" s="436"/>
      <c r="ZO61" s="436"/>
      <c r="ZP61" s="436"/>
      <c r="ZQ61" s="436"/>
      <c r="ZR61" s="436"/>
      <c r="ZS61" s="436"/>
      <c r="ZT61" s="436"/>
      <c r="ZU61" s="436"/>
      <c r="ZV61" s="436"/>
      <c r="ZW61" s="436"/>
      <c r="ZX61" s="436"/>
      <c r="ZY61" s="436"/>
      <c r="ZZ61" s="436"/>
      <c r="AAA61" s="436"/>
      <c r="AAB61" s="436"/>
      <c r="AAC61" s="436"/>
      <c r="AAD61" s="436"/>
      <c r="AAE61" s="436"/>
      <c r="AAF61" s="436"/>
      <c r="AAG61" s="436"/>
      <c r="AAH61" s="436"/>
      <c r="AAI61" s="436"/>
      <c r="AAJ61" s="436"/>
      <c r="AAK61" s="436"/>
      <c r="AAL61" s="436"/>
      <c r="AAM61" s="436"/>
      <c r="AAN61" s="436"/>
      <c r="AAO61" s="436"/>
      <c r="AAP61" s="436"/>
      <c r="AAQ61" s="436"/>
      <c r="AAR61" s="436"/>
      <c r="AAS61" s="436"/>
      <c r="AAT61" s="436"/>
      <c r="AAU61" s="436"/>
      <c r="AAV61" s="436"/>
      <c r="AAW61" s="436"/>
      <c r="AAX61" s="436"/>
      <c r="AAY61" s="436"/>
      <c r="AAZ61" s="436"/>
      <c r="ABA61" s="436"/>
      <c r="ABB61" s="436"/>
      <c r="ABC61" s="436"/>
      <c r="ABD61" s="436"/>
      <c r="ABE61" s="436"/>
      <c r="ABF61" s="436"/>
      <c r="ABG61" s="436"/>
      <c r="ABH61" s="436"/>
      <c r="ABI61" s="436"/>
      <c r="ABJ61" s="436"/>
      <c r="ABK61" s="436"/>
      <c r="ABL61" s="436"/>
      <c r="ABM61" s="436"/>
      <c r="ABN61" s="436"/>
      <c r="ABO61" s="436"/>
      <c r="ABP61" s="436"/>
      <c r="ABQ61" s="436"/>
      <c r="ABR61" s="436"/>
      <c r="ABS61" s="436"/>
      <c r="ABT61" s="436"/>
      <c r="ABU61" s="436"/>
      <c r="ABV61" s="436"/>
      <c r="ABW61" s="436"/>
      <c r="ABX61" s="436"/>
      <c r="ABY61" s="436"/>
      <c r="ABZ61" s="436"/>
      <c r="ACA61" s="436"/>
      <c r="ACB61" s="436"/>
      <c r="ACC61" s="436"/>
      <c r="ACD61" s="436"/>
      <c r="ACE61" s="436"/>
      <c r="ACF61" s="436"/>
      <c r="ACG61" s="436"/>
      <c r="ACH61" s="436"/>
      <c r="ACI61" s="436"/>
      <c r="ACJ61" s="436"/>
      <c r="ACK61" s="436"/>
      <c r="ACL61" s="436"/>
      <c r="ACM61" s="436"/>
      <c r="ACN61" s="436"/>
      <c r="ACO61" s="436"/>
      <c r="ACP61" s="436"/>
      <c r="ACQ61" s="436"/>
      <c r="ACR61" s="436"/>
      <c r="ACS61" s="436"/>
      <c r="ACT61" s="436"/>
      <c r="ACU61" s="436"/>
      <c r="ACV61" s="436"/>
      <c r="ACW61" s="436"/>
      <c r="ACX61" s="436"/>
      <c r="ACY61" s="436"/>
      <c r="ACZ61" s="436"/>
      <c r="ADA61" s="436"/>
      <c r="ADB61" s="436"/>
      <c r="ADC61" s="436"/>
      <c r="ADD61" s="436"/>
      <c r="ADE61" s="436"/>
      <c r="ADF61" s="436"/>
      <c r="ADG61" s="436"/>
      <c r="ADH61" s="436"/>
      <c r="ADI61" s="436"/>
      <c r="ADJ61" s="436"/>
      <c r="ADK61" s="436"/>
      <c r="ADL61" s="436"/>
      <c r="ADM61" s="436"/>
      <c r="ADN61" s="436"/>
      <c r="ADO61" s="436"/>
      <c r="ADP61" s="436"/>
      <c r="ADQ61" s="436"/>
      <c r="ADR61" s="436"/>
      <c r="ADS61" s="436"/>
      <c r="ADT61" s="436"/>
      <c r="ADU61" s="436"/>
      <c r="ADV61" s="436"/>
      <c r="ADW61" s="436"/>
      <c r="ADX61" s="436"/>
      <c r="ADY61" s="436"/>
      <c r="ADZ61" s="436"/>
      <c r="AEA61" s="436"/>
      <c r="AEB61" s="436"/>
      <c r="AEC61" s="436"/>
      <c r="AED61" s="436"/>
      <c r="AEE61" s="436"/>
      <c r="AEF61" s="436"/>
      <c r="AEG61" s="436"/>
      <c r="AEH61" s="436"/>
      <c r="AEI61" s="436"/>
      <c r="AEJ61" s="436"/>
      <c r="AEK61" s="436"/>
      <c r="AEL61" s="436"/>
      <c r="AEM61" s="436"/>
      <c r="AEN61" s="436"/>
      <c r="AEO61" s="436"/>
      <c r="AEP61" s="436"/>
      <c r="AEQ61" s="436"/>
      <c r="AER61" s="436"/>
      <c r="AES61" s="436"/>
      <c r="AET61" s="436"/>
      <c r="AEU61" s="436"/>
      <c r="AEV61" s="436"/>
      <c r="AEW61" s="436"/>
      <c r="AEX61" s="436"/>
      <c r="AEY61" s="436"/>
      <c r="AEZ61" s="436"/>
      <c r="AFA61" s="436"/>
      <c r="AFB61" s="436"/>
      <c r="AFC61" s="436"/>
      <c r="AFD61" s="436"/>
      <c r="AFE61" s="436"/>
      <c r="AFF61" s="436"/>
      <c r="AFG61" s="436"/>
      <c r="AFH61" s="436"/>
      <c r="AFI61" s="436"/>
      <c r="AFJ61" s="436"/>
      <c r="AFK61" s="436"/>
      <c r="AFL61" s="436"/>
      <c r="AFM61" s="436"/>
      <c r="AFN61" s="436"/>
      <c r="AFO61" s="436"/>
      <c r="AFP61" s="436"/>
      <c r="AFQ61" s="436"/>
      <c r="AFR61" s="436"/>
      <c r="AFS61" s="436"/>
      <c r="AFT61" s="436"/>
      <c r="AFU61" s="436"/>
      <c r="AFV61" s="436"/>
      <c r="AFW61" s="436"/>
      <c r="AFX61" s="436"/>
      <c r="AFY61" s="436"/>
      <c r="AFZ61" s="436"/>
      <c r="AGA61" s="436"/>
      <c r="AGB61" s="436"/>
      <c r="AGC61" s="436"/>
      <c r="AGD61" s="436"/>
      <c r="AGE61" s="436"/>
      <c r="AGF61" s="436"/>
      <c r="AGG61" s="436"/>
      <c r="AGH61" s="436"/>
      <c r="AGI61" s="436"/>
      <c r="AGJ61" s="436"/>
    </row>
    <row r="62" spans="1:868" s="1" customFormat="1">
      <c r="A62" s="636" t="s">
        <v>118</v>
      </c>
      <c r="B62" s="780" t="s">
        <v>434</v>
      </c>
      <c r="C62" s="34" t="s">
        <v>139</v>
      </c>
      <c r="D62" s="122" t="s">
        <v>99</v>
      </c>
      <c r="E62" s="621">
        <f t="shared" si="22"/>
        <v>0.11360610632821515</v>
      </c>
      <c r="F62" s="9">
        <v>1</v>
      </c>
      <c r="G62" s="9" t="s">
        <v>433</v>
      </c>
      <c r="H62" s="10">
        <v>1</v>
      </c>
      <c r="I62" s="10">
        <v>2</v>
      </c>
      <c r="J62" s="10">
        <v>2</v>
      </c>
      <c r="K62" s="10">
        <v>1</v>
      </c>
      <c r="L62" s="10">
        <v>1</v>
      </c>
      <c r="M62" s="10">
        <v>2</v>
      </c>
      <c r="N62" s="405">
        <f t="shared" ref="N62:N129" si="25">IF( OR( ISBLANK(H62),ISBLANK(J62), ISBLANK(K62), ISBLANK(L62), ISBLANK(M62) ), "", 1.5*SQRT(   EXP(2.21*(H62-1)) + EXP(2.21*(J62-1)) + EXP(2.21*(K62-1)) + EXP(2.21*(L62-1)) + EXP(2.21*M62)   )/100*2.45 )</f>
        <v>0.35859414261160716</v>
      </c>
      <c r="O62" s="405">
        <f t="shared" ref="O62:O129" si="26">IF( OR( ISBLANK(I62),ISBLANK(J62), ISBLANK(K62), ISBLANK(L62), ISBLANK(M62) ), "", 1.5*SQRT( EXP(2.21*(I62-1)) + EXP(2.21*(J62-1)) + EXP(2.21*(K62-1)) + EXP(2.21*(L62-1)) + EXP(2.21*M62)   )/100*2.45 )</f>
        <v>0.37356464144298934</v>
      </c>
      <c r="P62" s="43"/>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36"/>
      <c r="DC62" s="436"/>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36"/>
      <c r="EB62" s="436"/>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36"/>
      <c r="FA62" s="436"/>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36"/>
      <c r="HX62" s="436"/>
      <c r="HY62" s="436"/>
      <c r="HZ62" s="436"/>
      <c r="IA62" s="436"/>
      <c r="IB62" s="436"/>
      <c r="IC62" s="436"/>
      <c r="ID62" s="436"/>
      <c r="IE62" s="436"/>
      <c r="IF62" s="436"/>
      <c r="IG62" s="436"/>
      <c r="IH62" s="436"/>
      <c r="II62" s="436"/>
      <c r="IJ62" s="436"/>
      <c r="IK62" s="436"/>
      <c r="IL62" s="436"/>
      <c r="IM62" s="436"/>
      <c r="IN62" s="436"/>
      <c r="IO62" s="436"/>
      <c r="IP62" s="436"/>
      <c r="IQ62" s="436"/>
      <c r="IR62" s="436"/>
      <c r="IS62" s="436"/>
      <c r="IT62" s="436"/>
      <c r="IU62" s="436"/>
      <c r="IV62" s="436"/>
      <c r="IW62" s="436"/>
      <c r="IX62" s="436"/>
      <c r="IY62" s="436"/>
      <c r="IZ62" s="436"/>
      <c r="JA62" s="436"/>
      <c r="JB62" s="436"/>
      <c r="JC62" s="436"/>
      <c r="JD62" s="436"/>
      <c r="JE62" s="436"/>
      <c r="JF62" s="436"/>
      <c r="JG62" s="436"/>
      <c r="JH62" s="436"/>
      <c r="JI62" s="436"/>
      <c r="JJ62" s="436"/>
      <c r="JK62" s="436"/>
      <c r="JL62" s="436"/>
      <c r="JM62" s="436"/>
      <c r="JN62" s="436"/>
      <c r="JO62" s="436"/>
      <c r="JP62" s="436"/>
      <c r="JQ62" s="436"/>
      <c r="JR62" s="436"/>
      <c r="JS62" s="436"/>
      <c r="JT62" s="436"/>
      <c r="JU62" s="436"/>
      <c r="JV62" s="436"/>
      <c r="JW62" s="436"/>
      <c r="JX62" s="436"/>
      <c r="JY62" s="436"/>
      <c r="JZ62" s="436"/>
      <c r="KA62" s="436"/>
      <c r="KB62" s="436"/>
      <c r="KC62" s="436"/>
      <c r="KD62" s="436"/>
      <c r="KE62" s="436"/>
      <c r="KF62" s="436"/>
      <c r="KG62" s="436"/>
      <c r="KH62" s="436"/>
      <c r="KI62" s="436"/>
      <c r="KJ62" s="436"/>
      <c r="KK62" s="436"/>
      <c r="KL62" s="436"/>
      <c r="KM62" s="436"/>
      <c r="KN62" s="436"/>
      <c r="KO62" s="436"/>
      <c r="KP62" s="436"/>
      <c r="KQ62" s="436"/>
      <c r="KR62" s="436"/>
      <c r="KS62" s="436"/>
      <c r="KT62" s="436"/>
      <c r="KU62" s="436"/>
      <c r="KV62" s="436"/>
      <c r="KW62" s="436"/>
      <c r="KX62" s="436"/>
      <c r="KY62" s="436"/>
      <c r="KZ62" s="436"/>
      <c r="LA62" s="436"/>
      <c r="LB62" s="436"/>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36"/>
      <c r="MA62" s="436"/>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36"/>
      <c r="MZ62" s="436"/>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36"/>
      <c r="NY62" s="436"/>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36"/>
      <c r="OX62" s="436"/>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36"/>
      <c r="PW62" s="436"/>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36"/>
      <c r="QV62" s="436"/>
      <c r="QW62" s="436"/>
      <c r="QX62" s="436"/>
      <c r="QY62" s="436"/>
      <c r="QZ62" s="436"/>
      <c r="RA62" s="436"/>
      <c r="RB62" s="436"/>
      <c r="RC62" s="436"/>
      <c r="RD62" s="436"/>
      <c r="RE62" s="436"/>
      <c r="RF62" s="436"/>
      <c r="RG62" s="436"/>
      <c r="RH62" s="436"/>
      <c r="RI62" s="436"/>
      <c r="RJ62" s="436"/>
      <c r="RK62" s="436"/>
      <c r="RL62" s="436"/>
      <c r="RM62" s="436"/>
      <c r="RN62" s="436"/>
      <c r="RO62" s="436"/>
      <c r="RP62" s="436"/>
      <c r="RQ62" s="436"/>
      <c r="RR62" s="436"/>
      <c r="RS62" s="436"/>
      <c r="RT62" s="436"/>
      <c r="RU62" s="436"/>
      <c r="RV62" s="436"/>
      <c r="RW62" s="436"/>
      <c r="RX62" s="436"/>
      <c r="RY62" s="436"/>
      <c r="RZ62" s="436"/>
      <c r="SA62" s="436"/>
      <c r="SB62" s="436"/>
      <c r="SC62" s="436"/>
      <c r="SD62" s="436"/>
      <c r="SE62" s="436"/>
      <c r="SF62" s="436"/>
      <c r="SG62" s="436"/>
      <c r="SH62" s="436"/>
      <c r="SI62" s="436"/>
      <c r="SJ62" s="436"/>
      <c r="SK62" s="436"/>
      <c r="SL62" s="436"/>
      <c r="SM62" s="436"/>
      <c r="SN62" s="436"/>
      <c r="SO62" s="436"/>
      <c r="SP62" s="436"/>
      <c r="SQ62" s="436"/>
      <c r="SR62" s="436"/>
      <c r="SS62" s="436"/>
      <c r="ST62" s="436"/>
      <c r="SU62" s="436"/>
      <c r="SV62" s="436"/>
      <c r="SW62" s="436"/>
      <c r="SX62" s="436"/>
      <c r="SY62" s="436"/>
      <c r="SZ62" s="436"/>
      <c r="TA62" s="436"/>
      <c r="TB62" s="436"/>
      <c r="TC62" s="436"/>
      <c r="TD62" s="436"/>
      <c r="TE62" s="436"/>
      <c r="TF62" s="436"/>
      <c r="TG62" s="436"/>
      <c r="TH62" s="436"/>
      <c r="TI62" s="436"/>
      <c r="TJ62" s="436"/>
      <c r="TK62" s="436"/>
      <c r="TL62" s="436"/>
      <c r="TM62" s="436"/>
      <c r="TN62" s="436"/>
      <c r="TO62" s="436"/>
      <c r="TP62" s="436"/>
      <c r="TQ62" s="436"/>
      <c r="TR62" s="436"/>
      <c r="TS62" s="436"/>
      <c r="TT62" s="436"/>
      <c r="TU62" s="436"/>
      <c r="TV62" s="436"/>
      <c r="TW62" s="436"/>
      <c r="TX62" s="436"/>
      <c r="TY62" s="436"/>
      <c r="TZ62" s="436"/>
      <c r="UA62" s="436"/>
      <c r="UB62" s="436"/>
      <c r="UC62" s="436"/>
      <c r="UD62" s="436"/>
      <c r="UE62" s="436"/>
      <c r="UF62" s="436"/>
      <c r="UG62" s="436"/>
      <c r="UH62" s="436"/>
      <c r="UI62" s="436"/>
      <c r="UJ62" s="436"/>
      <c r="UK62" s="436"/>
      <c r="UL62" s="436"/>
      <c r="UM62" s="436"/>
      <c r="UN62" s="436"/>
      <c r="UO62" s="436"/>
      <c r="UP62" s="436"/>
      <c r="UQ62" s="436"/>
      <c r="UR62" s="436"/>
      <c r="US62" s="436"/>
      <c r="UT62" s="436"/>
      <c r="UU62" s="436"/>
      <c r="UV62" s="436"/>
      <c r="UW62" s="436"/>
      <c r="UX62" s="436"/>
      <c r="UY62" s="436"/>
      <c r="UZ62" s="436"/>
      <c r="VA62" s="436"/>
      <c r="VB62" s="436"/>
      <c r="VC62" s="436"/>
      <c r="VD62" s="436"/>
      <c r="VE62" s="436"/>
      <c r="VF62" s="436"/>
      <c r="VG62" s="436"/>
      <c r="VH62" s="436"/>
      <c r="VI62" s="436"/>
      <c r="VJ62" s="436"/>
      <c r="VK62" s="436"/>
      <c r="VL62" s="436"/>
      <c r="VM62" s="436"/>
      <c r="VN62" s="436"/>
      <c r="VO62" s="436"/>
      <c r="VP62" s="436"/>
      <c r="VQ62" s="436"/>
      <c r="VR62" s="436"/>
      <c r="VS62" s="436"/>
      <c r="VT62" s="436"/>
      <c r="VU62" s="436"/>
      <c r="VV62" s="436"/>
      <c r="VW62" s="436"/>
      <c r="VX62" s="436"/>
      <c r="VY62" s="436"/>
      <c r="VZ62" s="436"/>
      <c r="WA62" s="436"/>
      <c r="WB62" s="436"/>
      <c r="WC62" s="436"/>
      <c r="WD62" s="436"/>
      <c r="WE62" s="436"/>
      <c r="WF62" s="436"/>
      <c r="WG62" s="436"/>
      <c r="WH62" s="436"/>
      <c r="WI62" s="436"/>
      <c r="WJ62" s="436"/>
      <c r="WK62" s="436"/>
      <c r="WL62" s="436"/>
      <c r="WM62" s="436"/>
      <c r="WN62" s="436"/>
      <c r="WO62" s="436"/>
      <c r="WP62" s="436"/>
      <c r="WQ62" s="436"/>
      <c r="WR62" s="436"/>
      <c r="WS62" s="436"/>
      <c r="WT62" s="436"/>
      <c r="WU62" s="436"/>
      <c r="WV62" s="436"/>
      <c r="WW62" s="436"/>
      <c r="WX62" s="436"/>
      <c r="WY62" s="436"/>
      <c r="WZ62" s="436"/>
      <c r="XA62" s="436"/>
      <c r="XB62" s="436"/>
      <c r="XC62" s="436"/>
      <c r="XD62" s="436"/>
      <c r="XE62" s="436"/>
      <c r="XF62" s="436"/>
      <c r="XG62" s="436"/>
      <c r="XH62" s="436"/>
      <c r="XI62" s="436"/>
      <c r="XJ62" s="436"/>
      <c r="XK62" s="436"/>
      <c r="XL62" s="436"/>
      <c r="XM62" s="436"/>
      <c r="XN62" s="436"/>
      <c r="XO62" s="436"/>
      <c r="XP62" s="436"/>
      <c r="XQ62" s="436"/>
      <c r="XR62" s="436"/>
      <c r="XS62" s="436"/>
      <c r="XT62" s="436"/>
      <c r="XU62" s="436"/>
      <c r="XV62" s="436"/>
      <c r="XW62" s="436"/>
      <c r="XX62" s="436"/>
      <c r="XY62" s="436"/>
      <c r="XZ62" s="436"/>
      <c r="YA62" s="436"/>
      <c r="YB62" s="436"/>
      <c r="YC62" s="436"/>
      <c r="YD62" s="436"/>
      <c r="YE62" s="436"/>
      <c r="YF62" s="436"/>
      <c r="YG62" s="436"/>
      <c r="YH62" s="436"/>
      <c r="YI62" s="436"/>
      <c r="YJ62" s="436"/>
      <c r="YK62" s="436"/>
      <c r="YL62" s="436"/>
      <c r="YM62" s="436"/>
      <c r="YN62" s="436"/>
      <c r="YO62" s="436"/>
      <c r="YP62" s="436"/>
      <c r="YQ62" s="436"/>
      <c r="YR62" s="436"/>
      <c r="YS62" s="436"/>
      <c r="YT62" s="436"/>
      <c r="YU62" s="436"/>
      <c r="YV62" s="436"/>
      <c r="YW62" s="436"/>
      <c r="YX62" s="436"/>
      <c r="YY62" s="436"/>
      <c r="YZ62" s="436"/>
      <c r="ZA62" s="436"/>
      <c r="ZB62" s="436"/>
      <c r="ZC62" s="436"/>
      <c r="ZD62" s="436"/>
      <c r="ZE62" s="436"/>
      <c r="ZF62" s="436"/>
      <c r="ZG62" s="436"/>
      <c r="ZH62" s="436"/>
      <c r="ZI62" s="436"/>
      <c r="ZJ62" s="436"/>
      <c r="ZK62" s="436"/>
      <c r="ZL62" s="436"/>
      <c r="ZM62" s="436"/>
      <c r="ZN62" s="436"/>
      <c r="ZO62" s="436"/>
      <c r="ZP62" s="436"/>
      <c r="ZQ62" s="436"/>
      <c r="ZR62" s="436"/>
      <c r="ZS62" s="436"/>
      <c r="ZT62" s="436"/>
      <c r="ZU62" s="436"/>
      <c r="ZV62" s="436"/>
      <c r="ZW62" s="436"/>
      <c r="ZX62" s="436"/>
      <c r="ZY62" s="436"/>
      <c r="ZZ62" s="436"/>
      <c r="AAA62" s="436"/>
      <c r="AAB62" s="436"/>
      <c r="AAC62" s="436"/>
      <c r="AAD62" s="436"/>
      <c r="AAE62" s="436"/>
      <c r="AAF62" s="436"/>
      <c r="AAG62" s="436"/>
      <c r="AAH62" s="436"/>
      <c r="AAI62" s="436"/>
      <c r="AAJ62" s="436"/>
      <c r="AAK62" s="436"/>
      <c r="AAL62" s="436"/>
      <c r="AAM62" s="436"/>
      <c r="AAN62" s="436"/>
      <c r="AAO62" s="436"/>
      <c r="AAP62" s="436"/>
      <c r="AAQ62" s="436"/>
      <c r="AAR62" s="436"/>
      <c r="AAS62" s="436"/>
      <c r="AAT62" s="436"/>
      <c r="AAU62" s="436"/>
      <c r="AAV62" s="436"/>
      <c r="AAW62" s="436"/>
      <c r="AAX62" s="436"/>
      <c r="AAY62" s="436"/>
      <c r="AAZ62" s="436"/>
      <c r="ABA62" s="436"/>
      <c r="ABB62" s="436"/>
      <c r="ABC62" s="436"/>
      <c r="ABD62" s="436"/>
      <c r="ABE62" s="436"/>
      <c r="ABF62" s="436"/>
      <c r="ABG62" s="436"/>
      <c r="ABH62" s="436"/>
      <c r="ABI62" s="436"/>
      <c r="ABJ62" s="436"/>
      <c r="ABK62" s="436"/>
      <c r="ABL62" s="436"/>
      <c r="ABM62" s="436"/>
      <c r="ABN62" s="436"/>
      <c r="ABO62" s="436"/>
      <c r="ABP62" s="436"/>
      <c r="ABQ62" s="436"/>
      <c r="ABR62" s="436"/>
      <c r="ABS62" s="436"/>
      <c r="ABT62" s="436"/>
      <c r="ABU62" s="436"/>
      <c r="ABV62" s="436"/>
      <c r="ABW62" s="436"/>
      <c r="ABX62" s="436"/>
      <c r="ABY62" s="436"/>
      <c r="ABZ62" s="436"/>
      <c r="ACA62" s="436"/>
      <c r="ACB62" s="436"/>
      <c r="ACC62" s="436"/>
      <c r="ACD62" s="436"/>
      <c r="ACE62" s="436"/>
      <c r="ACF62" s="436"/>
      <c r="ACG62" s="436"/>
      <c r="ACH62" s="436"/>
      <c r="ACI62" s="436"/>
      <c r="ACJ62" s="436"/>
      <c r="ACK62" s="436"/>
      <c r="ACL62" s="436"/>
      <c r="ACM62" s="436"/>
      <c r="ACN62" s="436"/>
      <c r="ACO62" s="436"/>
      <c r="ACP62" s="436"/>
      <c r="ACQ62" s="436"/>
      <c r="ACR62" s="436"/>
      <c r="ACS62" s="436"/>
      <c r="ACT62" s="436"/>
      <c r="ACU62" s="436"/>
      <c r="ACV62" s="436"/>
      <c r="ACW62" s="436"/>
      <c r="ACX62" s="436"/>
      <c r="ACY62" s="436"/>
      <c r="ACZ62" s="436"/>
      <c r="ADA62" s="436"/>
      <c r="ADB62" s="436"/>
      <c r="ADC62" s="436"/>
      <c r="ADD62" s="436"/>
      <c r="ADE62" s="436"/>
      <c r="ADF62" s="436"/>
      <c r="ADG62" s="436"/>
      <c r="ADH62" s="436"/>
      <c r="ADI62" s="436"/>
      <c r="ADJ62" s="436"/>
      <c r="ADK62" s="436"/>
      <c r="ADL62" s="436"/>
      <c r="ADM62" s="436"/>
      <c r="ADN62" s="436"/>
      <c r="ADO62" s="436"/>
      <c r="ADP62" s="436"/>
      <c r="ADQ62" s="436"/>
      <c r="ADR62" s="436"/>
      <c r="ADS62" s="436"/>
      <c r="ADT62" s="436"/>
      <c r="ADU62" s="436"/>
      <c r="ADV62" s="436"/>
      <c r="ADW62" s="436"/>
      <c r="ADX62" s="436"/>
      <c r="ADY62" s="436"/>
      <c r="ADZ62" s="436"/>
      <c r="AEA62" s="436"/>
      <c r="AEB62" s="436"/>
      <c r="AEC62" s="436"/>
      <c r="AED62" s="436"/>
      <c r="AEE62" s="436"/>
      <c r="AEF62" s="436"/>
      <c r="AEG62" s="436"/>
      <c r="AEH62" s="436"/>
      <c r="AEI62" s="436"/>
      <c r="AEJ62" s="436"/>
      <c r="AEK62" s="436"/>
      <c r="AEL62" s="436"/>
      <c r="AEM62" s="436"/>
      <c r="AEN62" s="436"/>
      <c r="AEO62" s="436"/>
      <c r="AEP62" s="436"/>
      <c r="AEQ62" s="436"/>
      <c r="AER62" s="436"/>
      <c r="AES62" s="436"/>
      <c r="AET62" s="436"/>
      <c r="AEU62" s="436"/>
      <c r="AEV62" s="436"/>
      <c r="AEW62" s="436"/>
      <c r="AEX62" s="436"/>
      <c r="AEY62" s="436"/>
      <c r="AEZ62" s="436"/>
      <c r="AFA62" s="436"/>
      <c r="AFB62" s="436"/>
      <c r="AFC62" s="436"/>
      <c r="AFD62" s="436"/>
      <c r="AFE62" s="436"/>
      <c r="AFF62" s="436"/>
      <c r="AFG62" s="436"/>
      <c r="AFH62" s="436"/>
      <c r="AFI62" s="436"/>
      <c r="AFJ62" s="436"/>
      <c r="AFK62" s="436"/>
      <c r="AFL62" s="436"/>
      <c r="AFM62" s="436"/>
      <c r="AFN62" s="436"/>
      <c r="AFO62" s="436"/>
      <c r="AFP62" s="436"/>
      <c r="AFQ62" s="436"/>
      <c r="AFR62" s="436"/>
      <c r="AFS62" s="436"/>
      <c r="AFT62" s="436"/>
      <c r="AFU62" s="436"/>
      <c r="AFV62" s="436"/>
      <c r="AFW62" s="436"/>
      <c r="AFX62" s="436"/>
      <c r="AFY62" s="436"/>
      <c r="AFZ62" s="436"/>
      <c r="AGA62" s="436"/>
      <c r="AGB62" s="436"/>
      <c r="AGC62" s="436"/>
      <c r="AGD62" s="436"/>
      <c r="AGE62" s="436"/>
      <c r="AGF62" s="436"/>
      <c r="AGG62" s="436"/>
      <c r="AGH62" s="436"/>
      <c r="AGI62" s="436"/>
      <c r="AGJ62" s="436"/>
    </row>
    <row r="63" spans="1:868" s="1" customFormat="1">
      <c r="A63" s="636" t="s">
        <v>118</v>
      </c>
      <c r="B63" s="780" t="s">
        <v>435</v>
      </c>
      <c r="C63" s="34" t="s">
        <v>139</v>
      </c>
      <c r="D63" s="122" t="s">
        <v>99</v>
      </c>
      <c r="E63" s="621">
        <f t="shared" si="22"/>
        <v>7.1003816455134469E-2</v>
      </c>
      <c r="F63" s="9">
        <v>1</v>
      </c>
      <c r="G63" s="9" t="s">
        <v>433</v>
      </c>
      <c r="H63" s="10">
        <v>1</v>
      </c>
      <c r="I63" s="10">
        <v>2</v>
      </c>
      <c r="J63" s="10">
        <v>2</v>
      </c>
      <c r="K63" s="10">
        <v>1</v>
      </c>
      <c r="L63" s="10">
        <v>1</v>
      </c>
      <c r="M63" s="10">
        <v>2</v>
      </c>
      <c r="N63" s="405">
        <f t="shared" si="25"/>
        <v>0.35859414261160716</v>
      </c>
      <c r="O63" s="405">
        <f t="shared" si="26"/>
        <v>0.37356464144298934</v>
      </c>
      <c r="P63" s="43"/>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36"/>
      <c r="DC63" s="436"/>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36"/>
      <c r="EB63" s="436"/>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36"/>
      <c r="FA63" s="436"/>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36"/>
      <c r="HZ63" s="436"/>
      <c r="IA63" s="436"/>
      <c r="IB63" s="436"/>
      <c r="IC63" s="436"/>
      <c r="ID63" s="436"/>
      <c r="IE63" s="436"/>
      <c r="IF63" s="436"/>
      <c r="IG63" s="436"/>
      <c r="IH63" s="436"/>
      <c r="II63" s="436"/>
      <c r="IJ63" s="436"/>
      <c r="IK63" s="436"/>
      <c r="IL63" s="436"/>
      <c r="IM63" s="436"/>
      <c r="IN63" s="436"/>
      <c r="IO63" s="436"/>
      <c r="IP63" s="436"/>
      <c r="IQ63" s="436"/>
      <c r="IR63" s="436"/>
      <c r="IS63" s="436"/>
      <c r="IT63" s="436"/>
      <c r="IU63" s="436"/>
      <c r="IV63" s="436"/>
      <c r="IW63" s="436"/>
      <c r="IX63" s="436"/>
      <c r="IY63" s="436"/>
      <c r="IZ63" s="436"/>
      <c r="JA63" s="436"/>
      <c r="JB63" s="436"/>
      <c r="JC63" s="436"/>
      <c r="JD63" s="436"/>
      <c r="JE63" s="436"/>
      <c r="JF63" s="436"/>
      <c r="JG63" s="436"/>
      <c r="JH63" s="436"/>
      <c r="JI63" s="436"/>
      <c r="JJ63" s="436"/>
      <c r="JK63" s="436"/>
      <c r="JL63" s="436"/>
      <c r="JM63" s="436"/>
      <c r="JN63" s="436"/>
      <c r="JO63" s="436"/>
      <c r="JP63" s="436"/>
      <c r="JQ63" s="436"/>
      <c r="JR63" s="436"/>
      <c r="JS63" s="436"/>
      <c r="JT63" s="436"/>
      <c r="JU63" s="436"/>
      <c r="JV63" s="436"/>
      <c r="JW63" s="436"/>
      <c r="JX63" s="436"/>
      <c r="JY63" s="436"/>
      <c r="JZ63" s="436"/>
      <c r="KA63" s="436"/>
      <c r="KB63" s="436"/>
      <c r="KC63" s="436"/>
      <c r="KD63" s="436"/>
      <c r="KE63" s="436"/>
      <c r="KF63" s="436"/>
      <c r="KG63" s="436"/>
      <c r="KH63" s="436"/>
      <c r="KI63" s="436"/>
      <c r="KJ63" s="436"/>
      <c r="KK63" s="436"/>
      <c r="KL63" s="436"/>
      <c r="KM63" s="436"/>
      <c r="KN63" s="436"/>
      <c r="KO63" s="436"/>
      <c r="KP63" s="436"/>
      <c r="KQ63" s="436"/>
      <c r="KR63" s="436"/>
      <c r="KS63" s="436"/>
      <c r="KT63" s="436"/>
      <c r="KU63" s="436"/>
      <c r="KV63" s="436"/>
      <c r="KW63" s="436"/>
      <c r="KX63" s="436"/>
      <c r="KY63" s="436"/>
      <c r="KZ63" s="436"/>
      <c r="LA63" s="436"/>
      <c r="LB63" s="436"/>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36"/>
      <c r="MA63" s="436"/>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36"/>
      <c r="MZ63" s="436"/>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36"/>
      <c r="NY63" s="436"/>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36"/>
      <c r="OX63" s="436"/>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36"/>
      <c r="PW63" s="436"/>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36"/>
      <c r="QV63" s="436"/>
      <c r="QW63" s="436"/>
      <c r="QX63" s="436"/>
      <c r="QY63" s="436"/>
      <c r="QZ63" s="436"/>
      <c r="RA63" s="436"/>
      <c r="RB63" s="436"/>
      <c r="RC63" s="436"/>
      <c r="RD63" s="436"/>
      <c r="RE63" s="436"/>
      <c r="RF63" s="436"/>
      <c r="RG63" s="436"/>
      <c r="RH63" s="436"/>
      <c r="RI63" s="436"/>
      <c r="RJ63" s="436"/>
      <c r="RK63" s="436"/>
      <c r="RL63" s="436"/>
      <c r="RM63" s="436"/>
      <c r="RN63" s="436"/>
      <c r="RO63" s="436"/>
      <c r="RP63" s="436"/>
      <c r="RQ63" s="436"/>
      <c r="RR63" s="436"/>
      <c r="RS63" s="436"/>
      <c r="RT63" s="436"/>
      <c r="RU63" s="436"/>
      <c r="RV63" s="436"/>
      <c r="RW63" s="436"/>
      <c r="RX63" s="436"/>
      <c r="RY63" s="436"/>
      <c r="RZ63" s="436"/>
      <c r="SA63" s="436"/>
      <c r="SB63" s="436"/>
      <c r="SC63" s="436"/>
      <c r="SD63" s="436"/>
      <c r="SE63" s="436"/>
      <c r="SF63" s="436"/>
      <c r="SG63" s="436"/>
      <c r="SH63" s="436"/>
      <c r="SI63" s="436"/>
      <c r="SJ63" s="436"/>
      <c r="SK63" s="436"/>
      <c r="SL63" s="436"/>
      <c r="SM63" s="436"/>
      <c r="SN63" s="436"/>
      <c r="SO63" s="436"/>
      <c r="SP63" s="436"/>
      <c r="SQ63" s="436"/>
      <c r="SR63" s="436"/>
      <c r="SS63" s="436"/>
      <c r="ST63" s="436"/>
      <c r="SU63" s="436"/>
      <c r="SV63" s="436"/>
      <c r="SW63" s="436"/>
      <c r="SX63" s="436"/>
      <c r="SY63" s="436"/>
      <c r="SZ63" s="436"/>
      <c r="TA63" s="436"/>
      <c r="TB63" s="436"/>
      <c r="TC63" s="436"/>
      <c r="TD63" s="436"/>
      <c r="TE63" s="436"/>
      <c r="TF63" s="436"/>
      <c r="TG63" s="436"/>
      <c r="TH63" s="436"/>
      <c r="TI63" s="436"/>
      <c r="TJ63" s="436"/>
      <c r="TK63" s="436"/>
      <c r="TL63" s="436"/>
      <c r="TM63" s="436"/>
      <c r="TN63" s="436"/>
      <c r="TO63" s="436"/>
      <c r="TP63" s="436"/>
      <c r="TQ63" s="436"/>
      <c r="TR63" s="436"/>
      <c r="TS63" s="436"/>
      <c r="TT63" s="436"/>
      <c r="TU63" s="436"/>
      <c r="TV63" s="436"/>
      <c r="TW63" s="436"/>
      <c r="TX63" s="436"/>
      <c r="TY63" s="436"/>
      <c r="TZ63" s="436"/>
      <c r="UA63" s="436"/>
      <c r="UB63" s="436"/>
      <c r="UC63" s="436"/>
      <c r="UD63" s="436"/>
      <c r="UE63" s="436"/>
      <c r="UF63" s="436"/>
      <c r="UG63" s="436"/>
      <c r="UH63" s="436"/>
      <c r="UI63" s="436"/>
      <c r="UJ63" s="436"/>
      <c r="UK63" s="436"/>
      <c r="UL63" s="436"/>
      <c r="UM63" s="436"/>
      <c r="UN63" s="436"/>
      <c r="UO63" s="436"/>
      <c r="UP63" s="436"/>
      <c r="UQ63" s="436"/>
      <c r="UR63" s="436"/>
      <c r="US63" s="436"/>
      <c r="UT63" s="436"/>
      <c r="UU63" s="436"/>
      <c r="UV63" s="436"/>
      <c r="UW63" s="436"/>
      <c r="UX63" s="436"/>
      <c r="UY63" s="436"/>
      <c r="UZ63" s="436"/>
      <c r="VA63" s="436"/>
      <c r="VB63" s="436"/>
      <c r="VC63" s="436"/>
      <c r="VD63" s="436"/>
      <c r="VE63" s="436"/>
      <c r="VF63" s="436"/>
      <c r="VG63" s="436"/>
      <c r="VH63" s="436"/>
      <c r="VI63" s="436"/>
      <c r="VJ63" s="436"/>
      <c r="VK63" s="436"/>
      <c r="VL63" s="436"/>
      <c r="VM63" s="436"/>
      <c r="VN63" s="436"/>
      <c r="VO63" s="436"/>
      <c r="VP63" s="436"/>
      <c r="VQ63" s="436"/>
      <c r="VR63" s="436"/>
      <c r="VS63" s="436"/>
      <c r="VT63" s="436"/>
      <c r="VU63" s="436"/>
      <c r="VV63" s="436"/>
      <c r="VW63" s="436"/>
      <c r="VX63" s="436"/>
      <c r="VY63" s="436"/>
      <c r="VZ63" s="436"/>
      <c r="WA63" s="436"/>
      <c r="WB63" s="436"/>
      <c r="WC63" s="436"/>
      <c r="WD63" s="436"/>
      <c r="WE63" s="436"/>
      <c r="WF63" s="436"/>
      <c r="WG63" s="436"/>
      <c r="WH63" s="436"/>
      <c r="WI63" s="436"/>
      <c r="WJ63" s="436"/>
      <c r="WK63" s="436"/>
      <c r="WL63" s="436"/>
      <c r="WM63" s="436"/>
      <c r="WN63" s="436"/>
      <c r="WO63" s="436"/>
      <c r="WP63" s="436"/>
      <c r="WQ63" s="436"/>
      <c r="WR63" s="436"/>
      <c r="WS63" s="436"/>
      <c r="WT63" s="436"/>
      <c r="WU63" s="436"/>
      <c r="WV63" s="436"/>
      <c r="WW63" s="436"/>
      <c r="WX63" s="436"/>
      <c r="WY63" s="436"/>
      <c r="WZ63" s="436"/>
      <c r="XA63" s="436"/>
      <c r="XB63" s="436"/>
      <c r="XC63" s="436"/>
      <c r="XD63" s="436"/>
      <c r="XE63" s="436"/>
      <c r="XF63" s="436"/>
      <c r="XG63" s="436"/>
      <c r="XH63" s="436"/>
      <c r="XI63" s="436"/>
      <c r="XJ63" s="436"/>
      <c r="XK63" s="436"/>
      <c r="XL63" s="436"/>
      <c r="XM63" s="436"/>
      <c r="XN63" s="436"/>
      <c r="XO63" s="436"/>
      <c r="XP63" s="436"/>
      <c r="XQ63" s="436"/>
      <c r="XR63" s="436"/>
      <c r="XS63" s="436"/>
      <c r="XT63" s="436"/>
      <c r="XU63" s="436"/>
      <c r="XV63" s="436"/>
      <c r="XW63" s="436"/>
      <c r="XX63" s="436"/>
      <c r="XY63" s="436"/>
      <c r="XZ63" s="436"/>
      <c r="YA63" s="436"/>
      <c r="YB63" s="436"/>
      <c r="YC63" s="436"/>
      <c r="YD63" s="436"/>
      <c r="YE63" s="436"/>
      <c r="YF63" s="436"/>
      <c r="YG63" s="436"/>
      <c r="YH63" s="436"/>
      <c r="YI63" s="436"/>
      <c r="YJ63" s="436"/>
      <c r="YK63" s="436"/>
      <c r="YL63" s="436"/>
      <c r="YM63" s="436"/>
      <c r="YN63" s="436"/>
      <c r="YO63" s="436"/>
      <c r="YP63" s="436"/>
      <c r="YQ63" s="436"/>
      <c r="YR63" s="436"/>
      <c r="YS63" s="436"/>
      <c r="YT63" s="436"/>
      <c r="YU63" s="436"/>
      <c r="YV63" s="436"/>
      <c r="YW63" s="436"/>
      <c r="YX63" s="436"/>
      <c r="YY63" s="436"/>
      <c r="YZ63" s="436"/>
      <c r="ZA63" s="436"/>
      <c r="ZB63" s="436"/>
      <c r="ZC63" s="436"/>
      <c r="ZD63" s="436"/>
      <c r="ZE63" s="436"/>
      <c r="ZF63" s="436"/>
      <c r="ZG63" s="436"/>
      <c r="ZH63" s="436"/>
      <c r="ZI63" s="436"/>
      <c r="ZJ63" s="436"/>
      <c r="ZK63" s="436"/>
      <c r="ZL63" s="436"/>
      <c r="ZM63" s="436"/>
      <c r="ZN63" s="436"/>
      <c r="ZO63" s="436"/>
      <c r="ZP63" s="436"/>
      <c r="ZQ63" s="436"/>
      <c r="ZR63" s="436"/>
      <c r="ZS63" s="436"/>
      <c r="ZT63" s="436"/>
      <c r="ZU63" s="436"/>
      <c r="ZV63" s="436"/>
      <c r="ZW63" s="436"/>
      <c r="ZX63" s="436"/>
      <c r="ZY63" s="436"/>
      <c r="ZZ63" s="436"/>
      <c r="AAA63" s="436"/>
      <c r="AAB63" s="436"/>
      <c r="AAC63" s="436"/>
      <c r="AAD63" s="436"/>
      <c r="AAE63" s="436"/>
      <c r="AAF63" s="436"/>
      <c r="AAG63" s="436"/>
      <c r="AAH63" s="436"/>
      <c r="AAI63" s="436"/>
      <c r="AAJ63" s="436"/>
      <c r="AAK63" s="436"/>
      <c r="AAL63" s="436"/>
      <c r="AAM63" s="436"/>
      <c r="AAN63" s="436"/>
      <c r="AAO63" s="436"/>
      <c r="AAP63" s="436"/>
      <c r="AAQ63" s="436"/>
      <c r="AAR63" s="436"/>
      <c r="AAS63" s="436"/>
      <c r="AAT63" s="436"/>
      <c r="AAU63" s="436"/>
      <c r="AAV63" s="436"/>
      <c r="AAW63" s="436"/>
      <c r="AAX63" s="436"/>
      <c r="AAY63" s="436"/>
      <c r="AAZ63" s="436"/>
      <c r="ABA63" s="436"/>
      <c r="ABB63" s="436"/>
      <c r="ABC63" s="436"/>
      <c r="ABD63" s="436"/>
      <c r="ABE63" s="436"/>
      <c r="ABF63" s="436"/>
      <c r="ABG63" s="436"/>
      <c r="ABH63" s="436"/>
      <c r="ABI63" s="436"/>
      <c r="ABJ63" s="436"/>
      <c r="ABK63" s="436"/>
      <c r="ABL63" s="436"/>
      <c r="ABM63" s="436"/>
      <c r="ABN63" s="436"/>
      <c r="ABO63" s="436"/>
      <c r="ABP63" s="436"/>
      <c r="ABQ63" s="436"/>
      <c r="ABR63" s="436"/>
      <c r="ABS63" s="436"/>
      <c r="ABT63" s="436"/>
      <c r="ABU63" s="436"/>
      <c r="ABV63" s="436"/>
      <c r="ABW63" s="436"/>
      <c r="ABX63" s="436"/>
      <c r="ABY63" s="436"/>
      <c r="ABZ63" s="436"/>
      <c r="ACA63" s="436"/>
      <c r="ACB63" s="436"/>
      <c r="ACC63" s="436"/>
      <c r="ACD63" s="436"/>
      <c r="ACE63" s="436"/>
      <c r="ACF63" s="436"/>
      <c r="ACG63" s="436"/>
      <c r="ACH63" s="436"/>
      <c r="ACI63" s="436"/>
      <c r="ACJ63" s="436"/>
      <c r="ACK63" s="436"/>
      <c r="ACL63" s="436"/>
      <c r="ACM63" s="436"/>
      <c r="ACN63" s="436"/>
      <c r="ACO63" s="436"/>
      <c r="ACP63" s="436"/>
      <c r="ACQ63" s="436"/>
      <c r="ACR63" s="436"/>
      <c r="ACS63" s="436"/>
      <c r="ACT63" s="436"/>
      <c r="ACU63" s="436"/>
      <c r="ACV63" s="436"/>
      <c r="ACW63" s="436"/>
      <c r="ACX63" s="436"/>
      <c r="ACY63" s="436"/>
      <c r="ACZ63" s="436"/>
      <c r="ADA63" s="436"/>
      <c r="ADB63" s="436"/>
      <c r="ADC63" s="436"/>
      <c r="ADD63" s="436"/>
      <c r="ADE63" s="436"/>
      <c r="ADF63" s="436"/>
      <c r="ADG63" s="436"/>
      <c r="ADH63" s="436"/>
      <c r="ADI63" s="436"/>
      <c r="ADJ63" s="436"/>
      <c r="ADK63" s="436"/>
      <c r="ADL63" s="436"/>
      <c r="ADM63" s="436"/>
      <c r="ADN63" s="436"/>
      <c r="ADO63" s="436"/>
      <c r="ADP63" s="436"/>
      <c r="ADQ63" s="436"/>
      <c r="ADR63" s="436"/>
      <c r="ADS63" s="436"/>
      <c r="ADT63" s="436"/>
      <c r="ADU63" s="436"/>
      <c r="ADV63" s="436"/>
      <c r="ADW63" s="436"/>
      <c r="ADX63" s="436"/>
      <c r="ADY63" s="436"/>
      <c r="ADZ63" s="436"/>
      <c r="AEA63" s="436"/>
      <c r="AEB63" s="436"/>
      <c r="AEC63" s="436"/>
      <c r="AED63" s="436"/>
      <c r="AEE63" s="436"/>
      <c r="AEF63" s="436"/>
      <c r="AEG63" s="436"/>
      <c r="AEH63" s="436"/>
      <c r="AEI63" s="436"/>
      <c r="AEJ63" s="436"/>
      <c r="AEK63" s="436"/>
      <c r="AEL63" s="436"/>
      <c r="AEM63" s="436"/>
      <c r="AEN63" s="436"/>
      <c r="AEO63" s="436"/>
      <c r="AEP63" s="436"/>
      <c r="AEQ63" s="436"/>
      <c r="AER63" s="436"/>
      <c r="AES63" s="436"/>
      <c r="AET63" s="436"/>
      <c r="AEU63" s="436"/>
      <c r="AEV63" s="436"/>
      <c r="AEW63" s="436"/>
      <c r="AEX63" s="436"/>
      <c r="AEY63" s="436"/>
      <c r="AEZ63" s="436"/>
      <c r="AFA63" s="436"/>
      <c r="AFB63" s="436"/>
      <c r="AFC63" s="436"/>
      <c r="AFD63" s="436"/>
      <c r="AFE63" s="436"/>
      <c r="AFF63" s="436"/>
      <c r="AFG63" s="436"/>
      <c r="AFH63" s="436"/>
      <c r="AFI63" s="436"/>
      <c r="AFJ63" s="436"/>
      <c r="AFK63" s="436"/>
      <c r="AFL63" s="436"/>
      <c r="AFM63" s="436"/>
      <c r="AFN63" s="436"/>
      <c r="AFO63" s="436"/>
      <c r="AFP63" s="436"/>
      <c r="AFQ63" s="436"/>
      <c r="AFR63" s="436"/>
      <c r="AFS63" s="436"/>
      <c r="AFT63" s="436"/>
      <c r="AFU63" s="436"/>
      <c r="AFV63" s="436"/>
      <c r="AFW63" s="436"/>
      <c r="AFX63" s="436"/>
      <c r="AFY63" s="436"/>
      <c r="AFZ63" s="436"/>
      <c r="AGA63" s="436"/>
      <c r="AGB63" s="436"/>
      <c r="AGC63" s="436"/>
      <c r="AGD63" s="436"/>
      <c r="AGE63" s="436"/>
      <c r="AGF63" s="436"/>
      <c r="AGG63" s="436"/>
      <c r="AGH63" s="436"/>
      <c r="AGI63" s="436"/>
      <c r="AGJ63" s="436"/>
    </row>
    <row r="64" spans="1:868" s="1" customFormat="1">
      <c r="A64" s="636" t="s">
        <v>118</v>
      </c>
      <c r="B64" s="780" t="s">
        <v>436</v>
      </c>
      <c r="C64" s="34" t="s">
        <v>139</v>
      </c>
      <c r="D64" s="122" t="s">
        <v>99</v>
      </c>
      <c r="E64" s="621">
        <f t="shared" si="22"/>
        <v>7.810419810064792E-2</v>
      </c>
      <c r="F64" s="9">
        <v>1</v>
      </c>
      <c r="G64" s="9" t="s">
        <v>433</v>
      </c>
      <c r="H64" s="10">
        <v>1</v>
      </c>
      <c r="I64" s="10">
        <v>2</v>
      </c>
      <c r="J64" s="10">
        <v>2</v>
      </c>
      <c r="K64" s="10">
        <v>1</v>
      </c>
      <c r="L64" s="10">
        <v>1</v>
      </c>
      <c r="M64" s="10">
        <v>2</v>
      </c>
      <c r="N64" s="405">
        <f t="shared" si="25"/>
        <v>0.35859414261160716</v>
      </c>
      <c r="O64" s="405">
        <f t="shared" si="26"/>
        <v>0.37356464144298934</v>
      </c>
      <c r="P64" s="43"/>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36"/>
      <c r="DC64" s="436"/>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36"/>
      <c r="EB64" s="436"/>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36"/>
      <c r="FA64" s="436"/>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36"/>
      <c r="FZ64" s="436"/>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36"/>
      <c r="GY64" s="436"/>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36"/>
      <c r="HX64" s="436"/>
      <c r="HY64" s="436"/>
      <c r="HZ64" s="436"/>
      <c r="IA64" s="436"/>
      <c r="IB64" s="436"/>
      <c r="IC64" s="436"/>
      <c r="ID64" s="436"/>
      <c r="IE64" s="436"/>
      <c r="IF64" s="436"/>
      <c r="IG64" s="436"/>
      <c r="IH64" s="436"/>
      <c r="II64" s="436"/>
      <c r="IJ64" s="436"/>
      <c r="IK64" s="436"/>
      <c r="IL64" s="436"/>
      <c r="IM64" s="436"/>
      <c r="IN64" s="436"/>
      <c r="IO64" s="436"/>
      <c r="IP64" s="436"/>
      <c r="IQ64" s="436"/>
      <c r="IR64" s="436"/>
      <c r="IS64" s="436"/>
      <c r="IT64" s="436"/>
      <c r="IU64" s="436"/>
      <c r="IV64" s="436"/>
      <c r="IW64" s="436"/>
      <c r="IX64" s="436"/>
      <c r="IY64" s="436"/>
      <c r="IZ64" s="436"/>
      <c r="JA64" s="436"/>
      <c r="JB64" s="436"/>
      <c r="JC64" s="436"/>
      <c r="JD64" s="436"/>
      <c r="JE64" s="436"/>
      <c r="JF64" s="436"/>
      <c r="JG64" s="436"/>
      <c r="JH64" s="436"/>
      <c r="JI64" s="436"/>
      <c r="JJ64" s="436"/>
      <c r="JK64" s="436"/>
      <c r="JL64" s="436"/>
      <c r="JM64" s="436"/>
      <c r="JN64" s="436"/>
      <c r="JO64" s="436"/>
      <c r="JP64" s="436"/>
      <c r="JQ64" s="436"/>
      <c r="JR64" s="436"/>
      <c r="JS64" s="436"/>
      <c r="JT64" s="436"/>
      <c r="JU64" s="436"/>
      <c r="JV64" s="436"/>
      <c r="JW64" s="436"/>
      <c r="JX64" s="436"/>
      <c r="JY64" s="436"/>
      <c r="JZ64" s="436"/>
      <c r="KA64" s="436"/>
      <c r="KB64" s="436"/>
      <c r="KC64" s="436"/>
      <c r="KD64" s="436"/>
      <c r="KE64" s="436"/>
      <c r="KF64" s="436"/>
      <c r="KG64" s="436"/>
      <c r="KH64" s="436"/>
      <c r="KI64" s="436"/>
      <c r="KJ64" s="436"/>
      <c r="KK64" s="436"/>
      <c r="KL64" s="436"/>
      <c r="KM64" s="436"/>
      <c r="KN64" s="436"/>
      <c r="KO64" s="436"/>
      <c r="KP64" s="436"/>
      <c r="KQ64" s="436"/>
      <c r="KR64" s="436"/>
      <c r="KS64" s="436"/>
      <c r="KT64" s="436"/>
      <c r="KU64" s="436"/>
      <c r="KV64" s="436"/>
      <c r="KW64" s="436"/>
      <c r="KX64" s="436"/>
      <c r="KY64" s="436"/>
      <c r="KZ64" s="436"/>
      <c r="LA64" s="436"/>
      <c r="LB64" s="436"/>
      <c r="LC64" s="436"/>
      <c r="LD64" s="436"/>
      <c r="LE64" s="436"/>
      <c r="LF64" s="436"/>
      <c r="LG64" s="436"/>
      <c r="LH64" s="436"/>
      <c r="LI64" s="436"/>
      <c r="LJ64" s="436"/>
      <c r="LK64" s="436"/>
      <c r="LL64" s="436"/>
      <c r="LM64" s="436"/>
      <c r="LN64" s="436"/>
      <c r="LO64" s="436"/>
      <c r="LP64" s="436"/>
      <c r="LQ64" s="436"/>
      <c r="LR64" s="436"/>
      <c r="LS64" s="436"/>
      <c r="LT64" s="436"/>
      <c r="LU64" s="436"/>
      <c r="LV64" s="436"/>
      <c r="LW64" s="436"/>
      <c r="LX64" s="436"/>
      <c r="LY64" s="436"/>
      <c r="LZ64" s="436"/>
      <c r="MA64" s="436"/>
      <c r="MB64" s="436"/>
      <c r="MC64" s="436"/>
      <c r="MD64" s="436"/>
      <c r="ME64" s="436"/>
      <c r="MF64" s="436"/>
      <c r="MG64" s="436"/>
      <c r="MH64" s="436"/>
      <c r="MI64" s="436"/>
      <c r="MJ64" s="436"/>
      <c r="MK64" s="436"/>
      <c r="ML64" s="436"/>
      <c r="MM64" s="436"/>
      <c r="MN64" s="436"/>
      <c r="MO64" s="436"/>
      <c r="MP64" s="436"/>
      <c r="MQ64" s="436"/>
      <c r="MR64" s="436"/>
      <c r="MS64" s="436"/>
      <c r="MT64" s="436"/>
      <c r="MU64" s="436"/>
      <c r="MV64" s="436"/>
      <c r="MW64" s="436"/>
      <c r="MX64" s="436"/>
      <c r="MY64" s="436"/>
      <c r="MZ64" s="436"/>
      <c r="NA64" s="436"/>
      <c r="NB64" s="436"/>
      <c r="NC64" s="436"/>
      <c r="ND64" s="436"/>
      <c r="NE64" s="436"/>
      <c r="NF64" s="436"/>
      <c r="NG64" s="436"/>
      <c r="NH64" s="436"/>
      <c r="NI64" s="436"/>
      <c r="NJ64" s="436"/>
      <c r="NK64" s="436"/>
      <c r="NL64" s="436"/>
      <c r="NM64" s="436"/>
      <c r="NN64" s="436"/>
      <c r="NO64" s="436"/>
      <c r="NP64" s="436"/>
      <c r="NQ64" s="436"/>
      <c r="NR64" s="436"/>
      <c r="NS64" s="436"/>
      <c r="NT64" s="436"/>
      <c r="NU64" s="436"/>
      <c r="NV64" s="436"/>
      <c r="NW64" s="436"/>
      <c r="NX64" s="436"/>
      <c r="NY64" s="436"/>
      <c r="NZ64" s="436"/>
      <c r="OA64" s="436"/>
      <c r="OB64" s="436"/>
      <c r="OC64" s="436"/>
      <c r="OD64" s="436"/>
      <c r="OE64" s="436"/>
      <c r="OF64" s="436"/>
      <c r="OG64" s="436"/>
      <c r="OH64" s="436"/>
      <c r="OI64" s="436"/>
      <c r="OJ64" s="436"/>
      <c r="OK64" s="436"/>
      <c r="OL64" s="436"/>
      <c r="OM64" s="436"/>
      <c r="ON64" s="436"/>
      <c r="OO64" s="436"/>
      <c r="OP64" s="436"/>
      <c r="OQ64" s="436"/>
      <c r="OR64" s="436"/>
      <c r="OS64" s="436"/>
      <c r="OT64" s="436"/>
      <c r="OU64" s="436"/>
      <c r="OV64" s="436"/>
      <c r="OW64" s="436"/>
      <c r="OX64" s="436"/>
      <c r="OY64" s="436"/>
      <c r="OZ64" s="436"/>
      <c r="PA64" s="436"/>
      <c r="PB64" s="436"/>
      <c r="PC64" s="436"/>
      <c r="PD64" s="436"/>
      <c r="PE64" s="436"/>
      <c r="PF64" s="436"/>
      <c r="PG64" s="436"/>
      <c r="PH64" s="436"/>
      <c r="PI64" s="436"/>
      <c r="PJ64" s="436"/>
      <c r="PK64" s="436"/>
      <c r="PL64" s="436"/>
      <c r="PM64" s="436"/>
      <c r="PN64" s="436"/>
      <c r="PO64" s="436"/>
      <c r="PP64" s="436"/>
      <c r="PQ64" s="436"/>
      <c r="PR64" s="436"/>
      <c r="PS64" s="436"/>
      <c r="PT64" s="436"/>
      <c r="PU64" s="436"/>
      <c r="PV64" s="436"/>
      <c r="PW64" s="436"/>
      <c r="PX64" s="436"/>
      <c r="PY64" s="436"/>
      <c r="PZ64" s="436"/>
      <c r="QA64" s="436"/>
      <c r="QB64" s="436"/>
      <c r="QC64" s="436"/>
      <c r="QD64" s="436"/>
      <c r="QE64" s="436"/>
      <c r="QF64" s="436"/>
      <c r="QG64" s="436"/>
      <c r="QH64" s="436"/>
      <c r="QI64" s="436"/>
      <c r="QJ64" s="436"/>
      <c r="QK64" s="436"/>
      <c r="QL64" s="436"/>
      <c r="QM64" s="436"/>
      <c r="QN64" s="436"/>
      <c r="QO64" s="436"/>
      <c r="QP64" s="436"/>
      <c r="QQ64" s="436"/>
      <c r="QR64" s="436"/>
      <c r="QS64" s="436"/>
      <c r="QT64" s="436"/>
      <c r="QU64" s="436"/>
      <c r="QV64" s="436"/>
      <c r="QW64" s="436"/>
      <c r="QX64" s="436"/>
      <c r="QY64" s="436"/>
      <c r="QZ64" s="436"/>
      <c r="RA64" s="436"/>
      <c r="RB64" s="436"/>
      <c r="RC64" s="436"/>
      <c r="RD64" s="436"/>
      <c r="RE64" s="436"/>
      <c r="RF64" s="436"/>
      <c r="RG64" s="436"/>
      <c r="RH64" s="436"/>
      <c r="RI64" s="436"/>
      <c r="RJ64" s="436"/>
      <c r="RK64" s="436"/>
      <c r="RL64" s="436"/>
      <c r="RM64" s="436"/>
      <c r="RN64" s="436"/>
      <c r="RO64" s="436"/>
      <c r="RP64" s="436"/>
      <c r="RQ64" s="436"/>
      <c r="RR64" s="436"/>
      <c r="RS64" s="436"/>
      <c r="RT64" s="436"/>
      <c r="RU64" s="436"/>
      <c r="RV64" s="436"/>
      <c r="RW64" s="436"/>
      <c r="RX64" s="436"/>
      <c r="RY64" s="436"/>
      <c r="RZ64" s="436"/>
      <c r="SA64" s="436"/>
      <c r="SB64" s="436"/>
      <c r="SC64" s="436"/>
      <c r="SD64" s="436"/>
      <c r="SE64" s="436"/>
      <c r="SF64" s="436"/>
      <c r="SG64" s="436"/>
      <c r="SH64" s="436"/>
      <c r="SI64" s="436"/>
      <c r="SJ64" s="436"/>
      <c r="SK64" s="436"/>
      <c r="SL64" s="436"/>
      <c r="SM64" s="436"/>
      <c r="SN64" s="436"/>
      <c r="SO64" s="436"/>
      <c r="SP64" s="436"/>
      <c r="SQ64" s="436"/>
      <c r="SR64" s="436"/>
      <c r="SS64" s="436"/>
      <c r="ST64" s="436"/>
      <c r="SU64" s="436"/>
      <c r="SV64" s="436"/>
      <c r="SW64" s="436"/>
      <c r="SX64" s="436"/>
      <c r="SY64" s="436"/>
      <c r="SZ64" s="436"/>
      <c r="TA64" s="436"/>
      <c r="TB64" s="436"/>
      <c r="TC64" s="436"/>
      <c r="TD64" s="436"/>
      <c r="TE64" s="436"/>
      <c r="TF64" s="436"/>
      <c r="TG64" s="436"/>
      <c r="TH64" s="436"/>
      <c r="TI64" s="436"/>
      <c r="TJ64" s="436"/>
      <c r="TK64" s="436"/>
      <c r="TL64" s="436"/>
      <c r="TM64" s="436"/>
      <c r="TN64" s="436"/>
      <c r="TO64" s="436"/>
      <c r="TP64" s="436"/>
      <c r="TQ64" s="436"/>
      <c r="TR64" s="436"/>
      <c r="TS64" s="436"/>
      <c r="TT64" s="436"/>
      <c r="TU64" s="436"/>
      <c r="TV64" s="436"/>
      <c r="TW64" s="436"/>
      <c r="TX64" s="436"/>
      <c r="TY64" s="436"/>
      <c r="TZ64" s="436"/>
      <c r="UA64" s="436"/>
      <c r="UB64" s="436"/>
      <c r="UC64" s="436"/>
      <c r="UD64" s="436"/>
      <c r="UE64" s="436"/>
      <c r="UF64" s="436"/>
      <c r="UG64" s="436"/>
      <c r="UH64" s="436"/>
      <c r="UI64" s="436"/>
      <c r="UJ64" s="436"/>
      <c r="UK64" s="436"/>
      <c r="UL64" s="436"/>
      <c r="UM64" s="436"/>
      <c r="UN64" s="436"/>
      <c r="UO64" s="436"/>
      <c r="UP64" s="436"/>
      <c r="UQ64" s="436"/>
      <c r="UR64" s="436"/>
      <c r="US64" s="436"/>
      <c r="UT64" s="436"/>
      <c r="UU64" s="436"/>
      <c r="UV64" s="436"/>
      <c r="UW64" s="436"/>
      <c r="UX64" s="436"/>
      <c r="UY64" s="436"/>
      <c r="UZ64" s="436"/>
      <c r="VA64" s="436"/>
      <c r="VB64" s="436"/>
      <c r="VC64" s="436"/>
      <c r="VD64" s="436"/>
      <c r="VE64" s="436"/>
      <c r="VF64" s="436"/>
      <c r="VG64" s="436"/>
      <c r="VH64" s="436"/>
      <c r="VI64" s="436"/>
      <c r="VJ64" s="436"/>
      <c r="VK64" s="436"/>
      <c r="VL64" s="436"/>
      <c r="VM64" s="436"/>
      <c r="VN64" s="436"/>
      <c r="VO64" s="436"/>
      <c r="VP64" s="436"/>
      <c r="VQ64" s="436"/>
      <c r="VR64" s="436"/>
      <c r="VS64" s="436"/>
      <c r="VT64" s="436"/>
      <c r="VU64" s="436"/>
      <c r="VV64" s="436"/>
      <c r="VW64" s="436"/>
      <c r="VX64" s="436"/>
      <c r="VY64" s="436"/>
      <c r="VZ64" s="436"/>
      <c r="WA64" s="436"/>
      <c r="WB64" s="436"/>
      <c r="WC64" s="436"/>
      <c r="WD64" s="436"/>
      <c r="WE64" s="436"/>
      <c r="WF64" s="436"/>
      <c r="WG64" s="436"/>
      <c r="WH64" s="436"/>
      <c r="WI64" s="436"/>
      <c r="WJ64" s="436"/>
      <c r="WK64" s="436"/>
      <c r="WL64" s="436"/>
      <c r="WM64" s="436"/>
      <c r="WN64" s="436"/>
      <c r="WO64" s="436"/>
      <c r="WP64" s="436"/>
      <c r="WQ64" s="436"/>
      <c r="WR64" s="436"/>
      <c r="WS64" s="436"/>
      <c r="WT64" s="436"/>
      <c r="WU64" s="436"/>
      <c r="WV64" s="436"/>
      <c r="WW64" s="436"/>
      <c r="WX64" s="436"/>
      <c r="WY64" s="436"/>
      <c r="WZ64" s="436"/>
      <c r="XA64" s="436"/>
      <c r="XB64" s="436"/>
      <c r="XC64" s="436"/>
      <c r="XD64" s="436"/>
      <c r="XE64" s="436"/>
      <c r="XF64" s="436"/>
      <c r="XG64" s="436"/>
      <c r="XH64" s="436"/>
      <c r="XI64" s="436"/>
      <c r="XJ64" s="436"/>
      <c r="XK64" s="436"/>
      <c r="XL64" s="436"/>
      <c r="XM64" s="436"/>
      <c r="XN64" s="436"/>
      <c r="XO64" s="436"/>
      <c r="XP64" s="436"/>
      <c r="XQ64" s="436"/>
      <c r="XR64" s="436"/>
      <c r="XS64" s="436"/>
      <c r="XT64" s="436"/>
      <c r="XU64" s="436"/>
      <c r="XV64" s="436"/>
      <c r="XW64" s="436"/>
      <c r="XX64" s="436"/>
      <c r="XY64" s="436"/>
      <c r="XZ64" s="436"/>
      <c r="YA64" s="436"/>
      <c r="YB64" s="436"/>
      <c r="YC64" s="436"/>
      <c r="YD64" s="436"/>
      <c r="YE64" s="436"/>
      <c r="YF64" s="436"/>
      <c r="YG64" s="436"/>
      <c r="YH64" s="436"/>
      <c r="YI64" s="436"/>
      <c r="YJ64" s="436"/>
      <c r="YK64" s="436"/>
      <c r="YL64" s="436"/>
      <c r="YM64" s="436"/>
      <c r="YN64" s="436"/>
      <c r="YO64" s="436"/>
      <c r="YP64" s="436"/>
      <c r="YQ64" s="436"/>
      <c r="YR64" s="436"/>
      <c r="YS64" s="436"/>
      <c r="YT64" s="436"/>
      <c r="YU64" s="436"/>
      <c r="YV64" s="436"/>
      <c r="YW64" s="436"/>
      <c r="YX64" s="436"/>
      <c r="YY64" s="436"/>
      <c r="YZ64" s="436"/>
      <c r="ZA64" s="436"/>
      <c r="ZB64" s="436"/>
      <c r="ZC64" s="436"/>
      <c r="ZD64" s="436"/>
      <c r="ZE64" s="436"/>
      <c r="ZF64" s="436"/>
      <c r="ZG64" s="436"/>
      <c r="ZH64" s="436"/>
      <c r="ZI64" s="436"/>
      <c r="ZJ64" s="436"/>
      <c r="ZK64" s="436"/>
      <c r="ZL64" s="436"/>
      <c r="ZM64" s="436"/>
      <c r="ZN64" s="436"/>
      <c r="ZO64" s="436"/>
      <c r="ZP64" s="436"/>
      <c r="ZQ64" s="436"/>
      <c r="ZR64" s="436"/>
      <c r="ZS64" s="436"/>
      <c r="ZT64" s="436"/>
      <c r="ZU64" s="436"/>
      <c r="ZV64" s="436"/>
      <c r="ZW64" s="436"/>
      <c r="ZX64" s="436"/>
      <c r="ZY64" s="436"/>
      <c r="ZZ64" s="436"/>
      <c r="AAA64" s="436"/>
      <c r="AAB64" s="436"/>
      <c r="AAC64" s="436"/>
      <c r="AAD64" s="436"/>
      <c r="AAE64" s="436"/>
      <c r="AAF64" s="436"/>
      <c r="AAG64" s="436"/>
      <c r="AAH64" s="436"/>
      <c r="AAI64" s="436"/>
      <c r="AAJ64" s="436"/>
      <c r="AAK64" s="436"/>
      <c r="AAL64" s="436"/>
      <c r="AAM64" s="436"/>
      <c r="AAN64" s="436"/>
      <c r="AAO64" s="436"/>
      <c r="AAP64" s="436"/>
      <c r="AAQ64" s="436"/>
      <c r="AAR64" s="436"/>
      <c r="AAS64" s="436"/>
      <c r="AAT64" s="436"/>
      <c r="AAU64" s="436"/>
      <c r="AAV64" s="436"/>
      <c r="AAW64" s="436"/>
      <c r="AAX64" s="436"/>
      <c r="AAY64" s="436"/>
      <c r="AAZ64" s="436"/>
      <c r="ABA64" s="436"/>
      <c r="ABB64" s="436"/>
      <c r="ABC64" s="436"/>
      <c r="ABD64" s="436"/>
      <c r="ABE64" s="436"/>
      <c r="ABF64" s="436"/>
      <c r="ABG64" s="436"/>
      <c r="ABH64" s="436"/>
      <c r="ABI64" s="436"/>
      <c r="ABJ64" s="436"/>
      <c r="ABK64" s="436"/>
      <c r="ABL64" s="436"/>
      <c r="ABM64" s="436"/>
      <c r="ABN64" s="436"/>
      <c r="ABO64" s="436"/>
      <c r="ABP64" s="436"/>
      <c r="ABQ64" s="436"/>
      <c r="ABR64" s="436"/>
      <c r="ABS64" s="436"/>
      <c r="ABT64" s="436"/>
      <c r="ABU64" s="436"/>
      <c r="ABV64" s="436"/>
      <c r="ABW64" s="436"/>
      <c r="ABX64" s="436"/>
      <c r="ABY64" s="436"/>
      <c r="ABZ64" s="436"/>
      <c r="ACA64" s="436"/>
      <c r="ACB64" s="436"/>
      <c r="ACC64" s="436"/>
      <c r="ACD64" s="436"/>
      <c r="ACE64" s="436"/>
      <c r="ACF64" s="436"/>
      <c r="ACG64" s="436"/>
      <c r="ACH64" s="436"/>
      <c r="ACI64" s="436"/>
      <c r="ACJ64" s="436"/>
      <c r="ACK64" s="436"/>
      <c r="ACL64" s="436"/>
      <c r="ACM64" s="436"/>
      <c r="ACN64" s="436"/>
      <c r="ACO64" s="436"/>
      <c r="ACP64" s="436"/>
      <c r="ACQ64" s="436"/>
      <c r="ACR64" s="436"/>
      <c r="ACS64" s="436"/>
      <c r="ACT64" s="436"/>
      <c r="ACU64" s="436"/>
      <c r="ACV64" s="436"/>
      <c r="ACW64" s="436"/>
      <c r="ACX64" s="436"/>
      <c r="ACY64" s="436"/>
      <c r="ACZ64" s="436"/>
      <c r="ADA64" s="436"/>
      <c r="ADB64" s="436"/>
      <c r="ADC64" s="436"/>
      <c r="ADD64" s="436"/>
      <c r="ADE64" s="436"/>
      <c r="ADF64" s="436"/>
      <c r="ADG64" s="436"/>
      <c r="ADH64" s="436"/>
      <c r="ADI64" s="436"/>
      <c r="ADJ64" s="436"/>
      <c r="ADK64" s="436"/>
      <c r="ADL64" s="436"/>
      <c r="ADM64" s="436"/>
      <c r="ADN64" s="436"/>
      <c r="ADO64" s="436"/>
      <c r="ADP64" s="436"/>
      <c r="ADQ64" s="436"/>
      <c r="ADR64" s="436"/>
      <c r="ADS64" s="436"/>
      <c r="ADT64" s="436"/>
      <c r="ADU64" s="436"/>
      <c r="ADV64" s="436"/>
      <c r="ADW64" s="436"/>
      <c r="ADX64" s="436"/>
      <c r="ADY64" s="436"/>
      <c r="ADZ64" s="436"/>
      <c r="AEA64" s="436"/>
      <c r="AEB64" s="436"/>
      <c r="AEC64" s="436"/>
      <c r="AED64" s="436"/>
      <c r="AEE64" s="436"/>
      <c r="AEF64" s="436"/>
      <c r="AEG64" s="436"/>
      <c r="AEH64" s="436"/>
      <c r="AEI64" s="436"/>
      <c r="AEJ64" s="436"/>
      <c r="AEK64" s="436"/>
      <c r="AEL64" s="436"/>
      <c r="AEM64" s="436"/>
      <c r="AEN64" s="436"/>
      <c r="AEO64" s="436"/>
      <c r="AEP64" s="436"/>
      <c r="AEQ64" s="436"/>
      <c r="AER64" s="436"/>
      <c r="AES64" s="436"/>
      <c r="AET64" s="436"/>
      <c r="AEU64" s="436"/>
      <c r="AEV64" s="436"/>
      <c r="AEW64" s="436"/>
      <c r="AEX64" s="436"/>
      <c r="AEY64" s="436"/>
      <c r="AEZ64" s="436"/>
      <c r="AFA64" s="436"/>
      <c r="AFB64" s="436"/>
      <c r="AFC64" s="436"/>
      <c r="AFD64" s="436"/>
      <c r="AFE64" s="436"/>
      <c r="AFF64" s="436"/>
      <c r="AFG64" s="436"/>
      <c r="AFH64" s="436"/>
      <c r="AFI64" s="436"/>
      <c r="AFJ64" s="436"/>
      <c r="AFK64" s="436"/>
      <c r="AFL64" s="436"/>
      <c r="AFM64" s="436"/>
      <c r="AFN64" s="436"/>
      <c r="AFO64" s="436"/>
      <c r="AFP64" s="436"/>
      <c r="AFQ64" s="436"/>
      <c r="AFR64" s="436"/>
      <c r="AFS64" s="436"/>
      <c r="AFT64" s="436"/>
      <c r="AFU64" s="436"/>
      <c r="AFV64" s="436"/>
      <c r="AFW64" s="436"/>
      <c r="AFX64" s="436"/>
      <c r="AFY64" s="436"/>
      <c r="AFZ64" s="436"/>
      <c r="AGA64" s="436"/>
      <c r="AGB64" s="436"/>
      <c r="AGC64" s="436"/>
      <c r="AGD64" s="436"/>
      <c r="AGE64" s="436"/>
      <c r="AGF64" s="436"/>
      <c r="AGG64" s="436"/>
      <c r="AGH64" s="436"/>
      <c r="AGI64" s="436"/>
      <c r="AGJ64" s="436"/>
    </row>
    <row r="65" spans="1:868" s="1" customFormat="1">
      <c r="A65" s="636" t="s">
        <v>118</v>
      </c>
      <c r="B65" s="780" t="s">
        <v>437</v>
      </c>
      <c r="C65" s="34" t="s">
        <v>139</v>
      </c>
      <c r="D65" s="122" t="s">
        <v>99</v>
      </c>
      <c r="E65" s="621">
        <f t="shared" si="22"/>
        <v>7.810419810064792E-2</v>
      </c>
      <c r="F65" s="9">
        <v>1</v>
      </c>
      <c r="G65" s="9" t="s">
        <v>433</v>
      </c>
      <c r="H65" s="10">
        <v>1</v>
      </c>
      <c r="I65" s="10">
        <v>2</v>
      </c>
      <c r="J65" s="10">
        <v>2</v>
      </c>
      <c r="K65" s="10">
        <v>1</v>
      </c>
      <c r="L65" s="10">
        <v>1</v>
      </c>
      <c r="M65" s="10">
        <v>2</v>
      </c>
      <c r="N65" s="405">
        <f t="shared" si="25"/>
        <v>0.35859414261160716</v>
      </c>
      <c r="O65" s="405">
        <f t="shared" si="26"/>
        <v>0.37356464144298934</v>
      </c>
      <c r="P65" s="43"/>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36"/>
      <c r="DC65" s="436"/>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36"/>
      <c r="EB65" s="436"/>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36"/>
      <c r="FA65" s="436"/>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36"/>
      <c r="FZ65" s="436"/>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36"/>
      <c r="GY65" s="436"/>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36"/>
      <c r="HX65" s="436"/>
      <c r="HY65" s="436"/>
      <c r="HZ65" s="436"/>
      <c r="IA65" s="436"/>
      <c r="IB65" s="436"/>
      <c r="IC65" s="436"/>
      <c r="ID65" s="436"/>
      <c r="IE65" s="436"/>
      <c r="IF65" s="436"/>
      <c r="IG65" s="436"/>
      <c r="IH65" s="436"/>
      <c r="II65" s="436"/>
      <c r="IJ65" s="436"/>
      <c r="IK65" s="436"/>
      <c r="IL65" s="436"/>
      <c r="IM65" s="436"/>
      <c r="IN65" s="436"/>
      <c r="IO65" s="436"/>
      <c r="IP65" s="436"/>
      <c r="IQ65" s="436"/>
      <c r="IR65" s="436"/>
      <c r="IS65" s="436"/>
      <c r="IT65" s="436"/>
      <c r="IU65" s="436"/>
      <c r="IV65" s="436"/>
      <c r="IW65" s="436"/>
      <c r="IX65" s="436"/>
      <c r="IY65" s="436"/>
      <c r="IZ65" s="436"/>
      <c r="JA65" s="436"/>
      <c r="JB65" s="436"/>
      <c r="JC65" s="436"/>
      <c r="JD65" s="436"/>
      <c r="JE65" s="436"/>
      <c r="JF65" s="436"/>
      <c r="JG65" s="436"/>
      <c r="JH65" s="436"/>
      <c r="JI65" s="436"/>
      <c r="JJ65" s="436"/>
      <c r="JK65" s="436"/>
      <c r="JL65" s="436"/>
      <c r="JM65" s="436"/>
      <c r="JN65" s="436"/>
      <c r="JO65" s="436"/>
      <c r="JP65" s="436"/>
      <c r="JQ65" s="436"/>
      <c r="JR65" s="436"/>
      <c r="JS65" s="436"/>
      <c r="JT65" s="436"/>
      <c r="JU65" s="436"/>
      <c r="JV65" s="436"/>
      <c r="JW65" s="436"/>
      <c r="JX65" s="436"/>
      <c r="JY65" s="436"/>
      <c r="JZ65" s="436"/>
      <c r="KA65" s="436"/>
      <c r="KB65" s="436"/>
      <c r="KC65" s="436"/>
      <c r="KD65" s="436"/>
      <c r="KE65" s="436"/>
      <c r="KF65" s="436"/>
      <c r="KG65" s="436"/>
      <c r="KH65" s="436"/>
      <c r="KI65" s="436"/>
      <c r="KJ65" s="436"/>
      <c r="KK65" s="436"/>
      <c r="KL65" s="436"/>
      <c r="KM65" s="436"/>
      <c r="KN65" s="436"/>
      <c r="KO65" s="436"/>
      <c r="KP65" s="436"/>
      <c r="KQ65" s="436"/>
      <c r="KR65" s="436"/>
      <c r="KS65" s="436"/>
      <c r="KT65" s="436"/>
      <c r="KU65" s="436"/>
      <c r="KV65" s="436"/>
      <c r="KW65" s="436"/>
      <c r="KX65" s="436"/>
      <c r="KY65" s="436"/>
      <c r="KZ65" s="436"/>
      <c r="LA65" s="436"/>
      <c r="LB65" s="436"/>
      <c r="LC65" s="436"/>
      <c r="LD65" s="436"/>
      <c r="LE65" s="436"/>
      <c r="LF65" s="436"/>
      <c r="LG65" s="436"/>
      <c r="LH65" s="436"/>
      <c r="LI65" s="436"/>
      <c r="LJ65" s="436"/>
      <c r="LK65" s="436"/>
      <c r="LL65" s="436"/>
      <c r="LM65" s="436"/>
      <c r="LN65" s="436"/>
      <c r="LO65" s="436"/>
      <c r="LP65" s="436"/>
      <c r="LQ65" s="436"/>
      <c r="LR65" s="436"/>
      <c r="LS65" s="436"/>
      <c r="LT65" s="436"/>
      <c r="LU65" s="436"/>
      <c r="LV65" s="436"/>
      <c r="LW65" s="436"/>
      <c r="LX65" s="436"/>
      <c r="LY65" s="436"/>
      <c r="LZ65" s="436"/>
      <c r="MA65" s="436"/>
      <c r="MB65" s="436"/>
      <c r="MC65" s="436"/>
      <c r="MD65" s="436"/>
      <c r="ME65" s="436"/>
      <c r="MF65" s="436"/>
      <c r="MG65" s="436"/>
      <c r="MH65" s="436"/>
      <c r="MI65" s="436"/>
      <c r="MJ65" s="436"/>
      <c r="MK65" s="436"/>
      <c r="ML65" s="436"/>
      <c r="MM65" s="436"/>
      <c r="MN65" s="436"/>
      <c r="MO65" s="436"/>
      <c r="MP65" s="436"/>
      <c r="MQ65" s="436"/>
      <c r="MR65" s="436"/>
      <c r="MS65" s="436"/>
      <c r="MT65" s="436"/>
      <c r="MU65" s="436"/>
      <c r="MV65" s="436"/>
      <c r="MW65" s="436"/>
      <c r="MX65" s="436"/>
      <c r="MY65" s="436"/>
      <c r="MZ65" s="436"/>
      <c r="NA65" s="436"/>
      <c r="NB65" s="436"/>
      <c r="NC65" s="436"/>
      <c r="ND65" s="436"/>
      <c r="NE65" s="436"/>
      <c r="NF65" s="436"/>
      <c r="NG65" s="436"/>
      <c r="NH65" s="436"/>
      <c r="NI65" s="436"/>
      <c r="NJ65" s="436"/>
      <c r="NK65" s="436"/>
      <c r="NL65" s="436"/>
      <c r="NM65" s="436"/>
      <c r="NN65" s="436"/>
      <c r="NO65" s="436"/>
      <c r="NP65" s="436"/>
      <c r="NQ65" s="436"/>
      <c r="NR65" s="436"/>
      <c r="NS65" s="436"/>
      <c r="NT65" s="436"/>
      <c r="NU65" s="436"/>
      <c r="NV65" s="436"/>
      <c r="NW65" s="436"/>
      <c r="NX65" s="436"/>
      <c r="NY65" s="436"/>
      <c r="NZ65" s="436"/>
      <c r="OA65" s="436"/>
      <c r="OB65" s="436"/>
      <c r="OC65" s="436"/>
      <c r="OD65" s="436"/>
      <c r="OE65" s="436"/>
      <c r="OF65" s="436"/>
      <c r="OG65" s="436"/>
      <c r="OH65" s="436"/>
      <c r="OI65" s="436"/>
      <c r="OJ65" s="436"/>
      <c r="OK65" s="436"/>
      <c r="OL65" s="436"/>
      <c r="OM65" s="436"/>
      <c r="ON65" s="436"/>
      <c r="OO65" s="436"/>
      <c r="OP65" s="436"/>
      <c r="OQ65" s="436"/>
      <c r="OR65" s="436"/>
      <c r="OS65" s="436"/>
      <c r="OT65" s="436"/>
      <c r="OU65" s="436"/>
      <c r="OV65" s="436"/>
      <c r="OW65" s="436"/>
      <c r="OX65" s="436"/>
      <c r="OY65" s="436"/>
      <c r="OZ65" s="436"/>
      <c r="PA65" s="436"/>
      <c r="PB65" s="436"/>
      <c r="PC65" s="436"/>
      <c r="PD65" s="436"/>
      <c r="PE65" s="436"/>
      <c r="PF65" s="436"/>
      <c r="PG65" s="436"/>
      <c r="PH65" s="436"/>
      <c r="PI65" s="436"/>
      <c r="PJ65" s="436"/>
      <c r="PK65" s="436"/>
      <c r="PL65" s="436"/>
      <c r="PM65" s="436"/>
      <c r="PN65" s="436"/>
      <c r="PO65" s="436"/>
      <c r="PP65" s="436"/>
      <c r="PQ65" s="436"/>
      <c r="PR65" s="436"/>
      <c r="PS65" s="436"/>
      <c r="PT65" s="436"/>
      <c r="PU65" s="436"/>
      <c r="PV65" s="436"/>
      <c r="PW65" s="436"/>
      <c r="PX65" s="436"/>
      <c r="PY65" s="436"/>
      <c r="PZ65" s="436"/>
      <c r="QA65" s="436"/>
      <c r="QB65" s="436"/>
      <c r="QC65" s="436"/>
      <c r="QD65" s="436"/>
      <c r="QE65" s="436"/>
      <c r="QF65" s="436"/>
      <c r="QG65" s="436"/>
      <c r="QH65" s="436"/>
      <c r="QI65" s="436"/>
      <c r="QJ65" s="436"/>
      <c r="QK65" s="436"/>
      <c r="QL65" s="436"/>
      <c r="QM65" s="436"/>
      <c r="QN65" s="436"/>
      <c r="QO65" s="436"/>
      <c r="QP65" s="436"/>
      <c r="QQ65" s="436"/>
      <c r="QR65" s="436"/>
      <c r="QS65" s="436"/>
      <c r="QT65" s="436"/>
      <c r="QU65" s="436"/>
      <c r="QV65" s="436"/>
      <c r="QW65" s="436"/>
      <c r="QX65" s="436"/>
      <c r="QY65" s="436"/>
      <c r="QZ65" s="436"/>
      <c r="RA65" s="436"/>
      <c r="RB65" s="436"/>
      <c r="RC65" s="436"/>
      <c r="RD65" s="436"/>
      <c r="RE65" s="436"/>
      <c r="RF65" s="436"/>
      <c r="RG65" s="436"/>
      <c r="RH65" s="436"/>
      <c r="RI65" s="436"/>
      <c r="RJ65" s="436"/>
      <c r="RK65" s="436"/>
      <c r="RL65" s="436"/>
      <c r="RM65" s="436"/>
      <c r="RN65" s="436"/>
      <c r="RO65" s="436"/>
      <c r="RP65" s="436"/>
      <c r="RQ65" s="436"/>
      <c r="RR65" s="436"/>
      <c r="RS65" s="436"/>
      <c r="RT65" s="436"/>
      <c r="RU65" s="436"/>
      <c r="RV65" s="436"/>
      <c r="RW65" s="436"/>
      <c r="RX65" s="436"/>
      <c r="RY65" s="436"/>
      <c r="RZ65" s="436"/>
      <c r="SA65" s="436"/>
      <c r="SB65" s="436"/>
      <c r="SC65" s="436"/>
      <c r="SD65" s="436"/>
      <c r="SE65" s="436"/>
      <c r="SF65" s="436"/>
      <c r="SG65" s="436"/>
      <c r="SH65" s="436"/>
      <c r="SI65" s="436"/>
      <c r="SJ65" s="436"/>
      <c r="SK65" s="436"/>
      <c r="SL65" s="436"/>
      <c r="SM65" s="436"/>
      <c r="SN65" s="436"/>
      <c r="SO65" s="436"/>
      <c r="SP65" s="436"/>
      <c r="SQ65" s="436"/>
      <c r="SR65" s="436"/>
      <c r="SS65" s="436"/>
      <c r="ST65" s="436"/>
      <c r="SU65" s="436"/>
      <c r="SV65" s="436"/>
      <c r="SW65" s="436"/>
      <c r="SX65" s="436"/>
      <c r="SY65" s="436"/>
      <c r="SZ65" s="436"/>
      <c r="TA65" s="436"/>
      <c r="TB65" s="436"/>
      <c r="TC65" s="436"/>
      <c r="TD65" s="436"/>
      <c r="TE65" s="436"/>
      <c r="TF65" s="436"/>
      <c r="TG65" s="436"/>
      <c r="TH65" s="436"/>
      <c r="TI65" s="436"/>
      <c r="TJ65" s="436"/>
      <c r="TK65" s="436"/>
      <c r="TL65" s="436"/>
      <c r="TM65" s="436"/>
      <c r="TN65" s="436"/>
      <c r="TO65" s="436"/>
      <c r="TP65" s="436"/>
      <c r="TQ65" s="436"/>
      <c r="TR65" s="436"/>
      <c r="TS65" s="436"/>
      <c r="TT65" s="436"/>
      <c r="TU65" s="436"/>
      <c r="TV65" s="436"/>
      <c r="TW65" s="436"/>
      <c r="TX65" s="436"/>
      <c r="TY65" s="436"/>
      <c r="TZ65" s="436"/>
      <c r="UA65" s="436"/>
      <c r="UB65" s="436"/>
      <c r="UC65" s="436"/>
      <c r="UD65" s="436"/>
      <c r="UE65" s="436"/>
      <c r="UF65" s="436"/>
      <c r="UG65" s="436"/>
      <c r="UH65" s="436"/>
      <c r="UI65" s="436"/>
      <c r="UJ65" s="436"/>
      <c r="UK65" s="436"/>
      <c r="UL65" s="436"/>
      <c r="UM65" s="436"/>
      <c r="UN65" s="436"/>
      <c r="UO65" s="436"/>
      <c r="UP65" s="436"/>
      <c r="UQ65" s="436"/>
      <c r="UR65" s="436"/>
      <c r="US65" s="436"/>
      <c r="UT65" s="436"/>
      <c r="UU65" s="436"/>
      <c r="UV65" s="436"/>
      <c r="UW65" s="436"/>
      <c r="UX65" s="436"/>
      <c r="UY65" s="436"/>
      <c r="UZ65" s="436"/>
      <c r="VA65" s="436"/>
      <c r="VB65" s="436"/>
      <c r="VC65" s="436"/>
      <c r="VD65" s="436"/>
      <c r="VE65" s="436"/>
      <c r="VF65" s="436"/>
      <c r="VG65" s="436"/>
      <c r="VH65" s="436"/>
      <c r="VI65" s="436"/>
      <c r="VJ65" s="436"/>
      <c r="VK65" s="436"/>
      <c r="VL65" s="436"/>
      <c r="VM65" s="436"/>
      <c r="VN65" s="436"/>
      <c r="VO65" s="436"/>
      <c r="VP65" s="436"/>
      <c r="VQ65" s="436"/>
      <c r="VR65" s="436"/>
      <c r="VS65" s="436"/>
      <c r="VT65" s="436"/>
      <c r="VU65" s="436"/>
      <c r="VV65" s="436"/>
      <c r="VW65" s="436"/>
      <c r="VX65" s="436"/>
      <c r="VY65" s="436"/>
      <c r="VZ65" s="436"/>
      <c r="WA65" s="436"/>
      <c r="WB65" s="436"/>
      <c r="WC65" s="436"/>
      <c r="WD65" s="436"/>
      <c r="WE65" s="436"/>
      <c r="WF65" s="436"/>
      <c r="WG65" s="436"/>
      <c r="WH65" s="436"/>
      <c r="WI65" s="436"/>
      <c r="WJ65" s="436"/>
      <c r="WK65" s="436"/>
      <c r="WL65" s="436"/>
      <c r="WM65" s="436"/>
      <c r="WN65" s="436"/>
      <c r="WO65" s="436"/>
      <c r="WP65" s="436"/>
      <c r="WQ65" s="436"/>
      <c r="WR65" s="436"/>
      <c r="WS65" s="436"/>
      <c r="WT65" s="436"/>
      <c r="WU65" s="436"/>
      <c r="WV65" s="436"/>
      <c r="WW65" s="436"/>
      <c r="WX65" s="436"/>
      <c r="WY65" s="436"/>
      <c r="WZ65" s="436"/>
      <c r="XA65" s="436"/>
      <c r="XB65" s="436"/>
      <c r="XC65" s="436"/>
      <c r="XD65" s="436"/>
      <c r="XE65" s="436"/>
      <c r="XF65" s="436"/>
      <c r="XG65" s="436"/>
      <c r="XH65" s="436"/>
      <c r="XI65" s="436"/>
      <c r="XJ65" s="436"/>
      <c r="XK65" s="436"/>
      <c r="XL65" s="436"/>
      <c r="XM65" s="436"/>
      <c r="XN65" s="436"/>
      <c r="XO65" s="436"/>
      <c r="XP65" s="436"/>
      <c r="XQ65" s="436"/>
      <c r="XR65" s="436"/>
      <c r="XS65" s="436"/>
      <c r="XT65" s="436"/>
      <c r="XU65" s="436"/>
      <c r="XV65" s="436"/>
      <c r="XW65" s="436"/>
      <c r="XX65" s="436"/>
      <c r="XY65" s="436"/>
      <c r="XZ65" s="436"/>
      <c r="YA65" s="436"/>
      <c r="YB65" s="436"/>
      <c r="YC65" s="436"/>
      <c r="YD65" s="436"/>
      <c r="YE65" s="436"/>
      <c r="YF65" s="436"/>
      <c r="YG65" s="436"/>
      <c r="YH65" s="436"/>
      <c r="YI65" s="436"/>
      <c r="YJ65" s="436"/>
      <c r="YK65" s="436"/>
      <c r="YL65" s="436"/>
      <c r="YM65" s="436"/>
      <c r="YN65" s="436"/>
      <c r="YO65" s="436"/>
      <c r="YP65" s="436"/>
      <c r="YQ65" s="436"/>
      <c r="YR65" s="436"/>
      <c r="YS65" s="436"/>
      <c r="YT65" s="436"/>
      <c r="YU65" s="436"/>
      <c r="YV65" s="436"/>
      <c r="YW65" s="436"/>
      <c r="YX65" s="436"/>
      <c r="YY65" s="436"/>
      <c r="YZ65" s="436"/>
      <c r="ZA65" s="436"/>
      <c r="ZB65" s="436"/>
      <c r="ZC65" s="436"/>
      <c r="ZD65" s="436"/>
      <c r="ZE65" s="436"/>
      <c r="ZF65" s="436"/>
      <c r="ZG65" s="436"/>
      <c r="ZH65" s="436"/>
      <c r="ZI65" s="436"/>
      <c r="ZJ65" s="436"/>
      <c r="ZK65" s="436"/>
      <c r="ZL65" s="436"/>
      <c r="ZM65" s="436"/>
      <c r="ZN65" s="436"/>
      <c r="ZO65" s="436"/>
      <c r="ZP65" s="436"/>
      <c r="ZQ65" s="436"/>
      <c r="ZR65" s="436"/>
      <c r="ZS65" s="436"/>
      <c r="ZT65" s="436"/>
      <c r="ZU65" s="436"/>
      <c r="ZV65" s="436"/>
      <c r="ZW65" s="436"/>
      <c r="ZX65" s="436"/>
      <c r="ZY65" s="436"/>
      <c r="ZZ65" s="436"/>
      <c r="AAA65" s="436"/>
      <c r="AAB65" s="436"/>
      <c r="AAC65" s="436"/>
      <c r="AAD65" s="436"/>
      <c r="AAE65" s="436"/>
      <c r="AAF65" s="436"/>
      <c r="AAG65" s="436"/>
      <c r="AAH65" s="436"/>
      <c r="AAI65" s="436"/>
      <c r="AAJ65" s="436"/>
      <c r="AAK65" s="436"/>
      <c r="AAL65" s="436"/>
      <c r="AAM65" s="436"/>
      <c r="AAN65" s="436"/>
      <c r="AAO65" s="436"/>
      <c r="AAP65" s="436"/>
      <c r="AAQ65" s="436"/>
      <c r="AAR65" s="436"/>
      <c r="AAS65" s="436"/>
      <c r="AAT65" s="436"/>
      <c r="AAU65" s="436"/>
      <c r="AAV65" s="436"/>
      <c r="AAW65" s="436"/>
      <c r="AAX65" s="436"/>
      <c r="AAY65" s="436"/>
      <c r="AAZ65" s="436"/>
      <c r="ABA65" s="436"/>
      <c r="ABB65" s="436"/>
      <c r="ABC65" s="436"/>
      <c r="ABD65" s="436"/>
      <c r="ABE65" s="436"/>
      <c r="ABF65" s="436"/>
      <c r="ABG65" s="436"/>
      <c r="ABH65" s="436"/>
      <c r="ABI65" s="436"/>
      <c r="ABJ65" s="436"/>
      <c r="ABK65" s="436"/>
      <c r="ABL65" s="436"/>
      <c r="ABM65" s="436"/>
      <c r="ABN65" s="436"/>
      <c r="ABO65" s="436"/>
      <c r="ABP65" s="436"/>
      <c r="ABQ65" s="436"/>
      <c r="ABR65" s="436"/>
      <c r="ABS65" s="436"/>
      <c r="ABT65" s="436"/>
      <c r="ABU65" s="436"/>
      <c r="ABV65" s="436"/>
      <c r="ABW65" s="436"/>
      <c r="ABX65" s="436"/>
      <c r="ABY65" s="436"/>
      <c r="ABZ65" s="436"/>
      <c r="ACA65" s="436"/>
      <c r="ACB65" s="436"/>
      <c r="ACC65" s="436"/>
      <c r="ACD65" s="436"/>
      <c r="ACE65" s="436"/>
      <c r="ACF65" s="436"/>
      <c r="ACG65" s="436"/>
      <c r="ACH65" s="436"/>
      <c r="ACI65" s="436"/>
      <c r="ACJ65" s="436"/>
      <c r="ACK65" s="436"/>
      <c r="ACL65" s="436"/>
      <c r="ACM65" s="436"/>
      <c r="ACN65" s="436"/>
      <c r="ACO65" s="436"/>
      <c r="ACP65" s="436"/>
      <c r="ACQ65" s="436"/>
      <c r="ACR65" s="436"/>
      <c r="ACS65" s="436"/>
      <c r="ACT65" s="436"/>
      <c r="ACU65" s="436"/>
      <c r="ACV65" s="436"/>
      <c r="ACW65" s="436"/>
      <c r="ACX65" s="436"/>
      <c r="ACY65" s="436"/>
      <c r="ACZ65" s="436"/>
      <c r="ADA65" s="436"/>
      <c r="ADB65" s="436"/>
      <c r="ADC65" s="436"/>
      <c r="ADD65" s="436"/>
      <c r="ADE65" s="436"/>
      <c r="ADF65" s="436"/>
      <c r="ADG65" s="436"/>
      <c r="ADH65" s="436"/>
      <c r="ADI65" s="436"/>
      <c r="ADJ65" s="436"/>
      <c r="ADK65" s="436"/>
      <c r="ADL65" s="436"/>
      <c r="ADM65" s="436"/>
      <c r="ADN65" s="436"/>
      <c r="ADO65" s="436"/>
      <c r="ADP65" s="436"/>
      <c r="ADQ65" s="436"/>
      <c r="ADR65" s="436"/>
      <c r="ADS65" s="436"/>
      <c r="ADT65" s="436"/>
      <c r="ADU65" s="436"/>
      <c r="ADV65" s="436"/>
      <c r="ADW65" s="436"/>
      <c r="ADX65" s="436"/>
      <c r="ADY65" s="436"/>
      <c r="ADZ65" s="436"/>
      <c r="AEA65" s="436"/>
      <c r="AEB65" s="436"/>
      <c r="AEC65" s="436"/>
      <c r="AED65" s="436"/>
      <c r="AEE65" s="436"/>
      <c r="AEF65" s="436"/>
      <c r="AEG65" s="436"/>
      <c r="AEH65" s="436"/>
      <c r="AEI65" s="436"/>
      <c r="AEJ65" s="436"/>
      <c r="AEK65" s="436"/>
      <c r="AEL65" s="436"/>
      <c r="AEM65" s="436"/>
      <c r="AEN65" s="436"/>
      <c r="AEO65" s="436"/>
      <c r="AEP65" s="436"/>
      <c r="AEQ65" s="436"/>
      <c r="AER65" s="436"/>
      <c r="AES65" s="436"/>
      <c r="AET65" s="436"/>
      <c r="AEU65" s="436"/>
      <c r="AEV65" s="436"/>
      <c r="AEW65" s="436"/>
      <c r="AEX65" s="436"/>
      <c r="AEY65" s="436"/>
      <c r="AEZ65" s="436"/>
      <c r="AFA65" s="436"/>
      <c r="AFB65" s="436"/>
      <c r="AFC65" s="436"/>
      <c r="AFD65" s="436"/>
      <c r="AFE65" s="436"/>
      <c r="AFF65" s="436"/>
      <c r="AFG65" s="436"/>
      <c r="AFH65" s="436"/>
      <c r="AFI65" s="436"/>
      <c r="AFJ65" s="436"/>
      <c r="AFK65" s="436"/>
      <c r="AFL65" s="436"/>
      <c r="AFM65" s="436"/>
      <c r="AFN65" s="436"/>
      <c r="AFO65" s="436"/>
      <c r="AFP65" s="436"/>
      <c r="AFQ65" s="436"/>
      <c r="AFR65" s="436"/>
      <c r="AFS65" s="436"/>
      <c r="AFT65" s="436"/>
      <c r="AFU65" s="436"/>
      <c r="AFV65" s="436"/>
      <c r="AFW65" s="436"/>
      <c r="AFX65" s="436"/>
      <c r="AFY65" s="436"/>
      <c r="AFZ65" s="436"/>
      <c r="AGA65" s="436"/>
      <c r="AGB65" s="436"/>
      <c r="AGC65" s="436"/>
      <c r="AGD65" s="436"/>
      <c r="AGE65" s="436"/>
      <c r="AGF65" s="436"/>
      <c r="AGG65" s="436"/>
      <c r="AGH65" s="436"/>
      <c r="AGI65" s="436"/>
      <c r="AGJ65" s="436"/>
    </row>
    <row r="66" spans="1:868" s="1" customFormat="1">
      <c r="A66" s="636" t="s">
        <v>118</v>
      </c>
      <c r="B66" s="780" t="s">
        <v>438</v>
      </c>
      <c r="C66" s="34" t="s">
        <v>139</v>
      </c>
      <c r="D66" s="122" t="s">
        <v>99</v>
      </c>
      <c r="E66" s="621">
        <f t="shared" si="22"/>
        <v>0.10650572468270171</v>
      </c>
      <c r="F66" s="9">
        <v>1</v>
      </c>
      <c r="G66" s="9" t="s">
        <v>433</v>
      </c>
      <c r="H66" s="10">
        <v>1</v>
      </c>
      <c r="I66" s="10">
        <v>2</v>
      </c>
      <c r="J66" s="10">
        <v>2</v>
      </c>
      <c r="K66" s="10">
        <v>1</v>
      </c>
      <c r="L66" s="10">
        <v>1</v>
      </c>
      <c r="M66" s="10">
        <v>2</v>
      </c>
      <c r="N66" s="405">
        <f t="shared" si="25"/>
        <v>0.35859414261160716</v>
      </c>
      <c r="O66" s="405">
        <f t="shared" si="26"/>
        <v>0.37356464144298934</v>
      </c>
      <c r="P66" s="43"/>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36"/>
      <c r="DC66" s="436"/>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36"/>
      <c r="EB66" s="436"/>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36"/>
      <c r="FA66" s="436"/>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36"/>
      <c r="FZ66" s="436"/>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36"/>
      <c r="GY66" s="436"/>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36"/>
      <c r="HX66" s="436"/>
      <c r="HY66" s="436"/>
      <c r="HZ66" s="436"/>
      <c r="IA66" s="436"/>
      <c r="IB66" s="436"/>
      <c r="IC66" s="436"/>
      <c r="ID66" s="436"/>
      <c r="IE66" s="436"/>
      <c r="IF66" s="436"/>
      <c r="IG66" s="436"/>
      <c r="IH66" s="436"/>
      <c r="II66" s="436"/>
      <c r="IJ66" s="436"/>
      <c r="IK66" s="436"/>
      <c r="IL66" s="436"/>
      <c r="IM66" s="436"/>
      <c r="IN66" s="436"/>
      <c r="IO66" s="436"/>
      <c r="IP66" s="436"/>
      <c r="IQ66" s="436"/>
      <c r="IR66" s="436"/>
      <c r="IS66" s="436"/>
      <c r="IT66" s="436"/>
      <c r="IU66" s="436"/>
      <c r="IV66" s="436"/>
      <c r="IW66" s="436"/>
      <c r="IX66" s="436"/>
      <c r="IY66" s="436"/>
      <c r="IZ66" s="436"/>
      <c r="JA66" s="436"/>
      <c r="JB66" s="436"/>
      <c r="JC66" s="436"/>
      <c r="JD66" s="436"/>
      <c r="JE66" s="436"/>
      <c r="JF66" s="436"/>
      <c r="JG66" s="436"/>
      <c r="JH66" s="436"/>
      <c r="JI66" s="436"/>
      <c r="JJ66" s="436"/>
      <c r="JK66" s="436"/>
      <c r="JL66" s="436"/>
      <c r="JM66" s="436"/>
      <c r="JN66" s="436"/>
      <c r="JO66" s="436"/>
      <c r="JP66" s="436"/>
      <c r="JQ66" s="436"/>
      <c r="JR66" s="436"/>
      <c r="JS66" s="436"/>
      <c r="JT66" s="436"/>
      <c r="JU66" s="436"/>
      <c r="JV66" s="436"/>
      <c r="JW66" s="436"/>
      <c r="JX66" s="436"/>
      <c r="JY66" s="436"/>
      <c r="JZ66" s="436"/>
      <c r="KA66" s="436"/>
      <c r="KB66" s="436"/>
      <c r="KC66" s="436"/>
      <c r="KD66" s="436"/>
      <c r="KE66" s="436"/>
      <c r="KF66" s="436"/>
      <c r="KG66" s="436"/>
      <c r="KH66" s="436"/>
      <c r="KI66" s="436"/>
      <c r="KJ66" s="436"/>
      <c r="KK66" s="436"/>
      <c r="KL66" s="436"/>
      <c r="KM66" s="436"/>
      <c r="KN66" s="436"/>
      <c r="KO66" s="436"/>
      <c r="KP66" s="436"/>
      <c r="KQ66" s="436"/>
      <c r="KR66" s="436"/>
      <c r="KS66" s="436"/>
      <c r="KT66" s="436"/>
      <c r="KU66" s="436"/>
      <c r="KV66" s="436"/>
      <c r="KW66" s="436"/>
      <c r="KX66" s="436"/>
      <c r="KY66" s="436"/>
      <c r="KZ66" s="436"/>
      <c r="LA66" s="436"/>
      <c r="LB66" s="436"/>
      <c r="LC66" s="436"/>
      <c r="LD66" s="436"/>
      <c r="LE66" s="436"/>
      <c r="LF66" s="436"/>
      <c r="LG66" s="436"/>
      <c r="LH66" s="436"/>
      <c r="LI66" s="436"/>
      <c r="LJ66" s="436"/>
      <c r="LK66" s="436"/>
      <c r="LL66" s="436"/>
      <c r="LM66" s="436"/>
      <c r="LN66" s="436"/>
      <c r="LO66" s="436"/>
      <c r="LP66" s="436"/>
      <c r="LQ66" s="436"/>
      <c r="LR66" s="436"/>
      <c r="LS66" s="436"/>
      <c r="LT66" s="436"/>
      <c r="LU66" s="436"/>
      <c r="LV66" s="436"/>
      <c r="LW66" s="436"/>
      <c r="LX66" s="436"/>
      <c r="LY66" s="436"/>
      <c r="LZ66" s="436"/>
      <c r="MA66" s="436"/>
      <c r="MB66" s="436"/>
      <c r="MC66" s="436"/>
      <c r="MD66" s="436"/>
      <c r="ME66" s="436"/>
      <c r="MF66" s="436"/>
      <c r="MG66" s="436"/>
      <c r="MH66" s="436"/>
      <c r="MI66" s="436"/>
      <c r="MJ66" s="436"/>
      <c r="MK66" s="436"/>
      <c r="ML66" s="436"/>
      <c r="MM66" s="436"/>
      <c r="MN66" s="436"/>
      <c r="MO66" s="436"/>
      <c r="MP66" s="436"/>
      <c r="MQ66" s="436"/>
      <c r="MR66" s="436"/>
      <c r="MS66" s="436"/>
      <c r="MT66" s="436"/>
      <c r="MU66" s="436"/>
      <c r="MV66" s="436"/>
      <c r="MW66" s="436"/>
      <c r="MX66" s="436"/>
      <c r="MY66" s="436"/>
      <c r="MZ66" s="436"/>
      <c r="NA66" s="436"/>
      <c r="NB66" s="436"/>
      <c r="NC66" s="436"/>
      <c r="ND66" s="436"/>
      <c r="NE66" s="436"/>
      <c r="NF66" s="436"/>
      <c r="NG66" s="436"/>
      <c r="NH66" s="436"/>
      <c r="NI66" s="436"/>
      <c r="NJ66" s="436"/>
      <c r="NK66" s="436"/>
      <c r="NL66" s="436"/>
      <c r="NM66" s="436"/>
      <c r="NN66" s="436"/>
      <c r="NO66" s="436"/>
      <c r="NP66" s="436"/>
      <c r="NQ66" s="436"/>
      <c r="NR66" s="436"/>
      <c r="NS66" s="436"/>
      <c r="NT66" s="436"/>
      <c r="NU66" s="436"/>
      <c r="NV66" s="436"/>
      <c r="NW66" s="436"/>
      <c r="NX66" s="436"/>
      <c r="NY66" s="436"/>
      <c r="NZ66" s="436"/>
      <c r="OA66" s="436"/>
      <c r="OB66" s="436"/>
      <c r="OC66" s="436"/>
      <c r="OD66" s="436"/>
      <c r="OE66" s="436"/>
      <c r="OF66" s="436"/>
      <c r="OG66" s="436"/>
      <c r="OH66" s="436"/>
      <c r="OI66" s="436"/>
      <c r="OJ66" s="436"/>
      <c r="OK66" s="436"/>
      <c r="OL66" s="436"/>
      <c r="OM66" s="436"/>
      <c r="ON66" s="436"/>
      <c r="OO66" s="436"/>
      <c r="OP66" s="436"/>
      <c r="OQ66" s="436"/>
      <c r="OR66" s="436"/>
      <c r="OS66" s="436"/>
      <c r="OT66" s="436"/>
      <c r="OU66" s="436"/>
      <c r="OV66" s="436"/>
      <c r="OW66" s="436"/>
      <c r="OX66" s="436"/>
      <c r="OY66" s="436"/>
      <c r="OZ66" s="436"/>
      <c r="PA66" s="436"/>
      <c r="PB66" s="436"/>
      <c r="PC66" s="436"/>
      <c r="PD66" s="436"/>
      <c r="PE66" s="436"/>
      <c r="PF66" s="436"/>
      <c r="PG66" s="436"/>
      <c r="PH66" s="436"/>
      <c r="PI66" s="436"/>
      <c r="PJ66" s="436"/>
      <c r="PK66" s="436"/>
      <c r="PL66" s="436"/>
      <c r="PM66" s="436"/>
      <c r="PN66" s="436"/>
      <c r="PO66" s="436"/>
      <c r="PP66" s="436"/>
      <c r="PQ66" s="436"/>
      <c r="PR66" s="436"/>
      <c r="PS66" s="436"/>
      <c r="PT66" s="436"/>
      <c r="PU66" s="436"/>
      <c r="PV66" s="436"/>
      <c r="PW66" s="436"/>
      <c r="PX66" s="436"/>
      <c r="PY66" s="436"/>
      <c r="PZ66" s="436"/>
      <c r="QA66" s="436"/>
      <c r="QB66" s="436"/>
      <c r="QC66" s="436"/>
      <c r="QD66" s="436"/>
      <c r="QE66" s="436"/>
      <c r="QF66" s="436"/>
      <c r="QG66" s="436"/>
      <c r="QH66" s="436"/>
      <c r="QI66" s="436"/>
      <c r="QJ66" s="436"/>
      <c r="QK66" s="436"/>
      <c r="QL66" s="436"/>
      <c r="QM66" s="436"/>
      <c r="QN66" s="436"/>
      <c r="QO66" s="436"/>
      <c r="QP66" s="436"/>
      <c r="QQ66" s="436"/>
      <c r="QR66" s="436"/>
      <c r="QS66" s="436"/>
      <c r="QT66" s="436"/>
      <c r="QU66" s="436"/>
      <c r="QV66" s="436"/>
      <c r="QW66" s="436"/>
      <c r="QX66" s="436"/>
      <c r="QY66" s="436"/>
      <c r="QZ66" s="436"/>
      <c r="RA66" s="436"/>
      <c r="RB66" s="436"/>
      <c r="RC66" s="436"/>
      <c r="RD66" s="436"/>
      <c r="RE66" s="436"/>
      <c r="RF66" s="436"/>
      <c r="RG66" s="436"/>
      <c r="RH66" s="436"/>
      <c r="RI66" s="436"/>
      <c r="RJ66" s="436"/>
      <c r="RK66" s="436"/>
      <c r="RL66" s="436"/>
      <c r="RM66" s="436"/>
      <c r="RN66" s="436"/>
      <c r="RO66" s="436"/>
      <c r="RP66" s="436"/>
      <c r="RQ66" s="436"/>
      <c r="RR66" s="436"/>
      <c r="RS66" s="436"/>
      <c r="RT66" s="436"/>
      <c r="RU66" s="436"/>
      <c r="RV66" s="436"/>
      <c r="RW66" s="436"/>
      <c r="RX66" s="436"/>
      <c r="RY66" s="436"/>
      <c r="RZ66" s="436"/>
      <c r="SA66" s="436"/>
      <c r="SB66" s="436"/>
      <c r="SC66" s="436"/>
      <c r="SD66" s="436"/>
      <c r="SE66" s="436"/>
      <c r="SF66" s="436"/>
      <c r="SG66" s="436"/>
      <c r="SH66" s="436"/>
      <c r="SI66" s="436"/>
      <c r="SJ66" s="436"/>
      <c r="SK66" s="436"/>
      <c r="SL66" s="436"/>
      <c r="SM66" s="436"/>
      <c r="SN66" s="436"/>
      <c r="SO66" s="436"/>
      <c r="SP66" s="436"/>
      <c r="SQ66" s="436"/>
      <c r="SR66" s="436"/>
      <c r="SS66" s="436"/>
      <c r="ST66" s="436"/>
      <c r="SU66" s="436"/>
      <c r="SV66" s="436"/>
      <c r="SW66" s="436"/>
      <c r="SX66" s="436"/>
      <c r="SY66" s="436"/>
      <c r="SZ66" s="436"/>
      <c r="TA66" s="436"/>
      <c r="TB66" s="436"/>
      <c r="TC66" s="436"/>
      <c r="TD66" s="436"/>
      <c r="TE66" s="436"/>
      <c r="TF66" s="436"/>
      <c r="TG66" s="436"/>
      <c r="TH66" s="436"/>
      <c r="TI66" s="436"/>
      <c r="TJ66" s="436"/>
      <c r="TK66" s="436"/>
      <c r="TL66" s="436"/>
      <c r="TM66" s="436"/>
      <c r="TN66" s="436"/>
      <c r="TO66" s="436"/>
      <c r="TP66" s="436"/>
      <c r="TQ66" s="436"/>
      <c r="TR66" s="436"/>
      <c r="TS66" s="436"/>
      <c r="TT66" s="436"/>
      <c r="TU66" s="436"/>
      <c r="TV66" s="436"/>
      <c r="TW66" s="436"/>
      <c r="TX66" s="436"/>
      <c r="TY66" s="436"/>
      <c r="TZ66" s="436"/>
      <c r="UA66" s="436"/>
      <c r="UB66" s="436"/>
      <c r="UC66" s="436"/>
      <c r="UD66" s="436"/>
      <c r="UE66" s="436"/>
      <c r="UF66" s="436"/>
      <c r="UG66" s="436"/>
      <c r="UH66" s="436"/>
      <c r="UI66" s="436"/>
      <c r="UJ66" s="436"/>
      <c r="UK66" s="436"/>
      <c r="UL66" s="436"/>
      <c r="UM66" s="436"/>
      <c r="UN66" s="436"/>
      <c r="UO66" s="436"/>
      <c r="UP66" s="436"/>
      <c r="UQ66" s="436"/>
      <c r="UR66" s="436"/>
      <c r="US66" s="436"/>
      <c r="UT66" s="436"/>
      <c r="UU66" s="436"/>
      <c r="UV66" s="436"/>
      <c r="UW66" s="436"/>
      <c r="UX66" s="436"/>
      <c r="UY66" s="436"/>
      <c r="UZ66" s="436"/>
      <c r="VA66" s="436"/>
      <c r="VB66" s="436"/>
      <c r="VC66" s="436"/>
      <c r="VD66" s="436"/>
      <c r="VE66" s="436"/>
      <c r="VF66" s="436"/>
      <c r="VG66" s="436"/>
      <c r="VH66" s="436"/>
      <c r="VI66" s="436"/>
      <c r="VJ66" s="436"/>
      <c r="VK66" s="436"/>
      <c r="VL66" s="436"/>
      <c r="VM66" s="436"/>
      <c r="VN66" s="436"/>
      <c r="VO66" s="436"/>
      <c r="VP66" s="436"/>
      <c r="VQ66" s="436"/>
      <c r="VR66" s="436"/>
      <c r="VS66" s="436"/>
      <c r="VT66" s="436"/>
      <c r="VU66" s="436"/>
      <c r="VV66" s="436"/>
      <c r="VW66" s="436"/>
      <c r="VX66" s="436"/>
      <c r="VY66" s="436"/>
      <c r="VZ66" s="436"/>
      <c r="WA66" s="436"/>
      <c r="WB66" s="436"/>
      <c r="WC66" s="436"/>
      <c r="WD66" s="436"/>
      <c r="WE66" s="436"/>
      <c r="WF66" s="436"/>
      <c r="WG66" s="436"/>
      <c r="WH66" s="436"/>
      <c r="WI66" s="436"/>
      <c r="WJ66" s="436"/>
      <c r="WK66" s="436"/>
      <c r="WL66" s="436"/>
      <c r="WM66" s="436"/>
      <c r="WN66" s="436"/>
      <c r="WO66" s="436"/>
      <c r="WP66" s="436"/>
      <c r="WQ66" s="436"/>
      <c r="WR66" s="436"/>
      <c r="WS66" s="436"/>
      <c r="WT66" s="436"/>
      <c r="WU66" s="436"/>
      <c r="WV66" s="436"/>
      <c r="WW66" s="436"/>
      <c r="WX66" s="436"/>
      <c r="WY66" s="436"/>
      <c r="WZ66" s="436"/>
      <c r="XA66" s="436"/>
      <c r="XB66" s="436"/>
      <c r="XC66" s="436"/>
      <c r="XD66" s="436"/>
      <c r="XE66" s="436"/>
      <c r="XF66" s="436"/>
      <c r="XG66" s="436"/>
      <c r="XH66" s="436"/>
      <c r="XI66" s="436"/>
      <c r="XJ66" s="436"/>
      <c r="XK66" s="436"/>
      <c r="XL66" s="436"/>
      <c r="XM66" s="436"/>
      <c r="XN66" s="436"/>
      <c r="XO66" s="436"/>
      <c r="XP66" s="436"/>
      <c r="XQ66" s="436"/>
      <c r="XR66" s="436"/>
      <c r="XS66" s="436"/>
      <c r="XT66" s="436"/>
      <c r="XU66" s="436"/>
      <c r="XV66" s="436"/>
      <c r="XW66" s="436"/>
      <c r="XX66" s="436"/>
      <c r="XY66" s="436"/>
      <c r="XZ66" s="436"/>
      <c r="YA66" s="436"/>
      <c r="YB66" s="436"/>
      <c r="YC66" s="436"/>
      <c r="YD66" s="436"/>
      <c r="YE66" s="436"/>
      <c r="YF66" s="436"/>
      <c r="YG66" s="436"/>
      <c r="YH66" s="436"/>
      <c r="YI66" s="436"/>
      <c r="YJ66" s="436"/>
      <c r="YK66" s="436"/>
      <c r="YL66" s="436"/>
      <c r="YM66" s="436"/>
      <c r="YN66" s="436"/>
      <c r="YO66" s="436"/>
      <c r="YP66" s="436"/>
      <c r="YQ66" s="436"/>
      <c r="YR66" s="436"/>
      <c r="YS66" s="436"/>
      <c r="YT66" s="436"/>
      <c r="YU66" s="436"/>
      <c r="YV66" s="436"/>
      <c r="YW66" s="436"/>
      <c r="YX66" s="436"/>
      <c r="YY66" s="436"/>
      <c r="YZ66" s="436"/>
      <c r="ZA66" s="436"/>
      <c r="ZB66" s="436"/>
      <c r="ZC66" s="436"/>
      <c r="ZD66" s="436"/>
      <c r="ZE66" s="436"/>
      <c r="ZF66" s="436"/>
      <c r="ZG66" s="436"/>
      <c r="ZH66" s="436"/>
      <c r="ZI66" s="436"/>
      <c r="ZJ66" s="436"/>
      <c r="ZK66" s="436"/>
      <c r="ZL66" s="436"/>
      <c r="ZM66" s="436"/>
      <c r="ZN66" s="436"/>
      <c r="ZO66" s="436"/>
      <c r="ZP66" s="436"/>
      <c r="ZQ66" s="436"/>
      <c r="ZR66" s="436"/>
      <c r="ZS66" s="436"/>
      <c r="ZT66" s="436"/>
      <c r="ZU66" s="436"/>
      <c r="ZV66" s="436"/>
      <c r="ZW66" s="436"/>
      <c r="ZX66" s="436"/>
      <c r="ZY66" s="436"/>
      <c r="ZZ66" s="436"/>
      <c r="AAA66" s="436"/>
      <c r="AAB66" s="436"/>
      <c r="AAC66" s="436"/>
      <c r="AAD66" s="436"/>
      <c r="AAE66" s="436"/>
      <c r="AAF66" s="436"/>
      <c r="AAG66" s="436"/>
      <c r="AAH66" s="436"/>
      <c r="AAI66" s="436"/>
      <c r="AAJ66" s="436"/>
      <c r="AAK66" s="436"/>
      <c r="AAL66" s="436"/>
      <c r="AAM66" s="436"/>
      <c r="AAN66" s="436"/>
      <c r="AAO66" s="436"/>
      <c r="AAP66" s="436"/>
      <c r="AAQ66" s="436"/>
      <c r="AAR66" s="436"/>
      <c r="AAS66" s="436"/>
      <c r="AAT66" s="436"/>
      <c r="AAU66" s="436"/>
      <c r="AAV66" s="436"/>
      <c r="AAW66" s="436"/>
      <c r="AAX66" s="436"/>
      <c r="AAY66" s="436"/>
      <c r="AAZ66" s="436"/>
      <c r="ABA66" s="436"/>
      <c r="ABB66" s="436"/>
      <c r="ABC66" s="436"/>
      <c r="ABD66" s="436"/>
      <c r="ABE66" s="436"/>
      <c r="ABF66" s="436"/>
      <c r="ABG66" s="436"/>
      <c r="ABH66" s="436"/>
      <c r="ABI66" s="436"/>
      <c r="ABJ66" s="436"/>
      <c r="ABK66" s="436"/>
      <c r="ABL66" s="436"/>
      <c r="ABM66" s="436"/>
      <c r="ABN66" s="436"/>
      <c r="ABO66" s="436"/>
      <c r="ABP66" s="436"/>
      <c r="ABQ66" s="436"/>
      <c r="ABR66" s="436"/>
      <c r="ABS66" s="436"/>
      <c r="ABT66" s="436"/>
      <c r="ABU66" s="436"/>
      <c r="ABV66" s="436"/>
      <c r="ABW66" s="436"/>
      <c r="ABX66" s="436"/>
      <c r="ABY66" s="436"/>
      <c r="ABZ66" s="436"/>
      <c r="ACA66" s="436"/>
      <c r="ACB66" s="436"/>
      <c r="ACC66" s="436"/>
      <c r="ACD66" s="436"/>
      <c r="ACE66" s="436"/>
      <c r="ACF66" s="436"/>
      <c r="ACG66" s="436"/>
      <c r="ACH66" s="436"/>
      <c r="ACI66" s="436"/>
      <c r="ACJ66" s="436"/>
      <c r="ACK66" s="436"/>
      <c r="ACL66" s="436"/>
      <c r="ACM66" s="436"/>
      <c r="ACN66" s="436"/>
      <c r="ACO66" s="436"/>
      <c r="ACP66" s="436"/>
      <c r="ACQ66" s="436"/>
      <c r="ACR66" s="436"/>
      <c r="ACS66" s="436"/>
      <c r="ACT66" s="436"/>
      <c r="ACU66" s="436"/>
      <c r="ACV66" s="436"/>
      <c r="ACW66" s="436"/>
      <c r="ACX66" s="436"/>
      <c r="ACY66" s="436"/>
      <c r="ACZ66" s="436"/>
      <c r="ADA66" s="436"/>
      <c r="ADB66" s="436"/>
      <c r="ADC66" s="436"/>
      <c r="ADD66" s="436"/>
      <c r="ADE66" s="436"/>
      <c r="ADF66" s="436"/>
      <c r="ADG66" s="436"/>
      <c r="ADH66" s="436"/>
      <c r="ADI66" s="436"/>
      <c r="ADJ66" s="436"/>
      <c r="ADK66" s="436"/>
      <c r="ADL66" s="436"/>
      <c r="ADM66" s="436"/>
      <c r="ADN66" s="436"/>
      <c r="ADO66" s="436"/>
      <c r="ADP66" s="436"/>
      <c r="ADQ66" s="436"/>
      <c r="ADR66" s="436"/>
      <c r="ADS66" s="436"/>
      <c r="ADT66" s="436"/>
      <c r="ADU66" s="436"/>
      <c r="ADV66" s="436"/>
      <c r="ADW66" s="436"/>
      <c r="ADX66" s="436"/>
      <c r="ADY66" s="436"/>
      <c r="ADZ66" s="436"/>
      <c r="AEA66" s="436"/>
      <c r="AEB66" s="436"/>
      <c r="AEC66" s="436"/>
      <c r="AED66" s="436"/>
      <c r="AEE66" s="436"/>
      <c r="AEF66" s="436"/>
      <c r="AEG66" s="436"/>
      <c r="AEH66" s="436"/>
      <c r="AEI66" s="436"/>
      <c r="AEJ66" s="436"/>
      <c r="AEK66" s="436"/>
      <c r="AEL66" s="436"/>
      <c r="AEM66" s="436"/>
      <c r="AEN66" s="436"/>
      <c r="AEO66" s="436"/>
      <c r="AEP66" s="436"/>
      <c r="AEQ66" s="436"/>
      <c r="AER66" s="436"/>
      <c r="AES66" s="436"/>
      <c r="AET66" s="436"/>
      <c r="AEU66" s="436"/>
      <c r="AEV66" s="436"/>
      <c r="AEW66" s="436"/>
      <c r="AEX66" s="436"/>
      <c r="AEY66" s="436"/>
      <c r="AEZ66" s="436"/>
      <c r="AFA66" s="436"/>
      <c r="AFB66" s="436"/>
      <c r="AFC66" s="436"/>
      <c r="AFD66" s="436"/>
      <c r="AFE66" s="436"/>
      <c r="AFF66" s="436"/>
      <c r="AFG66" s="436"/>
      <c r="AFH66" s="436"/>
      <c r="AFI66" s="436"/>
      <c r="AFJ66" s="436"/>
      <c r="AFK66" s="436"/>
      <c r="AFL66" s="436"/>
      <c r="AFM66" s="436"/>
      <c r="AFN66" s="436"/>
      <c r="AFO66" s="436"/>
      <c r="AFP66" s="436"/>
      <c r="AFQ66" s="436"/>
      <c r="AFR66" s="436"/>
      <c r="AFS66" s="436"/>
      <c r="AFT66" s="436"/>
      <c r="AFU66" s="436"/>
      <c r="AFV66" s="436"/>
      <c r="AFW66" s="436"/>
      <c r="AFX66" s="436"/>
      <c r="AFY66" s="436"/>
      <c r="AFZ66" s="436"/>
      <c r="AGA66" s="436"/>
      <c r="AGB66" s="436"/>
      <c r="AGC66" s="436"/>
      <c r="AGD66" s="436"/>
      <c r="AGE66" s="436"/>
      <c r="AGF66" s="436"/>
      <c r="AGG66" s="436"/>
      <c r="AGH66" s="436"/>
      <c r="AGI66" s="436"/>
      <c r="AGJ66" s="436"/>
    </row>
    <row r="67" spans="1:868" s="1" customFormat="1">
      <c r="A67" s="636" t="s">
        <v>118</v>
      </c>
      <c r="B67" s="780" t="s">
        <v>439</v>
      </c>
      <c r="C67" s="34" t="s">
        <v>139</v>
      </c>
      <c r="D67" s="122" t="s">
        <v>99</v>
      </c>
      <c r="E67" s="621">
        <f t="shared" si="22"/>
        <v>8.5204579746161357E-2</v>
      </c>
      <c r="F67" s="9">
        <v>1</v>
      </c>
      <c r="G67" s="9" t="s">
        <v>433</v>
      </c>
      <c r="H67" s="10">
        <v>1</v>
      </c>
      <c r="I67" s="10">
        <v>2</v>
      </c>
      <c r="J67" s="10">
        <v>2</v>
      </c>
      <c r="K67" s="10">
        <v>1</v>
      </c>
      <c r="L67" s="10">
        <v>1</v>
      </c>
      <c r="M67" s="10">
        <v>2</v>
      </c>
      <c r="N67" s="405">
        <f t="shared" si="25"/>
        <v>0.35859414261160716</v>
      </c>
      <c r="O67" s="405">
        <f t="shared" si="26"/>
        <v>0.37356464144298934</v>
      </c>
      <c r="P67" s="43"/>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36"/>
      <c r="DC67" s="436"/>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36"/>
      <c r="EB67" s="436"/>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36"/>
      <c r="FA67" s="436"/>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36"/>
      <c r="FZ67" s="436"/>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36"/>
      <c r="GY67" s="436"/>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36"/>
      <c r="HX67" s="436"/>
      <c r="HY67" s="436"/>
      <c r="HZ67" s="436"/>
      <c r="IA67" s="436"/>
      <c r="IB67" s="436"/>
      <c r="IC67" s="436"/>
      <c r="ID67" s="436"/>
      <c r="IE67" s="436"/>
      <c r="IF67" s="436"/>
      <c r="IG67" s="436"/>
      <c r="IH67" s="436"/>
      <c r="II67" s="436"/>
      <c r="IJ67" s="436"/>
      <c r="IK67" s="436"/>
      <c r="IL67" s="436"/>
      <c r="IM67" s="436"/>
      <c r="IN67" s="436"/>
      <c r="IO67" s="436"/>
      <c r="IP67" s="436"/>
      <c r="IQ67" s="436"/>
      <c r="IR67" s="436"/>
      <c r="IS67" s="436"/>
      <c r="IT67" s="436"/>
      <c r="IU67" s="436"/>
      <c r="IV67" s="436"/>
      <c r="IW67" s="436"/>
      <c r="IX67" s="436"/>
      <c r="IY67" s="436"/>
      <c r="IZ67" s="436"/>
      <c r="JA67" s="436"/>
      <c r="JB67" s="436"/>
      <c r="JC67" s="436"/>
      <c r="JD67" s="436"/>
      <c r="JE67" s="436"/>
      <c r="JF67" s="436"/>
      <c r="JG67" s="436"/>
      <c r="JH67" s="436"/>
      <c r="JI67" s="436"/>
      <c r="JJ67" s="436"/>
      <c r="JK67" s="436"/>
      <c r="JL67" s="436"/>
      <c r="JM67" s="436"/>
      <c r="JN67" s="436"/>
      <c r="JO67" s="436"/>
      <c r="JP67" s="436"/>
      <c r="JQ67" s="436"/>
      <c r="JR67" s="436"/>
      <c r="JS67" s="436"/>
      <c r="JT67" s="436"/>
      <c r="JU67" s="436"/>
      <c r="JV67" s="436"/>
      <c r="JW67" s="436"/>
      <c r="JX67" s="436"/>
      <c r="JY67" s="436"/>
      <c r="JZ67" s="436"/>
      <c r="KA67" s="436"/>
      <c r="KB67" s="436"/>
      <c r="KC67" s="436"/>
      <c r="KD67" s="436"/>
      <c r="KE67" s="436"/>
      <c r="KF67" s="436"/>
      <c r="KG67" s="436"/>
      <c r="KH67" s="436"/>
      <c r="KI67" s="436"/>
      <c r="KJ67" s="436"/>
      <c r="KK67" s="436"/>
      <c r="KL67" s="436"/>
      <c r="KM67" s="436"/>
      <c r="KN67" s="436"/>
      <c r="KO67" s="436"/>
      <c r="KP67" s="436"/>
      <c r="KQ67" s="436"/>
      <c r="KR67" s="436"/>
      <c r="KS67" s="436"/>
      <c r="KT67" s="436"/>
      <c r="KU67" s="436"/>
      <c r="KV67" s="436"/>
      <c r="KW67" s="436"/>
      <c r="KX67" s="436"/>
      <c r="KY67" s="436"/>
      <c r="KZ67" s="436"/>
      <c r="LA67" s="436"/>
      <c r="LB67" s="436"/>
      <c r="LC67" s="436"/>
      <c r="LD67" s="436"/>
      <c r="LE67" s="436"/>
      <c r="LF67" s="436"/>
      <c r="LG67" s="436"/>
      <c r="LH67" s="436"/>
      <c r="LI67" s="436"/>
      <c r="LJ67" s="436"/>
      <c r="LK67" s="436"/>
      <c r="LL67" s="436"/>
      <c r="LM67" s="436"/>
      <c r="LN67" s="436"/>
      <c r="LO67" s="436"/>
      <c r="LP67" s="436"/>
      <c r="LQ67" s="436"/>
      <c r="LR67" s="436"/>
      <c r="LS67" s="436"/>
      <c r="LT67" s="436"/>
      <c r="LU67" s="436"/>
      <c r="LV67" s="436"/>
      <c r="LW67" s="436"/>
      <c r="LX67" s="436"/>
      <c r="LY67" s="436"/>
      <c r="LZ67" s="436"/>
      <c r="MA67" s="436"/>
      <c r="MB67" s="436"/>
      <c r="MC67" s="436"/>
      <c r="MD67" s="436"/>
      <c r="ME67" s="436"/>
      <c r="MF67" s="436"/>
      <c r="MG67" s="436"/>
      <c r="MH67" s="436"/>
      <c r="MI67" s="436"/>
      <c r="MJ67" s="436"/>
      <c r="MK67" s="436"/>
      <c r="ML67" s="436"/>
      <c r="MM67" s="436"/>
      <c r="MN67" s="436"/>
      <c r="MO67" s="436"/>
      <c r="MP67" s="436"/>
      <c r="MQ67" s="436"/>
      <c r="MR67" s="436"/>
      <c r="MS67" s="436"/>
      <c r="MT67" s="436"/>
      <c r="MU67" s="436"/>
      <c r="MV67" s="436"/>
      <c r="MW67" s="436"/>
      <c r="MX67" s="436"/>
      <c r="MY67" s="436"/>
      <c r="MZ67" s="436"/>
      <c r="NA67" s="436"/>
      <c r="NB67" s="436"/>
      <c r="NC67" s="436"/>
      <c r="ND67" s="436"/>
      <c r="NE67" s="436"/>
      <c r="NF67" s="436"/>
      <c r="NG67" s="436"/>
      <c r="NH67" s="436"/>
      <c r="NI67" s="436"/>
      <c r="NJ67" s="436"/>
      <c r="NK67" s="436"/>
      <c r="NL67" s="436"/>
      <c r="NM67" s="436"/>
      <c r="NN67" s="436"/>
      <c r="NO67" s="436"/>
      <c r="NP67" s="436"/>
      <c r="NQ67" s="436"/>
      <c r="NR67" s="436"/>
      <c r="NS67" s="436"/>
      <c r="NT67" s="436"/>
      <c r="NU67" s="436"/>
      <c r="NV67" s="436"/>
      <c r="NW67" s="436"/>
      <c r="NX67" s="436"/>
      <c r="NY67" s="436"/>
      <c r="NZ67" s="436"/>
      <c r="OA67" s="436"/>
      <c r="OB67" s="436"/>
      <c r="OC67" s="436"/>
      <c r="OD67" s="436"/>
      <c r="OE67" s="436"/>
      <c r="OF67" s="436"/>
      <c r="OG67" s="436"/>
      <c r="OH67" s="436"/>
      <c r="OI67" s="436"/>
      <c r="OJ67" s="436"/>
      <c r="OK67" s="436"/>
      <c r="OL67" s="436"/>
      <c r="OM67" s="436"/>
      <c r="ON67" s="436"/>
      <c r="OO67" s="436"/>
      <c r="OP67" s="436"/>
      <c r="OQ67" s="436"/>
      <c r="OR67" s="436"/>
      <c r="OS67" s="436"/>
      <c r="OT67" s="436"/>
      <c r="OU67" s="436"/>
      <c r="OV67" s="436"/>
      <c r="OW67" s="436"/>
      <c r="OX67" s="436"/>
      <c r="OY67" s="436"/>
      <c r="OZ67" s="436"/>
      <c r="PA67" s="436"/>
      <c r="PB67" s="436"/>
      <c r="PC67" s="436"/>
      <c r="PD67" s="436"/>
      <c r="PE67" s="436"/>
      <c r="PF67" s="436"/>
      <c r="PG67" s="436"/>
      <c r="PH67" s="436"/>
      <c r="PI67" s="436"/>
      <c r="PJ67" s="436"/>
      <c r="PK67" s="436"/>
      <c r="PL67" s="436"/>
      <c r="PM67" s="436"/>
      <c r="PN67" s="436"/>
      <c r="PO67" s="436"/>
      <c r="PP67" s="436"/>
      <c r="PQ67" s="436"/>
      <c r="PR67" s="436"/>
      <c r="PS67" s="436"/>
      <c r="PT67" s="436"/>
      <c r="PU67" s="436"/>
      <c r="PV67" s="436"/>
      <c r="PW67" s="436"/>
      <c r="PX67" s="436"/>
      <c r="PY67" s="436"/>
      <c r="PZ67" s="436"/>
      <c r="QA67" s="436"/>
      <c r="QB67" s="436"/>
      <c r="QC67" s="436"/>
      <c r="QD67" s="436"/>
      <c r="QE67" s="436"/>
      <c r="QF67" s="436"/>
      <c r="QG67" s="436"/>
      <c r="QH67" s="436"/>
      <c r="QI67" s="436"/>
      <c r="QJ67" s="436"/>
      <c r="QK67" s="436"/>
      <c r="QL67" s="436"/>
      <c r="QM67" s="436"/>
      <c r="QN67" s="436"/>
      <c r="QO67" s="436"/>
      <c r="QP67" s="436"/>
      <c r="QQ67" s="436"/>
      <c r="QR67" s="436"/>
      <c r="QS67" s="436"/>
      <c r="QT67" s="436"/>
      <c r="QU67" s="436"/>
      <c r="QV67" s="436"/>
      <c r="QW67" s="436"/>
      <c r="QX67" s="436"/>
      <c r="QY67" s="436"/>
      <c r="QZ67" s="436"/>
      <c r="RA67" s="436"/>
      <c r="RB67" s="436"/>
      <c r="RC67" s="436"/>
      <c r="RD67" s="436"/>
      <c r="RE67" s="436"/>
      <c r="RF67" s="436"/>
      <c r="RG67" s="436"/>
      <c r="RH67" s="436"/>
      <c r="RI67" s="436"/>
      <c r="RJ67" s="436"/>
      <c r="RK67" s="436"/>
      <c r="RL67" s="436"/>
      <c r="RM67" s="436"/>
      <c r="RN67" s="436"/>
      <c r="RO67" s="436"/>
      <c r="RP67" s="436"/>
      <c r="RQ67" s="436"/>
      <c r="RR67" s="436"/>
      <c r="RS67" s="436"/>
      <c r="RT67" s="436"/>
      <c r="RU67" s="436"/>
      <c r="RV67" s="436"/>
      <c r="RW67" s="436"/>
      <c r="RX67" s="436"/>
      <c r="RY67" s="436"/>
      <c r="RZ67" s="436"/>
      <c r="SA67" s="436"/>
      <c r="SB67" s="436"/>
      <c r="SC67" s="436"/>
      <c r="SD67" s="436"/>
      <c r="SE67" s="436"/>
      <c r="SF67" s="436"/>
      <c r="SG67" s="436"/>
      <c r="SH67" s="436"/>
      <c r="SI67" s="436"/>
      <c r="SJ67" s="436"/>
      <c r="SK67" s="436"/>
      <c r="SL67" s="436"/>
      <c r="SM67" s="436"/>
      <c r="SN67" s="436"/>
      <c r="SO67" s="436"/>
      <c r="SP67" s="436"/>
      <c r="SQ67" s="436"/>
      <c r="SR67" s="436"/>
      <c r="SS67" s="436"/>
      <c r="ST67" s="436"/>
      <c r="SU67" s="436"/>
      <c r="SV67" s="436"/>
      <c r="SW67" s="436"/>
      <c r="SX67" s="436"/>
      <c r="SY67" s="436"/>
      <c r="SZ67" s="436"/>
      <c r="TA67" s="436"/>
      <c r="TB67" s="436"/>
      <c r="TC67" s="436"/>
      <c r="TD67" s="436"/>
      <c r="TE67" s="436"/>
      <c r="TF67" s="436"/>
      <c r="TG67" s="436"/>
      <c r="TH67" s="436"/>
      <c r="TI67" s="436"/>
      <c r="TJ67" s="436"/>
      <c r="TK67" s="436"/>
      <c r="TL67" s="436"/>
      <c r="TM67" s="436"/>
      <c r="TN67" s="436"/>
      <c r="TO67" s="436"/>
      <c r="TP67" s="436"/>
      <c r="TQ67" s="436"/>
      <c r="TR67" s="436"/>
      <c r="TS67" s="436"/>
      <c r="TT67" s="436"/>
      <c r="TU67" s="436"/>
      <c r="TV67" s="436"/>
      <c r="TW67" s="436"/>
      <c r="TX67" s="436"/>
      <c r="TY67" s="436"/>
      <c r="TZ67" s="436"/>
      <c r="UA67" s="436"/>
      <c r="UB67" s="436"/>
      <c r="UC67" s="436"/>
      <c r="UD67" s="436"/>
      <c r="UE67" s="436"/>
      <c r="UF67" s="436"/>
      <c r="UG67" s="436"/>
      <c r="UH67" s="436"/>
      <c r="UI67" s="436"/>
      <c r="UJ67" s="436"/>
      <c r="UK67" s="436"/>
      <c r="UL67" s="436"/>
      <c r="UM67" s="436"/>
      <c r="UN67" s="436"/>
      <c r="UO67" s="436"/>
      <c r="UP67" s="436"/>
      <c r="UQ67" s="436"/>
      <c r="UR67" s="436"/>
      <c r="US67" s="436"/>
      <c r="UT67" s="436"/>
      <c r="UU67" s="436"/>
      <c r="UV67" s="436"/>
      <c r="UW67" s="436"/>
      <c r="UX67" s="436"/>
      <c r="UY67" s="436"/>
      <c r="UZ67" s="436"/>
      <c r="VA67" s="436"/>
      <c r="VB67" s="436"/>
      <c r="VC67" s="436"/>
      <c r="VD67" s="436"/>
      <c r="VE67" s="436"/>
      <c r="VF67" s="436"/>
      <c r="VG67" s="436"/>
      <c r="VH67" s="436"/>
      <c r="VI67" s="436"/>
      <c r="VJ67" s="436"/>
      <c r="VK67" s="436"/>
      <c r="VL67" s="436"/>
      <c r="VM67" s="436"/>
      <c r="VN67" s="436"/>
      <c r="VO67" s="436"/>
      <c r="VP67" s="436"/>
      <c r="VQ67" s="436"/>
      <c r="VR67" s="436"/>
      <c r="VS67" s="436"/>
      <c r="VT67" s="436"/>
      <c r="VU67" s="436"/>
      <c r="VV67" s="436"/>
      <c r="VW67" s="436"/>
      <c r="VX67" s="436"/>
      <c r="VY67" s="436"/>
      <c r="VZ67" s="436"/>
      <c r="WA67" s="436"/>
      <c r="WB67" s="436"/>
      <c r="WC67" s="436"/>
      <c r="WD67" s="436"/>
      <c r="WE67" s="436"/>
      <c r="WF67" s="436"/>
      <c r="WG67" s="436"/>
      <c r="WH67" s="436"/>
      <c r="WI67" s="436"/>
      <c r="WJ67" s="436"/>
      <c r="WK67" s="436"/>
      <c r="WL67" s="436"/>
      <c r="WM67" s="436"/>
      <c r="WN67" s="436"/>
      <c r="WO67" s="436"/>
      <c r="WP67" s="436"/>
      <c r="WQ67" s="436"/>
      <c r="WR67" s="436"/>
      <c r="WS67" s="436"/>
      <c r="WT67" s="436"/>
      <c r="WU67" s="436"/>
      <c r="WV67" s="436"/>
      <c r="WW67" s="436"/>
      <c r="WX67" s="436"/>
      <c r="WY67" s="436"/>
      <c r="WZ67" s="436"/>
      <c r="XA67" s="436"/>
      <c r="XB67" s="436"/>
      <c r="XC67" s="436"/>
      <c r="XD67" s="436"/>
      <c r="XE67" s="436"/>
      <c r="XF67" s="436"/>
      <c r="XG67" s="436"/>
      <c r="XH67" s="436"/>
      <c r="XI67" s="436"/>
      <c r="XJ67" s="436"/>
      <c r="XK67" s="436"/>
      <c r="XL67" s="436"/>
      <c r="XM67" s="436"/>
      <c r="XN67" s="436"/>
      <c r="XO67" s="436"/>
      <c r="XP67" s="436"/>
      <c r="XQ67" s="436"/>
      <c r="XR67" s="436"/>
      <c r="XS67" s="436"/>
      <c r="XT67" s="436"/>
      <c r="XU67" s="436"/>
      <c r="XV67" s="436"/>
      <c r="XW67" s="436"/>
      <c r="XX67" s="436"/>
      <c r="XY67" s="436"/>
      <c r="XZ67" s="436"/>
      <c r="YA67" s="436"/>
      <c r="YB67" s="436"/>
      <c r="YC67" s="436"/>
      <c r="YD67" s="436"/>
      <c r="YE67" s="436"/>
      <c r="YF67" s="436"/>
      <c r="YG67" s="436"/>
      <c r="YH67" s="436"/>
      <c r="YI67" s="436"/>
      <c r="YJ67" s="436"/>
      <c r="YK67" s="436"/>
      <c r="YL67" s="436"/>
      <c r="YM67" s="436"/>
      <c r="YN67" s="436"/>
      <c r="YO67" s="436"/>
      <c r="YP67" s="436"/>
      <c r="YQ67" s="436"/>
      <c r="YR67" s="436"/>
      <c r="YS67" s="436"/>
      <c r="YT67" s="436"/>
      <c r="YU67" s="436"/>
      <c r="YV67" s="436"/>
      <c r="YW67" s="436"/>
      <c r="YX67" s="436"/>
      <c r="YY67" s="436"/>
      <c r="YZ67" s="436"/>
      <c r="ZA67" s="436"/>
      <c r="ZB67" s="436"/>
      <c r="ZC67" s="436"/>
      <c r="ZD67" s="436"/>
      <c r="ZE67" s="436"/>
      <c r="ZF67" s="436"/>
      <c r="ZG67" s="436"/>
      <c r="ZH67" s="436"/>
      <c r="ZI67" s="436"/>
      <c r="ZJ67" s="436"/>
      <c r="ZK67" s="436"/>
      <c r="ZL67" s="436"/>
      <c r="ZM67" s="436"/>
      <c r="ZN67" s="436"/>
      <c r="ZO67" s="436"/>
      <c r="ZP67" s="436"/>
      <c r="ZQ67" s="436"/>
      <c r="ZR67" s="436"/>
      <c r="ZS67" s="436"/>
      <c r="ZT67" s="436"/>
      <c r="ZU67" s="436"/>
      <c r="ZV67" s="436"/>
      <c r="ZW67" s="436"/>
      <c r="ZX67" s="436"/>
      <c r="ZY67" s="436"/>
      <c r="ZZ67" s="436"/>
      <c r="AAA67" s="436"/>
      <c r="AAB67" s="436"/>
      <c r="AAC67" s="436"/>
      <c r="AAD67" s="436"/>
      <c r="AAE67" s="436"/>
      <c r="AAF67" s="436"/>
      <c r="AAG67" s="436"/>
      <c r="AAH67" s="436"/>
      <c r="AAI67" s="436"/>
      <c r="AAJ67" s="436"/>
      <c r="AAK67" s="436"/>
      <c r="AAL67" s="436"/>
      <c r="AAM67" s="436"/>
      <c r="AAN67" s="436"/>
      <c r="AAO67" s="436"/>
      <c r="AAP67" s="436"/>
      <c r="AAQ67" s="436"/>
      <c r="AAR67" s="436"/>
      <c r="AAS67" s="436"/>
      <c r="AAT67" s="436"/>
      <c r="AAU67" s="436"/>
      <c r="AAV67" s="436"/>
      <c r="AAW67" s="436"/>
      <c r="AAX67" s="436"/>
      <c r="AAY67" s="436"/>
      <c r="AAZ67" s="436"/>
      <c r="ABA67" s="436"/>
      <c r="ABB67" s="436"/>
      <c r="ABC67" s="436"/>
      <c r="ABD67" s="436"/>
      <c r="ABE67" s="436"/>
      <c r="ABF67" s="436"/>
      <c r="ABG67" s="436"/>
      <c r="ABH67" s="436"/>
      <c r="ABI67" s="436"/>
      <c r="ABJ67" s="436"/>
      <c r="ABK67" s="436"/>
      <c r="ABL67" s="436"/>
      <c r="ABM67" s="436"/>
      <c r="ABN67" s="436"/>
      <c r="ABO67" s="436"/>
      <c r="ABP67" s="436"/>
      <c r="ABQ67" s="436"/>
      <c r="ABR67" s="436"/>
      <c r="ABS67" s="436"/>
      <c r="ABT67" s="436"/>
      <c r="ABU67" s="436"/>
      <c r="ABV67" s="436"/>
      <c r="ABW67" s="436"/>
      <c r="ABX67" s="436"/>
      <c r="ABY67" s="436"/>
      <c r="ABZ67" s="436"/>
      <c r="ACA67" s="436"/>
      <c r="ACB67" s="436"/>
      <c r="ACC67" s="436"/>
      <c r="ACD67" s="436"/>
      <c r="ACE67" s="436"/>
      <c r="ACF67" s="436"/>
      <c r="ACG67" s="436"/>
      <c r="ACH67" s="436"/>
      <c r="ACI67" s="436"/>
      <c r="ACJ67" s="436"/>
      <c r="ACK67" s="436"/>
      <c r="ACL67" s="436"/>
      <c r="ACM67" s="436"/>
      <c r="ACN67" s="436"/>
      <c r="ACO67" s="436"/>
      <c r="ACP67" s="436"/>
      <c r="ACQ67" s="436"/>
      <c r="ACR67" s="436"/>
      <c r="ACS67" s="436"/>
      <c r="ACT67" s="436"/>
      <c r="ACU67" s="436"/>
      <c r="ACV67" s="436"/>
      <c r="ACW67" s="436"/>
      <c r="ACX67" s="436"/>
      <c r="ACY67" s="436"/>
      <c r="ACZ67" s="436"/>
      <c r="ADA67" s="436"/>
      <c r="ADB67" s="436"/>
      <c r="ADC67" s="436"/>
      <c r="ADD67" s="436"/>
      <c r="ADE67" s="436"/>
      <c r="ADF67" s="436"/>
      <c r="ADG67" s="436"/>
      <c r="ADH67" s="436"/>
      <c r="ADI67" s="436"/>
      <c r="ADJ67" s="436"/>
      <c r="ADK67" s="436"/>
      <c r="ADL67" s="436"/>
      <c r="ADM67" s="436"/>
      <c r="ADN67" s="436"/>
      <c r="ADO67" s="436"/>
      <c r="ADP67" s="436"/>
      <c r="ADQ67" s="436"/>
      <c r="ADR67" s="436"/>
      <c r="ADS67" s="436"/>
      <c r="ADT67" s="436"/>
      <c r="ADU67" s="436"/>
      <c r="ADV67" s="436"/>
      <c r="ADW67" s="436"/>
      <c r="ADX67" s="436"/>
      <c r="ADY67" s="436"/>
      <c r="ADZ67" s="436"/>
      <c r="AEA67" s="436"/>
      <c r="AEB67" s="436"/>
      <c r="AEC67" s="436"/>
      <c r="AED67" s="436"/>
      <c r="AEE67" s="436"/>
      <c r="AEF67" s="436"/>
      <c r="AEG67" s="436"/>
      <c r="AEH67" s="436"/>
      <c r="AEI67" s="436"/>
      <c r="AEJ67" s="436"/>
      <c r="AEK67" s="436"/>
      <c r="AEL67" s="436"/>
      <c r="AEM67" s="436"/>
      <c r="AEN67" s="436"/>
      <c r="AEO67" s="436"/>
      <c r="AEP67" s="436"/>
      <c r="AEQ67" s="436"/>
      <c r="AER67" s="436"/>
      <c r="AES67" s="436"/>
      <c r="AET67" s="436"/>
      <c r="AEU67" s="436"/>
      <c r="AEV67" s="436"/>
      <c r="AEW67" s="436"/>
      <c r="AEX67" s="436"/>
      <c r="AEY67" s="436"/>
      <c r="AEZ67" s="436"/>
      <c r="AFA67" s="436"/>
      <c r="AFB67" s="436"/>
      <c r="AFC67" s="436"/>
      <c r="AFD67" s="436"/>
      <c r="AFE67" s="436"/>
      <c r="AFF67" s="436"/>
      <c r="AFG67" s="436"/>
      <c r="AFH67" s="436"/>
      <c r="AFI67" s="436"/>
      <c r="AFJ67" s="436"/>
      <c r="AFK67" s="436"/>
      <c r="AFL67" s="436"/>
      <c r="AFM67" s="436"/>
      <c r="AFN67" s="436"/>
      <c r="AFO67" s="436"/>
      <c r="AFP67" s="436"/>
      <c r="AFQ67" s="436"/>
      <c r="AFR67" s="436"/>
      <c r="AFS67" s="436"/>
      <c r="AFT67" s="436"/>
      <c r="AFU67" s="436"/>
      <c r="AFV67" s="436"/>
      <c r="AFW67" s="436"/>
      <c r="AFX67" s="436"/>
      <c r="AFY67" s="436"/>
      <c r="AFZ67" s="436"/>
      <c r="AGA67" s="436"/>
      <c r="AGB67" s="436"/>
      <c r="AGC67" s="436"/>
      <c r="AGD67" s="436"/>
      <c r="AGE67" s="436"/>
      <c r="AGF67" s="436"/>
      <c r="AGG67" s="436"/>
      <c r="AGH67" s="436"/>
      <c r="AGI67" s="436"/>
      <c r="AGJ67" s="436"/>
    </row>
    <row r="68" spans="1:868" s="1" customFormat="1">
      <c r="A68" s="636" t="s">
        <v>118</v>
      </c>
      <c r="B68" s="780" t="s">
        <v>440</v>
      </c>
      <c r="C68" s="34" t="s">
        <v>139</v>
      </c>
      <c r="D68" s="122" t="s">
        <v>99</v>
      </c>
      <c r="E68" s="621">
        <f t="shared" si="22"/>
        <v>6.4613472974172373E-2</v>
      </c>
      <c r="F68" s="9">
        <v>1</v>
      </c>
      <c r="G68" s="9" t="s">
        <v>433</v>
      </c>
      <c r="H68" s="10">
        <v>1</v>
      </c>
      <c r="I68" s="10">
        <v>2</v>
      </c>
      <c r="J68" s="10">
        <v>2</v>
      </c>
      <c r="K68" s="10">
        <v>1</v>
      </c>
      <c r="L68" s="10">
        <v>1</v>
      </c>
      <c r="M68" s="10">
        <v>2</v>
      </c>
      <c r="N68" s="405">
        <f t="shared" si="25"/>
        <v>0.35859414261160716</v>
      </c>
      <c r="O68" s="405">
        <f t="shared" si="26"/>
        <v>0.37356464144298934</v>
      </c>
      <c r="P68" s="43"/>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36"/>
      <c r="DC68" s="436"/>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36"/>
      <c r="EB68" s="436"/>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36"/>
      <c r="FA68" s="436"/>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36"/>
      <c r="FZ68" s="436"/>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36"/>
      <c r="GY68" s="436"/>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36"/>
      <c r="HX68" s="436"/>
      <c r="HY68" s="436"/>
      <c r="HZ68" s="436"/>
      <c r="IA68" s="436"/>
      <c r="IB68" s="436"/>
      <c r="IC68" s="436"/>
      <c r="ID68" s="436"/>
      <c r="IE68" s="436"/>
      <c r="IF68" s="436"/>
      <c r="IG68" s="436"/>
      <c r="IH68" s="436"/>
      <c r="II68" s="436"/>
      <c r="IJ68" s="436"/>
      <c r="IK68" s="436"/>
      <c r="IL68" s="436"/>
      <c r="IM68" s="436"/>
      <c r="IN68" s="436"/>
      <c r="IO68" s="436"/>
      <c r="IP68" s="436"/>
      <c r="IQ68" s="436"/>
      <c r="IR68" s="436"/>
      <c r="IS68" s="436"/>
      <c r="IT68" s="436"/>
      <c r="IU68" s="436"/>
      <c r="IV68" s="436"/>
      <c r="IW68" s="436"/>
      <c r="IX68" s="436"/>
      <c r="IY68" s="436"/>
      <c r="IZ68" s="436"/>
      <c r="JA68" s="436"/>
      <c r="JB68" s="436"/>
      <c r="JC68" s="436"/>
      <c r="JD68" s="436"/>
      <c r="JE68" s="436"/>
      <c r="JF68" s="436"/>
      <c r="JG68" s="436"/>
      <c r="JH68" s="436"/>
      <c r="JI68" s="436"/>
      <c r="JJ68" s="436"/>
      <c r="JK68" s="436"/>
      <c r="JL68" s="436"/>
      <c r="JM68" s="436"/>
      <c r="JN68" s="436"/>
      <c r="JO68" s="436"/>
      <c r="JP68" s="436"/>
      <c r="JQ68" s="436"/>
      <c r="JR68" s="436"/>
      <c r="JS68" s="436"/>
      <c r="JT68" s="436"/>
      <c r="JU68" s="436"/>
      <c r="JV68" s="436"/>
      <c r="JW68" s="436"/>
      <c r="JX68" s="436"/>
      <c r="JY68" s="436"/>
      <c r="JZ68" s="436"/>
      <c r="KA68" s="436"/>
      <c r="KB68" s="436"/>
      <c r="KC68" s="436"/>
      <c r="KD68" s="436"/>
      <c r="KE68" s="436"/>
      <c r="KF68" s="436"/>
      <c r="KG68" s="436"/>
      <c r="KH68" s="436"/>
      <c r="KI68" s="436"/>
      <c r="KJ68" s="436"/>
      <c r="KK68" s="436"/>
      <c r="KL68" s="436"/>
      <c r="KM68" s="436"/>
      <c r="KN68" s="436"/>
      <c r="KO68" s="436"/>
      <c r="KP68" s="436"/>
      <c r="KQ68" s="436"/>
      <c r="KR68" s="436"/>
      <c r="KS68" s="436"/>
      <c r="KT68" s="436"/>
      <c r="KU68" s="436"/>
      <c r="KV68" s="436"/>
      <c r="KW68" s="436"/>
      <c r="KX68" s="436"/>
      <c r="KY68" s="436"/>
      <c r="KZ68" s="436"/>
      <c r="LA68" s="436"/>
      <c r="LB68" s="436"/>
      <c r="LC68" s="436"/>
      <c r="LD68" s="436"/>
      <c r="LE68" s="436"/>
      <c r="LF68" s="436"/>
      <c r="LG68" s="436"/>
      <c r="LH68" s="436"/>
      <c r="LI68" s="436"/>
      <c r="LJ68" s="436"/>
      <c r="LK68" s="436"/>
      <c r="LL68" s="436"/>
      <c r="LM68" s="436"/>
      <c r="LN68" s="436"/>
      <c r="LO68" s="436"/>
      <c r="LP68" s="436"/>
      <c r="LQ68" s="436"/>
      <c r="LR68" s="436"/>
      <c r="LS68" s="436"/>
      <c r="LT68" s="436"/>
      <c r="LU68" s="436"/>
      <c r="LV68" s="436"/>
      <c r="LW68" s="436"/>
      <c r="LX68" s="436"/>
      <c r="LY68" s="436"/>
      <c r="LZ68" s="436"/>
      <c r="MA68" s="436"/>
      <c r="MB68" s="436"/>
      <c r="MC68" s="436"/>
      <c r="MD68" s="436"/>
      <c r="ME68" s="436"/>
      <c r="MF68" s="436"/>
      <c r="MG68" s="436"/>
      <c r="MH68" s="436"/>
      <c r="MI68" s="436"/>
      <c r="MJ68" s="436"/>
      <c r="MK68" s="436"/>
      <c r="ML68" s="436"/>
      <c r="MM68" s="436"/>
      <c r="MN68" s="436"/>
      <c r="MO68" s="436"/>
      <c r="MP68" s="436"/>
      <c r="MQ68" s="436"/>
      <c r="MR68" s="436"/>
      <c r="MS68" s="436"/>
      <c r="MT68" s="436"/>
      <c r="MU68" s="436"/>
      <c r="MV68" s="436"/>
      <c r="MW68" s="436"/>
      <c r="MX68" s="436"/>
      <c r="MY68" s="436"/>
      <c r="MZ68" s="436"/>
      <c r="NA68" s="436"/>
      <c r="NB68" s="436"/>
      <c r="NC68" s="436"/>
      <c r="ND68" s="436"/>
      <c r="NE68" s="436"/>
      <c r="NF68" s="436"/>
      <c r="NG68" s="436"/>
      <c r="NH68" s="436"/>
      <c r="NI68" s="436"/>
      <c r="NJ68" s="436"/>
      <c r="NK68" s="436"/>
      <c r="NL68" s="436"/>
      <c r="NM68" s="436"/>
      <c r="NN68" s="436"/>
      <c r="NO68" s="436"/>
      <c r="NP68" s="436"/>
      <c r="NQ68" s="436"/>
      <c r="NR68" s="436"/>
      <c r="NS68" s="436"/>
      <c r="NT68" s="436"/>
      <c r="NU68" s="436"/>
      <c r="NV68" s="436"/>
      <c r="NW68" s="436"/>
      <c r="NX68" s="436"/>
      <c r="NY68" s="436"/>
      <c r="NZ68" s="436"/>
      <c r="OA68" s="436"/>
      <c r="OB68" s="436"/>
      <c r="OC68" s="436"/>
      <c r="OD68" s="436"/>
      <c r="OE68" s="436"/>
      <c r="OF68" s="436"/>
      <c r="OG68" s="436"/>
      <c r="OH68" s="436"/>
      <c r="OI68" s="436"/>
      <c r="OJ68" s="436"/>
      <c r="OK68" s="436"/>
      <c r="OL68" s="436"/>
      <c r="OM68" s="436"/>
      <c r="ON68" s="436"/>
      <c r="OO68" s="436"/>
      <c r="OP68" s="436"/>
      <c r="OQ68" s="436"/>
      <c r="OR68" s="436"/>
      <c r="OS68" s="436"/>
      <c r="OT68" s="436"/>
      <c r="OU68" s="436"/>
      <c r="OV68" s="436"/>
      <c r="OW68" s="436"/>
      <c r="OX68" s="436"/>
      <c r="OY68" s="436"/>
      <c r="OZ68" s="436"/>
      <c r="PA68" s="436"/>
      <c r="PB68" s="436"/>
      <c r="PC68" s="436"/>
      <c r="PD68" s="436"/>
      <c r="PE68" s="436"/>
      <c r="PF68" s="436"/>
      <c r="PG68" s="436"/>
      <c r="PH68" s="436"/>
      <c r="PI68" s="436"/>
      <c r="PJ68" s="436"/>
      <c r="PK68" s="436"/>
      <c r="PL68" s="436"/>
      <c r="PM68" s="436"/>
      <c r="PN68" s="436"/>
      <c r="PO68" s="436"/>
      <c r="PP68" s="436"/>
      <c r="PQ68" s="436"/>
      <c r="PR68" s="436"/>
      <c r="PS68" s="436"/>
      <c r="PT68" s="436"/>
      <c r="PU68" s="436"/>
      <c r="PV68" s="436"/>
      <c r="PW68" s="436"/>
      <c r="PX68" s="436"/>
      <c r="PY68" s="436"/>
      <c r="PZ68" s="436"/>
      <c r="QA68" s="436"/>
      <c r="QB68" s="436"/>
      <c r="QC68" s="436"/>
      <c r="QD68" s="436"/>
      <c r="QE68" s="436"/>
      <c r="QF68" s="436"/>
      <c r="QG68" s="436"/>
      <c r="QH68" s="436"/>
      <c r="QI68" s="436"/>
      <c r="QJ68" s="436"/>
      <c r="QK68" s="436"/>
      <c r="QL68" s="436"/>
      <c r="QM68" s="436"/>
      <c r="QN68" s="436"/>
      <c r="QO68" s="436"/>
      <c r="QP68" s="436"/>
      <c r="QQ68" s="436"/>
      <c r="QR68" s="436"/>
      <c r="QS68" s="436"/>
      <c r="QT68" s="436"/>
      <c r="QU68" s="436"/>
      <c r="QV68" s="436"/>
      <c r="QW68" s="436"/>
      <c r="QX68" s="436"/>
      <c r="QY68" s="436"/>
      <c r="QZ68" s="436"/>
      <c r="RA68" s="436"/>
      <c r="RB68" s="436"/>
      <c r="RC68" s="436"/>
      <c r="RD68" s="436"/>
      <c r="RE68" s="436"/>
      <c r="RF68" s="436"/>
      <c r="RG68" s="436"/>
      <c r="RH68" s="436"/>
      <c r="RI68" s="436"/>
      <c r="RJ68" s="436"/>
      <c r="RK68" s="436"/>
      <c r="RL68" s="436"/>
      <c r="RM68" s="436"/>
      <c r="RN68" s="436"/>
      <c r="RO68" s="436"/>
      <c r="RP68" s="436"/>
      <c r="RQ68" s="436"/>
      <c r="RR68" s="436"/>
      <c r="RS68" s="436"/>
      <c r="RT68" s="436"/>
      <c r="RU68" s="436"/>
      <c r="RV68" s="436"/>
      <c r="RW68" s="436"/>
      <c r="RX68" s="436"/>
      <c r="RY68" s="436"/>
      <c r="RZ68" s="436"/>
      <c r="SA68" s="436"/>
      <c r="SB68" s="436"/>
      <c r="SC68" s="436"/>
      <c r="SD68" s="436"/>
      <c r="SE68" s="436"/>
      <c r="SF68" s="436"/>
      <c r="SG68" s="436"/>
      <c r="SH68" s="436"/>
      <c r="SI68" s="436"/>
      <c r="SJ68" s="436"/>
      <c r="SK68" s="436"/>
      <c r="SL68" s="436"/>
      <c r="SM68" s="436"/>
      <c r="SN68" s="436"/>
      <c r="SO68" s="436"/>
      <c r="SP68" s="436"/>
      <c r="SQ68" s="436"/>
      <c r="SR68" s="436"/>
      <c r="SS68" s="436"/>
      <c r="ST68" s="436"/>
      <c r="SU68" s="436"/>
      <c r="SV68" s="436"/>
      <c r="SW68" s="436"/>
      <c r="SX68" s="436"/>
      <c r="SY68" s="436"/>
      <c r="SZ68" s="436"/>
      <c r="TA68" s="436"/>
      <c r="TB68" s="436"/>
      <c r="TC68" s="436"/>
      <c r="TD68" s="436"/>
      <c r="TE68" s="436"/>
      <c r="TF68" s="436"/>
      <c r="TG68" s="436"/>
      <c r="TH68" s="436"/>
      <c r="TI68" s="436"/>
      <c r="TJ68" s="436"/>
      <c r="TK68" s="436"/>
      <c r="TL68" s="436"/>
      <c r="TM68" s="436"/>
      <c r="TN68" s="436"/>
      <c r="TO68" s="436"/>
      <c r="TP68" s="436"/>
      <c r="TQ68" s="436"/>
      <c r="TR68" s="436"/>
      <c r="TS68" s="436"/>
      <c r="TT68" s="436"/>
      <c r="TU68" s="436"/>
      <c r="TV68" s="436"/>
      <c r="TW68" s="436"/>
      <c r="TX68" s="436"/>
      <c r="TY68" s="436"/>
      <c r="TZ68" s="436"/>
      <c r="UA68" s="436"/>
      <c r="UB68" s="436"/>
      <c r="UC68" s="436"/>
      <c r="UD68" s="436"/>
      <c r="UE68" s="436"/>
      <c r="UF68" s="436"/>
      <c r="UG68" s="436"/>
      <c r="UH68" s="436"/>
      <c r="UI68" s="436"/>
      <c r="UJ68" s="436"/>
      <c r="UK68" s="436"/>
      <c r="UL68" s="436"/>
      <c r="UM68" s="436"/>
      <c r="UN68" s="436"/>
      <c r="UO68" s="436"/>
      <c r="UP68" s="436"/>
      <c r="UQ68" s="436"/>
      <c r="UR68" s="436"/>
      <c r="US68" s="436"/>
      <c r="UT68" s="436"/>
      <c r="UU68" s="436"/>
      <c r="UV68" s="436"/>
      <c r="UW68" s="436"/>
      <c r="UX68" s="436"/>
      <c r="UY68" s="436"/>
      <c r="UZ68" s="436"/>
      <c r="VA68" s="436"/>
      <c r="VB68" s="436"/>
      <c r="VC68" s="436"/>
      <c r="VD68" s="436"/>
      <c r="VE68" s="436"/>
      <c r="VF68" s="436"/>
      <c r="VG68" s="436"/>
      <c r="VH68" s="436"/>
      <c r="VI68" s="436"/>
      <c r="VJ68" s="436"/>
      <c r="VK68" s="436"/>
      <c r="VL68" s="436"/>
      <c r="VM68" s="436"/>
      <c r="VN68" s="436"/>
      <c r="VO68" s="436"/>
      <c r="VP68" s="436"/>
      <c r="VQ68" s="436"/>
      <c r="VR68" s="436"/>
      <c r="VS68" s="436"/>
      <c r="VT68" s="436"/>
      <c r="VU68" s="436"/>
      <c r="VV68" s="436"/>
      <c r="VW68" s="436"/>
      <c r="VX68" s="436"/>
      <c r="VY68" s="436"/>
      <c r="VZ68" s="436"/>
      <c r="WA68" s="436"/>
      <c r="WB68" s="436"/>
      <c r="WC68" s="436"/>
      <c r="WD68" s="436"/>
      <c r="WE68" s="436"/>
      <c r="WF68" s="436"/>
      <c r="WG68" s="436"/>
      <c r="WH68" s="436"/>
      <c r="WI68" s="436"/>
      <c r="WJ68" s="436"/>
      <c r="WK68" s="436"/>
      <c r="WL68" s="436"/>
      <c r="WM68" s="436"/>
      <c r="WN68" s="436"/>
      <c r="WO68" s="436"/>
      <c r="WP68" s="436"/>
      <c r="WQ68" s="436"/>
      <c r="WR68" s="436"/>
      <c r="WS68" s="436"/>
      <c r="WT68" s="436"/>
      <c r="WU68" s="436"/>
      <c r="WV68" s="436"/>
      <c r="WW68" s="436"/>
      <c r="WX68" s="436"/>
      <c r="WY68" s="436"/>
      <c r="WZ68" s="436"/>
      <c r="XA68" s="436"/>
      <c r="XB68" s="436"/>
      <c r="XC68" s="436"/>
      <c r="XD68" s="436"/>
      <c r="XE68" s="436"/>
      <c r="XF68" s="436"/>
      <c r="XG68" s="436"/>
      <c r="XH68" s="436"/>
      <c r="XI68" s="436"/>
      <c r="XJ68" s="436"/>
      <c r="XK68" s="436"/>
      <c r="XL68" s="436"/>
      <c r="XM68" s="436"/>
      <c r="XN68" s="436"/>
      <c r="XO68" s="436"/>
      <c r="XP68" s="436"/>
      <c r="XQ68" s="436"/>
      <c r="XR68" s="436"/>
      <c r="XS68" s="436"/>
      <c r="XT68" s="436"/>
      <c r="XU68" s="436"/>
      <c r="XV68" s="436"/>
      <c r="XW68" s="436"/>
      <c r="XX68" s="436"/>
      <c r="XY68" s="436"/>
      <c r="XZ68" s="436"/>
      <c r="YA68" s="436"/>
      <c r="YB68" s="436"/>
      <c r="YC68" s="436"/>
      <c r="YD68" s="436"/>
      <c r="YE68" s="436"/>
      <c r="YF68" s="436"/>
      <c r="YG68" s="436"/>
      <c r="YH68" s="436"/>
      <c r="YI68" s="436"/>
      <c r="YJ68" s="436"/>
      <c r="YK68" s="436"/>
      <c r="YL68" s="436"/>
      <c r="YM68" s="436"/>
      <c r="YN68" s="436"/>
      <c r="YO68" s="436"/>
      <c r="YP68" s="436"/>
      <c r="YQ68" s="436"/>
      <c r="YR68" s="436"/>
      <c r="YS68" s="436"/>
      <c r="YT68" s="436"/>
      <c r="YU68" s="436"/>
      <c r="YV68" s="436"/>
      <c r="YW68" s="436"/>
      <c r="YX68" s="436"/>
      <c r="YY68" s="436"/>
      <c r="YZ68" s="436"/>
      <c r="ZA68" s="436"/>
      <c r="ZB68" s="436"/>
      <c r="ZC68" s="436"/>
      <c r="ZD68" s="436"/>
      <c r="ZE68" s="436"/>
      <c r="ZF68" s="436"/>
      <c r="ZG68" s="436"/>
      <c r="ZH68" s="436"/>
      <c r="ZI68" s="436"/>
      <c r="ZJ68" s="436"/>
      <c r="ZK68" s="436"/>
      <c r="ZL68" s="436"/>
      <c r="ZM68" s="436"/>
      <c r="ZN68" s="436"/>
      <c r="ZO68" s="436"/>
      <c r="ZP68" s="436"/>
      <c r="ZQ68" s="436"/>
      <c r="ZR68" s="436"/>
      <c r="ZS68" s="436"/>
      <c r="ZT68" s="436"/>
      <c r="ZU68" s="436"/>
      <c r="ZV68" s="436"/>
      <c r="ZW68" s="436"/>
      <c r="ZX68" s="436"/>
      <c r="ZY68" s="436"/>
      <c r="ZZ68" s="436"/>
      <c r="AAA68" s="436"/>
      <c r="AAB68" s="436"/>
      <c r="AAC68" s="436"/>
      <c r="AAD68" s="436"/>
      <c r="AAE68" s="436"/>
      <c r="AAF68" s="436"/>
      <c r="AAG68" s="436"/>
      <c r="AAH68" s="436"/>
      <c r="AAI68" s="436"/>
      <c r="AAJ68" s="436"/>
      <c r="AAK68" s="436"/>
      <c r="AAL68" s="436"/>
      <c r="AAM68" s="436"/>
      <c r="AAN68" s="436"/>
      <c r="AAO68" s="436"/>
      <c r="AAP68" s="436"/>
      <c r="AAQ68" s="436"/>
      <c r="AAR68" s="436"/>
      <c r="AAS68" s="436"/>
      <c r="AAT68" s="436"/>
      <c r="AAU68" s="436"/>
      <c r="AAV68" s="436"/>
      <c r="AAW68" s="436"/>
      <c r="AAX68" s="436"/>
      <c r="AAY68" s="436"/>
      <c r="AAZ68" s="436"/>
      <c r="ABA68" s="436"/>
      <c r="ABB68" s="436"/>
      <c r="ABC68" s="436"/>
      <c r="ABD68" s="436"/>
      <c r="ABE68" s="436"/>
      <c r="ABF68" s="436"/>
      <c r="ABG68" s="436"/>
      <c r="ABH68" s="436"/>
      <c r="ABI68" s="436"/>
      <c r="ABJ68" s="436"/>
      <c r="ABK68" s="436"/>
      <c r="ABL68" s="436"/>
      <c r="ABM68" s="436"/>
      <c r="ABN68" s="436"/>
      <c r="ABO68" s="436"/>
      <c r="ABP68" s="436"/>
      <c r="ABQ68" s="436"/>
      <c r="ABR68" s="436"/>
      <c r="ABS68" s="436"/>
      <c r="ABT68" s="436"/>
      <c r="ABU68" s="436"/>
      <c r="ABV68" s="436"/>
      <c r="ABW68" s="436"/>
      <c r="ABX68" s="436"/>
      <c r="ABY68" s="436"/>
      <c r="ABZ68" s="436"/>
      <c r="ACA68" s="436"/>
      <c r="ACB68" s="436"/>
      <c r="ACC68" s="436"/>
      <c r="ACD68" s="436"/>
      <c r="ACE68" s="436"/>
      <c r="ACF68" s="436"/>
      <c r="ACG68" s="436"/>
      <c r="ACH68" s="436"/>
      <c r="ACI68" s="436"/>
      <c r="ACJ68" s="436"/>
      <c r="ACK68" s="436"/>
      <c r="ACL68" s="436"/>
      <c r="ACM68" s="436"/>
      <c r="ACN68" s="436"/>
      <c r="ACO68" s="436"/>
      <c r="ACP68" s="436"/>
      <c r="ACQ68" s="436"/>
      <c r="ACR68" s="436"/>
      <c r="ACS68" s="436"/>
      <c r="ACT68" s="436"/>
      <c r="ACU68" s="436"/>
      <c r="ACV68" s="436"/>
      <c r="ACW68" s="436"/>
      <c r="ACX68" s="436"/>
      <c r="ACY68" s="436"/>
      <c r="ACZ68" s="436"/>
      <c r="ADA68" s="436"/>
      <c r="ADB68" s="436"/>
      <c r="ADC68" s="436"/>
      <c r="ADD68" s="436"/>
      <c r="ADE68" s="436"/>
      <c r="ADF68" s="436"/>
      <c r="ADG68" s="436"/>
      <c r="ADH68" s="436"/>
      <c r="ADI68" s="436"/>
      <c r="ADJ68" s="436"/>
      <c r="ADK68" s="436"/>
      <c r="ADL68" s="436"/>
      <c r="ADM68" s="436"/>
      <c r="ADN68" s="436"/>
      <c r="ADO68" s="436"/>
      <c r="ADP68" s="436"/>
      <c r="ADQ68" s="436"/>
      <c r="ADR68" s="436"/>
      <c r="ADS68" s="436"/>
      <c r="ADT68" s="436"/>
      <c r="ADU68" s="436"/>
      <c r="ADV68" s="436"/>
      <c r="ADW68" s="436"/>
      <c r="ADX68" s="436"/>
      <c r="ADY68" s="436"/>
      <c r="ADZ68" s="436"/>
      <c r="AEA68" s="436"/>
      <c r="AEB68" s="436"/>
      <c r="AEC68" s="436"/>
      <c r="AED68" s="436"/>
      <c r="AEE68" s="436"/>
      <c r="AEF68" s="436"/>
      <c r="AEG68" s="436"/>
      <c r="AEH68" s="436"/>
      <c r="AEI68" s="436"/>
      <c r="AEJ68" s="436"/>
      <c r="AEK68" s="436"/>
      <c r="AEL68" s="436"/>
      <c r="AEM68" s="436"/>
      <c r="AEN68" s="436"/>
      <c r="AEO68" s="436"/>
      <c r="AEP68" s="436"/>
      <c r="AEQ68" s="436"/>
      <c r="AER68" s="436"/>
      <c r="AES68" s="436"/>
      <c r="AET68" s="436"/>
      <c r="AEU68" s="436"/>
      <c r="AEV68" s="436"/>
      <c r="AEW68" s="436"/>
      <c r="AEX68" s="436"/>
      <c r="AEY68" s="436"/>
      <c r="AEZ68" s="436"/>
      <c r="AFA68" s="436"/>
      <c r="AFB68" s="436"/>
      <c r="AFC68" s="436"/>
      <c r="AFD68" s="436"/>
      <c r="AFE68" s="436"/>
      <c r="AFF68" s="436"/>
      <c r="AFG68" s="436"/>
      <c r="AFH68" s="436"/>
      <c r="AFI68" s="436"/>
      <c r="AFJ68" s="436"/>
      <c r="AFK68" s="436"/>
      <c r="AFL68" s="436"/>
      <c r="AFM68" s="436"/>
      <c r="AFN68" s="436"/>
      <c r="AFO68" s="436"/>
      <c r="AFP68" s="436"/>
      <c r="AFQ68" s="436"/>
      <c r="AFR68" s="436"/>
      <c r="AFS68" s="436"/>
      <c r="AFT68" s="436"/>
      <c r="AFU68" s="436"/>
      <c r="AFV68" s="436"/>
      <c r="AFW68" s="436"/>
      <c r="AFX68" s="436"/>
      <c r="AFY68" s="436"/>
      <c r="AFZ68" s="436"/>
      <c r="AGA68" s="436"/>
      <c r="AGB68" s="436"/>
      <c r="AGC68" s="436"/>
      <c r="AGD68" s="436"/>
      <c r="AGE68" s="436"/>
      <c r="AGF68" s="436"/>
      <c r="AGG68" s="436"/>
      <c r="AGH68" s="436"/>
      <c r="AGI68" s="436"/>
      <c r="AGJ68" s="436"/>
    </row>
    <row r="69" spans="1:868" s="1" customFormat="1">
      <c r="A69" s="636" t="s">
        <v>118</v>
      </c>
      <c r="B69" s="780" t="s">
        <v>441</v>
      </c>
      <c r="C69" s="34" t="s">
        <v>139</v>
      </c>
      <c r="D69" s="122" t="s">
        <v>99</v>
      </c>
      <c r="E69" s="621">
        <f t="shared" si="22"/>
        <v>1.9881068607437654E-2</v>
      </c>
      <c r="F69" s="9">
        <v>1</v>
      </c>
      <c r="G69" s="9" t="s">
        <v>433</v>
      </c>
      <c r="H69" s="10">
        <v>1</v>
      </c>
      <c r="I69" s="10">
        <v>2</v>
      </c>
      <c r="J69" s="10">
        <v>2</v>
      </c>
      <c r="K69" s="10">
        <v>1</v>
      </c>
      <c r="L69" s="10">
        <v>1</v>
      </c>
      <c r="M69" s="10">
        <v>2</v>
      </c>
      <c r="N69" s="405">
        <f t="shared" si="25"/>
        <v>0.35859414261160716</v>
      </c>
      <c r="O69" s="405">
        <f t="shared" si="26"/>
        <v>0.37356464144298934</v>
      </c>
      <c r="P69" s="74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36"/>
      <c r="DC69" s="436"/>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36"/>
      <c r="EB69" s="436"/>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36"/>
      <c r="FA69" s="436"/>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36"/>
      <c r="FZ69" s="436"/>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36"/>
      <c r="GY69" s="436"/>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36"/>
      <c r="HX69" s="436"/>
      <c r="HY69" s="436"/>
      <c r="HZ69" s="436"/>
      <c r="IA69" s="436"/>
      <c r="IB69" s="436"/>
      <c r="IC69" s="436"/>
      <c r="ID69" s="436"/>
      <c r="IE69" s="436"/>
      <c r="IF69" s="436"/>
      <c r="IG69" s="436"/>
      <c r="IH69" s="436"/>
      <c r="II69" s="436"/>
      <c r="IJ69" s="436"/>
      <c r="IK69" s="436"/>
      <c r="IL69" s="436"/>
      <c r="IM69" s="436"/>
      <c r="IN69" s="436"/>
      <c r="IO69" s="436"/>
      <c r="IP69" s="436"/>
      <c r="IQ69" s="436"/>
      <c r="IR69" s="436"/>
      <c r="IS69" s="436"/>
      <c r="IT69" s="436"/>
      <c r="IU69" s="436"/>
      <c r="IV69" s="436"/>
      <c r="IW69" s="436"/>
      <c r="IX69" s="436"/>
      <c r="IY69" s="436"/>
      <c r="IZ69" s="436"/>
      <c r="JA69" s="436"/>
      <c r="JB69" s="436"/>
      <c r="JC69" s="436"/>
      <c r="JD69" s="436"/>
      <c r="JE69" s="436"/>
      <c r="JF69" s="436"/>
      <c r="JG69" s="436"/>
      <c r="JH69" s="436"/>
      <c r="JI69" s="436"/>
      <c r="JJ69" s="436"/>
      <c r="JK69" s="436"/>
      <c r="JL69" s="436"/>
      <c r="JM69" s="436"/>
      <c r="JN69" s="436"/>
      <c r="JO69" s="436"/>
      <c r="JP69" s="436"/>
      <c r="JQ69" s="436"/>
      <c r="JR69" s="436"/>
      <c r="JS69" s="436"/>
      <c r="JT69" s="436"/>
      <c r="JU69" s="436"/>
      <c r="JV69" s="436"/>
      <c r="JW69" s="436"/>
      <c r="JX69" s="436"/>
      <c r="JY69" s="436"/>
      <c r="JZ69" s="436"/>
      <c r="KA69" s="436"/>
      <c r="KB69" s="436"/>
      <c r="KC69" s="436"/>
      <c r="KD69" s="436"/>
      <c r="KE69" s="436"/>
      <c r="KF69" s="436"/>
      <c r="KG69" s="436"/>
      <c r="KH69" s="436"/>
      <c r="KI69" s="436"/>
      <c r="KJ69" s="436"/>
      <c r="KK69" s="436"/>
      <c r="KL69" s="436"/>
      <c r="KM69" s="436"/>
      <c r="KN69" s="436"/>
      <c r="KO69" s="436"/>
      <c r="KP69" s="436"/>
      <c r="KQ69" s="436"/>
      <c r="KR69" s="436"/>
      <c r="KS69" s="436"/>
      <c r="KT69" s="436"/>
      <c r="KU69" s="436"/>
      <c r="KV69" s="436"/>
      <c r="KW69" s="436"/>
      <c r="KX69" s="436"/>
      <c r="KY69" s="436"/>
      <c r="KZ69" s="436"/>
      <c r="LA69" s="436"/>
      <c r="LB69" s="436"/>
      <c r="LC69" s="436"/>
      <c r="LD69" s="436"/>
      <c r="LE69" s="436"/>
      <c r="LF69" s="436"/>
      <c r="LG69" s="436"/>
      <c r="LH69" s="436"/>
      <c r="LI69" s="436"/>
      <c r="LJ69" s="436"/>
      <c r="LK69" s="436"/>
      <c r="LL69" s="436"/>
      <c r="LM69" s="436"/>
      <c r="LN69" s="436"/>
      <c r="LO69" s="436"/>
      <c r="LP69" s="436"/>
      <c r="LQ69" s="436"/>
      <c r="LR69" s="436"/>
      <c r="LS69" s="436"/>
      <c r="LT69" s="436"/>
      <c r="LU69" s="436"/>
      <c r="LV69" s="436"/>
      <c r="LW69" s="436"/>
      <c r="LX69" s="436"/>
      <c r="LY69" s="436"/>
      <c r="LZ69" s="436"/>
      <c r="MA69" s="436"/>
      <c r="MB69" s="436"/>
      <c r="MC69" s="436"/>
      <c r="MD69" s="436"/>
      <c r="ME69" s="436"/>
      <c r="MF69" s="436"/>
      <c r="MG69" s="436"/>
      <c r="MH69" s="436"/>
      <c r="MI69" s="436"/>
      <c r="MJ69" s="436"/>
      <c r="MK69" s="436"/>
      <c r="ML69" s="436"/>
      <c r="MM69" s="436"/>
      <c r="MN69" s="436"/>
      <c r="MO69" s="436"/>
      <c r="MP69" s="436"/>
      <c r="MQ69" s="436"/>
      <c r="MR69" s="436"/>
      <c r="MS69" s="436"/>
      <c r="MT69" s="436"/>
      <c r="MU69" s="436"/>
      <c r="MV69" s="436"/>
      <c r="MW69" s="436"/>
      <c r="MX69" s="436"/>
      <c r="MY69" s="436"/>
      <c r="MZ69" s="436"/>
      <c r="NA69" s="436"/>
      <c r="NB69" s="436"/>
      <c r="NC69" s="436"/>
      <c r="ND69" s="436"/>
      <c r="NE69" s="436"/>
      <c r="NF69" s="436"/>
      <c r="NG69" s="436"/>
      <c r="NH69" s="436"/>
      <c r="NI69" s="436"/>
      <c r="NJ69" s="436"/>
      <c r="NK69" s="436"/>
      <c r="NL69" s="436"/>
      <c r="NM69" s="436"/>
      <c r="NN69" s="436"/>
      <c r="NO69" s="436"/>
      <c r="NP69" s="436"/>
      <c r="NQ69" s="436"/>
      <c r="NR69" s="436"/>
      <c r="NS69" s="436"/>
      <c r="NT69" s="436"/>
      <c r="NU69" s="436"/>
      <c r="NV69" s="436"/>
      <c r="NW69" s="436"/>
      <c r="NX69" s="436"/>
      <c r="NY69" s="436"/>
      <c r="NZ69" s="436"/>
      <c r="OA69" s="436"/>
      <c r="OB69" s="436"/>
      <c r="OC69" s="436"/>
      <c r="OD69" s="436"/>
      <c r="OE69" s="436"/>
      <c r="OF69" s="436"/>
      <c r="OG69" s="436"/>
      <c r="OH69" s="436"/>
      <c r="OI69" s="436"/>
      <c r="OJ69" s="436"/>
      <c r="OK69" s="436"/>
      <c r="OL69" s="436"/>
      <c r="OM69" s="436"/>
      <c r="ON69" s="436"/>
      <c r="OO69" s="436"/>
      <c r="OP69" s="436"/>
      <c r="OQ69" s="436"/>
      <c r="OR69" s="436"/>
      <c r="OS69" s="436"/>
      <c r="OT69" s="436"/>
      <c r="OU69" s="436"/>
      <c r="OV69" s="436"/>
      <c r="OW69" s="436"/>
      <c r="OX69" s="436"/>
      <c r="OY69" s="436"/>
      <c r="OZ69" s="436"/>
      <c r="PA69" s="436"/>
      <c r="PB69" s="436"/>
      <c r="PC69" s="436"/>
      <c r="PD69" s="436"/>
      <c r="PE69" s="436"/>
      <c r="PF69" s="436"/>
      <c r="PG69" s="436"/>
      <c r="PH69" s="436"/>
      <c r="PI69" s="436"/>
      <c r="PJ69" s="436"/>
      <c r="PK69" s="436"/>
      <c r="PL69" s="436"/>
      <c r="PM69" s="436"/>
      <c r="PN69" s="436"/>
      <c r="PO69" s="436"/>
      <c r="PP69" s="436"/>
      <c r="PQ69" s="436"/>
      <c r="PR69" s="436"/>
      <c r="PS69" s="436"/>
      <c r="PT69" s="436"/>
      <c r="PU69" s="436"/>
      <c r="PV69" s="436"/>
      <c r="PW69" s="436"/>
      <c r="PX69" s="436"/>
      <c r="PY69" s="436"/>
      <c r="PZ69" s="436"/>
      <c r="QA69" s="436"/>
      <c r="QB69" s="436"/>
      <c r="QC69" s="436"/>
      <c r="QD69" s="436"/>
      <c r="QE69" s="436"/>
      <c r="QF69" s="436"/>
      <c r="QG69" s="436"/>
      <c r="QH69" s="436"/>
      <c r="QI69" s="436"/>
      <c r="QJ69" s="436"/>
      <c r="QK69" s="436"/>
      <c r="QL69" s="436"/>
      <c r="QM69" s="436"/>
      <c r="QN69" s="436"/>
      <c r="QO69" s="436"/>
      <c r="QP69" s="436"/>
      <c r="QQ69" s="436"/>
      <c r="QR69" s="436"/>
      <c r="QS69" s="436"/>
      <c r="QT69" s="436"/>
      <c r="QU69" s="436"/>
      <c r="QV69" s="436"/>
      <c r="QW69" s="436"/>
      <c r="QX69" s="436"/>
      <c r="QY69" s="436"/>
      <c r="QZ69" s="436"/>
      <c r="RA69" s="436"/>
      <c r="RB69" s="436"/>
      <c r="RC69" s="436"/>
      <c r="RD69" s="436"/>
      <c r="RE69" s="436"/>
      <c r="RF69" s="436"/>
      <c r="RG69" s="436"/>
      <c r="RH69" s="436"/>
      <c r="RI69" s="436"/>
      <c r="RJ69" s="436"/>
      <c r="RK69" s="436"/>
      <c r="RL69" s="436"/>
      <c r="RM69" s="436"/>
      <c r="RN69" s="436"/>
      <c r="RO69" s="436"/>
      <c r="RP69" s="436"/>
      <c r="RQ69" s="436"/>
      <c r="RR69" s="436"/>
      <c r="RS69" s="436"/>
      <c r="RT69" s="436"/>
      <c r="RU69" s="436"/>
      <c r="RV69" s="436"/>
      <c r="RW69" s="436"/>
      <c r="RX69" s="436"/>
      <c r="RY69" s="436"/>
      <c r="RZ69" s="436"/>
      <c r="SA69" s="436"/>
      <c r="SB69" s="436"/>
      <c r="SC69" s="436"/>
      <c r="SD69" s="436"/>
      <c r="SE69" s="436"/>
      <c r="SF69" s="436"/>
      <c r="SG69" s="436"/>
      <c r="SH69" s="436"/>
      <c r="SI69" s="436"/>
      <c r="SJ69" s="436"/>
      <c r="SK69" s="436"/>
      <c r="SL69" s="436"/>
      <c r="SM69" s="436"/>
      <c r="SN69" s="436"/>
      <c r="SO69" s="436"/>
      <c r="SP69" s="436"/>
      <c r="SQ69" s="436"/>
      <c r="SR69" s="436"/>
      <c r="SS69" s="436"/>
      <c r="ST69" s="436"/>
      <c r="SU69" s="436"/>
      <c r="SV69" s="436"/>
      <c r="SW69" s="436"/>
      <c r="SX69" s="436"/>
      <c r="SY69" s="436"/>
      <c r="SZ69" s="436"/>
      <c r="TA69" s="436"/>
      <c r="TB69" s="436"/>
      <c r="TC69" s="436"/>
      <c r="TD69" s="436"/>
      <c r="TE69" s="436"/>
      <c r="TF69" s="436"/>
      <c r="TG69" s="436"/>
      <c r="TH69" s="436"/>
      <c r="TI69" s="436"/>
      <c r="TJ69" s="436"/>
      <c r="TK69" s="436"/>
      <c r="TL69" s="436"/>
      <c r="TM69" s="436"/>
      <c r="TN69" s="436"/>
      <c r="TO69" s="436"/>
      <c r="TP69" s="436"/>
      <c r="TQ69" s="436"/>
      <c r="TR69" s="436"/>
      <c r="TS69" s="436"/>
      <c r="TT69" s="436"/>
      <c r="TU69" s="436"/>
      <c r="TV69" s="436"/>
      <c r="TW69" s="436"/>
      <c r="TX69" s="436"/>
      <c r="TY69" s="436"/>
      <c r="TZ69" s="436"/>
      <c r="UA69" s="436"/>
      <c r="UB69" s="436"/>
      <c r="UC69" s="436"/>
      <c r="UD69" s="436"/>
      <c r="UE69" s="436"/>
      <c r="UF69" s="436"/>
      <c r="UG69" s="436"/>
      <c r="UH69" s="436"/>
      <c r="UI69" s="436"/>
      <c r="UJ69" s="436"/>
      <c r="UK69" s="436"/>
      <c r="UL69" s="436"/>
      <c r="UM69" s="436"/>
      <c r="UN69" s="436"/>
      <c r="UO69" s="436"/>
      <c r="UP69" s="436"/>
      <c r="UQ69" s="436"/>
      <c r="UR69" s="436"/>
      <c r="US69" s="436"/>
      <c r="UT69" s="436"/>
      <c r="UU69" s="436"/>
      <c r="UV69" s="436"/>
      <c r="UW69" s="436"/>
      <c r="UX69" s="436"/>
      <c r="UY69" s="436"/>
      <c r="UZ69" s="436"/>
      <c r="VA69" s="436"/>
      <c r="VB69" s="436"/>
      <c r="VC69" s="436"/>
      <c r="VD69" s="436"/>
      <c r="VE69" s="436"/>
      <c r="VF69" s="436"/>
      <c r="VG69" s="436"/>
      <c r="VH69" s="436"/>
      <c r="VI69" s="436"/>
      <c r="VJ69" s="436"/>
      <c r="VK69" s="436"/>
      <c r="VL69" s="436"/>
      <c r="VM69" s="436"/>
      <c r="VN69" s="436"/>
      <c r="VO69" s="436"/>
      <c r="VP69" s="436"/>
      <c r="VQ69" s="436"/>
      <c r="VR69" s="436"/>
      <c r="VS69" s="436"/>
      <c r="VT69" s="436"/>
      <c r="VU69" s="436"/>
      <c r="VV69" s="436"/>
      <c r="VW69" s="436"/>
      <c r="VX69" s="436"/>
      <c r="VY69" s="436"/>
      <c r="VZ69" s="436"/>
      <c r="WA69" s="436"/>
      <c r="WB69" s="436"/>
      <c r="WC69" s="436"/>
      <c r="WD69" s="436"/>
      <c r="WE69" s="436"/>
      <c r="WF69" s="436"/>
      <c r="WG69" s="436"/>
      <c r="WH69" s="436"/>
      <c r="WI69" s="436"/>
      <c r="WJ69" s="436"/>
      <c r="WK69" s="436"/>
      <c r="WL69" s="436"/>
      <c r="WM69" s="436"/>
      <c r="WN69" s="436"/>
      <c r="WO69" s="436"/>
      <c r="WP69" s="436"/>
      <c r="WQ69" s="436"/>
      <c r="WR69" s="436"/>
      <c r="WS69" s="436"/>
      <c r="WT69" s="436"/>
      <c r="WU69" s="436"/>
      <c r="WV69" s="436"/>
      <c r="WW69" s="436"/>
      <c r="WX69" s="436"/>
      <c r="WY69" s="436"/>
      <c r="WZ69" s="436"/>
      <c r="XA69" s="436"/>
      <c r="XB69" s="436"/>
      <c r="XC69" s="436"/>
      <c r="XD69" s="436"/>
      <c r="XE69" s="436"/>
      <c r="XF69" s="436"/>
      <c r="XG69" s="436"/>
      <c r="XH69" s="436"/>
      <c r="XI69" s="436"/>
      <c r="XJ69" s="436"/>
      <c r="XK69" s="436"/>
      <c r="XL69" s="436"/>
      <c r="XM69" s="436"/>
      <c r="XN69" s="436"/>
      <c r="XO69" s="436"/>
      <c r="XP69" s="436"/>
      <c r="XQ69" s="436"/>
      <c r="XR69" s="436"/>
      <c r="XS69" s="436"/>
      <c r="XT69" s="436"/>
      <c r="XU69" s="436"/>
      <c r="XV69" s="436"/>
      <c r="XW69" s="436"/>
      <c r="XX69" s="436"/>
      <c r="XY69" s="436"/>
      <c r="XZ69" s="436"/>
      <c r="YA69" s="436"/>
      <c r="YB69" s="436"/>
      <c r="YC69" s="436"/>
      <c r="YD69" s="436"/>
      <c r="YE69" s="436"/>
      <c r="YF69" s="436"/>
      <c r="YG69" s="436"/>
      <c r="YH69" s="436"/>
      <c r="YI69" s="436"/>
      <c r="YJ69" s="436"/>
      <c r="YK69" s="436"/>
      <c r="YL69" s="436"/>
      <c r="YM69" s="436"/>
      <c r="YN69" s="436"/>
      <c r="YO69" s="436"/>
      <c r="YP69" s="436"/>
      <c r="YQ69" s="436"/>
      <c r="YR69" s="436"/>
      <c r="YS69" s="436"/>
      <c r="YT69" s="436"/>
      <c r="YU69" s="436"/>
      <c r="YV69" s="436"/>
      <c r="YW69" s="436"/>
      <c r="YX69" s="436"/>
      <c r="YY69" s="436"/>
      <c r="YZ69" s="436"/>
      <c r="ZA69" s="436"/>
      <c r="ZB69" s="436"/>
      <c r="ZC69" s="436"/>
      <c r="ZD69" s="436"/>
      <c r="ZE69" s="436"/>
      <c r="ZF69" s="436"/>
      <c r="ZG69" s="436"/>
      <c r="ZH69" s="436"/>
      <c r="ZI69" s="436"/>
      <c r="ZJ69" s="436"/>
      <c r="ZK69" s="436"/>
      <c r="ZL69" s="436"/>
      <c r="ZM69" s="436"/>
      <c r="ZN69" s="436"/>
      <c r="ZO69" s="436"/>
      <c r="ZP69" s="436"/>
      <c r="ZQ69" s="436"/>
      <c r="ZR69" s="436"/>
      <c r="ZS69" s="436"/>
      <c r="ZT69" s="436"/>
      <c r="ZU69" s="436"/>
      <c r="ZV69" s="436"/>
      <c r="ZW69" s="436"/>
      <c r="ZX69" s="436"/>
      <c r="ZY69" s="436"/>
      <c r="ZZ69" s="436"/>
      <c r="AAA69" s="436"/>
      <c r="AAB69" s="436"/>
      <c r="AAC69" s="436"/>
      <c r="AAD69" s="436"/>
      <c r="AAE69" s="436"/>
      <c r="AAF69" s="436"/>
      <c r="AAG69" s="436"/>
      <c r="AAH69" s="436"/>
      <c r="AAI69" s="436"/>
      <c r="AAJ69" s="436"/>
      <c r="AAK69" s="436"/>
      <c r="AAL69" s="436"/>
      <c r="AAM69" s="436"/>
      <c r="AAN69" s="436"/>
      <c r="AAO69" s="436"/>
      <c r="AAP69" s="436"/>
      <c r="AAQ69" s="436"/>
      <c r="AAR69" s="436"/>
      <c r="AAS69" s="436"/>
      <c r="AAT69" s="436"/>
      <c r="AAU69" s="436"/>
      <c r="AAV69" s="436"/>
      <c r="AAW69" s="436"/>
      <c r="AAX69" s="436"/>
      <c r="AAY69" s="436"/>
      <c r="AAZ69" s="436"/>
      <c r="ABA69" s="436"/>
      <c r="ABB69" s="436"/>
      <c r="ABC69" s="436"/>
      <c r="ABD69" s="436"/>
      <c r="ABE69" s="436"/>
      <c r="ABF69" s="436"/>
      <c r="ABG69" s="436"/>
      <c r="ABH69" s="436"/>
      <c r="ABI69" s="436"/>
      <c r="ABJ69" s="436"/>
      <c r="ABK69" s="436"/>
      <c r="ABL69" s="436"/>
      <c r="ABM69" s="436"/>
      <c r="ABN69" s="436"/>
      <c r="ABO69" s="436"/>
      <c r="ABP69" s="436"/>
      <c r="ABQ69" s="436"/>
      <c r="ABR69" s="436"/>
      <c r="ABS69" s="436"/>
      <c r="ABT69" s="436"/>
      <c r="ABU69" s="436"/>
      <c r="ABV69" s="436"/>
      <c r="ABW69" s="436"/>
      <c r="ABX69" s="436"/>
      <c r="ABY69" s="436"/>
      <c r="ABZ69" s="436"/>
      <c r="ACA69" s="436"/>
      <c r="ACB69" s="436"/>
      <c r="ACC69" s="436"/>
      <c r="ACD69" s="436"/>
      <c r="ACE69" s="436"/>
      <c r="ACF69" s="436"/>
      <c r="ACG69" s="436"/>
      <c r="ACH69" s="436"/>
      <c r="ACI69" s="436"/>
      <c r="ACJ69" s="436"/>
      <c r="ACK69" s="436"/>
      <c r="ACL69" s="436"/>
      <c r="ACM69" s="436"/>
      <c r="ACN69" s="436"/>
      <c r="ACO69" s="436"/>
      <c r="ACP69" s="436"/>
      <c r="ACQ69" s="436"/>
      <c r="ACR69" s="436"/>
      <c r="ACS69" s="436"/>
      <c r="ACT69" s="436"/>
      <c r="ACU69" s="436"/>
      <c r="ACV69" s="436"/>
      <c r="ACW69" s="436"/>
      <c r="ACX69" s="436"/>
      <c r="ACY69" s="436"/>
      <c r="ACZ69" s="436"/>
      <c r="ADA69" s="436"/>
      <c r="ADB69" s="436"/>
      <c r="ADC69" s="436"/>
      <c r="ADD69" s="436"/>
      <c r="ADE69" s="436"/>
      <c r="ADF69" s="436"/>
      <c r="ADG69" s="436"/>
      <c r="ADH69" s="436"/>
      <c r="ADI69" s="436"/>
      <c r="ADJ69" s="436"/>
      <c r="ADK69" s="436"/>
      <c r="ADL69" s="436"/>
      <c r="ADM69" s="436"/>
      <c r="ADN69" s="436"/>
      <c r="ADO69" s="436"/>
      <c r="ADP69" s="436"/>
      <c r="ADQ69" s="436"/>
      <c r="ADR69" s="436"/>
      <c r="ADS69" s="436"/>
      <c r="ADT69" s="436"/>
      <c r="ADU69" s="436"/>
      <c r="ADV69" s="436"/>
      <c r="ADW69" s="436"/>
      <c r="ADX69" s="436"/>
      <c r="ADY69" s="436"/>
      <c r="ADZ69" s="436"/>
      <c r="AEA69" s="436"/>
      <c r="AEB69" s="436"/>
      <c r="AEC69" s="436"/>
      <c r="AED69" s="436"/>
      <c r="AEE69" s="436"/>
      <c r="AEF69" s="436"/>
      <c r="AEG69" s="436"/>
      <c r="AEH69" s="436"/>
      <c r="AEI69" s="436"/>
      <c r="AEJ69" s="436"/>
      <c r="AEK69" s="436"/>
      <c r="AEL69" s="436"/>
      <c r="AEM69" s="436"/>
      <c r="AEN69" s="436"/>
      <c r="AEO69" s="436"/>
      <c r="AEP69" s="436"/>
      <c r="AEQ69" s="436"/>
      <c r="AER69" s="436"/>
      <c r="AES69" s="436"/>
      <c r="AET69" s="436"/>
      <c r="AEU69" s="436"/>
      <c r="AEV69" s="436"/>
      <c r="AEW69" s="436"/>
      <c r="AEX69" s="436"/>
      <c r="AEY69" s="436"/>
      <c r="AEZ69" s="436"/>
      <c r="AFA69" s="436"/>
      <c r="AFB69" s="436"/>
      <c r="AFC69" s="436"/>
      <c r="AFD69" s="436"/>
      <c r="AFE69" s="436"/>
      <c r="AFF69" s="436"/>
      <c r="AFG69" s="436"/>
      <c r="AFH69" s="436"/>
      <c r="AFI69" s="436"/>
      <c r="AFJ69" s="436"/>
      <c r="AFK69" s="436"/>
      <c r="AFL69" s="436"/>
      <c r="AFM69" s="436"/>
      <c r="AFN69" s="436"/>
      <c r="AFO69" s="436"/>
      <c r="AFP69" s="436"/>
      <c r="AFQ69" s="436"/>
      <c r="AFR69" s="436"/>
      <c r="AFS69" s="436"/>
      <c r="AFT69" s="436"/>
      <c r="AFU69" s="436"/>
      <c r="AFV69" s="436"/>
      <c r="AFW69" s="436"/>
      <c r="AFX69" s="436"/>
      <c r="AFY69" s="436"/>
      <c r="AFZ69" s="436"/>
      <c r="AGA69" s="436"/>
      <c r="AGB69" s="436"/>
      <c r="AGC69" s="436"/>
      <c r="AGD69" s="436"/>
      <c r="AGE69" s="436"/>
      <c r="AGF69" s="436"/>
      <c r="AGG69" s="436"/>
      <c r="AGH69" s="436"/>
      <c r="AGI69" s="436"/>
      <c r="AGJ69" s="436"/>
    </row>
    <row r="70" spans="1:868" s="1" customFormat="1">
      <c r="A70" s="636" t="s">
        <v>118</v>
      </c>
      <c r="B70" s="780" t="s">
        <v>442</v>
      </c>
      <c r="C70" s="34" t="s">
        <v>139</v>
      </c>
      <c r="D70" s="122" t="s">
        <v>99</v>
      </c>
      <c r="E70" s="621">
        <f t="shared" si="22"/>
        <v>5.4672938670453558E-2</v>
      </c>
      <c r="F70" s="9">
        <v>1</v>
      </c>
      <c r="G70" s="9" t="s">
        <v>433</v>
      </c>
      <c r="H70" s="10">
        <v>1</v>
      </c>
      <c r="I70" s="10">
        <v>2</v>
      </c>
      <c r="J70" s="10">
        <v>2</v>
      </c>
      <c r="K70" s="10">
        <v>1</v>
      </c>
      <c r="L70" s="10">
        <v>1</v>
      </c>
      <c r="M70" s="10">
        <v>2</v>
      </c>
      <c r="N70" s="405">
        <f t="shared" si="25"/>
        <v>0.35859414261160716</v>
      </c>
      <c r="O70" s="405">
        <f t="shared" si="26"/>
        <v>0.37356464144298934</v>
      </c>
      <c r="P70" s="747"/>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36"/>
      <c r="DC70" s="436"/>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36"/>
      <c r="EB70" s="436"/>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36"/>
      <c r="FA70" s="436"/>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36"/>
      <c r="FZ70" s="436"/>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36"/>
      <c r="GY70" s="436"/>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36"/>
      <c r="HX70" s="436"/>
      <c r="HY70" s="436"/>
      <c r="HZ70" s="436"/>
      <c r="IA70" s="436"/>
      <c r="IB70" s="436"/>
      <c r="IC70" s="436"/>
      <c r="ID70" s="436"/>
      <c r="IE70" s="436"/>
      <c r="IF70" s="436"/>
      <c r="IG70" s="436"/>
      <c r="IH70" s="436"/>
      <c r="II70" s="436"/>
      <c r="IJ70" s="436"/>
      <c r="IK70" s="436"/>
      <c r="IL70" s="436"/>
      <c r="IM70" s="436"/>
      <c r="IN70" s="436"/>
      <c r="IO70" s="436"/>
      <c r="IP70" s="436"/>
      <c r="IQ70" s="436"/>
      <c r="IR70" s="436"/>
      <c r="IS70" s="436"/>
      <c r="IT70" s="436"/>
      <c r="IU70" s="436"/>
      <c r="IV70" s="436"/>
      <c r="IW70" s="436"/>
      <c r="IX70" s="436"/>
      <c r="IY70" s="436"/>
      <c r="IZ70" s="436"/>
      <c r="JA70" s="436"/>
      <c r="JB70" s="436"/>
      <c r="JC70" s="436"/>
      <c r="JD70" s="436"/>
      <c r="JE70" s="436"/>
      <c r="JF70" s="436"/>
      <c r="JG70" s="436"/>
      <c r="JH70" s="436"/>
      <c r="JI70" s="436"/>
      <c r="JJ70" s="436"/>
      <c r="JK70" s="436"/>
      <c r="JL70" s="436"/>
      <c r="JM70" s="436"/>
      <c r="JN70" s="436"/>
      <c r="JO70" s="436"/>
      <c r="JP70" s="436"/>
      <c r="JQ70" s="436"/>
      <c r="JR70" s="436"/>
      <c r="JS70" s="436"/>
      <c r="JT70" s="436"/>
      <c r="JU70" s="436"/>
      <c r="JV70" s="436"/>
      <c r="JW70" s="436"/>
      <c r="JX70" s="436"/>
      <c r="JY70" s="436"/>
      <c r="JZ70" s="436"/>
      <c r="KA70" s="436"/>
      <c r="KB70" s="436"/>
      <c r="KC70" s="436"/>
      <c r="KD70" s="436"/>
      <c r="KE70" s="436"/>
      <c r="KF70" s="436"/>
      <c r="KG70" s="436"/>
      <c r="KH70" s="436"/>
      <c r="KI70" s="436"/>
      <c r="KJ70" s="436"/>
      <c r="KK70" s="436"/>
      <c r="KL70" s="436"/>
      <c r="KM70" s="436"/>
      <c r="KN70" s="436"/>
      <c r="KO70" s="436"/>
      <c r="KP70" s="436"/>
      <c r="KQ70" s="436"/>
      <c r="KR70" s="436"/>
      <c r="KS70" s="436"/>
      <c r="KT70" s="436"/>
      <c r="KU70" s="436"/>
      <c r="KV70" s="436"/>
      <c r="KW70" s="436"/>
      <c r="KX70" s="436"/>
      <c r="KY70" s="436"/>
      <c r="KZ70" s="436"/>
      <c r="LA70" s="436"/>
      <c r="LB70" s="436"/>
      <c r="LC70" s="436"/>
      <c r="LD70" s="436"/>
      <c r="LE70" s="436"/>
      <c r="LF70" s="436"/>
      <c r="LG70" s="436"/>
      <c r="LH70" s="436"/>
      <c r="LI70" s="436"/>
      <c r="LJ70" s="436"/>
      <c r="LK70" s="436"/>
      <c r="LL70" s="436"/>
      <c r="LM70" s="436"/>
      <c r="LN70" s="436"/>
      <c r="LO70" s="436"/>
      <c r="LP70" s="436"/>
      <c r="LQ70" s="436"/>
      <c r="LR70" s="436"/>
      <c r="LS70" s="436"/>
      <c r="LT70" s="436"/>
      <c r="LU70" s="436"/>
      <c r="LV70" s="436"/>
      <c r="LW70" s="436"/>
      <c r="LX70" s="436"/>
      <c r="LY70" s="436"/>
      <c r="LZ70" s="436"/>
      <c r="MA70" s="436"/>
      <c r="MB70" s="436"/>
      <c r="MC70" s="436"/>
      <c r="MD70" s="436"/>
      <c r="ME70" s="436"/>
      <c r="MF70" s="436"/>
      <c r="MG70" s="436"/>
      <c r="MH70" s="436"/>
      <c r="MI70" s="436"/>
      <c r="MJ70" s="436"/>
      <c r="MK70" s="436"/>
      <c r="ML70" s="436"/>
      <c r="MM70" s="436"/>
      <c r="MN70" s="436"/>
      <c r="MO70" s="436"/>
      <c r="MP70" s="436"/>
      <c r="MQ70" s="436"/>
      <c r="MR70" s="436"/>
      <c r="MS70" s="436"/>
      <c r="MT70" s="436"/>
      <c r="MU70" s="436"/>
      <c r="MV70" s="436"/>
      <c r="MW70" s="436"/>
      <c r="MX70" s="436"/>
      <c r="MY70" s="436"/>
      <c r="MZ70" s="436"/>
      <c r="NA70" s="436"/>
      <c r="NB70" s="436"/>
      <c r="NC70" s="436"/>
      <c r="ND70" s="436"/>
      <c r="NE70" s="436"/>
      <c r="NF70" s="436"/>
      <c r="NG70" s="436"/>
      <c r="NH70" s="436"/>
      <c r="NI70" s="436"/>
      <c r="NJ70" s="436"/>
      <c r="NK70" s="436"/>
      <c r="NL70" s="436"/>
      <c r="NM70" s="436"/>
      <c r="NN70" s="436"/>
      <c r="NO70" s="436"/>
      <c r="NP70" s="436"/>
      <c r="NQ70" s="436"/>
      <c r="NR70" s="436"/>
      <c r="NS70" s="436"/>
      <c r="NT70" s="436"/>
      <c r="NU70" s="436"/>
      <c r="NV70" s="436"/>
      <c r="NW70" s="436"/>
      <c r="NX70" s="436"/>
      <c r="NY70" s="436"/>
      <c r="NZ70" s="436"/>
      <c r="OA70" s="436"/>
      <c r="OB70" s="436"/>
      <c r="OC70" s="436"/>
      <c r="OD70" s="436"/>
      <c r="OE70" s="436"/>
      <c r="OF70" s="436"/>
      <c r="OG70" s="436"/>
      <c r="OH70" s="436"/>
      <c r="OI70" s="436"/>
      <c r="OJ70" s="436"/>
      <c r="OK70" s="436"/>
      <c r="OL70" s="436"/>
      <c r="OM70" s="436"/>
      <c r="ON70" s="436"/>
      <c r="OO70" s="436"/>
      <c r="OP70" s="436"/>
      <c r="OQ70" s="436"/>
      <c r="OR70" s="436"/>
      <c r="OS70" s="436"/>
      <c r="OT70" s="436"/>
      <c r="OU70" s="436"/>
      <c r="OV70" s="436"/>
      <c r="OW70" s="436"/>
      <c r="OX70" s="436"/>
      <c r="OY70" s="436"/>
      <c r="OZ70" s="436"/>
      <c r="PA70" s="436"/>
      <c r="PB70" s="436"/>
      <c r="PC70" s="436"/>
      <c r="PD70" s="436"/>
      <c r="PE70" s="436"/>
      <c r="PF70" s="436"/>
      <c r="PG70" s="436"/>
      <c r="PH70" s="436"/>
      <c r="PI70" s="436"/>
      <c r="PJ70" s="436"/>
      <c r="PK70" s="436"/>
      <c r="PL70" s="436"/>
      <c r="PM70" s="436"/>
      <c r="PN70" s="436"/>
      <c r="PO70" s="436"/>
      <c r="PP70" s="436"/>
      <c r="PQ70" s="436"/>
      <c r="PR70" s="436"/>
      <c r="PS70" s="436"/>
      <c r="PT70" s="436"/>
      <c r="PU70" s="436"/>
      <c r="PV70" s="436"/>
      <c r="PW70" s="436"/>
      <c r="PX70" s="436"/>
      <c r="PY70" s="436"/>
      <c r="PZ70" s="436"/>
      <c r="QA70" s="436"/>
      <c r="QB70" s="436"/>
      <c r="QC70" s="436"/>
      <c r="QD70" s="436"/>
      <c r="QE70" s="436"/>
      <c r="QF70" s="436"/>
      <c r="QG70" s="436"/>
      <c r="QH70" s="436"/>
      <c r="QI70" s="436"/>
      <c r="QJ70" s="436"/>
      <c r="QK70" s="436"/>
      <c r="QL70" s="436"/>
      <c r="QM70" s="436"/>
      <c r="QN70" s="436"/>
      <c r="QO70" s="436"/>
      <c r="QP70" s="436"/>
      <c r="QQ70" s="436"/>
      <c r="QR70" s="436"/>
      <c r="QS70" s="436"/>
      <c r="QT70" s="436"/>
      <c r="QU70" s="436"/>
      <c r="QV70" s="436"/>
      <c r="QW70" s="436"/>
      <c r="QX70" s="436"/>
      <c r="QY70" s="436"/>
      <c r="QZ70" s="436"/>
      <c r="RA70" s="436"/>
      <c r="RB70" s="436"/>
      <c r="RC70" s="436"/>
      <c r="RD70" s="436"/>
      <c r="RE70" s="436"/>
      <c r="RF70" s="436"/>
      <c r="RG70" s="436"/>
      <c r="RH70" s="436"/>
      <c r="RI70" s="436"/>
      <c r="RJ70" s="436"/>
      <c r="RK70" s="436"/>
      <c r="RL70" s="436"/>
      <c r="RM70" s="436"/>
      <c r="RN70" s="436"/>
      <c r="RO70" s="436"/>
      <c r="RP70" s="436"/>
      <c r="RQ70" s="436"/>
      <c r="RR70" s="436"/>
      <c r="RS70" s="436"/>
      <c r="RT70" s="436"/>
      <c r="RU70" s="436"/>
      <c r="RV70" s="436"/>
      <c r="RW70" s="436"/>
      <c r="RX70" s="436"/>
      <c r="RY70" s="436"/>
      <c r="RZ70" s="436"/>
      <c r="SA70" s="436"/>
      <c r="SB70" s="436"/>
      <c r="SC70" s="436"/>
      <c r="SD70" s="436"/>
      <c r="SE70" s="436"/>
      <c r="SF70" s="436"/>
      <c r="SG70" s="436"/>
      <c r="SH70" s="436"/>
      <c r="SI70" s="436"/>
      <c r="SJ70" s="436"/>
      <c r="SK70" s="436"/>
      <c r="SL70" s="436"/>
      <c r="SM70" s="436"/>
      <c r="SN70" s="436"/>
      <c r="SO70" s="436"/>
      <c r="SP70" s="436"/>
      <c r="SQ70" s="436"/>
      <c r="SR70" s="436"/>
      <c r="SS70" s="436"/>
      <c r="ST70" s="436"/>
      <c r="SU70" s="436"/>
      <c r="SV70" s="436"/>
      <c r="SW70" s="436"/>
      <c r="SX70" s="436"/>
      <c r="SY70" s="436"/>
      <c r="SZ70" s="436"/>
      <c r="TA70" s="436"/>
      <c r="TB70" s="436"/>
      <c r="TC70" s="436"/>
      <c r="TD70" s="436"/>
      <c r="TE70" s="436"/>
      <c r="TF70" s="436"/>
      <c r="TG70" s="436"/>
      <c r="TH70" s="436"/>
      <c r="TI70" s="436"/>
      <c r="TJ70" s="436"/>
      <c r="TK70" s="436"/>
      <c r="TL70" s="436"/>
      <c r="TM70" s="436"/>
      <c r="TN70" s="436"/>
      <c r="TO70" s="436"/>
      <c r="TP70" s="436"/>
      <c r="TQ70" s="436"/>
      <c r="TR70" s="436"/>
      <c r="TS70" s="436"/>
      <c r="TT70" s="436"/>
      <c r="TU70" s="436"/>
      <c r="TV70" s="436"/>
      <c r="TW70" s="436"/>
      <c r="TX70" s="436"/>
      <c r="TY70" s="436"/>
      <c r="TZ70" s="436"/>
      <c r="UA70" s="436"/>
      <c r="UB70" s="436"/>
      <c r="UC70" s="436"/>
      <c r="UD70" s="436"/>
      <c r="UE70" s="436"/>
      <c r="UF70" s="436"/>
      <c r="UG70" s="436"/>
      <c r="UH70" s="436"/>
      <c r="UI70" s="436"/>
      <c r="UJ70" s="436"/>
      <c r="UK70" s="436"/>
      <c r="UL70" s="436"/>
      <c r="UM70" s="436"/>
      <c r="UN70" s="436"/>
      <c r="UO70" s="436"/>
      <c r="UP70" s="436"/>
      <c r="UQ70" s="436"/>
      <c r="UR70" s="436"/>
      <c r="US70" s="436"/>
      <c r="UT70" s="436"/>
      <c r="UU70" s="436"/>
      <c r="UV70" s="436"/>
      <c r="UW70" s="436"/>
      <c r="UX70" s="436"/>
      <c r="UY70" s="436"/>
      <c r="UZ70" s="436"/>
      <c r="VA70" s="436"/>
      <c r="VB70" s="436"/>
      <c r="VC70" s="436"/>
      <c r="VD70" s="436"/>
      <c r="VE70" s="436"/>
      <c r="VF70" s="436"/>
      <c r="VG70" s="436"/>
      <c r="VH70" s="436"/>
      <c r="VI70" s="436"/>
      <c r="VJ70" s="436"/>
      <c r="VK70" s="436"/>
      <c r="VL70" s="436"/>
      <c r="VM70" s="436"/>
      <c r="VN70" s="436"/>
      <c r="VO70" s="436"/>
      <c r="VP70" s="436"/>
      <c r="VQ70" s="436"/>
      <c r="VR70" s="436"/>
      <c r="VS70" s="436"/>
      <c r="VT70" s="436"/>
      <c r="VU70" s="436"/>
      <c r="VV70" s="436"/>
      <c r="VW70" s="436"/>
      <c r="VX70" s="436"/>
      <c r="VY70" s="436"/>
      <c r="VZ70" s="436"/>
      <c r="WA70" s="436"/>
      <c r="WB70" s="436"/>
      <c r="WC70" s="436"/>
      <c r="WD70" s="436"/>
      <c r="WE70" s="436"/>
      <c r="WF70" s="436"/>
      <c r="WG70" s="436"/>
      <c r="WH70" s="436"/>
      <c r="WI70" s="436"/>
      <c r="WJ70" s="436"/>
      <c r="WK70" s="436"/>
      <c r="WL70" s="436"/>
      <c r="WM70" s="436"/>
      <c r="WN70" s="436"/>
      <c r="WO70" s="436"/>
      <c r="WP70" s="436"/>
      <c r="WQ70" s="436"/>
      <c r="WR70" s="436"/>
      <c r="WS70" s="436"/>
      <c r="WT70" s="436"/>
      <c r="WU70" s="436"/>
      <c r="WV70" s="436"/>
      <c r="WW70" s="436"/>
      <c r="WX70" s="436"/>
      <c r="WY70" s="436"/>
      <c r="WZ70" s="436"/>
      <c r="XA70" s="436"/>
      <c r="XB70" s="436"/>
      <c r="XC70" s="436"/>
      <c r="XD70" s="436"/>
      <c r="XE70" s="436"/>
      <c r="XF70" s="436"/>
      <c r="XG70" s="436"/>
      <c r="XH70" s="436"/>
      <c r="XI70" s="436"/>
      <c r="XJ70" s="436"/>
      <c r="XK70" s="436"/>
      <c r="XL70" s="436"/>
      <c r="XM70" s="436"/>
      <c r="XN70" s="436"/>
      <c r="XO70" s="436"/>
      <c r="XP70" s="436"/>
      <c r="XQ70" s="436"/>
      <c r="XR70" s="436"/>
      <c r="XS70" s="436"/>
      <c r="XT70" s="436"/>
      <c r="XU70" s="436"/>
      <c r="XV70" s="436"/>
      <c r="XW70" s="436"/>
      <c r="XX70" s="436"/>
      <c r="XY70" s="436"/>
      <c r="XZ70" s="436"/>
      <c r="YA70" s="436"/>
      <c r="YB70" s="436"/>
      <c r="YC70" s="436"/>
      <c r="YD70" s="436"/>
      <c r="YE70" s="436"/>
      <c r="YF70" s="436"/>
      <c r="YG70" s="436"/>
      <c r="YH70" s="436"/>
      <c r="YI70" s="436"/>
      <c r="YJ70" s="436"/>
      <c r="YK70" s="436"/>
      <c r="YL70" s="436"/>
      <c r="YM70" s="436"/>
      <c r="YN70" s="436"/>
      <c r="YO70" s="436"/>
      <c r="YP70" s="436"/>
      <c r="YQ70" s="436"/>
      <c r="YR70" s="436"/>
      <c r="YS70" s="436"/>
      <c r="YT70" s="436"/>
      <c r="YU70" s="436"/>
      <c r="YV70" s="436"/>
      <c r="YW70" s="436"/>
      <c r="YX70" s="436"/>
      <c r="YY70" s="436"/>
      <c r="YZ70" s="436"/>
      <c r="ZA70" s="436"/>
      <c r="ZB70" s="436"/>
      <c r="ZC70" s="436"/>
      <c r="ZD70" s="436"/>
      <c r="ZE70" s="436"/>
      <c r="ZF70" s="436"/>
      <c r="ZG70" s="436"/>
      <c r="ZH70" s="436"/>
      <c r="ZI70" s="436"/>
      <c r="ZJ70" s="436"/>
      <c r="ZK70" s="436"/>
      <c r="ZL70" s="436"/>
      <c r="ZM70" s="436"/>
      <c r="ZN70" s="436"/>
      <c r="ZO70" s="436"/>
      <c r="ZP70" s="436"/>
      <c r="ZQ70" s="436"/>
      <c r="ZR70" s="436"/>
      <c r="ZS70" s="436"/>
      <c r="ZT70" s="436"/>
      <c r="ZU70" s="436"/>
      <c r="ZV70" s="436"/>
      <c r="ZW70" s="436"/>
      <c r="ZX70" s="436"/>
      <c r="ZY70" s="436"/>
      <c r="ZZ70" s="436"/>
      <c r="AAA70" s="436"/>
      <c r="AAB70" s="436"/>
      <c r="AAC70" s="436"/>
      <c r="AAD70" s="436"/>
      <c r="AAE70" s="436"/>
      <c r="AAF70" s="436"/>
      <c r="AAG70" s="436"/>
      <c r="AAH70" s="436"/>
      <c r="AAI70" s="436"/>
      <c r="AAJ70" s="436"/>
      <c r="AAK70" s="436"/>
      <c r="AAL70" s="436"/>
      <c r="AAM70" s="436"/>
      <c r="AAN70" s="436"/>
      <c r="AAO70" s="436"/>
      <c r="AAP70" s="436"/>
      <c r="AAQ70" s="436"/>
      <c r="AAR70" s="436"/>
      <c r="AAS70" s="436"/>
      <c r="AAT70" s="436"/>
      <c r="AAU70" s="436"/>
      <c r="AAV70" s="436"/>
      <c r="AAW70" s="436"/>
      <c r="AAX70" s="436"/>
      <c r="AAY70" s="436"/>
      <c r="AAZ70" s="436"/>
      <c r="ABA70" s="436"/>
      <c r="ABB70" s="436"/>
      <c r="ABC70" s="436"/>
      <c r="ABD70" s="436"/>
      <c r="ABE70" s="436"/>
      <c r="ABF70" s="436"/>
      <c r="ABG70" s="436"/>
      <c r="ABH70" s="436"/>
      <c r="ABI70" s="436"/>
      <c r="ABJ70" s="436"/>
      <c r="ABK70" s="436"/>
      <c r="ABL70" s="436"/>
      <c r="ABM70" s="436"/>
      <c r="ABN70" s="436"/>
      <c r="ABO70" s="436"/>
      <c r="ABP70" s="436"/>
      <c r="ABQ70" s="436"/>
      <c r="ABR70" s="436"/>
      <c r="ABS70" s="436"/>
      <c r="ABT70" s="436"/>
      <c r="ABU70" s="436"/>
      <c r="ABV70" s="436"/>
      <c r="ABW70" s="436"/>
      <c r="ABX70" s="436"/>
      <c r="ABY70" s="436"/>
      <c r="ABZ70" s="436"/>
      <c r="ACA70" s="436"/>
      <c r="ACB70" s="436"/>
      <c r="ACC70" s="436"/>
      <c r="ACD70" s="436"/>
      <c r="ACE70" s="436"/>
      <c r="ACF70" s="436"/>
      <c r="ACG70" s="436"/>
      <c r="ACH70" s="436"/>
      <c r="ACI70" s="436"/>
      <c r="ACJ70" s="436"/>
      <c r="ACK70" s="436"/>
      <c r="ACL70" s="436"/>
      <c r="ACM70" s="436"/>
      <c r="ACN70" s="436"/>
      <c r="ACO70" s="436"/>
      <c r="ACP70" s="436"/>
      <c r="ACQ70" s="436"/>
      <c r="ACR70" s="436"/>
      <c r="ACS70" s="436"/>
      <c r="ACT70" s="436"/>
      <c r="ACU70" s="436"/>
      <c r="ACV70" s="436"/>
      <c r="ACW70" s="436"/>
      <c r="ACX70" s="436"/>
      <c r="ACY70" s="436"/>
      <c r="ACZ70" s="436"/>
      <c r="ADA70" s="436"/>
      <c r="ADB70" s="436"/>
      <c r="ADC70" s="436"/>
      <c r="ADD70" s="436"/>
      <c r="ADE70" s="436"/>
      <c r="ADF70" s="436"/>
      <c r="ADG70" s="436"/>
      <c r="ADH70" s="436"/>
      <c r="ADI70" s="436"/>
      <c r="ADJ70" s="436"/>
      <c r="ADK70" s="436"/>
      <c r="ADL70" s="436"/>
      <c r="ADM70" s="436"/>
      <c r="ADN70" s="436"/>
      <c r="ADO70" s="436"/>
      <c r="ADP70" s="436"/>
      <c r="ADQ70" s="436"/>
      <c r="ADR70" s="436"/>
      <c r="ADS70" s="436"/>
      <c r="ADT70" s="436"/>
      <c r="ADU70" s="436"/>
      <c r="ADV70" s="436"/>
      <c r="ADW70" s="436"/>
      <c r="ADX70" s="436"/>
      <c r="ADY70" s="436"/>
      <c r="ADZ70" s="436"/>
      <c r="AEA70" s="436"/>
      <c r="AEB70" s="436"/>
      <c r="AEC70" s="436"/>
      <c r="AED70" s="436"/>
      <c r="AEE70" s="436"/>
      <c r="AEF70" s="436"/>
      <c r="AEG70" s="436"/>
      <c r="AEH70" s="436"/>
      <c r="AEI70" s="436"/>
      <c r="AEJ70" s="436"/>
      <c r="AEK70" s="436"/>
      <c r="AEL70" s="436"/>
      <c r="AEM70" s="436"/>
      <c r="AEN70" s="436"/>
      <c r="AEO70" s="436"/>
      <c r="AEP70" s="436"/>
      <c r="AEQ70" s="436"/>
      <c r="AER70" s="436"/>
      <c r="AES70" s="436"/>
      <c r="AET70" s="436"/>
      <c r="AEU70" s="436"/>
      <c r="AEV70" s="436"/>
      <c r="AEW70" s="436"/>
      <c r="AEX70" s="436"/>
      <c r="AEY70" s="436"/>
      <c r="AEZ70" s="436"/>
      <c r="AFA70" s="436"/>
      <c r="AFB70" s="436"/>
      <c r="AFC70" s="436"/>
      <c r="AFD70" s="436"/>
      <c r="AFE70" s="436"/>
      <c r="AFF70" s="436"/>
      <c r="AFG70" s="436"/>
      <c r="AFH70" s="436"/>
      <c r="AFI70" s="436"/>
      <c r="AFJ70" s="436"/>
      <c r="AFK70" s="436"/>
      <c r="AFL70" s="436"/>
      <c r="AFM70" s="436"/>
      <c r="AFN70" s="436"/>
      <c r="AFO70" s="436"/>
      <c r="AFP70" s="436"/>
      <c r="AFQ70" s="436"/>
      <c r="AFR70" s="436"/>
      <c r="AFS70" s="436"/>
      <c r="AFT70" s="436"/>
      <c r="AFU70" s="436"/>
      <c r="AFV70" s="436"/>
      <c r="AFW70" s="436"/>
      <c r="AFX70" s="436"/>
      <c r="AFY70" s="436"/>
      <c r="AFZ70" s="436"/>
      <c r="AGA70" s="436"/>
      <c r="AGB70" s="436"/>
      <c r="AGC70" s="436"/>
      <c r="AGD70" s="436"/>
      <c r="AGE70" s="436"/>
      <c r="AGF70" s="436"/>
      <c r="AGG70" s="436"/>
      <c r="AGH70" s="436"/>
      <c r="AGI70" s="436"/>
      <c r="AGJ70" s="436"/>
    </row>
    <row r="71" spans="1:868" s="1" customFormat="1">
      <c r="A71" s="636" t="s">
        <v>118</v>
      </c>
      <c r="B71" s="780" t="s">
        <v>443</v>
      </c>
      <c r="C71" s="34" t="s">
        <v>139</v>
      </c>
      <c r="D71" s="122" t="s">
        <v>99</v>
      </c>
      <c r="E71" s="621">
        <f t="shared" si="22"/>
        <v>5.4672938670453558E-2</v>
      </c>
      <c r="F71" s="9">
        <v>1</v>
      </c>
      <c r="G71" s="9" t="s">
        <v>433</v>
      </c>
      <c r="H71" s="10">
        <v>1</v>
      </c>
      <c r="I71" s="10">
        <v>2</v>
      </c>
      <c r="J71" s="10">
        <v>2</v>
      </c>
      <c r="K71" s="10">
        <v>1</v>
      </c>
      <c r="L71" s="10">
        <v>1</v>
      </c>
      <c r="M71" s="10">
        <v>2</v>
      </c>
      <c r="N71" s="405">
        <f t="shared" si="25"/>
        <v>0.35859414261160716</v>
      </c>
      <c r="O71" s="405">
        <f t="shared" si="26"/>
        <v>0.37356464144298934</v>
      </c>
      <c r="P71" s="43"/>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36"/>
      <c r="EB71" s="436"/>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36"/>
      <c r="FA71" s="436"/>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36"/>
      <c r="FZ71" s="436"/>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36"/>
      <c r="GY71" s="436"/>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36"/>
      <c r="HX71" s="436"/>
      <c r="HY71" s="436"/>
      <c r="HZ71" s="436"/>
      <c r="IA71" s="436"/>
      <c r="IB71" s="436"/>
      <c r="IC71" s="436"/>
      <c r="ID71" s="436"/>
      <c r="IE71" s="436"/>
      <c r="IF71" s="436"/>
      <c r="IG71" s="436"/>
      <c r="IH71" s="436"/>
      <c r="II71" s="436"/>
      <c r="IJ71" s="436"/>
      <c r="IK71" s="436"/>
      <c r="IL71" s="436"/>
      <c r="IM71" s="436"/>
      <c r="IN71" s="436"/>
      <c r="IO71" s="436"/>
      <c r="IP71" s="436"/>
      <c r="IQ71" s="436"/>
      <c r="IR71" s="436"/>
      <c r="IS71" s="436"/>
      <c r="IT71" s="436"/>
      <c r="IU71" s="436"/>
      <c r="IV71" s="436"/>
      <c r="IW71" s="436"/>
      <c r="IX71" s="436"/>
      <c r="IY71" s="436"/>
      <c r="IZ71" s="436"/>
      <c r="JA71" s="436"/>
      <c r="JB71" s="436"/>
      <c r="JC71" s="436"/>
      <c r="JD71" s="436"/>
      <c r="JE71" s="436"/>
      <c r="JF71" s="436"/>
      <c r="JG71" s="436"/>
      <c r="JH71" s="436"/>
      <c r="JI71" s="436"/>
      <c r="JJ71" s="436"/>
      <c r="JK71" s="436"/>
      <c r="JL71" s="436"/>
      <c r="JM71" s="436"/>
      <c r="JN71" s="436"/>
      <c r="JO71" s="436"/>
      <c r="JP71" s="436"/>
      <c r="JQ71" s="436"/>
      <c r="JR71" s="436"/>
      <c r="JS71" s="436"/>
      <c r="JT71" s="436"/>
      <c r="JU71" s="436"/>
      <c r="JV71" s="436"/>
      <c r="JW71" s="436"/>
      <c r="JX71" s="436"/>
      <c r="JY71" s="436"/>
      <c r="JZ71" s="436"/>
      <c r="KA71" s="436"/>
      <c r="KB71" s="436"/>
      <c r="KC71" s="436"/>
      <c r="KD71" s="436"/>
      <c r="KE71" s="436"/>
      <c r="KF71" s="436"/>
      <c r="KG71" s="436"/>
      <c r="KH71" s="436"/>
      <c r="KI71" s="436"/>
      <c r="KJ71" s="436"/>
      <c r="KK71" s="436"/>
      <c r="KL71" s="436"/>
      <c r="KM71" s="436"/>
      <c r="KN71" s="436"/>
      <c r="KO71" s="436"/>
      <c r="KP71" s="436"/>
      <c r="KQ71" s="436"/>
      <c r="KR71" s="436"/>
      <c r="KS71" s="436"/>
      <c r="KT71" s="436"/>
      <c r="KU71" s="436"/>
      <c r="KV71" s="436"/>
      <c r="KW71" s="436"/>
      <c r="KX71" s="436"/>
      <c r="KY71" s="436"/>
      <c r="KZ71" s="436"/>
      <c r="LA71" s="436"/>
      <c r="LB71" s="436"/>
      <c r="LC71" s="436"/>
      <c r="LD71" s="436"/>
      <c r="LE71" s="436"/>
      <c r="LF71" s="436"/>
      <c r="LG71" s="436"/>
      <c r="LH71" s="436"/>
      <c r="LI71" s="436"/>
      <c r="LJ71" s="436"/>
      <c r="LK71" s="436"/>
      <c r="LL71" s="436"/>
      <c r="LM71" s="436"/>
      <c r="LN71" s="436"/>
      <c r="LO71" s="436"/>
      <c r="LP71" s="436"/>
      <c r="LQ71" s="436"/>
      <c r="LR71" s="436"/>
      <c r="LS71" s="436"/>
      <c r="LT71" s="436"/>
      <c r="LU71" s="436"/>
      <c r="LV71" s="436"/>
      <c r="LW71" s="436"/>
      <c r="LX71" s="436"/>
      <c r="LY71" s="436"/>
      <c r="LZ71" s="436"/>
      <c r="MA71" s="436"/>
      <c r="MB71" s="436"/>
      <c r="MC71" s="436"/>
      <c r="MD71" s="436"/>
      <c r="ME71" s="436"/>
      <c r="MF71" s="436"/>
      <c r="MG71" s="436"/>
      <c r="MH71" s="436"/>
      <c r="MI71" s="436"/>
      <c r="MJ71" s="436"/>
      <c r="MK71" s="436"/>
      <c r="ML71" s="436"/>
      <c r="MM71" s="436"/>
      <c r="MN71" s="436"/>
      <c r="MO71" s="436"/>
      <c r="MP71" s="436"/>
      <c r="MQ71" s="436"/>
      <c r="MR71" s="436"/>
      <c r="MS71" s="436"/>
      <c r="MT71" s="436"/>
      <c r="MU71" s="436"/>
      <c r="MV71" s="436"/>
      <c r="MW71" s="436"/>
      <c r="MX71" s="436"/>
      <c r="MY71" s="436"/>
      <c r="MZ71" s="436"/>
      <c r="NA71" s="436"/>
      <c r="NB71" s="436"/>
      <c r="NC71" s="436"/>
      <c r="ND71" s="436"/>
      <c r="NE71" s="436"/>
      <c r="NF71" s="436"/>
      <c r="NG71" s="436"/>
      <c r="NH71" s="436"/>
      <c r="NI71" s="436"/>
      <c r="NJ71" s="436"/>
      <c r="NK71" s="436"/>
      <c r="NL71" s="436"/>
      <c r="NM71" s="436"/>
      <c r="NN71" s="436"/>
      <c r="NO71" s="436"/>
      <c r="NP71" s="436"/>
      <c r="NQ71" s="436"/>
      <c r="NR71" s="436"/>
      <c r="NS71" s="436"/>
      <c r="NT71" s="436"/>
      <c r="NU71" s="436"/>
      <c r="NV71" s="436"/>
      <c r="NW71" s="436"/>
      <c r="NX71" s="436"/>
      <c r="NY71" s="436"/>
      <c r="NZ71" s="436"/>
      <c r="OA71" s="436"/>
      <c r="OB71" s="436"/>
      <c r="OC71" s="436"/>
      <c r="OD71" s="436"/>
      <c r="OE71" s="436"/>
      <c r="OF71" s="436"/>
      <c r="OG71" s="436"/>
      <c r="OH71" s="436"/>
      <c r="OI71" s="436"/>
      <c r="OJ71" s="436"/>
      <c r="OK71" s="436"/>
      <c r="OL71" s="436"/>
      <c r="OM71" s="436"/>
      <c r="ON71" s="436"/>
      <c r="OO71" s="436"/>
      <c r="OP71" s="436"/>
      <c r="OQ71" s="436"/>
      <c r="OR71" s="436"/>
      <c r="OS71" s="436"/>
      <c r="OT71" s="436"/>
      <c r="OU71" s="436"/>
      <c r="OV71" s="436"/>
      <c r="OW71" s="436"/>
      <c r="OX71" s="436"/>
      <c r="OY71" s="436"/>
      <c r="OZ71" s="436"/>
      <c r="PA71" s="436"/>
      <c r="PB71" s="436"/>
      <c r="PC71" s="436"/>
      <c r="PD71" s="436"/>
      <c r="PE71" s="436"/>
      <c r="PF71" s="436"/>
      <c r="PG71" s="436"/>
      <c r="PH71" s="436"/>
      <c r="PI71" s="436"/>
      <c r="PJ71" s="436"/>
      <c r="PK71" s="436"/>
      <c r="PL71" s="436"/>
      <c r="PM71" s="436"/>
      <c r="PN71" s="436"/>
      <c r="PO71" s="436"/>
      <c r="PP71" s="436"/>
      <c r="PQ71" s="436"/>
      <c r="PR71" s="436"/>
      <c r="PS71" s="436"/>
      <c r="PT71" s="436"/>
      <c r="PU71" s="436"/>
      <c r="PV71" s="436"/>
      <c r="PW71" s="436"/>
      <c r="PX71" s="436"/>
      <c r="PY71" s="436"/>
      <c r="PZ71" s="436"/>
      <c r="QA71" s="436"/>
      <c r="QB71" s="436"/>
      <c r="QC71" s="436"/>
      <c r="QD71" s="436"/>
      <c r="QE71" s="436"/>
      <c r="QF71" s="436"/>
      <c r="QG71" s="436"/>
      <c r="QH71" s="436"/>
      <c r="QI71" s="436"/>
      <c r="QJ71" s="436"/>
      <c r="QK71" s="436"/>
      <c r="QL71" s="436"/>
      <c r="QM71" s="436"/>
      <c r="QN71" s="436"/>
      <c r="QO71" s="436"/>
      <c r="QP71" s="436"/>
      <c r="QQ71" s="436"/>
      <c r="QR71" s="436"/>
      <c r="QS71" s="436"/>
      <c r="QT71" s="436"/>
      <c r="QU71" s="436"/>
      <c r="QV71" s="436"/>
      <c r="QW71" s="436"/>
      <c r="QX71" s="436"/>
      <c r="QY71" s="436"/>
      <c r="QZ71" s="436"/>
      <c r="RA71" s="436"/>
      <c r="RB71" s="436"/>
      <c r="RC71" s="436"/>
      <c r="RD71" s="436"/>
      <c r="RE71" s="436"/>
      <c r="RF71" s="436"/>
      <c r="RG71" s="436"/>
      <c r="RH71" s="436"/>
      <c r="RI71" s="436"/>
      <c r="RJ71" s="436"/>
      <c r="RK71" s="436"/>
      <c r="RL71" s="436"/>
      <c r="RM71" s="436"/>
      <c r="RN71" s="436"/>
      <c r="RO71" s="436"/>
      <c r="RP71" s="436"/>
      <c r="RQ71" s="436"/>
      <c r="RR71" s="436"/>
      <c r="RS71" s="436"/>
      <c r="RT71" s="436"/>
      <c r="RU71" s="436"/>
      <c r="RV71" s="436"/>
      <c r="RW71" s="436"/>
      <c r="RX71" s="436"/>
      <c r="RY71" s="436"/>
      <c r="RZ71" s="436"/>
      <c r="SA71" s="436"/>
      <c r="SB71" s="436"/>
      <c r="SC71" s="436"/>
      <c r="SD71" s="436"/>
      <c r="SE71" s="436"/>
      <c r="SF71" s="436"/>
      <c r="SG71" s="436"/>
      <c r="SH71" s="436"/>
      <c r="SI71" s="436"/>
      <c r="SJ71" s="436"/>
      <c r="SK71" s="436"/>
      <c r="SL71" s="436"/>
      <c r="SM71" s="436"/>
      <c r="SN71" s="436"/>
      <c r="SO71" s="436"/>
      <c r="SP71" s="436"/>
      <c r="SQ71" s="436"/>
      <c r="SR71" s="436"/>
      <c r="SS71" s="436"/>
      <c r="ST71" s="436"/>
      <c r="SU71" s="436"/>
      <c r="SV71" s="436"/>
      <c r="SW71" s="436"/>
      <c r="SX71" s="436"/>
      <c r="SY71" s="436"/>
      <c r="SZ71" s="436"/>
      <c r="TA71" s="436"/>
      <c r="TB71" s="436"/>
      <c r="TC71" s="436"/>
      <c r="TD71" s="436"/>
      <c r="TE71" s="436"/>
      <c r="TF71" s="436"/>
      <c r="TG71" s="436"/>
      <c r="TH71" s="436"/>
      <c r="TI71" s="436"/>
      <c r="TJ71" s="436"/>
      <c r="TK71" s="436"/>
      <c r="TL71" s="436"/>
      <c r="TM71" s="436"/>
      <c r="TN71" s="436"/>
      <c r="TO71" s="436"/>
      <c r="TP71" s="436"/>
      <c r="TQ71" s="436"/>
      <c r="TR71" s="436"/>
      <c r="TS71" s="436"/>
      <c r="TT71" s="436"/>
      <c r="TU71" s="436"/>
      <c r="TV71" s="436"/>
      <c r="TW71" s="436"/>
      <c r="TX71" s="436"/>
      <c r="TY71" s="436"/>
      <c r="TZ71" s="436"/>
      <c r="UA71" s="436"/>
      <c r="UB71" s="436"/>
      <c r="UC71" s="436"/>
      <c r="UD71" s="436"/>
      <c r="UE71" s="436"/>
      <c r="UF71" s="436"/>
      <c r="UG71" s="436"/>
      <c r="UH71" s="436"/>
      <c r="UI71" s="436"/>
      <c r="UJ71" s="436"/>
      <c r="UK71" s="436"/>
      <c r="UL71" s="436"/>
      <c r="UM71" s="436"/>
      <c r="UN71" s="436"/>
      <c r="UO71" s="436"/>
      <c r="UP71" s="436"/>
      <c r="UQ71" s="436"/>
      <c r="UR71" s="436"/>
      <c r="US71" s="436"/>
      <c r="UT71" s="436"/>
      <c r="UU71" s="436"/>
      <c r="UV71" s="436"/>
      <c r="UW71" s="436"/>
      <c r="UX71" s="436"/>
      <c r="UY71" s="436"/>
      <c r="UZ71" s="436"/>
      <c r="VA71" s="436"/>
      <c r="VB71" s="436"/>
      <c r="VC71" s="436"/>
      <c r="VD71" s="436"/>
      <c r="VE71" s="436"/>
      <c r="VF71" s="436"/>
      <c r="VG71" s="436"/>
      <c r="VH71" s="436"/>
      <c r="VI71" s="436"/>
      <c r="VJ71" s="436"/>
      <c r="VK71" s="436"/>
      <c r="VL71" s="436"/>
      <c r="VM71" s="436"/>
      <c r="VN71" s="436"/>
      <c r="VO71" s="436"/>
      <c r="VP71" s="436"/>
      <c r="VQ71" s="436"/>
      <c r="VR71" s="436"/>
      <c r="VS71" s="436"/>
      <c r="VT71" s="436"/>
      <c r="VU71" s="436"/>
      <c r="VV71" s="436"/>
      <c r="VW71" s="436"/>
      <c r="VX71" s="436"/>
      <c r="VY71" s="436"/>
      <c r="VZ71" s="436"/>
      <c r="WA71" s="436"/>
      <c r="WB71" s="436"/>
      <c r="WC71" s="436"/>
      <c r="WD71" s="436"/>
      <c r="WE71" s="436"/>
      <c r="WF71" s="436"/>
      <c r="WG71" s="436"/>
      <c r="WH71" s="436"/>
      <c r="WI71" s="436"/>
      <c r="WJ71" s="436"/>
      <c r="WK71" s="436"/>
      <c r="WL71" s="436"/>
      <c r="WM71" s="436"/>
      <c r="WN71" s="436"/>
      <c r="WO71" s="436"/>
      <c r="WP71" s="436"/>
      <c r="WQ71" s="436"/>
      <c r="WR71" s="436"/>
      <c r="WS71" s="436"/>
      <c r="WT71" s="436"/>
      <c r="WU71" s="436"/>
      <c r="WV71" s="436"/>
      <c r="WW71" s="436"/>
      <c r="WX71" s="436"/>
      <c r="WY71" s="436"/>
      <c r="WZ71" s="436"/>
      <c r="XA71" s="436"/>
      <c r="XB71" s="436"/>
      <c r="XC71" s="436"/>
      <c r="XD71" s="436"/>
      <c r="XE71" s="436"/>
      <c r="XF71" s="436"/>
      <c r="XG71" s="436"/>
      <c r="XH71" s="436"/>
      <c r="XI71" s="436"/>
      <c r="XJ71" s="436"/>
      <c r="XK71" s="436"/>
      <c r="XL71" s="436"/>
      <c r="XM71" s="436"/>
      <c r="XN71" s="436"/>
      <c r="XO71" s="436"/>
      <c r="XP71" s="436"/>
      <c r="XQ71" s="436"/>
      <c r="XR71" s="436"/>
      <c r="XS71" s="436"/>
      <c r="XT71" s="436"/>
      <c r="XU71" s="436"/>
      <c r="XV71" s="436"/>
      <c r="XW71" s="436"/>
      <c r="XX71" s="436"/>
      <c r="XY71" s="436"/>
      <c r="XZ71" s="436"/>
      <c r="YA71" s="436"/>
      <c r="YB71" s="436"/>
      <c r="YC71" s="436"/>
      <c r="YD71" s="436"/>
      <c r="YE71" s="436"/>
      <c r="YF71" s="436"/>
      <c r="YG71" s="436"/>
      <c r="YH71" s="436"/>
      <c r="YI71" s="436"/>
      <c r="YJ71" s="436"/>
      <c r="YK71" s="436"/>
      <c r="YL71" s="436"/>
      <c r="YM71" s="436"/>
      <c r="YN71" s="436"/>
      <c r="YO71" s="436"/>
      <c r="YP71" s="436"/>
      <c r="YQ71" s="436"/>
      <c r="YR71" s="436"/>
      <c r="YS71" s="436"/>
      <c r="YT71" s="436"/>
      <c r="YU71" s="436"/>
      <c r="YV71" s="436"/>
      <c r="YW71" s="436"/>
      <c r="YX71" s="436"/>
      <c r="YY71" s="436"/>
      <c r="YZ71" s="436"/>
      <c r="ZA71" s="436"/>
      <c r="ZB71" s="436"/>
      <c r="ZC71" s="436"/>
      <c r="ZD71" s="436"/>
      <c r="ZE71" s="436"/>
      <c r="ZF71" s="436"/>
      <c r="ZG71" s="436"/>
      <c r="ZH71" s="436"/>
      <c r="ZI71" s="436"/>
      <c r="ZJ71" s="436"/>
      <c r="ZK71" s="436"/>
      <c r="ZL71" s="436"/>
      <c r="ZM71" s="436"/>
      <c r="ZN71" s="436"/>
      <c r="ZO71" s="436"/>
      <c r="ZP71" s="436"/>
      <c r="ZQ71" s="436"/>
      <c r="ZR71" s="436"/>
      <c r="ZS71" s="436"/>
      <c r="ZT71" s="436"/>
      <c r="ZU71" s="436"/>
      <c r="ZV71" s="436"/>
      <c r="ZW71" s="436"/>
      <c r="ZX71" s="436"/>
      <c r="ZY71" s="436"/>
      <c r="ZZ71" s="436"/>
      <c r="AAA71" s="436"/>
      <c r="AAB71" s="436"/>
      <c r="AAC71" s="436"/>
      <c r="AAD71" s="436"/>
      <c r="AAE71" s="436"/>
      <c r="AAF71" s="436"/>
      <c r="AAG71" s="436"/>
      <c r="AAH71" s="436"/>
      <c r="AAI71" s="436"/>
      <c r="AAJ71" s="436"/>
      <c r="AAK71" s="436"/>
      <c r="AAL71" s="436"/>
      <c r="AAM71" s="436"/>
      <c r="AAN71" s="436"/>
      <c r="AAO71" s="436"/>
      <c r="AAP71" s="436"/>
      <c r="AAQ71" s="436"/>
      <c r="AAR71" s="436"/>
      <c r="AAS71" s="436"/>
      <c r="AAT71" s="436"/>
      <c r="AAU71" s="436"/>
      <c r="AAV71" s="436"/>
      <c r="AAW71" s="436"/>
      <c r="AAX71" s="436"/>
      <c r="AAY71" s="436"/>
      <c r="AAZ71" s="436"/>
      <c r="ABA71" s="436"/>
      <c r="ABB71" s="436"/>
      <c r="ABC71" s="436"/>
      <c r="ABD71" s="436"/>
      <c r="ABE71" s="436"/>
      <c r="ABF71" s="436"/>
      <c r="ABG71" s="436"/>
      <c r="ABH71" s="436"/>
      <c r="ABI71" s="436"/>
      <c r="ABJ71" s="436"/>
      <c r="ABK71" s="436"/>
      <c r="ABL71" s="436"/>
      <c r="ABM71" s="436"/>
      <c r="ABN71" s="436"/>
      <c r="ABO71" s="436"/>
      <c r="ABP71" s="436"/>
      <c r="ABQ71" s="436"/>
      <c r="ABR71" s="436"/>
      <c r="ABS71" s="436"/>
      <c r="ABT71" s="436"/>
      <c r="ABU71" s="436"/>
      <c r="ABV71" s="436"/>
      <c r="ABW71" s="436"/>
      <c r="ABX71" s="436"/>
      <c r="ABY71" s="436"/>
      <c r="ABZ71" s="436"/>
      <c r="ACA71" s="436"/>
      <c r="ACB71" s="436"/>
      <c r="ACC71" s="436"/>
      <c r="ACD71" s="436"/>
      <c r="ACE71" s="436"/>
      <c r="ACF71" s="436"/>
      <c r="ACG71" s="436"/>
      <c r="ACH71" s="436"/>
      <c r="ACI71" s="436"/>
      <c r="ACJ71" s="436"/>
      <c r="ACK71" s="436"/>
      <c r="ACL71" s="436"/>
      <c r="ACM71" s="436"/>
      <c r="ACN71" s="436"/>
      <c r="ACO71" s="436"/>
      <c r="ACP71" s="436"/>
      <c r="ACQ71" s="436"/>
      <c r="ACR71" s="436"/>
      <c r="ACS71" s="436"/>
      <c r="ACT71" s="436"/>
      <c r="ACU71" s="436"/>
      <c r="ACV71" s="436"/>
      <c r="ACW71" s="436"/>
      <c r="ACX71" s="436"/>
      <c r="ACY71" s="436"/>
      <c r="ACZ71" s="436"/>
      <c r="ADA71" s="436"/>
      <c r="ADB71" s="436"/>
      <c r="ADC71" s="436"/>
      <c r="ADD71" s="436"/>
      <c r="ADE71" s="436"/>
      <c r="ADF71" s="436"/>
      <c r="ADG71" s="436"/>
      <c r="ADH71" s="436"/>
      <c r="ADI71" s="436"/>
      <c r="ADJ71" s="436"/>
      <c r="ADK71" s="436"/>
      <c r="ADL71" s="436"/>
      <c r="ADM71" s="436"/>
      <c r="ADN71" s="436"/>
      <c r="ADO71" s="436"/>
      <c r="ADP71" s="436"/>
      <c r="ADQ71" s="436"/>
      <c r="ADR71" s="436"/>
      <c r="ADS71" s="436"/>
      <c r="ADT71" s="436"/>
      <c r="ADU71" s="436"/>
      <c r="ADV71" s="436"/>
      <c r="ADW71" s="436"/>
      <c r="ADX71" s="436"/>
      <c r="ADY71" s="436"/>
      <c r="ADZ71" s="436"/>
      <c r="AEA71" s="436"/>
      <c r="AEB71" s="436"/>
      <c r="AEC71" s="436"/>
      <c r="AED71" s="436"/>
      <c r="AEE71" s="436"/>
      <c r="AEF71" s="436"/>
      <c r="AEG71" s="436"/>
      <c r="AEH71" s="436"/>
      <c r="AEI71" s="436"/>
      <c r="AEJ71" s="436"/>
      <c r="AEK71" s="436"/>
      <c r="AEL71" s="436"/>
      <c r="AEM71" s="436"/>
      <c r="AEN71" s="436"/>
      <c r="AEO71" s="436"/>
      <c r="AEP71" s="436"/>
      <c r="AEQ71" s="436"/>
      <c r="AER71" s="436"/>
      <c r="AES71" s="436"/>
      <c r="AET71" s="436"/>
      <c r="AEU71" s="436"/>
      <c r="AEV71" s="436"/>
      <c r="AEW71" s="436"/>
      <c r="AEX71" s="436"/>
      <c r="AEY71" s="436"/>
      <c r="AEZ71" s="436"/>
      <c r="AFA71" s="436"/>
      <c r="AFB71" s="436"/>
      <c r="AFC71" s="436"/>
      <c r="AFD71" s="436"/>
      <c r="AFE71" s="436"/>
      <c r="AFF71" s="436"/>
      <c r="AFG71" s="436"/>
      <c r="AFH71" s="436"/>
      <c r="AFI71" s="436"/>
      <c r="AFJ71" s="436"/>
      <c r="AFK71" s="436"/>
      <c r="AFL71" s="436"/>
      <c r="AFM71" s="436"/>
      <c r="AFN71" s="436"/>
      <c r="AFO71" s="436"/>
      <c r="AFP71" s="436"/>
      <c r="AFQ71" s="436"/>
      <c r="AFR71" s="436"/>
      <c r="AFS71" s="436"/>
      <c r="AFT71" s="436"/>
      <c r="AFU71" s="436"/>
      <c r="AFV71" s="436"/>
      <c r="AFW71" s="436"/>
      <c r="AFX71" s="436"/>
      <c r="AFY71" s="436"/>
      <c r="AFZ71" s="436"/>
      <c r="AGA71" s="436"/>
      <c r="AGB71" s="436"/>
      <c r="AGC71" s="436"/>
      <c r="AGD71" s="436"/>
      <c r="AGE71" s="436"/>
      <c r="AGF71" s="436"/>
      <c r="AGG71" s="436"/>
      <c r="AGH71" s="436"/>
      <c r="AGI71" s="436"/>
      <c r="AGJ71" s="436"/>
    </row>
    <row r="72" spans="1:868" s="1" customFormat="1">
      <c r="A72" s="636" t="s">
        <v>118</v>
      </c>
      <c r="B72" s="780" t="s">
        <v>444</v>
      </c>
      <c r="C72" s="34" t="s">
        <v>139</v>
      </c>
      <c r="D72" s="122" t="s">
        <v>99</v>
      </c>
      <c r="E72" s="621">
        <f t="shared" si="22"/>
        <v>6.4613472974172373E-2</v>
      </c>
      <c r="F72" s="9">
        <v>1</v>
      </c>
      <c r="G72" s="9" t="s">
        <v>433</v>
      </c>
      <c r="H72" s="10">
        <v>1</v>
      </c>
      <c r="I72" s="10">
        <v>2</v>
      </c>
      <c r="J72" s="10">
        <v>2</v>
      </c>
      <c r="K72" s="10">
        <v>1</v>
      </c>
      <c r="L72" s="10">
        <v>1</v>
      </c>
      <c r="M72" s="10">
        <v>2</v>
      </c>
      <c r="N72" s="405">
        <f t="shared" si="25"/>
        <v>0.35859414261160716</v>
      </c>
      <c r="O72" s="405">
        <f t="shared" si="26"/>
        <v>0.37356464144298934</v>
      </c>
      <c r="P72" s="43"/>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36"/>
      <c r="EB72" s="436"/>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36"/>
      <c r="FA72" s="436"/>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36"/>
      <c r="FZ72" s="436"/>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36"/>
      <c r="GY72" s="436"/>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36"/>
      <c r="HX72" s="436"/>
      <c r="HY72" s="436"/>
      <c r="HZ72" s="436"/>
      <c r="IA72" s="436"/>
      <c r="IB72" s="436"/>
      <c r="IC72" s="436"/>
      <c r="ID72" s="436"/>
      <c r="IE72" s="436"/>
      <c r="IF72" s="436"/>
      <c r="IG72" s="436"/>
      <c r="IH72" s="436"/>
      <c r="II72" s="436"/>
      <c r="IJ72" s="436"/>
      <c r="IK72" s="436"/>
      <c r="IL72" s="436"/>
      <c r="IM72" s="436"/>
      <c r="IN72" s="436"/>
      <c r="IO72" s="436"/>
      <c r="IP72" s="436"/>
      <c r="IQ72" s="436"/>
      <c r="IR72" s="436"/>
      <c r="IS72" s="436"/>
      <c r="IT72" s="436"/>
      <c r="IU72" s="436"/>
      <c r="IV72" s="436"/>
      <c r="IW72" s="436"/>
      <c r="IX72" s="436"/>
      <c r="IY72" s="436"/>
      <c r="IZ72" s="436"/>
      <c r="JA72" s="436"/>
      <c r="JB72" s="436"/>
      <c r="JC72" s="436"/>
      <c r="JD72" s="436"/>
      <c r="JE72" s="436"/>
      <c r="JF72" s="436"/>
      <c r="JG72" s="436"/>
      <c r="JH72" s="436"/>
      <c r="JI72" s="436"/>
      <c r="JJ72" s="436"/>
      <c r="JK72" s="436"/>
      <c r="JL72" s="436"/>
      <c r="JM72" s="436"/>
      <c r="JN72" s="436"/>
      <c r="JO72" s="436"/>
      <c r="JP72" s="436"/>
      <c r="JQ72" s="436"/>
      <c r="JR72" s="436"/>
      <c r="JS72" s="436"/>
      <c r="JT72" s="436"/>
      <c r="JU72" s="436"/>
      <c r="JV72" s="436"/>
      <c r="JW72" s="436"/>
      <c r="JX72" s="436"/>
      <c r="JY72" s="436"/>
      <c r="JZ72" s="436"/>
      <c r="KA72" s="436"/>
      <c r="KB72" s="436"/>
      <c r="KC72" s="436"/>
      <c r="KD72" s="436"/>
      <c r="KE72" s="436"/>
      <c r="KF72" s="436"/>
      <c r="KG72" s="436"/>
      <c r="KH72" s="436"/>
      <c r="KI72" s="436"/>
      <c r="KJ72" s="436"/>
      <c r="KK72" s="436"/>
      <c r="KL72" s="436"/>
      <c r="KM72" s="436"/>
      <c r="KN72" s="436"/>
      <c r="KO72" s="436"/>
      <c r="KP72" s="436"/>
      <c r="KQ72" s="436"/>
      <c r="KR72" s="436"/>
      <c r="KS72" s="436"/>
      <c r="KT72" s="436"/>
      <c r="KU72" s="436"/>
      <c r="KV72" s="436"/>
      <c r="KW72" s="436"/>
      <c r="KX72" s="436"/>
      <c r="KY72" s="436"/>
      <c r="KZ72" s="436"/>
      <c r="LA72" s="436"/>
      <c r="LB72" s="436"/>
      <c r="LC72" s="436"/>
      <c r="LD72" s="436"/>
      <c r="LE72" s="436"/>
      <c r="LF72" s="436"/>
      <c r="LG72" s="436"/>
      <c r="LH72" s="436"/>
      <c r="LI72" s="436"/>
      <c r="LJ72" s="436"/>
      <c r="LK72" s="436"/>
      <c r="LL72" s="436"/>
      <c r="LM72" s="436"/>
      <c r="LN72" s="436"/>
      <c r="LO72" s="436"/>
      <c r="LP72" s="436"/>
      <c r="LQ72" s="436"/>
      <c r="LR72" s="436"/>
      <c r="LS72" s="436"/>
      <c r="LT72" s="436"/>
      <c r="LU72" s="436"/>
      <c r="LV72" s="436"/>
      <c r="LW72" s="436"/>
      <c r="LX72" s="436"/>
      <c r="LY72" s="436"/>
      <c r="LZ72" s="436"/>
      <c r="MA72" s="436"/>
      <c r="MB72" s="436"/>
      <c r="MC72" s="436"/>
      <c r="MD72" s="436"/>
      <c r="ME72" s="436"/>
      <c r="MF72" s="436"/>
      <c r="MG72" s="436"/>
      <c r="MH72" s="436"/>
      <c r="MI72" s="436"/>
      <c r="MJ72" s="436"/>
      <c r="MK72" s="436"/>
      <c r="ML72" s="436"/>
      <c r="MM72" s="436"/>
      <c r="MN72" s="436"/>
      <c r="MO72" s="436"/>
      <c r="MP72" s="436"/>
      <c r="MQ72" s="436"/>
      <c r="MR72" s="436"/>
      <c r="MS72" s="436"/>
      <c r="MT72" s="436"/>
      <c r="MU72" s="436"/>
      <c r="MV72" s="436"/>
      <c r="MW72" s="436"/>
      <c r="MX72" s="436"/>
      <c r="MY72" s="436"/>
      <c r="MZ72" s="436"/>
      <c r="NA72" s="436"/>
      <c r="NB72" s="436"/>
      <c r="NC72" s="436"/>
      <c r="ND72" s="436"/>
      <c r="NE72" s="436"/>
      <c r="NF72" s="436"/>
      <c r="NG72" s="436"/>
      <c r="NH72" s="436"/>
      <c r="NI72" s="436"/>
      <c r="NJ72" s="436"/>
      <c r="NK72" s="436"/>
      <c r="NL72" s="436"/>
      <c r="NM72" s="436"/>
      <c r="NN72" s="436"/>
      <c r="NO72" s="436"/>
      <c r="NP72" s="436"/>
      <c r="NQ72" s="436"/>
      <c r="NR72" s="436"/>
      <c r="NS72" s="436"/>
      <c r="NT72" s="436"/>
      <c r="NU72" s="436"/>
      <c r="NV72" s="436"/>
      <c r="NW72" s="436"/>
      <c r="NX72" s="436"/>
      <c r="NY72" s="436"/>
      <c r="NZ72" s="436"/>
      <c r="OA72" s="436"/>
      <c r="OB72" s="436"/>
      <c r="OC72" s="436"/>
      <c r="OD72" s="436"/>
      <c r="OE72" s="436"/>
      <c r="OF72" s="436"/>
      <c r="OG72" s="436"/>
      <c r="OH72" s="436"/>
      <c r="OI72" s="436"/>
      <c r="OJ72" s="436"/>
      <c r="OK72" s="436"/>
      <c r="OL72" s="436"/>
      <c r="OM72" s="436"/>
      <c r="ON72" s="436"/>
      <c r="OO72" s="436"/>
      <c r="OP72" s="436"/>
      <c r="OQ72" s="436"/>
      <c r="OR72" s="436"/>
      <c r="OS72" s="436"/>
      <c r="OT72" s="436"/>
      <c r="OU72" s="436"/>
      <c r="OV72" s="436"/>
      <c r="OW72" s="436"/>
      <c r="OX72" s="436"/>
      <c r="OY72" s="436"/>
      <c r="OZ72" s="436"/>
      <c r="PA72" s="436"/>
      <c r="PB72" s="436"/>
      <c r="PC72" s="436"/>
      <c r="PD72" s="436"/>
      <c r="PE72" s="436"/>
      <c r="PF72" s="436"/>
      <c r="PG72" s="436"/>
      <c r="PH72" s="436"/>
      <c r="PI72" s="436"/>
      <c r="PJ72" s="436"/>
      <c r="PK72" s="436"/>
      <c r="PL72" s="436"/>
      <c r="PM72" s="436"/>
      <c r="PN72" s="436"/>
      <c r="PO72" s="436"/>
      <c r="PP72" s="436"/>
      <c r="PQ72" s="436"/>
      <c r="PR72" s="436"/>
      <c r="PS72" s="436"/>
      <c r="PT72" s="436"/>
      <c r="PU72" s="436"/>
      <c r="PV72" s="436"/>
      <c r="PW72" s="436"/>
      <c r="PX72" s="436"/>
      <c r="PY72" s="436"/>
      <c r="PZ72" s="436"/>
      <c r="QA72" s="436"/>
      <c r="QB72" s="436"/>
      <c r="QC72" s="436"/>
      <c r="QD72" s="436"/>
      <c r="QE72" s="436"/>
      <c r="QF72" s="436"/>
      <c r="QG72" s="436"/>
      <c r="QH72" s="436"/>
      <c r="QI72" s="436"/>
      <c r="QJ72" s="436"/>
      <c r="QK72" s="436"/>
      <c r="QL72" s="436"/>
      <c r="QM72" s="436"/>
      <c r="QN72" s="436"/>
      <c r="QO72" s="436"/>
      <c r="QP72" s="436"/>
      <c r="QQ72" s="436"/>
      <c r="QR72" s="436"/>
      <c r="QS72" s="436"/>
      <c r="QT72" s="436"/>
      <c r="QU72" s="436"/>
      <c r="QV72" s="436"/>
      <c r="QW72" s="436"/>
      <c r="QX72" s="436"/>
      <c r="QY72" s="436"/>
      <c r="QZ72" s="436"/>
      <c r="RA72" s="436"/>
      <c r="RB72" s="436"/>
      <c r="RC72" s="436"/>
      <c r="RD72" s="436"/>
      <c r="RE72" s="436"/>
      <c r="RF72" s="436"/>
      <c r="RG72" s="436"/>
      <c r="RH72" s="436"/>
      <c r="RI72" s="436"/>
      <c r="RJ72" s="436"/>
      <c r="RK72" s="436"/>
      <c r="RL72" s="436"/>
      <c r="RM72" s="436"/>
      <c r="RN72" s="436"/>
      <c r="RO72" s="436"/>
      <c r="RP72" s="436"/>
      <c r="RQ72" s="436"/>
      <c r="RR72" s="436"/>
      <c r="RS72" s="436"/>
      <c r="RT72" s="436"/>
      <c r="RU72" s="436"/>
      <c r="RV72" s="436"/>
      <c r="RW72" s="436"/>
      <c r="RX72" s="436"/>
      <c r="RY72" s="436"/>
      <c r="RZ72" s="436"/>
      <c r="SA72" s="436"/>
      <c r="SB72" s="436"/>
      <c r="SC72" s="436"/>
      <c r="SD72" s="436"/>
      <c r="SE72" s="436"/>
      <c r="SF72" s="436"/>
      <c r="SG72" s="436"/>
      <c r="SH72" s="436"/>
      <c r="SI72" s="436"/>
      <c r="SJ72" s="436"/>
      <c r="SK72" s="436"/>
      <c r="SL72" s="436"/>
      <c r="SM72" s="436"/>
      <c r="SN72" s="436"/>
      <c r="SO72" s="436"/>
      <c r="SP72" s="436"/>
      <c r="SQ72" s="436"/>
      <c r="SR72" s="436"/>
      <c r="SS72" s="436"/>
      <c r="ST72" s="436"/>
      <c r="SU72" s="436"/>
      <c r="SV72" s="436"/>
      <c r="SW72" s="436"/>
      <c r="SX72" s="436"/>
      <c r="SY72" s="436"/>
      <c r="SZ72" s="436"/>
      <c r="TA72" s="436"/>
      <c r="TB72" s="436"/>
      <c r="TC72" s="436"/>
      <c r="TD72" s="436"/>
      <c r="TE72" s="436"/>
      <c r="TF72" s="436"/>
      <c r="TG72" s="436"/>
      <c r="TH72" s="436"/>
      <c r="TI72" s="436"/>
      <c r="TJ72" s="436"/>
      <c r="TK72" s="436"/>
      <c r="TL72" s="436"/>
      <c r="TM72" s="436"/>
      <c r="TN72" s="436"/>
      <c r="TO72" s="436"/>
      <c r="TP72" s="436"/>
      <c r="TQ72" s="436"/>
      <c r="TR72" s="436"/>
      <c r="TS72" s="436"/>
      <c r="TT72" s="436"/>
      <c r="TU72" s="436"/>
      <c r="TV72" s="436"/>
      <c r="TW72" s="436"/>
      <c r="TX72" s="436"/>
      <c r="TY72" s="436"/>
      <c r="TZ72" s="436"/>
      <c r="UA72" s="436"/>
      <c r="UB72" s="436"/>
      <c r="UC72" s="436"/>
      <c r="UD72" s="436"/>
      <c r="UE72" s="436"/>
      <c r="UF72" s="436"/>
      <c r="UG72" s="436"/>
      <c r="UH72" s="436"/>
      <c r="UI72" s="436"/>
      <c r="UJ72" s="436"/>
      <c r="UK72" s="436"/>
      <c r="UL72" s="436"/>
      <c r="UM72" s="436"/>
      <c r="UN72" s="436"/>
      <c r="UO72" s="436"/>
      <c r="UP72" s="436"/>
      <c r="UQ72" s="436"/>
      <c r="UR72" s="436"/>
      <c r="US72" s="436"/>
      <c r="UT72" s="436"/>
      <c r="UU72" s="436"/>
      <c r="UV72" s="436"/>
      <c r="UW72" s="436"/>
      <c r="UX72" s="436"/>
      <c r="UY72" s="436"/>
      <c r="UZ72" s="436"/>
      <c r="VA72" s="436"/>
      <c r="VB72" s="436"/>
      <c r="VC72" s="436"/>
      <c r="VD72" s="436"/>
      <c r="VE72" s="436"/>
      <c r="VF72" s="436"/>
      <c r="VG72" s="436"/>
      <c r="VH72" s="436"/>
      <c r="VI72" s="436"/>
      <c r="VJ72" s="436"/>
      <c r="VK72" s="436"/>
      <c r="VL72" s="436"/>
      <c r="VM72" s="436"/>
      <c r="VN72" s="436"/>
      <c r="VO72" s="436"/>
      <c r="VP72" s="436"/>
      <c r="VQ72" s="436"/>
      <c r="VR72" s="436"/>
      <c r="VS72" s="436"/>
      <c r="VT72" s="436"/>
      <c r="VU72" s="436"/>
      <c r="VV72" s="436"/>
      <c r="VW72" s="436"/>
      <c r="VX72" s="436"/>
      <c r="VY72" s="436"/>
      <c r="VZ72" s="436"/>
      <c r="WA72" s="436"/>
      <c r="WB72" s="436"/>
      <c r="WC72" s="436"/>
      <c r="WD72" s="436"/>
      <c r="WE72" s="436"/>
      <c r="WF72" s="436"/>
      <c r="WG72" s="436"/>
      <c r="WH72" s="436"/>
      <c r="WI72" s="436"/>
      <c r="WJ72" s="436"/>
      <c r="WK72" s="436"/>
      <c r="WL72" s="436"/>
      <c r="WM72" s="436"/>
      <c r="WN72" s="436"/>
      <c r="WO72" s="436"/>
      <c r="WP72" s="436"/>
      <c r="WQ72" s="436"/>
      <c r="WR72" s="436"/>
      <c r="WS72" s="436"/>
      <c r="WT72" s="436"/>
      <c r="WU72" s="436"/>
      <c r="WV72" s="436"/>
      <c r="WW72" s="436"/>
      <c r="WX72" s="436"/>
      <c r="WY72" s="436"/>
      <c r="WZ72" s="436"/>
      <c r="XA72" s="436"/>
      <c r="XB72" s="436"/>
      <c r="XC72" s="436"/>
      <c r="XD72" s="436"/>
      <c r="XE72" s="436"/>
      <c r="XF72" s="436"/>
      <c r="XG72" s="436"/>
      <c r="XH72" s="436"/>
      <c r="XI72" s="436"/>
      <c r="XJ72" s="436"/>
      <c r="XK72" s="436"/>
      <c r="XL72" s="436"/>
      <c r="XM72" s="436"/>
      <c r="XN72" s="436"/>
      <c r="XO72" s="436"/>
      <c r="XP72" s="436"/>
      <c r="XQ72" s="436"/>
      <c r="XR72" s="436"/>
      <c r="XS72" s="436"/>
      <c r="XT72" s="436"/>
      <c r="XU72" s="436"/>
      <c r="XV72" s="436"/>
      <c r="XW72" s="436"/>
      <c r="XX72" s="436"/>
      <c r="XY72" s="436"/>
      <c r="XZ72" s="436"/>
      <c r="YA72" s="436"/>
      <c r="YB72" s="436"/>
      <c r="YC72" s="436"/>
      <c r="YD72" s="436"/>
      <c r="YE72" s="436"/>
      <c r="YF72" s="436"/>
      <c r="YG72" s="436"/>
      <c r="YH72" s="436"/>
      <c r="YI72" s="436"/>
      <c r="YJ72" s="436"/>
      <c r="YK72" s="436"/>
      <c r="YL72" s="436"/>
      <c r="YM72" s="436"/>
      <c r="YN72" s="436"/>
      <c r="YO72" s="436"/>
      <c r="YP72" s="436"/>
      <c r="YQ72" s="436"/>
      <c r="YR72" s="436"/>
      <c r="YS72" s="436"/>
      <c r="YT72" s="436"/>
      <c r="YU72" s="436"/>
      <c r="YV72" s="436"/>
      <c r="YW72" s="436"/>
      <c r="YX72" s="436"/>
      <c r="YY72" s="436"/>
      <c r="YZ72" s="436"/>
      <c r="ZA72" s="436"/>
      <c r="ZB72" s="436"/>
      <c r="ZC72" s="436"/>
      <c r="ZD72" s="436"/>
      <c r="ZE72" s="436"/>
      <c r="ZF72" s="436"/>
      <c r="ZG72" s="436"/>
      <c r="ZH72" s="436"/>
      <c r="ZI72" s="436"/>
      <c r="ZJ72" s="436"/>
      <c r="ZK72" s="436"/>
      <c r="ZL72" s="436"/>
      <c r="ZM72" s="436"/>
      <c r="ZN72" s="436"/>
      <c r="ZO72" s="436"/>
      <c r="ZP72" s="436"/>
      <c r="ZQ72" s="436"/>
      <c r="ZR72" s="436"/>
      <c r="ZS72" s="436"/>
      <c r="ZT72" s="436"/>
      <c r="ZU72" s="436"/>
      <c r="ZV72" s="436"/>
      <c r="ZW72" s="436"/>
      <c r="ZX72" s="436"/>
      <c r="ZY72" s="436"/>
      <c r="ZZ72" s="436"/>
      <c r="AAA72" s="436"/>
      <c r="AAB72" s="436"/>
      <c r="AAC72" s="436"/>
      <c r="AAD72" s="436"/>
      <c r="AAE72" s="436"/>
      <c r="AAF72" s="436"/>
      <c r="AAG72" s="436"/>
      <c r="AAH72" s="436"/>
      <c r="AAI72" s="436"/>
      <c r="AAJ72" s="436"/>
      <c r="AAK72" s="436"/>
      <c r="AAL72" s="436"/>
      <c r="AAM72" s="436"/>
      <c r="AAN72" s="436"/>
      <c r="AAO72" s="436"/>
      <c r="AAP72" s="436"/>
      <c r="AAQ72" s="436"/>
      <c r="AAR72" s="436"/>
      <c r="AAS72" s="436"/>
      <c r="AAT72" s="436"/>
      <c r="AAU72" s="436"/>
      <c r="AAV72" s="436"/>
      <c r="AAW72" s="436"/>
      <c r="AAX72" s="436"/>
      <c r="AAY72" s="436"/>
      <c r="AAZ72" s="436"/>
      <c r="ABA72" s="436"/>
      <c r="ABB72" s="436"/>
      <c r="ABC72" s="436"/>
      <c r="ABD72" s="436"/>
      <c r="ABE72" s="436"/>
      <c r="ABF72" s="436"/>
      <c r="ABG72" s="436"/>
      <c r="ABH72" s="436"/>
      <c r="ABI72" s="436"/>
      <c r="ABJ72" s="436"/>
      <c r="ABK72" s="436"/>
      <c r="ABL72" s="436"/>
      <c r="ABM72" s="436"/>
      <c r="ABN72" s="436"/>
      <c r="ABO72" s="436"/>
      <c r="ABP72" s="436"/>
      <c r="ABQ72" s="436"/>
      <c r="ABR72" s="436"/>
      <c r="ABS72" s="436"/>
      <c r="ABT72" s="436"/>
      <c r="ABU72" s="436"/>
      <c r="ABV72" s="436"/>
      <c r="ABW72" s="436"/>
      <c r="ABX72" s="436"/>
      <c r="ABY72" s="436"/>
      <c r="ABZ72" s="436"/>
      <c r="ACA72" s="436"/>
      <c r="ACB72" s="436"/>
      <c r="ACC72" s="436"/>
      <c r="ACD72" s="436"/>
      <c r="ACE72" s="436"/>
      <c r="ACF72" s="436"/>
      <c r="ACG72" s="436"/>
      <c r="ACH72" s="436"/>
      <c r="ACI72" s="436"/>
      <c r="ACJ72" s="436"/>
      <c r="ACK72" s="436"/>
      <c r="ACL72" s="436"/>
      <c r="ACM72" s="436"/>
      <c r="ACN72" s="436"/>
      <c r="ACO72" s="436"/>
      <c r="ACP72" s="436"/>
      <c r="ACQ72" s="436"/>
      <c r="ACR72" s="436"/>
      <c r="ACS72" s="436"/>
      <c r="ACT72" s="436"/>
      <c r="ACU72" s="436"/>
      <c r="ACV72" s="436"/>
      <c r="ACW72" s="436"/>
      <c r="ACX72" s="436"/>
      <c r="ACY72" s="436"/>
      <c r="ACZ72" s="436"/>
      <c r="ADA72" s="436"/>
      <c r="ADB72" s="436"/>
      <c r="ADC72" s="436"/>
      <c r="ADD72" s="436"/>
      <c r="ADE72" s="436"/>
      <c r="ADF72" s="436"/>
      <c r="ADG72" s="436"/>
      <c r="ADH72" s="436"/>
      <c r="ADI72" s="436"/>
      <c r="ADJ72" s="436"/>
      <c r="ADK72" s="436"/>
      <c r="ADL72" s="436"/>
      <c r="ADM72" s="436"/>
      <c r="ADN72" s="436"/>
      <c r="ADO72" s="436"/>
      <c r="ADP72" s="436"/>
      <c r="ADQ72" s="436"/>
      <c r="ADR72" s="436"/>
      <c r="ADS72" s="436"/>
      <c r="ADT72" s="436"/>
      <c r="ADU72" s="436"/>
      <c r="ADV72" s="436"/>
      <c r="ADW72" s="436"/>
      <c r="ADX72" s="436"/>
      <c r="ADY72" s="436"/>
      <c r="ADZ72" s="436"/>
      <c r="AEA72" s="436"/>
      <c r="AEB72" s="436"/>
      <c r="AEC72" s="436"/>
      <c r="AED72" s="436"/>
      <c r="AEE72" s="436"/>
      <c r="AEF72" s="436"/>
      <c r="AEG72" s="436"/>
      <c r="AEH72" s="436"/>
      <c r="AEI72" s="436"/>
      <c r="AEJ72" s="436"/>
      <c r="AEK72" s="436"/>
      <c r="AEL72" s="436"/>
      <c r="AEM72" s="436"/>
      <c r="AEN72" s="436"/>
      <c r="AEO72" s="436"/>
      <c r="AEP72" s="436"/>
      <c r="AEQ72" s="436"/>
      <c r="AER72" s="436"/>
      <c r="AES72" s="436"/>
      <c r="AET72" s="436"/>
      <c r="AEU72" s="436"/>
      <c r="AEV72" s="436"/>
      <c r="AEW72" s="436"/>
      <c r="AEX72" s="436"/>
      <c r="AEY72" s="436"/>
      <c r="AEZ72" s="436"/>
      <c r="AFA72" s="436"/>
      <c r="AFB72" s="436"/>
      <c r="AFC72" s="436"/>
      <c r="AFD72" s="436"/>
      <c r="AFE72" s="436"/>
      <c r="AFF72" s="436"/>
      <c r="AFG72" s="436"/>
      <c r="AFH72" s="436"/>
      <c r="AFI72" s="436"/>
      <c r="AFJ72" s="436"/>
      <c r="AFK72" s="436"/>
      <c r="AFL72" s="436"/>
      <c r="AFM72" s="436"/>
      <c r="AFN72" s="436"/>
      <c r="AFO72" s="436"/>
      <c r="AFP72" s="436"/>
      <c r="AFQ72" s="436"/>
      <c r="AFR72" s="436"/>
      <c r="AFS72" s="436"/>
      <c r="AFT72" s="436"/>
      <c r="AFU72" s="436"/>
      <c r="AFV72" s="436"/>
      <c r="AFW72" s="436"/>
      <c r="AFX72" s="436"/>
      <c r="AFY72" s="436"/>
      <c r="AFZ72" s="436"/>
      <c r="AGA72" s="436"/>
      <c r="AGB72" s="436"/>
      <c r="AGC72" s="436"/>
      <c r="AGD72" s="436"/>
      <c r="AGE72" s="436"/>
      <c r="AGF72" s="436"/>
      <c r="AGG72" s="436"/>
      <c r="AGH72" s="436"/>
      <c r="AGI72" s="436"/>
      <c r="AGJ72" s="436"/>
    </row>
    <row r="73" spans="1:868" s="1" customFormat="1">
      <c r="A73" s="636" t="s">
        <v>118</v>
      </c>
      <c r="B73" s="780" t="s">
        <v>445</v>
      </c>
      <c r="C73" s="34" t="s">
        <v>139</v>
      </c>
      <c r="D73" s="122" t="s">
        <v>99</v>
      </c>
      <c r="E73" s="621">
        <f t="shared" si="22"/>
        <v>4.6596254548681999E-2</v>
      </c>
      <c r="F73" s="9">
        <v>1</v>
      </c>
      <c r="G73" s="9" t="s">
        <v>433</v>
      </c>
      <c r="H73" s="10">
        <v>1</v>
      </c>
      <c r="I73" s="10">
        <v>2</v>
      </c>
      <c r="J73" s="10">
        <v>2</v>
      </c>
      <c r="K73" s="10">
        <v>1</v>
      </c>
      <c r="L73" s="10">
        <v>1</v>
      </c>
      <c r="M73" s="10">
        <v>2</v>
      </c>
      <c r="N73" s="405">
        <f t="shared" si="25"/>
        <v>0.35859414261160716</v>
      </c>
      <c r="O73" s="405">
        <f t="shared" si="26"/>
        <v>0.37356464144298934</v>
      </c>
      <c r="P73" s="43"/>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36"/>
      <c r="FZ73" s="436"/>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36"/>
      <c r="GY73" s="436"/>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36"/>
      <c r="HX73" s="436"/>
      <c r="HY73" s="436"/>
      <c r="HZ73" s="436"/>
      <c r="IA73" s="436"/>
      <c r="IB73" s="436"/>
      <c r="IC73" s="436"/>
      <c r="ID73" s="436"/>
      <c r="IE73" s="436"/>
      <c r="IF73" s="436"/>
      <c r="IG73" s="436"/>
      <c r="IH73" s="436"/>
      <c r="II73" s="436"/>
      <c r="IJ73" s="436"/>
      <c r="IK73" s="436"/>
      <c r="IL73" s="436"/>
      <c r="IM73" s="436"/>
      <c r="IN73" s="436"/>
      <c r="IO73" s="436"/>
      <c r="IP73" s="436"/>
      <c r="IQ73" s="436"/>
      <c r="IR73" s="436"/>
      <c r="IS73" s="436"/>
      <c r="IT73" s="436"/>
      <c r="IU73" s="436"/>
      <c r="IV73" s="436"/>
      <c r="IW73" s="436"/>
      <c r="IX73" s="436"/>
      <c r="IY73" s="436"/>
      <c r="IZ73" s="436"/>
      <c r="JA73" s="436"/>
      <c r="JB73" s="436"/>
      <c r="JC73" s="436"/>
      <c r="JD73" s="436"/>
      <c r="JE73" s="436"/>
      <c r="JF73" s="436"/>
      <c r="JG73" s="436"/>
      <c r="JH73" s="436"/>
      <c r="JI73" s="436"/>
      <c r="JJ73" s="436"/>
      <c r="JK73" s="436"/>
      <c r="JL73" s="436"/>
      <c r="JM73" s="436"/>
      <c r="JN73" s="436"/>
      <c r="JO73" s="436"/>
      <c r="JP73" s="436"/>
      <c r="JQ73" s="436"/>
      <c r="JR73" s="436"/>
      <c r="JS73" s="436"/>
      <c r="JT73" s="436"/>
      <c r="JU73" s="436"/>
      <c r="JV73" s="436"/>
      <c r="JW73" s="436"/>
      <c r="JX73" s="436"/>
      <c r="JY73" s="436"/>
      <c r="JZ73" s="436"/>
      <c r="KA73" s="436"/>
      <c r="KB73" s="436"/>
      <c r="KC73" s="436"/>
      <c r="KD73" s="436"/>
      <c r="KE73" s="436"/>
      <c r="KF73" s="436"/>
      <c r="KG73" s="436"/>
      <c r="KH73" s="436"/>
      <c r="KI73" s="436"/>
      <c r="KJ73" s="436"/>
      <c r="KK73" s="436"/>
      <c r="KL73" s="436"/>
      <c r="KM73" s="436"/>
      <c r="KN73" s="436"/>
      <c r="KO73" s="436"/>
      <c r="KP73" s="436"/>
      <c r="KQ73" s="436"/>
      <c r="KR73" s="436"/>
      <c r="KS73" s="436"/>
      <c r="KT73" s="436"/>
      <c r="KU73" s="436"/>
      <c r="KV73" s="436"/>
      <c r="KW73" s="436"/>
      <c r="KX73" s="436"/>
      <c r="KY73" s="436"/>
      <c r="KZ73" s="436"/>
      <c r="LA73" s="436"/>
      <c r="LB73" s="436"/>
      <c r="LC73" s="436"/>
      <c r="LD73" s="436"/>
      <c r="LE73" s="436"/>
      <c r="LF73" s="436"/>
      <c r="LG73" s="436"/>
      <c r="LH73" s="436"/>
      <c r="LI73" s="436"/>
      <c r="LJ73" s="436"/>
      <c r="LK73" s="436"/>
      <c r="LL73" s="436"/>
      <c r="LM73" s="436"/>
      <c r="LN73" s="436"/>
      <c r="LO73" s="436"/>
      <c r="LP73" s="436"/>
      <c r="LQ73" s="436"/>
      <c r="LR73" s="436"/>
      <c r="LS73" s="436"/>
      <c r="LT73" s="436"/>
      <c r="LU73" s="436"/>
      <c r="LV73" s="436"/>
      <c r="LW73" s="436"/>
      <c r="LX73" s="436"/>
      <c r="LY73" s="436"/>
      <c r="LZ73" s="436"/>
      <c r="MA73" s="436"/>
      <c r="MB73" s="436"/>
      <c r="MC73" s="436"/>
      <c r="MD73" s="436"/>
      <c r="ME73" s="436"/>
      <c r="MF73" s="436"/>
      <c r="MG73" s="436"/>
      <c r="MH73" s="436"/>
      <c r="MI73" s="436"/>
      <c r="MJ73" s="436"/>
      <c r="MK73" s="436"/>
      <c r="ML73" s="436"/>
      <c r="MM73" s="436"/>
      <c r="MN73" s="436"/>
      <c r="MO73" s="436"/>
      <c r="MP73" s="436"/>
      <c r="MQ73" s="436"/>
      <c r="MR73" s="436"/>
      <c r="MS73" s="436"/>
      <c r="MT73" s="436"/>
      <c r="MU73" s="436"/>
      <c r="MV73" s="436"/>
      <c r="MW73" s="436"/>
      <c r="MX73" s="436"/>
      <c r="MY73" s="436"/>
      <c r="MZ73" s="436"/>
      <c r="NA73" s="436"/>
      <c r="NB73" s="436"/>
      <c r="NC73" s="436"/>
      <c r="ND73" s="436"/>
      <c r="NE73" s="436"/>
      <c r="NF73" s="436"/>
      <c r="NG73" s="436"/>
      <c r="NH73" s="436"/>
      <c r="NI73" s="436"/>
      <c r="NJ73" s="436"/>
      <c r="NK73" s="436"/>
      <c r="NL73" s="436"/>
      <c r="NM73" s="436"/>
      <c r="NN73" s="436"/>
      <c r="NO73" s="436"/>
      <c r="NP73" s="436"/>
      <c r="NQ73" s="436"/>
      <c r="NR73" s="436"/>
      <c r="NS73" s="436"/>
      <c r="NT73" s="436"/>
      <c r="NU73" s="436"/>
      <c r="NV73" s="436"/>
      <c r="NW73" s="436"/>
      <c r="NX73" s="436"/>
      <c r="NY73" s="436"/>
      <c r="NZ73" s="436"/>
      <c r="OA73" s="436"/>
      <c r="OB73" s="436"/>
      <c r="OC73" s="436"/>
      <c r="OD73" s="436"/>
      <c r="OE73" s="436"/>
      <c r="OF73" s="436"/>
      <c r="OG73" s="436"/>
      <c r="OH73" s="436"/>
      <c r="OI73" s="436"/>
      <c r="OJ73" s="436"/>
      <c r="OK73" s="436"/>
      <c r="OL73" s="436"/>
      <c r="OM73" s="436"/>
      <c r="ON73" s="436"/>
      <c r="OO73" s="436"/>
      <c r="OP73" s="436"/>
      <c r="OQ73" s="436"/>
      <c r="OR73" s="436"/>
      <c r="OS73" s="436"/>
      <c r="OT73" s="436"/>
      <c r="OU73" s="436"/>
      <c r="OV73" s="436"/>
      <c r="OW73" s="436"/>
      <c r="OX73" s="436"/>
      <c r="OY73" s="436"/>
      <c r="OZ73" s="436"/>
      <c r="PA73" s="436"/>
      <c r="PB73" s="436"/>
      <c r="PC73" s="436"/>
      <c r="PD73" s="436"/>
      <c r="PE73" s="436"/>
      <c r="PF73" s="436"/>
      <c r="PG73" s="436"/>
      <c r="PH73" s="436"/>
      <c r="PI73" s="436"/>
      <c r="PJ73" s="436"/>
      <c r="PK73" s="436"/>
      <c r="PL73" s="436"/>
      <c r="PM73" s="436"/>
      <c r="PN73" s="436"/>
      <c r="PO73" s="436"/>
      <c r="PP73" s="436"/>
      <c r="PQ73" s="436"/>
      <c r="PR73" s="436"/>
      <c r="PS73" s="436"/>
      <c r="PT73" s="436"/>
      <c r="PU73" s="436"/>
      <c r="PV73" s="436"/>
      <c r="PW73" s="436"/>
      <c r="PX73" s="436"/>
      <c r="PY73" s="436"/>
      <c r="PZ73" s="436"/>
      <c r="QA73" s="436"/>
      <c r="QB73" s="436"/>
      <c r="QC73" s="436"/>
      <c r="QD73" s="436"/>
      <c r="QE73" s="436"/>
      <c r="QF73" s="436"/>
      <c r="QG73" s="436"/>
      <c r="QH73" s="436"/>
      <c r="QI73" s="436"/>
      <c r="QJ73" s="436"/>
      <c r="QK73" s="436"/>
      <c r="QL73" s="436"/>
      <c r="QM73" s="436"/>
      <c r="QN73" s="436"/>
      <c r="QO73" s="436"/>
      <c r="QP73" s="436"/>
      <c r="QQ73" s="436"/>
      <c r="QR73" s="436"/>
      <c r="QS73" s="436"/>
      <c r="QT73" s="436"/>
      <c r="QU73" s="436"/>
      <c r="QV73" s="436"/>
      <c r="QW73" s="436"/>
      <c r="QX73" s="436"/>
      <c r="QY73" s="436"/>
      <c r="QZ73" s="436"/>
      <c r="RA73" s="436"/>
      <c r="RB73" s="436"/>
      <c r="RC73" s="436"/>
      <c r="RD73" s="436"/>
      <c r="RE73" s="436"/>
      <c r="RF73" s="436"/>
      <c r="RG73" s="436"/>
      <c r="RH73" s="436"/>
      <c r="RI73" s="436"/>
      <c r="RJ73" s="436"/>
      <c r="RK73" s="436"/>
      <c r="RL73" s="436"/>
      <c r="RM73" s="436"/>
      <c r="RN73" s="436"/>
      <c r="RO73" s="436"/>
      <c r="RP73" s="436"/>
      <c r="RQ73" s="436"/>
      <c r="RR73" s="436"/>
      <c r="RS73" s="436"/>
      <c r="RT73" s="436"/>
      <c r="RU73" s="436"/>
      <c r="RV73" s="436"/>
      <c r="RW73" s="436"/>
      <c r="RX73" s="436"/>
      <c r="RY73" s="436"/>
      <c r="RZ73" s="436"/>
      <c r="SA73" s="436"/>
      <c r="SB73" s="436"/>
      <c r="SC73" s="436"/>
      <c r="SD73" s="436"/>
      <c r="SE73" s="436"/>
      <c r="SF73" s="436"/>
      <c r="SG73" s="436"/>
      <c r="SH73" s="436"/>
      <c r="SI73" s="436"/>
      <c r="SJ73" s="436"/>
      <c r="SK73" s="436"/>
      <c r="SL73" s="436"/>
      <c r="SM73" s="436"/>
      <c r="SN73" s="436"/>
      <c r="SO73" s="436"/>
      <c r="SP73" s="436"/>
      <c r="SQ73" s="436"/>
      <c r="SR73" s="436"/>
      <c r="SS73" s="436"/>
      <c r="ST73" s="436"/>
      <c r="SU73" s="436"/>
      <c r="SV73" s="436"/>
      <c r="SW73" s="436"/>
      <c r="SX73" s="436"/>
      <c r="SY73" s="436"/>
      <c r="SZ73" s="436"/>
      <c r="TA73" s="436"/>
      <c r="TB73" s="436"/>
      <c r="TC73" s="436"/>
      <c r="TD73" s="436"/>
      <c r="TE73" s="436"/>
      <c r="TF73" s="436"/>
      <c r="TG73" s="436"/>
      <c r="TH73" s="436"/>
      <c r="TI73" s="436"/>
      <c r="TJ73" s="436"/>
      <c r="TK73" s="436"/>
      <c r="TL73" s="436"/>
      <c r="TM73" s="436"/>
      <c r="TN73" s="436"/>
      <c r="TO73" s="436"/>
      <c r="TP73" s="436"/>
      <c r="TQ73" s="436"/>
      <c r="TR73" s="436"/>
      <c r="TS73" s="436"/>
      <c r="TT73" s="436"/>
      <c r="TU73" s="436"/>
      <c r="TV73" s="436"/>
      <c r="TW73" s="436"/>
      <c r="TX73" s="436"/>
      <c r="TY73" s="436"/>
      <c r="TZ73" s="436"/>
      <c r="UA73" s="436"/>
      <c r="UB73" s="436"/>
      <c r="UC73" s="436"/>
      <c r="UD73" s="436"/>
      <c r="UE73" s="436"/>
      <c r="UF73" s="436"/>
      <c r="UG73" s="436"/>
      <c r="UH73" s="436"/>
      <c r="UI73" s="436"/>
      <c r="UJ73" s="436"/>
      <c r="UK73" s="436"/>
      <c r="UL73" s="436"/>
      <c r="UM73" s="436"/>
      <c r="UN73" s="436"/>
      <c r="UO73" s="436"/>
      <c r="UP73" s="436"/>
      <c r="UQ73" s="436"/>
      <c r="UR73" s="436"/>
      <c r="US73" s="436"/>
      <c r="UT73" s="436"/>
      <c r="UU73" s="436"/>
      <c r="UV73" s="436"/>
      <c r="UW73" s="436"/>
      <c r="UX73" s="436"/>
      <c r="UY73" s="436"/>
      <c r="UZ73" s="436"/>
      <c r="VA73" s="436"/>
      <c r="VB73" s="436"/>
      <c r="VC73" s="436"/>
      <c r="VD73" s="436"/>
      <c r="VE73" s="436"/>
      <c r="VF73" s="436"/>
      <c r="VG73" s="436"/>
      <c r="VH73" s="436"/>
      <c r="VI73" s="436"/>
      <c r="VJ73" s="436"/>
      <c r="VK73" s="436"/>
      <c r="VL73" s="436"/>
      <c r="VM73" s="436"/>
      <c r="VN73" s="436"/>
      <c r="VO73" s="436"/>
      <c r="VP73" s="436"/>
      <c r="VQ73" s="436"/>
      <c r="VR73" s="436"/>
      <c r="VS73" s="436"/>
      <c r="VT73" s="436"/>
      <c r="VU73" s="436"/>
      <c r="VV73" s="436"/>
      <c r="VW73" s="436"/>
      <c r="VX73" s="436"/>
      <c r="VY73" s="436"/>
      <c r="VZ73" s="436"/>
      <c r="WA73" s="436"/>
      <c r="WB73" s="436"/>
      <c r="WC73" s="436"/>
      <c r="WD73" s="436"/>
      <c r="WE73" s="436"/>
      <c r="WF73" s="436"/>
      <c r="WG73" s="436"/>
      <c r="WH73" s="436"/>
      <c r="WI73" s="436"/>
      <c r="WJ73" s="436"/>
      <c r="WK73" s="436"/>
      <c r="WL73" s="436"/>
      <c r="WM73" s="436"/>
      <c r="WN73" s="436"/>
      <c r="WO73" s="436"/>
      <c r="WP73" s="436"/>
      <c r="WQ73" s="436"/>
      <c r="WR73" s="436"/>
      <c r="WS73" s="436"/>
      <c r="WT73" s="436"/>
      <c r="WU73" s="436"/>
      <c r="WV73" s="436"/>
      <c r="WW73" s="436"/>
      <c r="WX73" s="436"/>
      <c r="WY73" s="436"/>
      <c r="WZ73" s="436"/>
      <c r="XA73" s="436"/>
      <c r="XB73" s="436"/>
      <c r="XC73" s="436"/>
      <c r="XD73" s="436"/>
      <c r="XE73" s="436"/>
      <c r="XF73" s="436"/>
      <c r="XG73" s="436"/>
      <c r="XH73" s="436"/>
      <c r="XI73" s="436"/>
      <c r="XJ73" s="436"/>
      <c r="XK73" s="436"/>
      <c r="XL73" s="436"/>
      <c r="XM73" s="436"/>
      <c r="XN73" s="436"/>
      <c r="XO73" s="436"/>
      <c r="XP73" s="436"/>
      <c r="XQ73" s="436"/>
      <c r="XR73" s="436"/>
      <c r="XS73" s="436"/>
      <c r="XT73" s="436"/>
      <c r="XU73" s="436"/>
      <c r="XV73" s="436"/>
      <c r="XW73" s="436"/>
      <c r="XX73" s="436"/>
      <c r="XY73" s="436"/>
      <c r="XZ73" s="436"/>
      <c r="YA73" s="436"/>
      <c r="YB73" s="436"/>
      <c r="YC73" s="436"/>
      <c r="YD73" s="436"/>
      <c r="YE73" s="436"/>
      <c r="YF73" s="436"/>
      <c r="YG73" s="436"/>
      <c r="YH73" s="436"/>
      <c r="YI73" s="436"/>
      <c r="YJ73" s="436"/>
      <c r="YK73" s="436"/>
      <c r="YL73" s="436"/>
      <c r="YM73" s="436"/>
      <c r="YN73" s="436"/>
      <c r="YO73" s="436"/>
      <c r="YP73" s="436"/>
      <c r="YQ73" s="436"/>
      <c r="YR73" s="436"/>
      <c r="YS73" s="436"/>
      <c r="YT73" s="436"/>
      <c r="YU73" s="436"/>
      <c r="YV73" s="436"/>
      <c r="YW73" s="436"/>
      <c r="YX73" s="436"/>
      <c r="YY73" s="436"/>
      <c r="YZ73" s="436"/>
      <c r="ZA73" s="436"/>
      <c r="ZB73" s="436"/>
      <c r="ZC73" s="436"/>
      <c r="ZD73" s="436"/>
      <c r="ZE73" s="436"/>
      <c r="ZF73" s="436"/>
      <c r="ZG73" s="436"/>
      <c r="ZH73" s="436"/>
      <c r="ZI73" s="436"/>
      <c r="ZJ73" s="436"/>
      <c r="ZK73" s="436"/>
      <c r="ZL73" s="436"/>
      <c r="ZM73" s="436"/>
      <c r="ZN73" s="436"/>
      <c r="ZO73" s="436"/>
      <c r="ZP73" s="436"/>
      <c r="ZQ73" s="436"/>
      <c r="ZR73" s="436"/>
      <c r="ZS73" s="436"/>
      <c r="ZT73" s="436"/>
      <c r="ZU73" s="436"/>
      <c r="ZV73" s="436"/>
      <c r="ZW73" s="436"/>
      <c r="ZX73" s="436"/>
      <c r="ZY73" s="436"/>
      <c r="ZZ73" s="436"/>
      <c r="AAA73" s="436"/>
      <c r="AAB73" s="436"/>
      <c r="AAC73" s="436"/>
      <c r="AAD73" s="436"/>
      <c r="AAE73" s="436"/>
      <c r="AAF73" s="436"/>
      <c r="AAG73" s="436"/>
      <c r="AAH73" s="436"/>
      <c r="AAI73" s="436"/>
      <c r="AAJ73" s="436"/>
      <c r="AAK73" s="436"/>
      <c r="AAL73" s="436"/>
      <c r="AAM73" s="436"/>
      <c r="AAN73" s="436"/>
      <c r="AAO73" s="436"/>
      <c r="AAP73" s="436"/>
      <c r="AAQ73" s="436"/>
      <c r="AAR73" s="436"/>
      <c r="AAS73" s="436"/>
      <c r="AAT73" s="436"/>
      <c r="AAU73" s="436"/>
      <c r="AAV73" s="436"/>
      <c r="AAW73" s="436"/>
      <c r="AAX73" s="436"/>
      <c r="AAY73" s="436"/>
      <c r="AAZ73" s="436"/>
      <c r="ABA73" s="436"/>
      <c r="ABB73" s="436"/>
      <c r="ABC73" s="436"/>
      <c r="ABD73" s="436"/>
      <c r="ABE73" s="436"/>
      <c r="ABF73" s="436"/>
      <c r="ABG73" s="436"/>
      <c r="ABH73" s="436"/>
      <c r="ABI73" s="436"/>
      <c r="ABJ73" s="436"/>
      <c r="ABK73" s="436"/>
      <c r="ABL73" s="436"/>
      <c r="ABM73" s="436"/>
      <c r="ABN73" s="436"/>
      <c r="ABO73" s="436"/>
      <c r="ABP73" s="436"/>
      <c r="ABQ73" s="436"/>
      <c r="ABR73" s="436"/>
      <c r="ABS73" s="436"/>
      <c r="ABT73" s="436"/>
      <c r="ABU73" s="436"/>
      <c r="ABV73" s="436"/>
      <c r="ABW73" s="436"/>
      <c r="ABX73" s="436"/>
      <c r="ABY73" s="436"/>
      <c r="ABZ73" s="436"/>
      <c r="ACA73" s="436"/>
      <c r="ACB73" s="436"/>
      <c r="ACC73" s="436"/>
      <c r="ACD73" s="436"/>
      <c r="ACE73" s="436"/>
      <c r="ACF73" s="436"/>
      <c r="ACG73" s="436"/>
      <c r="ACH73" s="436"/>
      <c r="ACI73" s="436"/>
      <c r="ACJ73" s="436"/>
      <c r="ACK73" s="436"/>
      <c r="ACL73" s="436"/>
      <c r="ACM73" s="436"/>
      <c r="ACN73" s="436"/>
      <c r="ACO73" s="436"/>
      <c r="ACP73" s="436"/>
      <c r="ACQ73" s="436"/>
      <c r="ACR73" s="436"/>
      <c r="ACS73" s="436"/>
      <c r="ACT73" s="436"/>
      <c r="ACU73" s="436"/>
      <c r="ACV73" s="436"/>
      <c r="ACW73" s="436"/>
      <c r="ACX73" s="436"/>
      <c r="ACY73" s="436"/>
      <c r="ACZ73" s="436"/>
      <c r="ADA73" s="436"/>
      <c r="ADB73" s="436"/>
      <c r="ADC73" s="436"/>
      <c r="ADD73" s="436"/>
      <c r="ADE73" s="436"/>
      <c r="ADF73" s="436"/>
      <c r="ADG73" s="436"/>
      <c r="ADH73" s="436"/>
      <c r="ADI73" s="436"/>
      <c r="ADJ73" s="436"/>
      <c r="ADK73" s="436"/>
      <c r="ADL73" s="436"/>
      <c r="ADM73" s="436"/>
      <c r="ADN73" s="436"/>
      <c r="ADO73" s="436"/>
      <c r="ADP73" s="436"/>
      <c r="ADQ73" s="436"/>
      <c r="ADR73" s="436"/>
      <c r="ADS73" s="436"/>
      <c r="ADT73" s="436"/>
      <c r="ADU73" s="436"/>
      <c r="ADV73" s="436"/>
      <c r="ADW73" s="436"/>
      <c r="ADX73" s="436"/>
      <c r="ADY73" s="436"/>
      <c r="ADZ73" s="436"/>
      <c r="AEA73" s="436"/>
      <c r="AEB73" s="436"/>
      <c r="AEC73" s="436"/>
      <c r="AED73" s="436"/>
      <c r="AEE73" s="436"/>
      <c r="AEF73" s="436"/>
      <c r="AEG73" s="436"/>
      <c r="AEH73" s="436"/>
      <c r="AEI73" s="436"/>
      <c r="AEJ73" s="436"/>
      <c r="AEK73" s="436"/>
      <c r="AEL73" s="436"/>
      <c r="AEM73" s="436"/>
      <c r="AEN73" s="436"/>
      <c r="AEO73" s="436"/>
      <c r="AEP73" s="436"/>
      <c r="AEQ73" s="436"/>
      <c r="AER73" s="436"/>
      <c r="AES73" s="436"/>
      <c r="AET73" s="436"/>
      <c r="AEU73" s="436"/>
      <c r="AEV73" s="436"/>
      <c r="AEW73" s="436"/>
      <c r="AEX73" s="436"/>
      <c r="AEY73" s="436"/>
      <c r="AEZ73" s="436"/>
      <c r="AFA73" s="436"/>
      <c r="AFB73" s="436"/>
      <c r="AFC73" s="436"/>
      <c r="AFD73" s="436"/>
      <c r="AFE73" s="436"/>
      <c r="AFF73" s="436"/>
      <c r="AFG73" s="436"/>
      <c r="AFH73" s="436"/>
      <c r="AFI73" s="436"/>
      <c r="AFJ73" s="436"/>
      <c r="AFK73" s="436"/>
      <c r="AFL73" s="436"/>
      <c r="AFM73" s="436"/>
      <c r="AFN73" s="436"/>
      <c r="AFO73" s="436"/>
      <c r="AFP73" s="436"/>
      <c r="AFQ73" s="436"/>
      <c r="AFR73" s="436"/>
      <c r="AFS73" s="436"/>
      <c r="AFT73" s="436"/>
      <c r="AFU73" s="436"/>
      <c r="AFV73" s="436"/>
      <c r="AFW73" s="436"/>
      <c r="AFX73" s="436"/>
      <c r="AFY73" s="436"/>
      <c r="AFZ73" s="436"/>
      <c r="AGA73" s="436"/>
      <c r="AGB73" s="436"/>
      <c r="AGC73" s="436"/>
      <c r="AGD73" s="436"/>
      <c r="AGE73" s="436"/>
      <c r="AGF73" s="436"/>
      <c r="AGG73" s="436"/>
      <c r="AGH73" s="436"/>
      <c r="AGI73" s="436"/>
      <c r="AGJ73" s="436"/>
    </row>
    <row r="74" spans="1:868" s="1" customFormat="1" ht="15.75" thickBot="1">
      <c r="A74" s="635" t="s">
        <v>118</v>
      </c>
      <c r="B74" s="784" t="s">
        <v>446</v>
      </c>
      <c r="C74" s="34" t="s">
        <v>139</v>
      </c>
      <c r="D74" s="123" t="s">
        <v>99</v>
      </c>
      <c r="E74" s="748">
        <f t="shared" si="22"/>
        <v>5.5915505458418391E-2</v>
      </c>
      <c r="F74" s="12">
        <v>1</v>
      </c>
      <c r="G74" s="12" t="s">
        <v>433</v>
      </c>
      <c r="H74" s="14">
        <v>1</v>
      </c>
      <c r="I74" s="14">
        <v>2</v>
      </c>
      <c r="J74" s="14">
        <v>2</v>
      </c>
      <c r="K74" s="14">
        <v>1</v>
      </c>
      <c r="L74" s="14">
        <v>1</v>
      </c>
      <c r="M74" s="14">
        <v>2</v>
      </c>
      <c r="N74" s="428">
        <f t="shared" si="25"/>
        <v>0.35859414261160716</v>
      </c>
      <c r="O74" s="428">
        <f t="shared" si="26"/>
        <v>0.37356464144298934</v>
      </c>
      <c r="P74" s="44"/>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36"/>
      <c r="DC74" s="436"/>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36"/>
      <c r="EB74" s="436"/>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36"/>
      <c r="FA74" s="436"/>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36"/>
      <c r="HX74" s="436"/>
      <c r="HY74" s="436"/>
      <c r="HZ74" s="436"/>
      <c r="IA74" s="436"/>
      <c r="IB74" s="436"/>
      <c r="IC74" s="436"/>
      <c r="ID74" s="436"/>
      <c r="IE74" s="436"/>
      <c r="IF74" s="436"/>
      <c r="IG74" s="436"/>
      <c r="IH74" s="436"/>
      <c r="II74" s="436"/>
      <c r="IJ74" s="436"/>
      <c r="IK74" s="436"/>
      <c r="IL74" s="436"/>
      <c r="IM74" s="436"/>
      <c r="IN74" s="436"/>
      <c r="IO74" s="436"/>
      <c r="IP74" s="436"/>
      <c r="IQ74" s="436"/>
      <c r="IR74" s="436"/>
      <c r="IS74" s="436"/>
      <c r="IT74" s="436"/>
      <c r="IU74" s="436"/>
      <c r="IV74" s="436"/>
      <c r="IW74" s="436"/>
      <c r="IX74" s="436"/>
      <c r="IY74" s="436"/>
      <c r="IZ74" s="436"/>
      <c r="JA74" s="436"/>
      <c r="JB74" s="436"/>
      <c r="JC74" s="436"/>
      <c r="JD74" s="436"/>
      <c r="JE74" s="436"/>
      <c r="JF74" s="436"/>
      <c r="JG74" s="436"/>
      <c r="JH74" s="436"/>
      <c r="JI74" s="436"/>
      <c r="JJ74" s="436"/>
      <c r="JK74" s="436"/>
      <c r="JL74" s="436"/>
      <c r="JM74" s="436"/>
      <c r="JN74" s="436"/>
      <c r="JO74" s="436"/>
      <c r="JP74" s="436"/>
      <c r="JQ74" s="436"/>
      <c r="JR74" s="436"/>
      <c r="JS74" s="436"/>
      <c r="JT74" s="436"/>
      <c r="JU74" s="436"/>
      <c r="JV74" s="436"/>
      <c r="JW74" s="436"/>
      <c r="JX74" s="436"/>
      <c r="JY74" s="436"/>
      <c r="JZ74" s="436"/>
      <c r="KA74" s="436"/>
      <c r="KB74" s="436"/>
      <c r="KC74" s="436"/>
      <c r="KD74" s="436"/>
      <c r="KE74" s="436"/>
      <c r="KF74" s="436"/>
      <c r="KG74" s="436"/>
      <c r="KH74" s="436"/>
      <c r="KI74" s="436"/>
      <c r="KJ74" s="436"/>
      <c r="KK74" s="436"/>
      <c r="KL74" s="436"/>
      <c r="KM74" s="436"/>
      <c r="KN74" s="436"/>
      <c r="KO74" s="436"/>
      <c r="KP74" s="436"/>
      <c r="KQ74" s="436"/>
      <c r="KR74" s="436"/>
      <c r="KS74" s="436"/>
      <c r="KT74" s="436"/>
      <c r="KU74" s="436"/>
      <c r="KV74" s="436"/>
      <c r="KW74" s="436"/>
      <c r="KX74" s="436"/>
      <c r="KY74" s="436"/>
      <c r="KZ74" s="436"/>
      <c r="LA74" s="436"/>
      <c r="LB74" s="436"/>
      <c r="LC74" s="436"/>
      <c r="LD74" s="436"/>
      <c r="LE74" s="436"/>
      <c r="LF74" s="436"/>
      <c r="LG74" s="436"/>
      <c r="LH74" s="436"/>
      <c r="LI74" s="436"/>
      <c r="LJ74" s="436"/>
      <c r="LK74" s="436"/>
      <c r="LL74" s="436"/>
      <c r="LM74" s="436"/>
      <c r="LN74" s="436"/>
      <c r="LO74" s="436"/>
      <c r="LP74" s="436"/>
      <c r="LQ74" s="436"/>
      <c r="LR74" s="436"/>
      <c r="LS74" s="436"/>
      <c r="LT74" s="436"/>
      <c r="LU74" s="436"/>
      <c r="LV74" s="436"/>
      <c r="LW74" s="436"/>
      <c r="LX74" s="436"/>
      <c r="LY74" s="436"/>
      <c r="LZ74" s="436"/>
      <c r="MA74" s="436"/>
      <c r="MB74" s="436"/>
      <c r="MC74" s="436"/>
      <c r="MD74" s="436"/>
      <c r="ME74" s="436"/>
      <c r="MF74" s="436"/>
      <c r="MG74" s="436"/>
      <c r="MH74" s="436"/>
      <c r="MI74" s="436"/>
      <c r="MJ74" s="436"/>
      <c r="MK74" s="436"/>
      <c r="ML74" s="436"/>
      <c r="MM74" s="436"/>
      <c r="MN74" s="436"/>
      <c r="MO74" s="436"/>
      <c r="MP74" s="436"/>
      <c r="MQ74" s="436"/>
      <c r="MR74" s="436"/>
      <c r="MS74" s="436"/>
      <c r="MT74" s="436"/>
      <c r="MU74" s="436"/>
      <c r="MV74" s="436"/>
      <c r="MW74" s="436"/>
      <c r="MX74" s="436"/>
      <c r="MY74" s="436"/>
      <c r="MZ74" s="436"/>
      <c r="NA74" s="436"/>
      <c r="NB74" s="436"/>
      <c r="NC74" s="436"/>
      <c r="ND74" s="436"/>
      <c r="NE74" s="436"/>
      <c r="NF74" s="436"/>
      <c r="NG74" s="436"/>
      <c r="NH74" s="436"/>
      <c r="NI74" s="436"/>
      <c r="NJ74" s="436"/>
      <c r="NK74" s="436"/>
      <c r="NL74" s="436"/>
      <c r="NM74" s="436"/>
      <c r="NN74" s="436"/>
      <c r="NO74" s="436"/>
      <c r="NP74" s="436"/>
      <c r="NQ74" s="436"/>
      <c r="NR74" s="436"/>
      <c r="NS74" s="436"/>
      <c r="NT74" s="436"/>
      <c r="NU74" s="436"/>
      <c r="NV74" s="436"/>
      <c r="NW74" s="436"/>
      <c r="NX74" s="436"/>
      <c r="NY74" s="436"/>
      <c r="NZ74" s="436"/>
      <c r="OA74" s="436"/>
      <c r="OB74" s="436"/>
      <c r="OC74" s="436"/>
      <c r="OD74" s="436"/>
      <c r="OE74" s="436"/>
      <c r="OF74" s="436"/>
      <c r="OG74" s="436"/>
      <c r="OH74" s="436"/>
      <c r="OI74" s="436"/>
      <c r="OJ74" s="436"/>
      <c r="OK74" s="436"/>
      <c r="OL74" s="436"/>
      <c r="OM74" s="436"/>
      <c r="ON74" s="436"/>
      <c r="OO74" s="436"/>
      <c r="OP74" s="436"/>
      <c r="OQ74" s="436"/>
      <c r="OR74" s="436"/>
      <c r="OS74" s="436"/>
      <c r="OT74" s="436"/>
      <c r="OU74" s="436"/>
      <c r="OV74" s="436"/>
      <c r="OW74" s="436"/>
      <c r="OX74" s="436"/>
      <c r="OY74" s="436"/>
      <c r="OZ74" s="436"/>
      <c r="PA74" s="436"/>
      <c r="PB74" s="436"/>
      <c r="PC74" s="436"/>
      <c r="PD74" s="436"/>
      <c r="PE74" s="436"/>
      <c r="PF74" s="436"/>
      <c r="PG74" s="436"/>
      <c r="PH74" s="436"/>
      <c r="PI74" s="436"/>
      <c r="PJ74" s="436"/>
      <c r="PK74" s="436"/>
      <c r="PL74" s="436"/>
      <c r="PM74" s="436"/>
      <c r="PN74" s="436"/>
      <c r="PO74" s="436"/>
      <c r="PP74" s="436"/>
      <c r="PQ74" s="436"/>
      <c r="PR74" s="436"/>
      <c r="PS74" s="436"/>
      <c r="PT74" s="436"/>
      <c r="PU74" s="436"/>
      <c r="PV74" s="436"/>
      <c r="PW74" s="436"/>
      <c r="PX74" s="436"/>
      <c r="PY74" s="436"/>
      <c r="PZ74" s="436"/>
      <c r="QA74" s="436"/>
      <c r="QB74" s="436"/>
      <c r="QC74" s="436"/>
      <c r="QD74" s="436"/>
      <c r="QE74" s="436"/>
      <c r="QF74" s="436"/>
      <c r="QG74" s="436"/>
      <c r="QH74" s="436"/>
      <c r="QI74" s="436"/>
      <c r="QJ74" s="436"/>
      <c r="QK74" s="436"/>
      <c r="QL74" s="436"/>
      <c r="QM74" s="436"/>
      <c r="QN74" s="436"/>
      <c r="QO74" s="436"/>
      <c r="QP74" s="436"/>
      <c r="QQ74" s="436"/>
      <c r="QR74" s="436"/>
      <c r="QS74" s="436"/>
      <c r="QT74" s="436"/>
      <c r="QU74" s="436"/>
      <c r="QV74" s="436"/>
      <c r="QW74" s="436"/>
      <c r="QX74" s="436"/>
      <c r="QY74" s="436"/>
      <c r="QZ74" s="436"/>
      <c r="RA74" s="436"/>
      <c r="RB74" s="436"/>
      <c r="RC74" s="436"/>
      <c r="RD74" s="436"/>
      <c r="RE74" s="436"/>
      <c r="RF74" s="436"/>
      <c r="RG74" s="436"/>
      <c r="RH74" s="436"/>
      <c r="RI74" s="436"/>
      <c r="RJ74" s="436"/>
      <c r="RK74" s="436"/>
      <c r="RL74" s="436"/>
      <c r="RM74" s="436"/>
      <c r="RN74" s="436"/>
      <c r="RO74" s="436"/>
      <c r="RP74" s="436"/>
      <c r="RQ74" s="436"/>
      <c r="RR74" s="436"/>
      <c r="RS74" s="436"/>
      <c r="RT74" s="436"/>
      <c r="RU74" s="436"/>
      <c r="RV74" s="436"/>
      <c r="RW74" s="436"/>
      <c r="RX74" s="436"/>
      <c r="RY74" s="436"/>
      <c r="RZ74" s="436"/>
      <c r="SA74" s="436"/>
      <c r="SB74" s="436"/>
      <c r="SC74" s="436"/>
      <c r="SD74" s="436"/>
      <c r="SE74" s="436"/>
      <c r="SF74" s="436"/>
      <c r="SG74" s="436"/>
      <c r="SH74" s="436"/>
      <c r="SI74" s="436"/>
      <c r="SJ74" s="436"/>
      <c r="SK74" s="436"/>
      <c r="SL74" s="436"/>
      <c r="SM74" s="436"/>
      <c r="SN74" s="436"/>
      <c r="SO74" s="436"/>
      <c r="SP74" s="436"/>
      <c r="SQ74" s="436"/>
      <c r="SR74" s="436"/>
      <c r="SS74" s="436"/>
      <c r="ST74" s="436"/>
      <c r="SU74" s="436"/>
      <c r="SV74" s="436"/>
      <c r="SW74" s="436"/>
      <c r="SX74" s="436"/>
      <c r="SY74" s="436"/>
      <c r="SZ74" s="436"/>
      <c r="TA74" s="436"/>
      <c r="TB74" s="436"/>
      <c r="TC74" s="436"/>
      <c r="TD74" s="436"/>
      <c r="TE74" s="436"/>
      <c r="TF74" s="436"/>
      <c r="TG74" s="436"/>
      <c r="TH74" s="436"/>
      <c r="TI74" s="436"/>
      <c r="TJ74" s="436"/>
      <c r="TK74" s="436"/>
      <c r="TL74" s="436"/>
      <c r="TM74" s="436"/>
      <c r="TN74" s="436"/>
      <c r="TO74" s="436"/>
      <c r="TP74" s="436"/>
      <c r="TQ74" s="436"/>
      <c r="TR74" s="436"/>
      <c r="TS74" s="436"/>
      <c r="TT74" s="436"/>
      <c r="TU74" s="436"/>
      <c r="TV74" s="436"/>
      <c r="TW74" s="436"/>
      <c r="TX74" s="436"/>
      <c r="TY74" s="436"/>
      <c r="TZ74" s="436"/>
      <c r="UA74" s="436"/>
      <c r="UB74" s="436"/>
      <c r="UC74" s="436"/>
      <c r="UD74" s="436"/>
      <c r="UE74" s="436"/>
      <c r="UF74" s="436"/>
      <c r="UG74" s="436"/>
      <c r="UH74" s="436"/>
      <c r="UI74" s="436"/>
      <c r="UJ74" s="436"/>
      <c r="UK74" s="436"/>
      <c r="UL74" s="436"/>
      <c r="UM74" s="436"/>
      <c r="UN74" s="436"/>
      <c r="UO74" s="436"/>
      <c r="UP74" s="436"/>
      <c r="UQ74" s="436"/>
      <c r="UR74" s="436"/>
      <c r="US74" s="436"/>
      <c r="UT74" s="436"/>
      <c r="UU74" s="436"/>
      <c r="UV74" s="436"/>
      <c r="UW74" s="436"/>
      <c r="UX74" s="436"/>
      <c r="UY74" s="436"/>
      <c r="UZ74" s="436"/>
      <c r="VA74" s="436"/>
      <c r="VB74" s="436"/>
      <c r="VC74" s="436"/>
      <c r="VD74" s="436"/>
      <c r="VE74" s="436"/>
      <c r="VF74" s="436"/>
      <c r="VG74" s="436"/>
      <c r="VH74" s="436"/>
      <c r="VI74" s="436"/>
      <c r="VJ74" s="436"/>
      <c r="VK74" s="436"/>
      <c r="VL74" s="436"/>
      <c r="VM74" s="436"/>
      <c r="VN74" s="436"/>
      <c r="VO74" s="436"/>
      <c r="VP74" s="436"/>
      <c r="VQ74" s="436"/>
      <c r="VR74" s="436"/>
      <c r="VS74" s="436"/>
      <c r="VT74" s="436"/>
      <c r="VU74" s="436"/>
      <c r="VV74" s="436"/>
      <c r="VW74" s="436"/>
      <c r="VX74" s="436"/>
      <c r="VY74" s="436"/>
      <c r="VZ74" s="436"/>
      <c r="WA74" s="436"/>
      <c r="WB74" s="436"/>
      <c r="WC74" s="436"/>
      <c r="WD74" s="436"/>
      <c r="WE74" s="436"/>
      <c r="WF74" s="436"/>
      <c r="WG74" s="436"/>
      <c r="WH74" s="436"/>
      <c r="WI74" s="436"/>
      <c r="WJ74" s="436"/>
      <c r="WK74" s="436"/>
      <c r="WL74" s="436"/>
      <c r="WM74" s="436"/>
      <c r="WN74" s="436"/>
      <c r="WO74" s="436"/>
      <c r="WP74" s="436"/>
      <c r="WQ74" s="436"/>
      <c r="WR74" s="436"/>
      <c r="WS74" s="436"/>
      <c r="WT74" s="436"/>
      <c r="WU74" s="436"/>
      <c r="WV74" s="436"/>
      <c r="WW74" s="436"/>
      <c r="WX74" s="436"/>
      <c r="WY74" s="436"/>
      <c r="WZ74" s="436"/>
      <c r="XA74" s="436"/>
      <c r="XB74" s="436"/>
      <c r="XC74" s="436"/>
      <c r="XD74" s="436"/>
      <c r="XE74" s="436"/>
      <c r="XF74" s="436"/>
      <c r="XG74" s="436"/>
      <c r="XH74" s="436"/>
      <c r="XI74" s="436"/>
      <c r="XJ74" s="436"/>
      <c r="XK74" s="436"/>
      <c r="XL74" s="436"/>
      <c r="XM74" s="436"/>
      <c r="XN74" s="436"/>
      <c r="XO74" s="436"/>
      <c r="XP74" s="436"/>
      <c r="XQ74" s="436"/>
      <c r="XR74" s="436"/>
      <c r="XS74" s="436"/>
      <c r="XT74" s="436"/>
      <c r="XU74" s="436"/>
      <c r="XV74" s="436"/>
      <c r="XW74" s="436"/>
      <c r="XX74" s="436"/>
      <c r="XY74" s="436"/>
      <c r="XZ74" s="436"/>
      <c r="YA74" s="436"/>
      <c r="YB74" s="436"/>
      <c r="YC74" s="436"/>
      <c r="YD74" s="436"/>
      <c r="YE74" s="436"/>
      <c r="YF74" s="436"/>
      <c r="YG74" s="436"/>
      <c r="YH74" s="436"/>
      <c r="YI74" s="436"/>
      <c r="YJ74" s="436"/>
      <c r="YK74" s="436"/>
      <c r="YL74" s="436"/>
      <c r="YM74" s="436"/>
      <c r="YN74" s="436"/>
      <c r="YO74" s="436"/>
      <c r="YP74" s="436"/>
      <c r="YQ74" s="436"/>
      <c r="YR74" s="436"/>
      <c r="YS74" s="436"/>
      <c r="YT74" s="436"/>
      <c r="YU74" s="436"/>
      <c r="YV74" s="436"/>
      <c r="YW74" s="436"/>
      <c r="YX74" s="436"/>
      <c r="YY74" s="436"/>
      <c r="YZ74" s="436"/>
      <c r="ZA74" s="436"/>
      <c r="ZB74" s="436"/>
      <c r="ZC74" s="436"/>
      <c r="ZD74" s="436"/>
      <c r="ZE74" s="436"/>
      <c r="ZF74" s="436"/>
      <c r="ZG74" s="436"/>
      <c r="ZH74" s="436"/>
      <c r="ZI74" s="436"/>
      <c r="ZJ74" s="436"/>
      <c r="ZK74" s="436"/>
      <c r="ZL74" s="436"/>
      <c r="ZM74" s="436"/>
      <c r="ZN74" s="436"/>
      <c r="ZO74" s="436"/>
      <c r="ZP74" s="436"/>
      <c r="ZQ74" s="436"/>
      <c r="ZR74" s="436"/>
      <c r="ZS74" s="436"/>
      <c r="ZT74" s="436"/>
      <c r="ZU74" s="436"/>
      <c r="ZV74" s="436"/>
      <c r="ZW74" s="436"/>
      <c r="ZX74" s="436"/>
      <c r="ZY74" s="436"/>
      <c r="ZZ74" s="436"/>
      <c r="AAA74" s="436"/>
      <c r="AAB74" s="436"/>
      <c r="AAC74" s="436"/>
      <c r="AAD74" s="436"/>
      <c r="AAE74" s="436"/>
      <c r="AAF74" s="436"/>
      <c r="AAG74" s="436"/>
      <c r="AAH74" s="436"/>
      <c r="AAI74" s="436"/>
      <c r="AAJ74" s="436"/>
      <c r="AAK74" s="436"/>
      <c r="AAL74" s="436"/>
      <c r="AAM74" s="436"/>
      <c r="AAN74" s="436"/>
      <c r="AAO74" s="436"/>
      <c r="AAP74" s="436"/>
      <c r="AAQ74" s="436"/>
      <c r="AAR74" s="436"/>
      <c r="AAS74" s="436"/>
      <c r="AAT74" s="436"/>
      <c r="AAU74" s="436"/>
      <c r="AAV74" s="436"/>
      <c r="AAW74" s="436"/>
      <c r="AAX74" s="436"/>
      <c r="AAY74" s="436"/>
      <c r="AAZ74" s="436"/>
      <c r="ABA74" s="436"/>
      <c r="ABB74" s="436"/>
      <c r="ABC74" s="436"/>
      <c r="ABD74" s="436"/>
      <c r="ABE74" s="436"/>
      <c r="ABF74" s="436"/>
      <c r="ABG74" s="436"/>
      <c r="ABH74" s="436"/>
      <c r="ABI74" s="436"/>
      <c r="ABJ74" s="436"/>
      <c r="ABK74" s="436"/>
      <c r="ABL74" s="436"/>
      <c r="ABM74" s="436"/>
      <c r="ABN74" s="436"/>
      <c r="ABO74" s="436"/>
      <c r="ABP74" s="436"/>
      <c r="ABQ74" s="436"/>
      <c r="ABR74" s="436"/>
      <c r="ABS74" s="436"/>
      <c r="ABT74" s="436"/>
      <c r="ABU74" s="436"/>
      <c r="ABV74" s="436"/>
      <c r="ABW74" s="436"/>
      <c r="ABX74" s="436"/>
      <c r="ABY74" s="436"/>
      <c r="ABZ74" s="436"/>
      <c r="ACA74" s="436"/>
      <c r="ACB74" s="436"/>
      <c r="ACC74" s="436"/>
      <c r="ACD74" s="436"/>
      <c r="ACE74" s="436"/>
      <c r="ACF74" s="436"/>
      <c r="ACG74" s="436"/>
      <c r="ACH74" s="436"/>
      <c r="ACI74" s="436"/>
      <c r="ACJ74" s="436"/>
      <c r="ACK74" s="436"/>
      <c r="ACL74" s="436"/>
      <c r="ACM74" s="436"/>
      <c r="ACN74" s="436"/>
      <c r="ACO74" s="436"/>
      <c r="ACP74" s="436"/>
      <c r="ACQ74" s="436"/>
      <c r="ACR74" s="436"/>
      <c r="ACS74" s="436"/>
      <c r="ACT74" s="436"/>
      <c r="ACU74" s="436"/>
      <c r="ACV74" s="436"/>
      <c r="ACW74" s="436"/>
      <c r="ACX74" s="436"/>
      <c r="ACY74" s="436"/>
      <c r="ACZ74" s="436"/>
      <c r="ADA74" s="436"/>
      <c r="ADB74" s="436"/>
      <c r="ADC74" s="436"/>
      <c r="ADD74" s="436"/>
      <c r="ADE74" s="436"/>
      <c r="ADF74" s="436"/>
      <c r="ADG74" s="436"/>
      <c r="ADH74" s="436"/>
      <c r="ADI74" s="436"/>
      <c r="ADJ74" s="436"/>
      <c r="ADK74" s="436"/>
      <c r="ADL74" s="436"/>
      <c r="ADM74" s="436"/>
      <c r="ADN74" s="436"/>
      <c r="ADO74" s="436"/>
      <c r="ADP74" s="436"/>
      <c r="ADQ74" s="436"/>
      <c r="ADR74" s="436"/>
      <c r="ADS74" s="436"/>
      <c r="ADT74" s="436"/>
      <c r="ADU74" s="436"/>
      <c r="ADV74" s="436"/>
      <c r="ADW74" s="436"/>
      <c r="ADX74" s="436"/>
      <c r="ADY74" s="436"/>
      <c r="ADZ74" s="436"/>
      <c r="AEA74" s="436"/>
      <c r="AEB74" s="436"/>
      <c r="AEC74" s="436"/>
      <c r="AED74" s="436"/>
      <c r="AEE74" s="436"/>
      <c r="AEF74" s="436"/>
      <c r="AEG74" s="436"/>
      <c r="AEH74" s="436"/>
      <c r="AEI74" s="436"/>
      <c r="AEJ74" s="436"/>
      <c r="AEK74" s="436"/>
      <c r="AEL74" s="436"/>
      <c r="AEM74" s="436"/>
      <c r="AEN74" s="436"/>
      <c r="AEO74" s="436"/>
      <c r="AEP74" s="436"/>
      <c r="AEQ74" s="436"/>
      <c r="AER74" s="436"/>
      <c r="AES74" s="436"/>
      <c r="AET74" s="436"/>
      <c r="AEU74" s="436"/>
      <c r="AEV74" s="436"/>
      <c r="AEW74" s="436"/>
      <c r="AEX74" s="436"/>
      <c r="AEY74" s="436"/>
      <c r="AEZ74" s="436"/>
      <c r="AFA74" s="436"/>
      <c r="AFB74" s="436"/>
      <c r="AFC74" s="436"/>
      <c r="AFD74" s="436"/>
      <c r="AFE74" s="436"/>
      <c r="AFF74" s="436"/>
      <c r="AFG74" s="436"/>
      <c r="AFH74" s="436"/>
      <c r="AFI74" s="436"/>
      <c r="AFJ74" s="436"/>
      <c r="AFK74" s="436"/>
      <c r="AFL74" s="436"/>
      <c r="AFM74" s="436"/>
      <c r="AFN74" s="436"/>
      <c r="AFO74" s="436"/>
      <c r="AFP74" s="436"/>
      <c r="AFQ74" s="436"/>
      <c r="AFR74" s="436"/>
      <c r="AFS74" s="436"/>
      <c r="AFT74" s="436"/>
      <c r="AFU74" s="436"/>
      <c r="AFV74" s="436"/>
      <c r="AFW74" s="436"/>
      <c r="AFX74" s="436"/>
      <c r="AFY74" s="436"/>
      <c r="AFZ74" s="436"/>
      <c r="AGA74" s="436"/>
      <c r="AGB74" s="436"/>
      <c r="AGC74" s="436"/>
      <c r="AGD74" s="436"/>
      <c r="AGE74" s="436"/>
      <c r="AGF74" s="436"/>
      <c r="AGG74" s="436"/>
      <c r="AGH74" s="436"/>
      <c r="AGI74" s="436"/>
      <c r="AGJ74" s="436"/>
    </row>
    <row r="75" spans="1:868" s="436" customFormat="1">
      <c r="A75" s="637" t="s">
        <v>445</v>
      </c>
      <c r="B75" s="774" t="s">
        <v>447</v>
      </c>
      <c r="C75" s="34" t="s">
        <v>139</v>
      </c>
      <c r="D75" s="614" t="s">
        <v>99</v>
      </c>
      <c r="E75" s="744">
        <v>0.01</v>
      </c>
      <c r="F75" s="118">
        <v>2</v>
      </c>
      <c r="G75" s="118" t="s">
        <v>433</v>
      </c>
      <c r="H75" s="66">
        <v>1</v>
      </c>
      <c r="I75" s="66">
        <v>2</v>
      </c>
      <c r="J75" s="66">
        <v>2</v>
      </c>
      <c r="K75" s="66">
        <v>1</v>
      </c>
      <c r="L75" s="66">
        <v>1</v>
      </c>
      <c r="M75" s="66">
        <v>1</v>
      </c>
      <c r="N75" s="438">
        <f t="shared" si="25"/>
        <v>0.16933510251023262</v>
      </c>
      <c r="O75" s="438">
        <f t="shared" si="26"/>
        <v>0.19908580854301616</v>
      </c>
      <c r="P75" s="118" t="s">
        <v>847</v>
      </c>
    </row>
    <row r="76" spans="1:868" s="436" customFormat="1" ht="15.75" thickBot="1">
      <c r="A76" s="638" t="s">
        <v>445</v>
      </c>
      <c r="B76" s="775" t="s">
        <v>448</v>
      </c>
      <c r="C76" s="34" t="s">
        <v>139</v>
      </c>
      <c r="D76" s="124" t="s">
        <v>99</v>
      </c>
      <c r="E76" s="749" t="s">
        <v>150</v>
      </c>
      <c r="F76" s="119">
        <v>1</v>
      </c>
      <c r="G76" s="119" t="s">
        <v>433</v>
      </c>
      <c r="H76" s="15"/>
      <c r="I76" s="15"/>
      <c r="J76" s="15"/>
      <c r="K76" s="15"/>
      <c r="L76" s="15"/>
      <c r="M76" s="15"/>
      <c r="N76" s="424" t="str">
        <f t="shared" si="25"/>
        <v/>
      </c>
      <c r="O76" s="424" t="str">
        <f t="shared" si="26"/>
        <v/>
      </c>
      <c r="P76" s="119"/>
    </row>
    <row r="77" spans="1:868" s="436" customFormat="1" ht="15.75" thickBot="1">
      <c r="A77" s="633" t="s">
        <v>447</v>
      </c>
      <c r="B77" s="785" t="s">
        <v>258</v>
      </c>
      <c r="C77" s="34" t="s">
        <v>139</v>
      </c>
      <c r="D77" s="781" t="s">
        <v>99</v>
      </c>
      <c r="E77" s="751">
        <v>1</v>
      </c>
      <c r="F77" s="750">
        <v>2</v>
      </c>
      <c r="G77" s="750" t="s">
        <v>433</v>
      </c>
      <c r="H77" s="70">
        <v>1</v>
      </c>
      <c r="I77" s="70">
        <v>2</v>
      </c>
      <c r="J77" s="70">
        <v>2</v>
      </c>
      <c r="K77" s="70">
        <v>1</v>
      </c>
      <c r="L77" s="70">
        <v>1</v>
      </c>
      <c r="M77" s="70">
        <v>1</v>
      </c>
      <c r="N77" s="439">
        <f t="shared" si="25"/>
        <v>0.16933510251023262</v>
      </c>
      <c r="O77" s="439">
        <f t="shared" si="26"/>
        <v>0.19908580854301616</v>
      </c>
      <c r="P77" s="752" t="s">
        <v>848</v>
      </c>
    </row>
    <row r="78" spans="1:868" s="436" customFormat="1">
      <c r="A78" s="637" t="s">
        <v>446</v>
      </c>
      <c r="B78" s="774" t="s">
        <v>449</v>
      </c>
      <c r="C78" s="34" t="s">
        <v>139</v>
      </c>
      <c r="D78" s="614" t="s">
        <v>99</v>
      </c>
      <c r="E78" s="744">
        <v>0.01</v>
      </c>
      <c r="F78" s="118">
        <v>2</v>
      </c>
      <c r="G78" s="118" t="s">
        <v>433</v>
      </c>
      <c r="H78" s="66">
        <v>1</v>
      </c>
      <c r="I78" s="66">
        <v>2</v>
      </c>
      <c r="J78" s="66">
        <v>2</v>
      </c>
      <c r="K78" s="66">
        <v>1</v>
      </c>
      <c r="L78" s="66">
        <v>1</v>
      </c>
      <c r="M78" s="66">
        <v>1</v>
      </c>
      <c r="N78" s="438">
        <f t="shared" si="25"/>
        <v>0.16933510251023262</v>
      </c>
      <c r="O78" s="438">
        <f t="shared" si="26"/>
        <v>0.19908580854301616</v>
      </c>
      <c r="P78" s="118" t="s">
        <v>849</v>
      </c>
    </row>
    <row r="79" spans="1:868" s="436" customFormat="1" ht="15.75" thickBot="1">
      <c r="A79" s="638" t="s">
        <v>446</v>
      </c>
      <c r="B79" s="775" t="s">
        <v>450</v>
      </c>
      <c r="C79" s="34" t="s">
        <v>139</v>
      </c>
      <c r="D79" s="124" t="s">
        <v>99</v>
      </c>
      <c r="E79" s="749" t="s">
        <v>150</v>
      </c>
      <c r="F79" s="119">
        <v>1</v>
      </c>
      <c r="G79" s="119" t="s">
        <v>433</v>
      </c>
      <c r="H79" s="15"/>
      <c r="I79" s="15"/>
      <c r="J79" s="15"/>
      <c r="K79" s="15"/>
      <c r="L79" s="15"/>
      <c r="M79" s="15"/>
      <c r="N79" s="424" t="str">
        <f t="shared" si="25"/>
        <v/>
      </c>
      <c r="O79" s="424" t="str">
        <f t="shared" si="26"/>
        <v/>
      </c>
      <c r="P79" s="119"/>
    </row>
    <row r="80" spans="1:868" s="436" customFormat="1" ht="15.75" thickBot="1">
      <c r="A80" s="633" t="s">
        <v>449</v>
      </c>
      <c r="B80" s="785" t="s">
        <v>258</v>
      </c>
      <c r="C80" s="34" t="s">
        <v>139</v>
      </c>
      <c r="D80" s="781" t="s">
        <v>99</v>
      </c>
      <c r="E80" s="751">
        <v>1</v>
      </c>
      <c r="F80" s="750">
        <v>2</v>
      </c>
      <c r="G80" s="750" t="s">
        <v>433</v>
      </c>
      <c r="H80" s="70">
        <v>1</v>
      </c>
      <c r="I80" s="70">
        <v>2</v>
      </c>
      <c r="J80" s="70">
        <v>2</v>
      </c>
      <c r="K80" s="70">
        <v>1</v>
      </c>
      <c r="L80" s="70">
        <v>1</v>
      </c>
      <c r="M80" s="70">
        <v>1</v>
      </c>
      <c r="N80" s="439">
        <f t="shared" si="25"/>
        <v>0.16933510251023262</v>
      </c>
      <c r="O80" s="439">
        <f t="shared" si="26"/>
        <v>0.19908580854301616</v>
      </c>
      <c r="P80" s="752" t="s">
        <v>848</v>
      </c>
    </row>
    <row r="81" spans="1:18" s="436" customFormat="1">
      <c r="A81" s="637" t="s">
        <v>448</v>
      </c>
      <c r="B81" s="774" t="s">
        <v>258</v>
      </c>
      <c r="C81" s="34" t="s">
        <v>139</v>
      </c>
      <c r="D81" s="614" t="s">
        <v>99</v>
      </c>
      <c r="E81" s="744">
        <v>0.01</v>
      </c>
      <c r="F81" s="118">
        <v>2</v>
      </c>
      <c r="G81" s="118" t="s">
        <v>433</v>
      </c>
      <c r="H81" s="66">
        <v>1</v>
      </c>
      <c r="I81" s="66">
        <v>2</v>
      </c>
      <c r="J81" s="66">
        <v>2</v>
      </c>
      <c r="K81" s="66">
        <v>1</v>
      </c>
      <c r="L81" s="66">
        <v>1</v>
      </c>
      <c r="M81" s="66">
        <v>1</v>
      </c>
      <c r="N81" s="438">
        <f t="shared" si="25"/>
        <v>0.16933510251023262</v>
      </c>
      <c r="O81" s="438">
        <f t="shared" si="26"/>
        <v>0.19908580854301616</v>
      </c>
      <c r="P81" s="118" t="s">
        <v>850</v>
      </c>
    </row>
    <row r="82" spans="1:18" s="436" customFormat="1" ht="15.75" thickBot="1">
      <c r="A82" s="638" t="s">
        <v>448</v>
      </c>
      <c r="B82" s="775" t="s">
        <v>334</v>
      </c>
      <c r="C82" s="34" t="s">
        <v>139</v>
      </c>
      <c r="D82" s="124" t="s">
        <v>99</v>
      </c>
      <c r="E82" s="749" t="s">
        <v>150</v>
      </c>
      <c r="F82" s="119">
        <v>1</v>
      </c>
      <c r="G82" s="119" t="s">
        <v>433</v>
      </c>
      <c r="H82" s="15"/>
      <c r="I82" s="15"/>
      <c r="J82" s="15"/>
      <c r="K82" s="15"/>
      <c r="L82" s="15"/>
      <c r="M82" s="15"/>
      <c r="N82" s="424" t="str">
        <f t="shared" si="25"/>
        <v/>
      </c>
      <c r="O82" s="424" t="str">
        <f t="shared" si="26"/>
        <v/>
      </c>
      <c r="P82" s="119"/>
    </row>
    <row r="83" spans="1:18" s="436" customFormat="1">
      <c r="A83" s="634" t="s">
        <v>450</v>
      </c>
      <c r="B83" s="783" t="s">
        <v>258</v>
      </c>
      <c r="C83" s="34" t="s">
        <v>139</v>
      </c>
      <c r="D83" s="121" t="s">
        <v>99</v>
      </c>
      <c r="E83" s="632">
        <v>0.05</v>
      </c>
      <c r="F83" s="11">
        <v>2</v>
      </c>
      <c r="G83" s="11" t="s">
        <v>433</v>
      </c>
      <c r="H83" s="13">
        <v>1</v>
      </c>
      <c r="I83" s="13">
        <v>2</v>
      </c>
      <c r="J83" s="13">
        <v>2</v>
      </c>
      <c r="K83" s="13">
        <v>1</v>
      </c>
      <c r="L83" s="13">
        <v>1</v>
      </c>
      <c r="M83" s="13">
        <v>1</v>
      </c>
      <c r="N83" s="425">
        <f t="shared" si="25"/>
        <v>0.16933510251023262</v>
      </c>
      <c r="O83" s="425">
        <f t="shared" si="26"/>
        <v>0.19908580854301616</v>
      </c>
      <c r="P83" s="42" t="s">
        <v>851</v>
      </c>
    </row>
    <row r="84" spans="1:18" s="436" customFormat="1" ht="15.75" thickBot="1">
      <c r="A84" s="635" t="s">
        <v>450</v>
      </c>
      <c r="B84" s="784" t="s">
        <v>334</v>
      </c>
      <c r="C84" s="34" t="s">
        <v>139</v>
      </c>
      <c r="D84" s="123" t="s">
        <v>99</v>
      </c>
      <c r="E84" s="753" t="s">
        <v>150</v>
      </c>
      <c r="F84" s="12">
        <v>1</v>
      </c>
      <c r="G84" s="12" t="s">
        <v>433</v>
      </c>
      <c r="H84" s="14"/>
      <c r="I84" s="14"/>
      <c r="J84" s="14"/>
      <c r="K84" s="14"/>
      <c r="L84" s="14"/>
      <c r="M84" s="14"/>
      <c r="N84" s="428" t="str">
        <f t="shared" si="25"/>
        <v/>
      </c>
      <c r="O84" s="428" t="str">
        <f t="shared" si="26"/>
        <v/>
      </c>
      <c r="P84" s="44"/>
    </row>
    <row r="85" spans="1:18" s="436" customFormat="1">
      <c r="A85" s="637" t="s">
        <v>432</v>
      </c>
      <c r="B85" s="774" t="s">
        <v>452</v>
      </c>
      <c r="C85" s="34" t="s">
        <v>139</v>
      </c>
      <c r="D85" s="614" t="s">
        <v>99</v>
      </c>
      <c r="E85" s="744">
        <f>0.5*0.97</f>
        <v>0.48499999999999999</v>
      </c>
      <c r="F85" s="118">
        <v>2</v>
      </c>
      <c r="G85" s="118" t="s">
        <v>433</v>
      </c>
      <c r="H85" s="66">
        <v>1</v>
      </c>
      <c r="I85" s="66">
        <v>2</v>
      </c>
      <c r="J85" s="66">
        <v>2</v>
      </c>
      <c r="K85" s="66">
        <v>1</v>
      </c>
      <c r="L85" s="66">
        <v>1</v>
      </c>
      <c r="M85" s="66">
        <v>1</v>
      </c>
      <c r="N85" s="438">
        <f t="shared" si="25"/>
        <v>0.16933510251023262</v>
      </c>
      <c r="O85" s="438">
        <f t="shared" si="26"/>
        <v>0.19908580854301616</v>
      </c>
      <c r="P85" s="118" t="s">
        <v>852</v>
      </c>
    </row>
    <row r="86" spans="1:18" s="436" customFormat="1">
      <c r="A86" s="313" t="s">
        <v>432</v>
      </c>
      <c r="B86" s="780" t="s">
        <v>453</v>
      </c>
      <c r="C86" s="34" t="s">
        <v>139</v>
      </c>
      <c r="D86" s="122" t="s">
        <v>99</v>
      </c>
      <c r="E86" s="242">
        <f>0.5*0.97</f>
        <v>0.48499999999999999</v>
      </c>
      <c r="F86" s="9">
        <v>2</v>
      </c>
      <c r="G86" s="9" t="s">
        <v>433</v>
      </c>
      <c r="H86" s="10">
        <v>1</v>
      </c>
      <c r="I86" s="10">
        <v>2</v>
      </c>
      <c r="J86" s="10">
        <v>2</v>
      </c>
      <c r="K86" s="10">
        <v>1</v>
      </c>
      <c r="L86" s="10">
        <v>1</v>
      </c>
      <c r="M86" s="10">
        <v>1</v>
      </c>
      <c r="N86" s="405">
        <f t="shared" si="25"/>
        <v>0.16933510251023262</v>
      </c>
      <c r="O86" s="405">
        <f t="shared" si="26"/>
        <v>0.19908580854301616</v>
      </c>
      <c r="P86" s="9" t="s">
        <v>853</v>
      </c>
    </row>
    <row r="87" spans="1:18" s="436" customFormat="1" ht="15.75" thickBot="1">
      <c r="A87" s="638" t="s">
        <v>432</v>
      </c>
      <c r="B87" s="775" t="s">
        <v>223</v>
      </c>
      <c r="C87" s="34" t="s">
        <v>139</v>
      </c>
      <c r="D87" s="124" t="s">
        <v>99</v>
      </c>
      <c r="E87" s="749">
        <v>0.03</v>
      </c>
      <c r="F87" s="119">
        <v>1</v>
      </c>
      <c r="G87" s="119" t="s">
        <v>433</v>
      </c>
      <c r="H87" s="15">
        <v>1</v>
      </c>
      <c r="I87" s="15">
        <v>2</v>
      </c>
      <c r="J87" s="15">
        <v>2</v>
      </c>
      <c r="K87" s="15">
        <v>1</v>
      </c>
      <c r="L87" s="15">
        <v>1</v>
      </c>
      <c r="M87" s="15">
        <v>1</v>
      </c>
      <c r="N87" s="424">
        <f t="shared" si="25"/>
        <v>0.16933510251023262</v>
      </c>
      <c r="O87" s="424">
        <f t="shared" si="26"/>
        <v>0.19908580854301616</v>
      </c>
      <c r="P87" s="119" t="s">
        <v>854</v>
      </c>
    </row>
    <row r="88" spans="1:18" s="436" customFormat="1">
      <c r="A88" s="634" t="s">
        <v>452</v>
      </c>
      <c r="B88" s="783" t="s">
        <v>455</v>
      </c>
      <c r="C88" s="34" t="s">
        <v>139</v>
      </c>
      <c r="D88" s="121" t="s">
        <v>99</v>
      </c>
      <c r="E88" s="632">
        <v>0.03</v>
      </c>
      <c r="F88" s="11">
        <v>2</v>
      </c>
      <c r="G88" s="11" t="s">
        <v>433</v>
      </c>
      <c r="H88" s="13">
        <v>1</v>
      </c>
      <c r="I88" s="13">
        <v>2</v>
      </c>
      <c r="J88" s="13">
        <v>2</v>
      </c>
      <c r="K88" s="13">
        <v>1</v>
      </c>
      <c r="L88" s="13">
        <v>1</v>
      </c>
      <c r="M88" s="13">
        <v>1</v>
      </c>
      <c r="N88" s="425">
        <f t="shared" si="25"/>
        <v>0.16933510251023262</v>
      </c>
      <c r="O88" s="425">
        <f t="shared" si="26"/>
        <v>0.19908580854301616</v>
      </c>
      <c r="P88" s="42" t="s">
        <v>855</v>
      </c>
    </row>
    <row r="89" spans="1:18" s="436" customFormat="1" ht="15.75" thickBot="1">
      <c r="A89" s="635" t="s">
        <v>452</v>
      </c>
      <c r="B89" s="784" t="s">
        <v>454</v>
      </c>
      <c r="C89" s="34" t="s">
        <v>139</v>
      </c>
      <c r="D89" s="123" t="s">
        <v>99</v>
      </c>
      <c r="E89" s="753" t="s">
        <v>150</v>
      </c>
      <c r="F89" s="12">
        <v>1</v>
      </c>
      <c r="G89" s="12" t="s">
        <v>433</v>
      </c>
      <c r="H89" s="14"/>
      <c r="I89" s="14"/>
      <c r="J89" s="14"/>
      <c r="K89" s="14"/>
      <c r="L89" s="14"/>
      <c r="M89" s="14"/>
      <c r="N89" s="428" t="str">
        <f t="shared" si="25"/>
        <v/>
      </c>
      <c r="O89" s="428" t="str">
        <f t="shared" si="26"/>
        <v/>
      </c>
      <c r="P89" s="44"/>
    </row>
    <row r="90" spans="1:18" s="436" customFormat="1">
      <c r="A90" s="637" t="s">
        <v>455</v>
      </c>
      <c r="B90" s="774" t="s">
        <v>231</v>
      </c>
      <c r="C90" s="34" t="s">
        <v>139</v>
      </c>
      <c r="D90" s="614" t="s">
        <v>99</v>
      </c>
      <c r="E90" s="749">
        <v>0.05</v>
      </c>
      <c r="F90" s="119">
        <v>2</v>
      </c>
      <c r="G90" s="11" t="s">
        <v>157</v>
      </c>
      <c r="H90" s="15">
        <v>1</v>
      </c>
      <c r="I90" s="15">
        <v>2</v>
      </c>
      <c r="J90" s="15">
        <v>2</v>
      </c>
      <c r="K90" s="15">
        <v>1</v>
      </c>
      <c r="L90" s="15">
        <v>3</v>
      </c>
      <c r="M90" s="13">
        <v>3</v>
      </c>
      <c r="N90" s="424">
        <f>IF( OR( ISBLANK(H90),ISBLANK(J90), ISBLANK(K90), ISBLANK(L90), ISBLANK(M90) ), "", 1.5*SQRT(   EXP(2.21*(H90-1)) + EXP(2.21*(J90-1)) + EXP(2.21*(K90-1)) + EXP(2.21*(L90-1)) + EXP(2.21*M90)   )/100*2.45 )</f>
        <v>1.0725046436742278</v>
      </c>
      <c r="O90" s="424">
        <f>IF( OR( ISBLANK(I90),ISBLANK(J90), ISBLANK(K90), ISBLANK(L90), ISBLANK(M90) ), "", 1.5*SQRT( EXP(2.21*(I90-1)) + EXP(2.21*(J90-1)) + EXP(2.21*(K90-1)) + EXP(2.21*(L90-1)) + EXP(2.21*M90)   )/100*2.45 )</f>
        <v>1.0776024280428556</v>
      </c>
      <c r="P90" s="119" t="s">
        <v>1937</v>
      </c>
      <c r="R90" s="756"/>
    </row>
    <row r="91" spans="1:18" s="436" customFormat="1">
      <c r="A91" s="313" t="s">
        <v>455</v>
      </c>
      <c r="B91" s="780" t="s">
        <v>232</v>
      </c>
      <c r="C91" s="34" t="s">
        <v>139</v>
      </c>
      <c r="D91" s="122" t="s">
        <v>99</v>
      </c>
      <c r="E91" s="242">
        <v>0.39400000000000002</v>
      </c>
      <c r="F91" s="9">
        <v>2</v>
      </c>
      <c r="G91" s="9" t="s">
        <v>433</v>
      </c>
      <c r="H91" s="10">
        <v>1</v>
      </c>
      <c r="I91" s="10">
        <v>2</v>
      </c>
      <c r="J91" s="10">
        <v>2</v>
      </c>
      <c r="K91" s="10">
        <v>1</v>
      </c>
      <c r="L91" s="10">
        <v>1</v>
      </c>
      <c r="M91" s="10">
        <v>1</v>
      </c>
      <c r="N91" s="405">
        <f t="shared" si="25"/>
        <v>0.16933510251023262</v>
      </c>
      <c r="O91" s="405">
        <f t="shared" si="26"/>
        <v>0.19908580854301616</v>
      </c>
      <c r="P91" s="9" t="s">
        <v>1961</v>
      </c>
    </row>
    <row r="92" spans="1:18" s="436" customFormat="1">
      <c r="A92" s="638" t="s">
        <v>455</v>
      </c>
      <c r="B92" s="775" t="s">
        <v>251</v>
      </c>
      <c r="C92" s="34" t="s">
        <v>139</v>
      </c>
      <c r="D92" s="124" t="s">
        <v>99</v>
      </c>
      <c r="E92" s="242">
        <v>0.52200000000000002</v>
      </c>
      <c r="F92" s="7">
        <v>1</v>
      </c>
      <c r="G92" s="9" t="s">
        <v>433</v>
      </c>
      <c r="H92" s="10">
        <v>1</v>
      </c>
      <c r="I92" s="10">
        <v>2</v>
      </c>
      <c r="J92" s="10">
        <v>2</v>
      </c>
      <c r="K92" s="10">
        <v>1</v>
      </c>
      <c r="L92" s="10">
        <v>1</v>
      </c>
      <c r="M92" s="10">
        <v>1</v>
      </c>
      <c r="N92" s="405">
        <f>IF( OR( ISBLANK(H92),ISBLANK(J92), ISBLANK(K92), ISBLANK(L92), ISBLANK(M92) ), "", 1.5*SQRT(   EXP(2.21*(H92-1)) + EXP(2.21*(J92-1)) + EXP(2.21*(K92-1)) + EXP(2.21*(L92-1)) + EXP(2.21*M92)   )/100*2.45 )</f>
        <v>0.16933510251023262</v>
      </c>
      <c r="O92" s="405">
        <f>IF( OR( ISBLANK(I92),ISBLANK(J92), ISBLANK(K92), ISBLANK(L92), ISBLANK(M92) ), "", 1.5*SQRT( EXP(2.21*(I92-1)) + EXP(2.21*(J92-1)) + EXP(2.21*(K92-1)) + EXP(2.21*(L92-1)) + EXP(2.21*M92)   )/100*2.45 )</f>
        <v>0.19908580854301616</v>
      </c>
      <c r="P92" s="9" t="s">
        <v>1962</v>
      </c>
    </row>
    <row r="93" spans="1:18" s="436" customFormat="1" ht="15.75" thickBot="1">
      <c r="A93" s="638" t="s">
        <v>455</v>
      </c>
      <c r="B93" s="775" t="s">
        <v>258</v>
      </c>
      <c r="C93" s="34" t="s">
        <v>139</v>
      </c>
      <c r="D93" s="124" t="s">
        <v>99</v>
      </c>
      <c r="E93" s="749">
        <v>3.4000000000000002E-2</v>
      </c>
      <c r="F93" s="119">
        <v>2</v>
      </c>
      <c r="G93" s="9" t="s">
        <v>433</v>
      </c>
      <c r="H93" s="15"/>
      <c r="I93" s="15"/>
      <c r="J93" s="15"/>
      <c r="K93" s="15"/>
      <c r="L93" s="15"/>
      <c r="M93" s="15"/>
      <c r="N93" s="424"/>
      <c r="O93" s="424"/>
      <c r="P93" s="754" t="s">
        <v>1963</v>
      </c>
    </row>
    <row r="94" spans="1:18" s="436" customFormat="1">
      <c r="A94" s="634" t="s">
        <v>453</v>
      </c>
      <c r="B94" s="783" t="s">
        <v>456</v>
      </c>
      <c r="C94" s="34" t="s">
        <v>139</v>
      </c>
      <c r="D94" s="121" t="s">
        <v>99</v>
      </c>
      <c r="E94" s="632">
        <f>0.1*E88</f>
        <v>3.0000000000000001E-3</v>
      </c>
      <c r="F94" s="11">
        <v>2</v>
      </c>
      <c r="G94" s="11" t="s">
        <v>433</v>
      </c>
      <c r="H94" s="13">
        <v>1</v>
      </c>
      <c r="I94" s="13">
        <v>2</v>
      </c>
      <c r="J94" s="13">
        <v>2</v>
      </c>
      <c r="K94" s="13">
        <v>1</v>
      </c>
      <c r="L94" s="13">
        <v>1</v>
      </c>
      <c r="M94" s="13">
        <v>1</v>
      </c>
      <c r="N94" s="425">
        <f t="shared" si="25"/>
        <v>0.16933510251023262</v>
      </c>
      <c r="O94" s="425">
        <f t="shared" si="26"/>
        <v>0.19908580854301616</v>
      </c>
      <c r="P94" s="42" t="s">
        <v>856</v>
      </c>
    </row>
    <row r="95" spans="1:18" s="436" customFormat="1" ht="15.75" thickBot="1">
      <c r="A95" s="635" t="s">
        <v>453</v>
      </c>
      <c r="B95" s="784" t="s">
        <v>451</v>
      </c>
      <c r="C95" s="34" t="s">
        <v>139</v>
      </c>
      <c r="D95" s="123" t="s">
        <v>99</v>
      </c>
      <c r="E95" s="753" t="s">
        <v>150</v>
      </c>
      <c r="F95" s="12">
        <v>1</v>
      </c>
      <c r="G95" s="12" t="s">
        <v>433</v>
      </c>
      <c r="H95" s="14"/>
      <c r="I95" s="14"/>
      <c r="J95" s="14"/>
      <c r="K95" s="14"/>
      <c r="L95" s="14"/>
      <c r="M95" s="14"/>
      <c r="N95" s="428" t="str">
        <f t="shared" si="25"/>
        <v/>
      </c>
      <c r="O95" s="428" t="str">
        <f t="shared" si="26"/>
        <v/>
      </c>
      <c r="P95" s="44" t="s">
        <v>1938</v>
      </c>
    </row>
    <row r="96" spans="1:18" s="436" customFormat="1" ht="15.75" thickBot="1">
      <c r="A96" s="758" t="s">
        <v>456</v>
      </c>
      <c r="B96" s="777" t="s">
        <v>228</v>
      </c>
      <c r="C96" s="34" t="s">
        <v>139</v>
      </c>
      <c r="D96" s="787" t="s">
        <v>99</v>
      </c>
      <c r="E96" s="755">
        <v>1</v>
      </c>
      <c r="F96" s="754">
        <v>2</v>
      </c>
      <c r="G96" s="754" t="s">
        <v>433</v>
      </c>
      <c r="H96" s="71">
        <v>1</v>
      </c>
      <c r="I96" s="71">
        <v>2</v>
      </c>
      <c r="J96" s="71">
        <v>2</v>
      </c>
      <c r="K96" s="71">
        <v>1</v>
      </c>
      <c r="L96" s="71">
        <v>1</v>
      </c>
      <c r="M96" s="71">
        <v>1</v>
      </c>
      <c r="N96" s="759">
        <f t="shared" si="25"/>
        <v>0.16933510251023262</v>
      </c>
      <c r="O96" s="759">
        <f t="shared" si="26"/>
        <v>0.19908580854301616</v>
      </c>
      <c r="P96" s="754" t="s">
        <v>857</v>
      </c>
    </row>
    <row r="97" spans="1:16" s="436" customFormat="1">
      <c r="A97" s="634" t="s">
        <v>454</v>
      </c>
      <c r="B97" s="783" t="s">
        <v>231</v>
      </c>
      <c r="C97" s="34" t="s">
        <v>139</v>
      </c>
      <c r="D97" s="121" t="s">
        <v>99</v>
      </c>
      <c r="E97" s="632">
        <v>0</v>
      </c>
      <c r="F97" s="11">
        <v>2</v>
      </c>
      <c r="G97" s="11" t="s">
        <v>433</v>
      </c>
      <c r="H97" s="13">
        <v>1</v>
      </c>
      <c r="I97" s="13">
        <v>2</v>
      </c>
      <c r="J97" s="13">
        <v>2</v>
      </c>
      <c r="K97" s="13">
        <v>1</v>
      </c>
      <c r="L97" s="13">
        <v>1</v>
      </c>
      <c r="M97" s="13">
        <v>1</v>
      </c>
      <c r="N97" s="425">
        <f t="shared" si="25"/>
        <v>0.16933510251023262</v>
      </c>
      <c r="O97" s="425">
        <f t="shared" si="26"/>
        <v>0.19908580854301616</v>
      </c>
      <c r="P97" s="42" t="s">
        <v>1979</v>
      </c>
    </row>
    <row r="98" spans="1:16" s="436" customFormat="1">
      <c r="A98" s="636" t="s">
        <v>454</v>
      </c>
      <c r="B98" s="780" t="s">
        <v>232</v>
      </c>
      <c r="C98" s="34" t="s">
        <v>139</v>
      </c>
      <c r="D98" s="122" t="s">
        <v>99</v>
      </c>
      <c r="E98" s="242">
        <v>0</v>
      </c>
      <c r="F98" s="9">
        <v>2</v>
      </c>
      <c r="G98" s="9" t="s">
        <v>433</v>
      </c>
      <c r="H98" s="10">
        <v>1</v>
      </c>
      <c r="I98" s="10">
        <v>2</v>
      </c>
      <c r="J98" s="10">
        <v>2</v>
      </c>
      <c r="K98" s="10">
        <v>1</v>
      </c>
      <c r="L98" s="10">
        <v>1</v>
      </c>
      <c r="M98" s="10">
        <v>1</v>
      </c>
      <c r="N98" s="405">
        <f t="shared" si="25"/>
        <v>0.16933510251023262</v>
      </c>
      <c r="O98" s="405">
        <f t="shared" si="26"/>
        <v>0.19908580854301616</v>
      </c>
      <c r="P98" s="43" t="s">
        <v>1979</v>
      </c>
    </row>
    <row r="99" spans="1:16" s="436" customFormat="1">
      <c r="A99" s="636" t="s">
        <v>454</v>
      </c>
      <c r="B99" s="780" t="s">
        <v>251</v>
      </c>
      <c r="C99" s="34" t="s">
        <v>139</v>
      </c>
      <c r="D99" s="122" t="s">
        <v>99</v>
      </c>
      <c r="E99" s="242">
        <v>0</v>
      </c>
      <c r="F99" s="9">
        <v>2</v>
      </c>
      <c r="G99" s="9" t="s">
        <v>433</v>
      </c>
      <c r="H99" s="10">
        <v>1</v>
      </c>
      <c r="I99" s="10">
        <v>2</v>
      </c>
      <c r="J99" s="10">
        <v>2</v>
      </c>
      <c r="K99" s="10">
        <v>1</v>
      </c>
      <c r="L99" s="10">
        <v>1</v>
      </c>
      <c r="M99" s="10">
        <v>1</v>
      </c>
      <c r="N99" s="405">
        <f>IF( OR( ISBLANK(H99),ISBLANK(J99), ISBLANK(K99), ISBLANK(L99), ISBLANK(M99) ), "", 1.5*SQRT(   EXP(2.21*(H99-1)) + EXP(2.21*(J99-1)) + EXP(2.21*(K99-1)) + EXP(2.21*(L99-1)) + EXP(2.21*M99)   )/100*2.45 )</f>
        <v>0.16933510251023262</v>
      </c>
      <c r="O99" s="405">
        <f>IF( OR( ISBLANK(I99),ISBLANK(J99), ISBLANK(K99), ISBLANK(L99), ISBLANK(M99) ), "", 1.5*SQRT( EXP(2.21*(I99-1)) + EXP(2.21*(J99-1)) + EXP(2.21*(K99-1)) + EXP(2.21*(L99-1)) + EXP(2.21*M99)   )/100*2.45 )</f>
        <v>0.19908580854301616</v>
      </c>
      <c r="P99" s="43" t="s">
        <v>1979</v>
      </c>
    </row>
    <row r="100" spans="1:16" s="436" customFormat="1">
      <c r="A100" s="636" t="s">
        <v>454</v>
      </c>
      <c r="B100" s="775" t="s">
        <v>258</v>
      </c>
      <c r="C100" s="34" t="s">
        <v>139</v>
      </c>
      <c r="D100" s="124" t="s">
        <v>99</v>
      </c>
      <c r="E100" s="749">
        <v>0</v>
      </c>
      <c r="F100" s="119">
        <v>2</v>
      </c>
      <c r="G100" s="119" t="s">
        <v>433</v>
      </c>
      <c r="H100" s="10">
        <v>1</v>
      </c>
      <c r="I100" s="10">
        <v>2</v>
      </c>
      <c r="J100" s="10">
        <v>2</v>
      </c>
      <c r="K100" s="10">
        <v>1</v>
      </c>
      <c r="L100" s="10">
        <v>1</v>
      </c>
      <c r="M100" s="10">
        <v>1</v>
      </c>
      <c r="N100" s="405">
        <f>IF( OR( ISBLANK(H100),ISBLANK(J100), ISBLANK(K100), ISBLANK(L100), ISBLANK(M100) ), "", 1.5*SQRT(   EXP(2.21*(H100-1)) + EXP(2.21*(J100-1)) + EXP(2.21*(K100-1)) + EXP(2.21*(L100-1)) + EXP(2.21*M100)   )/100*2.45 )</f>
        <v>0.16933510251023262</v>
      </c>
      <c r="O100" s="405">
        <f>IF( OR( ISBLANK(I100),ISBLANK(J100), ISBLANK(K100), ISBLANK(L100), ISBLANK(M100) ), "", 1.5*SQRT( EXP(2.21*(I100-1)) + EXP(2.21*(J100-1)) + EXP(2.21*(K100-1)) + EXP(2.21*(L100-1)) + EXP(2.21*M100)   )/100*2.45 )</f>
        <v>0.19908580854301616</v>
      </c>
      <c r="P100" s="155" t="s">
        <v>1979</v>
      </c>
    </row>
    <row r="101" spans="1:16" s="436" customFormat="1" ht="15.75" thickBot="1">
      <c r="A101" s="635" t="s">
        <v>454</v>
      </c>
      <c r="B101" s="784" t="s">
        <v>334</v>
      </c>
      <c r="C101" s="34" t="s">
        <v>139</v>
      </c>
      <c r="D101" s="123" t="s">
        <v>99</v>
      </c>
      <c r="E101" s="753" t="s">
        <v>150</v>
      </c>
      <c r="F101" s="12">
        <v>1</v>
      </c>
      <c r="G101" s="12" t="s">
        <v>433</v>
      </c>
      <c r="H101" s="14"/>
      <c r="I101" s="14"/>
      <c r="J101" s="14"/>
      <c r="K101" s="14"/>
      <c r="L101" s="14"/>
      <c r="M101" s="14"/>
      <c r="N101" s="428" t="str">
        <f t="shared" si="25"/>
        <v/>
      </c>
      <c r="O101" s="428" t="str">
        <f t="shared" si="26"/>
        <v/>
      </c>
      <c r="P101" s="44"/>
    </row>
    <row r="102" spans="1:16" s="436" customFormat="1">
      <c r="A102" s="637" t="s">
        <v>451</v>
      </c>
      <c r="B102" s="774" t="s">
        <v>228</v>
      </c>
      <c r="C102" s="34" t="s">
        <v>139</v>
      </c>
      <c r="D102" s="614" t="s">
        <v>99</v>
      </c>
      <c r="E102" s="744">
        <v>0</v>
      </c>
      <c r="F102" s="118">
        <v>2</v>
      </c>
      <c r="G102" s="118" t="s">
        <v>433</v>
      </c>
      <c r="H102" s="66">
        <v>1</v>
      </c>
      <c r="I102" s="66">
        <v>2</v>
      </c>
      <c r="J102" s="66">
        <v>2</v>
      </c>
      <c r="K102" s="66">
        <v>1</v>
      </c>
      <c r="L102" s="66">
        <v>1</v>
      </c>
      <c r="M102" s="66">
        <v>1</v>
      </c>
      <c r="N102" s="438">
        <f t="shared" si="25"/>
        <v>0.16933510251023262</v>
      </c>
      <c r="O102" s="438">
        <f t="shared" si="26"/>
        <v>0.19908580854301616</v>
      </c>
      <c r="P102" s="118" t="s">
        <v>858</v>
      </c>
    </row>
    <row r="103" spans="1:16" s="436" customFormat="1" ht="15.75" thickBot="1">
      <c r="A103" s="638" t="s">
        <v>451</v>
      </c>
      <c r="B103" s="775" t="s">
        <v>334</v>
      </c>
      <c r="C103" s="34" t="s">
        <v>139</v>
      </c>
      <c r="D103" s="124" t="s">
        <v>99</v>
      </c>
      <c r="E103" s="749" t="s">
        <v>150</v>
      </c>
      <c r="F103" s="119">
        <v>1</v>
      </c>
      <c r="G103" s="119" t="s">
        <v>433</v>
      </c>
      <c r="H103" s="15"/>
      <c r="I103" s="15"/>
      <c r="J103" s="15"/>
      <c r="K103" s="15"/>
      <c r="L103" s="15"/>
      <c r="M103" s="15"/>
      <c r="N103" s="424" t="str">
        <f t="shared" si="25"/>
        <v/>
      </c>
      <c r="O103" s="424" t="str">
        <f t="shared" si="26"/>
        <v/>
      </c>
      <c r="P103" s="119" t="s">
        <v>1939</v>
      </c>
    </row>
    <row r="104" spans="1:16" s="436" customFormat="1">
      <c r="A104" s="634" t="s">
        <v>434</v>
      </c>
      <c r="B104" s="783" t="s">
        <v>457</v>
      </c>
      <c r="C104" s="34" t="s">
        <v>139</v>
      </c>
      <c r="D104" s="121" t="s">
        <v>99</v>
      </c>
      <c r="E104" s="632">
        <f>0.97*0.4</f>
        <v>0.38800000000000001</v>
      </c>
      <c r="F104" s="11">
        <v>2</v>
      </c>
      <c r="G104" s="11" t="s">
        <v>433</v>
      </c>
      <c r="H104" s="13">
        <v>1</v>
      </c>
      <c r="I104" s="13">
        <v>2</v>
      </c>
      <c r="J104" s="13">
        <v>2</v>
      </c>
      <c r="K104" s="13">
        <v>1</v>
      </c>
      <c r="L104" s="13">
        <v>1</v>
      </c>
      <c r="M104" s="13">
        <v>1</v>
      </c>
      <c r="N104" s="425">
        <f t="shared" si="25"/>
        <v>0.16933510251023262</v>
      </c>
      <c r="O104" s="425">
        <f t="shared" si="26"/>
        <v>0.19908580854301616</v>
      </c>
      <c r="P104" s="42" t="s">
        <v>859</v>
      </c>
    </row>
    <row r="105" spans="1:16" s="436" customFormat="1">
      <c r="A105" s="636" t="s">
        <v>434</v>
      </c>
      <c r="B105" s="780" t="s">
        <v>458</v>
      </c>
      <c r="C105" s="34" t="s">
        <v>139</v>
      </c>
      <c r="D105" s="122" t="s">
        <v>99</v>
      </c>
      <c r="E105" s="242">
        <f>0.97*0.6</f>
        <v>0.58199999999999996</v>
      </c>
      <c r="F105" s="9">
        <v>2</v>
      </c>
      <c r="G105" s="9" t="s">
        <v>433</v>
      </c>
      <c r="H105" s="10">
        <v>1</v>
      </c>
      <c r="I105" s="10">
        <v>2</v>
      </c>
      <c r="J105" s="10">
        <v>2</v>
      </c>
      <c r="K105" s="10">
        <v>1</v>
      </c>
      <c r="L105" s="10">
        <v>1</v>
      </c>
      <c r="M105" s="10">
        <v>1</v>
      </c>
      <c r="N105" s="405">
        <f t="shared" si="25"/>
        <v>0.16933510251023262</v>
      </c>
      <c r="O105" s="405">
        <f t="shared" si="26"/>
        <v>0.19908580854301616</v>
      </c>
      <c r="P105" s="43" t="s">
        <v>860</v>
      </c>
    </row>
    <row r="106" spans="1:16" s="436" customFormat="1" ht="15.75" thickBot="1">
      <c r="A106" s="635" t="s">
        <v>434</v>
      </c>
      <c r="B106" s="784" t="s">
        <v>223</v>
      </c>
      <c r="C106" s="34" t="s">
        <v>139</v>
      </c>
      <c r="D106" s="123" t="s">
        <v>99</v>
      </c>
      <c r="E106" s="753">
        <v>0.03</v>
      </c>
      <c r="F106" s="12">
        <v>1</v>
      </c>
      <c r="G106" s="12" t="s">
        <v>433</v>
      </c>
      <c r="H106" s="14">
        <v>1</v>
      </c>
      <c r="I106" s="14">
        <v>2</v>
      </c>
      <c r="J106" s="14">
        <v>2</v>
      </c>
      <c r="K106" s="14">
        <v>1</v>
      </c>
      <c r="L106" s="14">
        <v>1</v>
      </c>
      <c r="M106" s="14">
        <v>1</v>
      </c>
      <c r="N106" s="428">
        <f t="shared" si="25"/>
        <v>0.16933510251023262</v>
      </c>
      <c r="O106" s="428">
        <f t="shared" si="26"/>
        <v>0.19908580854301616</v>
      </c>
      <c r="P106" s="44" t="s">
        <v>854</v>
      </c>
    </row>
    <row r="107" spans="1:16" s="436" customFormat="1">
      <c r="A107" s="637" t="s">
        <v>457</v>
      </c>
      <c r="B107" s="774" t="s">
        <v>459</v>
      </c>
      <c r="C107" s="34" t="s">
        <v>139</v>
      </c>
      <c r="D107" s="614" t="s">
        <v>99</v>
      </c>
      <c r="E107" s="744">
        <v>0.03</v>
      </c>
      <c r="F107" s="118">
        <v>2</v>
      </c>
      <c r="G107" s="118" t="s">
        <v>433</v>
      </c>
      <c r="H107" s="66">
        <v>1</v>
      </c>
      <c r="I107" s="66">
        <v>2</v>
      </c>
      <c r="J107" s="66">
        <v>2</v>
      </c>
      <c r="K107" s="66">
        <v>1</v>
      </c>
      <c r="L107" s="66">
        <v>1</v>
      </c>
      <c r="M107" s="66">
        <v>1</v>
      </c>
      <c r="N107" s="438">
        <f t="shared" si="25"/>
        <v>0.16933510251023262</v>
      </c>
      <c r="O107" s="438">
        <f t="shared" si="26"/>
        <v>0.19908580854301616</v>
      </c>
      <c r="P107" s="118" t="s">
        <v>855</v>
      </c>
    </row>
    <row r="108" spans="1:16" s="436" customFormat="1" ht="15.75" thickBot="1">
      <c r="A108" s="638" t="s">
        <v>457</v>
      </c>
      <c r="B108" s="775" t="s">
        <v>460</v>
      </c>
      <c r="C108" s="34" t="s">
        <v>139</v>
      </c>
      <c r="D108" s="124" t="s">
        <v>99</v>
      </c>
      <c r="E108" s="749" t="s">
        <v>150</v>
      </c>
      <c r="F108" s="119">
        <v>1</v>
      </c>
      <c r="G108" s="119" t="s">
        <v>433</v>
      </c>
      <c r="H108" s="15"/>
      <c r="I108" s="15"/>
      <c r="J108" s="15"/>
      <c r="K108" s="15"/>
      <c r="L108" s="15"/>
      <c r="M108" s="15"/>
      <c r="N108" s="424" t="str">
        <f t="shared" si="25"/>
        <v/>
      </c>
      <c r="O108" s="424" t="str">
        <f t="shared" si="26"/>
        <v/>
      </c>
      <c r="P108" s="119" t="s">
        <v>1940</v>
      </c>
    </row>
    <row r="109" spans="1:16" s="436" customFormat="1">
      <c r="A109" s="437" t="s">
        <v>459</v>
      </c>
      <c r="B109" s="437" t="s">
        <v>231</v>
      </c>
      <c r="C109" s="34" t="s">
        <v>139</v>
      </c>
      <c r="D109" s="121" t="s">
        <v>99</v>
      </c>
      <c r="E109" s="770">
        <v>0.05</v>
      </c>
      <c r="F109" s="771">
        <v>2</v>
      </c>
      <c r="G109" s="11" t="s">
        <v>157</v>
      </c>
      <c r="H109" s="13">
        <v>1</v>
      </c>
      <c r="I109" s="13">
        <v>2</v>
      </c>
      <c r="J109" s="13">
        <v>2</v>
      </c>
      <c r="K109" s="13">
        <v>1</v>
      </c>
      <c r="L109" s="772">
        <v>3</v>
      </c>
      <c r="M109" s="13">
        <v>3</v>
      </c>
      <c r="N109" s="425">
        <f t="shared" si="25"/>
        <v>1.0725046436742278</v>
      </c>
      <c r="O109" s="425">
        <f t="shared" si="26"/>
        <v>1.0776024280428556</v>
      </c>
      <c r="P109" s="760" t="s">
        <v>1937</v>
      </c>
    </row>
    <row r="110" spans="1:16" s="436" customFormat="1">
      <c r="A110" s="496" t="s">
        <v>459</v>
      </c>
      <c r="B110" s="496" t="s">
        <v>232</v>
      </c>
      <c r="C110" s="34" t="s">
        <v>139</v>
      </c>
      <c r="D110" s="122" t="s">
        <v>99</v>
      </c>
      <c r="E110" s="242">
        <v>0.39400000000000002</v>
      </c>
      <c r="F110" s="9">
        <v>2</v>
      </c>
      <c r="G110" s="9" t="s">
        <v>433</v>
      </c>
      <c r="H110" s="10">
        <v>1</v>
      </c>
      <c r="I110" s="10">
        <v>2</v>
      </c>
      <c r="J110" s="10">
        <v>2</v>
      </c>
      <c r="K110" s="10">
        <v>1</v>
      </c>
      <c r="L110" s="10">
        <v>1</v>
      </c>
      <c r="M110" s="10">
        <v>1</v>
      </c>
      <c r="N110" s="405">
        <f t="shared" si="25"/>
        <v>0.16933510251023262</v>
      </c>
      <c r="O110" s="405">
        <f t="shared" si="26"/>
        <v>0.19908580854301616</v>
      </c>
      <c r="P110" s="43" t="s">
        <v>1961</v>
      </c>
    </row>
    <row r="111" spans="1:16" s="436" customFormat="1">
      <c r="A111" s="496" t="s">
        <v>459</v>
      </c>
      <c r="B111" s="496" t="s">
        <v>251</v>
      </c>
      <c r="C111" s="34" t="s">
        <v>139</v>
      </c>
      <c r="D111" s="122" t="s">
        <v>99</v>
      </c>
      <c r="E111" s="242">
        <v>0.52200000000000002</v>
      </c>
      <c r="F111" s="7">
        <v>1</v>
      </c>
      <c r="G111" s="9" t="s">
        <v>433</v>
      </c>
      <c r="H111" s="10">
        <v>1</v>
      </c>
      <c r="I111" s="10">
        <v>2</v>
      </c>
      <c r="J111" s="10">
        <v>2</v>
      </c>
      <c r="K111" s="10">
        <v>1</v>
      </c>
      <c r="L111" s="10">
        <v>1</v>
      </c>
      <c r="M111" s="10">
        <v>1</v>
      </c>
      <c r="N111" s="405">
        <f t="shared" si="25"/>
        <v>0.16933510251023262</v>
      </c>
      <c r="O111" s="405">
        <f t="shared" si="26"/>
        <v>0.19908580854301616</v>
      </c>
      <c r="P111" s="43" t="s">
        <v>1962</v>
      </c>
    </row>
    <row r="112" spans="1:16" s="436" customFormat="1" ht="15.75" thickBot="1">
      <c r="A112" s="496" t="s">
        <v>459</v>
      </c>
      <c r="B112" s="773" t="s">
        <v>258</v>
      </c>
      <c r="C112" s="34" t="s">
        <v>139</v>
      </c>
      <c r="D112" s="123" t="s">
        <v>99</v>
      </c>
      <c r="E112" s="753">
        <v>3.4000000000000002E-2</v>
      </c>
      <c r="F112" s="12">
        <v>2</v>
      </c>
      <c r="G112" s="12" t="s">
        <v>433</v>
      </c>
      <c r="H112" s="14"/>
      <c r="I112" s="14"/>
      <c r="J112" s="14"/>
      <c r="K112" s="14"/>
      <c r="L112" s="14"/>
      <c r="M112" s="14"/>
      <c r="N112" s="428"/>
      <c r="O112" s="428"/>
      <c r="P112" s="44" t="s">
        <v>1963</v>
      </c>
    </row>
    <row r="113" spans="1:16" s="436" customFormat="1">
      <c r="A113" s="637" t="s">
        <v>458</v>
      </c>
      <c r="B113" s="774" t="s">
        <v>461</v>
      </c>
      <c r="C113" s="34" t="s">
        <v>139</v>
      </c>
      <c r="D113" s="614" t="s">
        <v>99</v>
      </c>
      <c r="E113" s="744">
        <f>0.1*E107</f>
        <v>3.0000000000000001E-3</v>
      </c>
      <c r="F113" s="118">
        <v>2</v>
      </c>
      <c r="G113" s="118" t="s">
        <v>433</v>
      </c>
      <c r="H113" s="66">
        <v>1</v>
      </c>
      <c r="I113" s="66">
        <v>2</v>
      </c>
      <c r="J113" s="66">
        <v>2</v>
      </c>
      <c r="K113" s="66">
        <v>1</v>
      </c>
      <c r="L113" s="66">
        <v>1</v>
      </c>
      <c r="M113" s="66">
        <v>1</v>
      </c>
      <c r="N113" s="438">
        <f t="shared" si="25"/>
        <v>0.16933510251023262</v>
      </c>
      <c r="O113" s="438">
        <f t="shared" si="26"/>
        <v>0.19908580854301616</v>
      </c>
      <c r="P113" s="118" t="s">
        <v>856</v>
      </c>
    </row>
    <row r="114" spans="1:16" s="436" customFormat="1" ht="15.75" thickBot="1">
      <c r="A114" s="638" t="s">
        <v>458</v>
      </c>
      <c r="B114" s="775" t="s">
        <v>462</v>
      </c>
      <c r="C114" s="34" t="s">
        <v>139</v>
      </c>
      <c r="D114" s="124" t="s">
        <v>99</v>
      </c>
      <c r="E114" s="749" t="s">
        <v>150</v>
      </c>
      <c r="F114" s="119">
        <v>1</v>
      </c>
      <c r="G114" s="119" t="s">
        <v>433</v>
      </c>
      <c r="H114" s="15"/>
      <c r="I114" s="15"/>
      <c r="J114" s="15"/>
      <c r="K114" s="15"/>
      <c r="L114" s="15"/>
      <c r="M114" s="15"/>
      <c r="N114" s="424" t="str">
        <f t="shared" si="25"/>
        <v/>
      </c>
      <c r="O114" s="424" t="str">
        <f t="shared" si="26"/>
        <v/>
      </c>
      <c r="P114" s="119" t="s">
        <v>1940</v>
      </c>
    </row>
    <row r="115" spans="1:16" s="436" customFormat="1" ht="15.75" thickBot="1">
      <c r="A115" s="633" t="s">
        <v>461</v>
      </c>
      <c r="B115" s="785" t="s">
        <v>228</v>
      </c>
      <c r="C115" s="34" t="s">
        <v>139</v>
      </c>
      <c r="D115" s="781" t="s">
        <v>99</v>
      </c>
      <c r="E115" s="751">
        <v>1</v>
      </c>
      <c r="F115" s="750">
        <v>2</v>
      </c>
      <c r="G115" s="750" t="s">
        <v>433</v>
      </c>
      <c r="H115" s="70">
        <v>1</v>
      </c>
      <c r="I115" s="70">
        <v>2</v>
      </c>
      <c r="J115" s="70">
        <v>2</v>
      </c>
      <c r="K115" s="70">
        <v>1</v>
      </c>
      <c r="L115" s="70">
        <v>1</v>
      </c>
      <c r="M115" s="70">
        <v>1</v>
      </c>
      <c r="N115" s="439">
        <f t="shared" si="25"/>
        <v>0.16933510251023262</v>
      </c>
      <c r="O115" s="439">
        <f t="shared" si="26"/>
        <v>0.19908580854301616</v>
      </c>
      <c r="P115" s="752" t="s">
        <v>857</v>
      </c>
    </row>
    <row r="116" spans="1:16" s="436" customFormat="1">
      <c r="A116" s="637" t="s">
        <v>460</v>
      </c>
      <c r="B116" s="783" t="s">
        <v>231</v>
      </c>
      <c r="C116" s="34" t="s">
        <v>139</v>
      </c>
      <c r="D116" s="614" t="s">
        <v>99</v>
      </c>
      <c r="E116" s="744">
        <v>1.6000000000000001E-3</v>
      </c>
      <c r="F116" s="118">
        <v>2</v>
      </c>
      <c r="G116" s="118" t="s">
        <v>1997</v>
      </c>
      <c r="H116" s="66">
        <v>1</v>
      </c>
      <c r="I116" s="66">
        <v>2</v>
      </c>
      <c r="J116" s="66">
        <v>2</v>
      </c>
      <c r="K116" s="66">
        <v>1</v>
      </c>
      <c r="L116" s="15">
        <v>3</v>
      </c>
      <c r="M116" s="13">
        <v>3</v>
      </c>
      <c r="N116" s="438">
        <f t="shared" si="25"/>
        <v>1.0725046436742278</v>
      </c>
      <c r="O116" s="438">
        <f t="shared" si="26"/>
        <v>1.0776024280428556</v>
      </c>
      <c r="P116" s="118" t="s">
        <v>1976</v>
      </c>
    </row>
    <row r="117" spans="1:16" s="436" customFormat="1">
      <c r="A117" s="313" t="s">
        <v>460</v>
      </c>
      <c r="B117" s="780" t="s">
        <v>232</v>
      </c>
      <c r="C117" s="34" t="s">
        <v>139</v>
      </c>
      <c r="D117" s="122" t="s">
        <v>99</v>
      </c>
      <c r="E117" s="242">
        <v>1.26E-2</v>
      </c>
      <c r="F117" s="9">
        <v>2</v>
      </c>
      <c r="G117" s="9" t="s">
        <v>433</v>
      </c>
      <c r="H117" s="10">
        <v>1</v>
      </c>
      <c r="I117" s="10">
        <v>2</v>
      </c>
      <c r="J117" s="10">
        <v>2</v>
      </c>
      <c r="K117" s="10">
        <v>1</v>
      </c>
      <c r="L117" s="10">
        <v>1</v>
      </c>
      <c r="M117" s="10">
        <v>1</v>
      </c>
      <c r="N117" s="405">
        <f t="shared" si="25"/>
        <v>0.16933510251023262</v>
      </c>
      <c r="O117" s="405">
        <f t="shared" si="26"/>
        <v>0.19908580854301616</v>
      </c>
      <c r="P117" s="9" t="s">
        <v>1977</v>
      </c>
    </row>
    <row r="118" spans="1:16" s="436" customFormat="1">
      <c r="A118" s="313" t="s">
        <v>460</v>
      </c>
      <c r="B118" s="780" t="s">
        <v>251</v>
      </c>
      <c r="C118" s="34" t="s">
        <v>139</v>
      </c>
      <c r="D118" s="122" t="s">
        <v>99</v>
      </c>
      <c r="E118" s="242">
        <v>1.67E-2</v>
      </c>
      <c r="F118" s="9">
        <v>2</v>
      </c>
      <c r="G118" s="9" t="s">
        <v>433</v>
      </c>
      <c r="H118" s="10">
        <v>1</v>
      </c>
      <c r="I118" s="10">
        <v>2</v>
      </c>
      <c r="J118" s="10">
        <v>2</v>
      </c>
      <c r="K118" s="10">
        <v>1</v>
      </c>
      <c r="L118" s="10">
        <v>1</v>
      </c>
      <c r="M118" s="10">
        <v>1</v>
      </c>
      <c r="N118" s="405">
        <f t="shared" si="25"/>
        <v>0.16933510251023262</v>
      </c>
      <c r="O118" s="405">
        <f t="shared" si="26"/>
        <v>0.19908580854301616</v>
      </c>
      <c r="P118" s="9" t="s">
        <v>1981</v>
      </c>
    </row>
    <row r="119" spans="1:16" s="436" customFormat="1">
      <c r="A119" s="313" t="s">
        <v>460</v>
      </c>
      <c r="B119" s="775" t="s">
        <v>258</v>
      </c>
      <c r="C119" s="34" t="s">
        <v>139</v>
      </c>
      <c r="D119" s="124" t="s">
        <v>99</v>
      </c>
      <c r="E119" s="749">
        <v>1.1000000000000001E-3</v>
      </c>
      <c r="F119" s="119">
        <v>2</v>
      </c>
      <c r="G119" s="119" t="s">
        <v>433</v>
      </c>
      <c r="H119" s="10">
        <v>1</v>
      </c>
      <c r="I119" s="10">
        <v>2</v>
      </c>
      <c r="J119" s="10">
        <v>2</v>
      </c>
      <c r="K119" s="10">
        <v>1</v>
      </c>
      <c r="L119" s="10">
        <v>1</v>
      </c>
      <c r="M119" s="10">
        <v>1</v>
      </c>
      <c r="N119" s="405">
        <f>IF( OR( ISBLANK(H119),ISBLANK(J119), ISBLANK(K119), ISBLANK(L119), ISBLANK(M119) ), "", 1.5*SQRT(   EXP(2.21*(H119-1)) + EXP(2.21*(J119-1)) + EXP(2.21*(K119-1)) + EXP(2.21*(L119-1)) + EXP(2.21*M119)   )/100*2.45 )</f>
        <v>0.16933510251023262</v>
      </c>
      <c r="O119" s="405">
        <f>IF( OR( ISBLANK(I119),ISBLANK(J119), ISBLANK(K119), ISBLANK(L119), ISBLANK(M119) ), "", 1.5*SQRT( EXP(2.21*(I119-1)) + EXP(2.21*(J119-1)) + EXP(2.21*(K119-1)) + EXP(2.21*(L119-1)) + EXP(2.21*M119)   )/100*2.45 )</f>
        <v>0.19908580854301616</v>
      </c>
      <c r="P119" s="9" t="s">
        <v>1978</v>
      </c>
    </row>
    <row r="120" spans="1:16" s="436" customFormat="1" ht="15.75" thickBot="1">
      <c r="A120" s="638" t="s">
        <v>460</v>
      </c>
      <c r="B120" s="784" t="s">
        <v>334</v>
      </c>
      <c r="C120" s="34" t="s">
        <v>139</v>
      </c>
      <c r="D120" s="124" t="s">
        <v>99</v>
      </c>
      <c r="E120" s="749" t="s">
        <v>150</v>
      </c>
      <c r="F120" s="119">
        <v>1</v>
      </c>
      <c r="G120" s="119" t="s">
        <v>433</v>
      </c>
      <c r="H120" s="15"/>
      <c r="I120" s="15"/>
      <c r="J120" s="15"/>
      <c r="K120" s="15"/>
      <c r="L120" s="15"/>
      <c r="M120" s="15"/>
      <c r="N120" s="424" t="str">
        <f t="shared" si="25"/>
        <v/>
      </c>
      <c r="O120" s="424" t="str">
        <f t="shared" si="26"/>
        <v/>
      </c>
      <c r="P120" s="119"/>
    </row>
    <row r="121" spans="1:16" s="436" customFormat="1">
      <c r="A121" s="634" t="s">
        <v>462</v>
      </c>
      <c r="B121" s="783" t="s">
        <v>228</v>
      </c>
      <c r="C121" s="34" t="s">
        <v>139</v>
      </c>
      <c r="D121" s="121" t="s">
        <v>99</v>
      </c>
      <c r="E121" s="632">
        <v>3.2000000000000001E-2</v>
      </c>
      <c r="F121" s="11">
        <v>2</v>
      </c>
      <c r="G121" s="11" t="s">
        <v>433</v>
      </c>
      <c r="H121" s="13">
        <v>1</v>
      </c>
      <c r="I121" s="13">
        <v>2</v>
      </c>
      <c r="J121" s="13">
        <v>2</v>
      </c>
      <c r="K121" s="13">
        <v>1</v>
      </c>
      <c r="L121" s="13">
        <v>1</v>
      </c>
      <c r="M121" s="13">
        <v>1</v>
      </c>
      <c r="N121" s="425">
        <f t="shared" si="25"/>
        <v>0.16933510251023262</v>
      </c>
      <c r="O121" s="425">
        <f t="shared" si="26"/>
        <v>0.19908580854301616</v>
      </c>
      <c r="P121" s="42" t="s">
        <v>861</v>
      </c>
    </row>
    <row r="122" spans="1:16" s="436" customFormat="1" ht="15.75" thickBot="1">
      <c r="A122" s="635" t="s">
        <v>462</v>
      </c>
      <c r="B122" s="784" t="s">
        <v>334</v>
      </c>
      <c r="C122" s="34" t="s">
        <v>139</v>
      </c>
      <c r="D122" s="123" t="s">
        <v>99</v>
      </c>
      <c r="E122" s="753" t="s">
        <v>150</v>
      </c>
      <c r="F122" s="12">
        <v>1</v>
      </c>
      <c r="G122" s="12" t="s">
        <v>433</v>
      </c>
      <c r="H122" s="14"/>
      <c r="I122" s="14"/>
      <c r="J122" s="14"/>
      <c r="K122" s="14"/>
      <c r="L122" s="14"/>
      <c r="M122" s="14"/>
      <c r="N122" s="428" t="str">
        <f t="shared" si="25"/>
        <v/>
      </c>
      <c r="O122" s="428" t="str">
        <f t="shared" si="26"/>
        <v/>
      </c>
      <c r="P122" s="44" t="s">
        <v>1941</v>
      </c>
    </row>
    <row r="123" spans="1:16" s="436" customFormat="1">
      <c r="A123" s="637" t="s">
        <v>435</v>
      </c>
      <c r="B123" s="774" t="s">
        <v>463</v>
      </c>
      <c r="C123" s="34" t="s">
        <v>139</v>
      </c>
      <c r="D123" s="614" t="s">
        <v>99</v>
      </c>
      <c r="E123" s="744">
        <f>0.97*0.25</f>
        <v>0.24249999999999999</v>
      </c>
      <c r="F123" s="118">
        <v>2</v>
      </c>
      <c r="G123" s="118" t="s">
        <v>433</v>
      </c>
      <c r="H123" s="66">
        <v>1</v>
      </c>
      <c r="I123" s="66">
        <v>2</v>
      </c>
      <c r="J123" s="66">
        <v>2</v>
      </c>
      <c r="K123" s="66">
        <v>1</v>
      </c>
      <c r="L123" s="66">
        <v>1</v>
      </c>
      <c r="M123" s="66">
        <v>1</v>
      </c>
      <c r="N123" s="438">
        <f t="shared" si="25"/>
        <v>0.16933510251023262</v>
      </c>
      <c r="O123" s="438">
        <f t="shared" si="26"/>
        <v>0.19908580854301616</v>
      </c>
      <c r="P123" s="118" t="s">
        <v>862</v>
      </c>
    </row>
    <row r="124" spans="1:16" s="436" customFormat="1">
      <c r="A124" s="313" t="s">
        <v>435</v>
      </c>
      <c r="B124" s="780" t="s">
        <v>464</v>
      </c>
      <c r="C124" s="34" t="s">
        <v>139</v>
      </c>
      <c r="D124" s="122" t="s">
        <v>99</v>
      </c>
      <c r="E124" s="242">
        <f>0.97*0.75</f>
        <v>0.72750000000000004</v>
      </c>
      <c r="F124" s="9">
        <v>2</v>
      </c>
      <c r="G124" s="9" t="s">
        <v>433</v>
      </c>
      <c r="H124" s="10">
        <v>1</v>
      </c>
      <c r="I124" s="10">
        <v>2</v>
      </c>
      <c r="J124" s="10">
        <v>2</v>
      </c>
      <c r="K124" s="10">
        <v>1</v>
      </c>
      <c r="L124" s="10">
        <v>1</v>
      </c>
      <c r="M124" s="10">
        <v>1</v>
      </c>
      <c r="N124" s="405">
        <f t="shared" si="25"/>
        <v>0.16933510251023262</v>
      </c>
      <c r="O124" s="405">
        <f t="shared" si="26"/>
        <v>0.19908580854301616</v>
      </c>
      <c r="P124" s="9" t="s">
        <v>863</v>
      </c>
    </row>
    <row r="125" spans="1:16" s="436" customFormat="1" ht="15.75" thickBot="1">
      <c r="A125" s="638" t="s">
        <v>435</v>
      </c>
      <c r="B125" s="775" t="s">
        <v>223</v>
      </c>
      <c r="C125" s="34" t="s">
        <v>139</v>
      </c>
      <c r="D125" s="124" t="s">
        <v>99</v>
      </c>
      <c r="E125" s="749">
        <v>0.03</v>
      </c>
      <c r="F125" s="119">
        <v>1</v>
      </c>
      <c r="G125" s="119" t="s">
        <v>433</v>
      </c>
      <c r="H125" s="15">
        <v>1</v>
      </c>
      <c r="I125" s="15">
        <v>2</v>
      </c>
      <c r="J125" s="15">
        <v>2</v>
      </c>
      <c r="K125" s="15">
        <v>1</v>
      </c>
      <c r="L125" s="15">
        <v>1</v>
      </c>
      <c r="M125" s="15">
        <v>1</v>
      </c>
      <c r="N125" s="424">
        <f t="shared" si="25"/>
        <v>0.16933510251023262</v>
      </c>
      <c r="O125" s="424">
        <f t="shared" si="26"/>
        <v>0.19908580854301616</v>
      </c>
      <c r="P125" s="119" t="s">
        <v>854</v>
      </c>
    </row>
    <row r="126" spans="1:16" s="436" customFormat="1">
      <c r="A126" s="634" t="s">
        <v>463</v>
      </c>
      <c r="B126" s="783" t="s">
        <v>466</v>
      </c>
      <c r="C126" s="34" t="s">
        <v>139</v>
      </c>
      <c r="D126" s="121" t="s">
        <v>99</v>
      </c>
      <c r="E126" s="632">
        <v>0.03</v>
      </c>
      <c r="F126" s="11">
        <v>2</v>
      </c>
      <c r="G126" s="11" t="s">
        <v>433</v>
      </c>
      <c r="H126" s="13">
        <v>1</v>
      </c>
      <c r="I126" s="13">
        <v>2</v>
      </c>
      <c r="J126" s="13">
        <v>2</v>
      </c>
      <c r="K126" s="13">
        <v>1</v>
      </c>
      <c r="L126" s="13">
        <v>1</v>
      </c>
      <c r="M126" s="13">
        <v>1</v>
      </c>
      <c r="N126" s="425">
        <f t="shared" si="25"/>
        <v>0.16933510251023262</v>
      </c>
      <c r="O126" s="425">
        <f t="shared" si="26"/>
        <v>0.19908580854301616</v>
      </c>
      <c r="P126" s="42" t="s">
        <v>855</v>
      </c>
    </row>
    <row r="127" spans="1:16" s="436" customFormat="1" ht="15.75" thickBot="1">
      <c r="A127" s="635" t="s">
        <v>463</v>
      </c>
      <c r="B127" s="784" t="s">
        <v>467</v>
      </c>
      <c r="C127" s="34" t="s">
        <v>139</v>
      </c>
      <c r="D127" s="123" t="s">
        <v>99</v>
      </c>
      <c r="E127" s="753" t="s">
        <v>150</v>
      </c>
      <c r="F127" s="12">
        <v>1</v>
      </c>
      <c r="G127" s="12" t="s">
        <v>433</v>
      </c>
      <c r="H127" s="14"/>
      <c r="I127" s="14"/>
      <c r="J127" s="14"/>
      <c r="K127" s="14"/>
      <c r="L127" s="14"/>
      <c r="M127" s="14"/>
      <c r="N127" s="428" t="str">
        <f t="shared" si="25"/>
        <v/>
      </c>
      <c r="O127" s="428" t="str">
        <f t="shared" si="26"/>
        <v/>
      </c>
      <c r="P127" s="44" t="s">
        <v>1942</v>
      </c>
    </row>
    <row r="128" spans="1:16" s="436" customFormat="1">
      <c r="A128" s="637" t="s">
        <v>466</v>
      </c>
      <c r="B128" s="774" t="s">
        <v>231</v>
      </c>
      <c r="C128" s="34" t="s">
        <v>139</v>
      </c>
      <c r="D128" s="614" t="s">
        <v>99</v>
      </c>
      <c r="E128" s="749">
        <v>0.05</v>
      </c>
      <c r="F128" s="119">
        <v>2</v>
      </c>
      <c r="G128" s="11" t="s">
        <v>157</v>
      </c>
      <c r="H128" s="66">
        <v>1</v>
      </c>
      <c r="I128" s="66">
        <v>2</v>
      </c>
      <c r="J128" s="66">
        <v>2</v>
      </c>
      <c r="K128" s="66">
        <v>1</v>
      </c>
      <c r="L128" s="15">
        <v>3</v>
      </c>
      <c r="M128" s="13">
        <v>3</v>
      </c>
      <c r="N128" s="438">
        <f t="shared" si="25"/>
        <v>1.0725046436742278</v>
      </c>
      <c r="O128" s="438">
        <f t="shared" si="26"/>
        <v>1.0776024280428556</v>
      </c>
      <c r="P128" s="119" t="s">
        <v>1937</v>
      </c>
    </row>
    <row r="129" spans="1:16" s="436" customFormat="1">
      <c r="A129" s="313" t="s">
        <v>466</v>
      </c>
      <c r="B129" s="780" t="s">
        <v>232</v>
      </c>
      <c r="C129" s="34" t="s">
        <v>139</v>
      </c>
      <c r="D129" s="122" t="s">
        <v>99</v>
      </c>
      <c r="E129" s="242">
        <v>0.39400000000000002</v>
      </c>
      <c r="F129" s="9">
        <v>2</v>
      </c>
      <c r="G129" s="9" t="s">
        <v>433</v>
      </c>
      <c r="H129" s="10">
        <v>1</v>
      </c>
      <c r="I129" s="10">
        <v>2</v>
      </c>
      <c r="J129" s="10">
        <v>2</v>
      </c>
      <c r="K129" s="10">
        <v>1</v>
      </c>
      <c r="L129" s="10">
        <v>1</v>
      </c>
      <c r="M129" s="10">
        <v>1</v>
      </c>
      <c r="N129" s="405">
        <f t="shared" si="25"/>
        <v>0.16933510251023262</v>
      </c>
      <c r="O129" s="405">
        <f t="shared" si="26"/>
        <v>0.19908580854301616</v>
      </c>
      <c r="P129" s="9" t="s">
        <v>1961</v>
      </c>
    </row>
    <row r="130" spans="1:16" s="436" customFormat="1">
      <c r="A130" s="638" t="s">
        <v>466</v>
      </c>
      <c r="B130" s="775" t="s">
        <v>251</v>
      </c>
      <c r="C130" s="34" t="s">
        <v>139</v>
      </c>
      <c r="D130" s="124" t="s">
        <v>99</v>
      </c>
      <c r="E130" s="242">
        <v>0.52200000000000002</v>
      </c>
      <c r="F130" s="7">
        <v>1</v>
      </c>
      <c r="G130" s="9" t="s">
        <v>433</v>
      </c>
      <c r="H130" s="15">
        <v>1</v>
      </c>
      <c r="I130" s="15">
        <v>2</v>
      </c>
      <c r="J130" s="15">
        <v>2</v>
      </c>
      <c r="K130" s="15">
        <v>1</v>
      </c>
      <c r="L130" s="15">
        <v>1</v>
      </c>
      <c r="M130" s="15">
        <v>1</v>
      </c>
      <c r="N130" s="424">
        <f t="shared" ref="N130:N201" si="27">IF( OR( ISBLANK(H130),ISBLANK(J130), ISBLANK(K130), ISBLANK(L130), ISBLANK(M130) ), "", 1.5*SQRT(   EXP(2.21*(H130-1)) + EXP(2.21*(J130-1)) + EXP(2.21*(K130-1)) + EXP(2.21*(L130-1)) + EXP(2.21*M130)   )/100*2.45 )</f>
        <v>0.16933510251023262</v>
      </c>
      <c r="O130" s="424">
        <f t="shared" ref="O130:O201" si="28">IF( OR( ISBLANK(I130),ISBLANK(J130), ISBLANK(K130), ISBLANK(L130), ISBLANK(M130) ), "", 1.5*SQRT( EXP(2.21*(I130-1)) + EXP(2.21*(J130-1)) + EXP(2.21*(K130-1)) + EXP(2.21*(L130-1)) + EXP(2.21*M130)   )/100*2.45 )</f>
        <v>0.19908580854301616</v>
      </c>
      <c r="P130" s="9" t="s">
        <v>1962</v>
      </c>
    </row>
    <row r="131" spans="1:16" s="436" customFormat="1" ht="15.75" thickBot="1">
      <c r="A131" s="638" t="s">
        <v>466</v>
      </c>
      <c r="B131" s="775" t="s">
        <v>258</v>
      </c>
      <c r="C131" s="34" t="s">
        <v>139</v>
      </c>
      <c r="D131" s="124" t="s">
        <v>99</v>
      </c>
      <c r="E131" s="749">
        <v>3.4000000000000002E-2</v>
      </c>
      <c r="F131" s="119">
        <v>2</v>
      </c>
      <c r="G131" s="9" t="s">
        <v>433</v>
      </c>
      <c r="H131" s="15"/>
      <c r="I131" s="15"/>
      <c r="J131" s="15"/>
      <c r="K131" s="15"/>
      <c r="L131" s="15"/>
      <c r="M131" s="15"/>
      <c r="N131" s="424"/>
      <c r="O131" s="424"/>
      <c r="P131" s="119" t="s">
        <v>1963</v>
      </c>
    </row>
    <row r="132" spans="1:16" s="436" customFormat="1">
      <c r="A132" s="634" t="s">
        <v>464</v>
      </c>
      <c r="B132" s="783" t="s">
        <v>468</v>
      </c>
      <c r="C132" s="34" t="s">
        <v>139</v>
      </c>
      <c r="D132" s="121" t="s">
        <v>99</v>
      </c>
      <c r="E132" s="632">
        <f>0.1*E126</f>
        <v>3.0000000000000001E-3</v>
      </c>
      <c r="F132" s="11">
        <v>2</v>
      </c>
      <c r="G132" s="11" t="s">
        <v>433</v>
      </c>
      <c r="H132" s="13">
        <v>1</v>
      </c>
      <c r="I132" s="13">
        <v>2</v>
      </c>
      <c r="J132" s="13">
        <v>2</v>
      </c>
      <c r="K132" s="13">
        <v>1</v>
      </c>
      <c r="L132" s="13">
        <v>1</v>
      </c>
      <c r="M132" s="13">
        <v>1</v>
      </c>
      <c r="N132" s="425">
        <f t="shared" si="27"/>
        <v>0.16933510251023262</v>
      </c>
      <c r="O132" s="425">
        <f t="shared" si="28"/>
        <v>0.19908580854301616</v>
      </c>
      <c r="P132" s="42" t="s">
        <v>856</v>
      </c>
    </row>
    <row r="133" spans="1:16" s="436" customFormat="1" ht="15.75" thickBot="1">
      <c r="A133" s="635" t="s">
        <v>464</v>
      </c>
      <c r="B133" s="784" t="s">
        <v>469</v>
      </c>
      <c r="C133" s="34" t="s">
        <v>139</v>
      </c>
      <c r="D133" s="123" t="s">
        <v>99</v>
      </c>
      <c r="E133" s="753" t="s">
        <v>150</v>
      </c>
      <c r="F133" s="12">
        <v>1</v>
      </c>
      <c r="G133" s="12" t="s">
        <v>433</v>
      </c>
      <c r="H133" s="14"/>
      <c r="I133" s="14"/>
      <c r="J133" s="14"/>
      <c r="K133" s="14"/>
      <c r="L133" s="14"/>
      <c r="M133" s="14"/>
      <c r="N133" s="428" t="str">
        <f t="shared" si="27"/>
        <v/>
      </c>
      <c r="O133" s="428" t="str">
        <f t="shared" si="28"/>
        <v/>
      </c>
      <c r="P133" s="44" t="s">
        <v>1942</v>
      </c>
    </row>
    <row r="134" spans="1:16" s="436" customFormat="1" ht="15.75" thickBot="1">
      <c r="A134" s="758" t="s">
        <v>468</v>
      </c>
      <c r="B134" s="777" t="s">
        <v>228</v>
      </c>
      <c r="C134" s="34" t="s">
        <v>139</v>
      </c>
      <c r="D134" s="787" t="s">
        <v>99</v>
      </c>
      <c r="E134" s="755">
        <v>1</v>
      </c>
      <c r="F134" s="754">
        <v>2</v>
      </c>
      <c r="G134" s="754" t="s">
        <v>433</v>
      </c>
      <c r="H134" s="71">
        <v>1</v>
      </c>
      <c r="I134" s="71">
        <v>2</v>
      </c>
      <c r="J134" s="71">
        <v>2</v>
      </c>
      <c r="K134" s="71">
        <v>1</v>
      </c>
      <c r="L134" s="71">
        <v>1</v>
      </c>
      <c r="M134" s="71">
        <v>1</v>
      </c>
      <c r="N134" s="759">
        <f t="shared" si="27"/>
        <v>0.16933510251023262</v>
      </c>
      <c r="O134" s="759">
        <f t="shared" si="28"/>
        <v>0.19908580854301616</v>
      </c>
      <c r="P134" s="754" t="s">
        <v>857</v>
      </c>
    </row>
    <row r="135" spans="1:16" s="436" customFormat="1">
      <c r="A135" s="634" t="s">
        <v>467</v>
      </c>
      <c r="B135" s="783" t="s">
        <v>231</v>
      </c>
      <c r="C135" s="34" t="s">
        <v>139</v>
      </c>
      <c r="D135" s="121" t="s">
        <v>99</v>
      </c>
      <c r="E135" s="632">
        <v>1.6000000000000001E-3</v>
      </c>
      <c r="F135" s="11">
        <v>2</v>
      </c>
      <c r="G135" s="118" t="s">
        <v>1997</v>
      </c>
      <c r="H135" s="13">
        <v>1</v>
      </c>
      <c r="I135" s="13">
        <v>2</v>
      </c>
      <c r="J135" s="13">
        <v>2</v>
      </c>
      <c r="K135" s="13">
        <v>1</v>
      </c>
      <c r="L135" s="15">
        <v>3</v>
      </c>
      <c r="M135" s="13">
        <v>3</v>
      </c>
      <c r="N135" s="425">
        <f t="shared" si="27"/>
        <v>1.0725046436742278</v>
      </c>
      <c r="O135" s="425">
        <f t="shared" si="28"/>
        <v>1.0776024280428556</v>
      </c>
      <c r="P135" s="42" t="s">
        <v>1970</v>
      </c>
    </row>
    <row r="136" spans="1:16" s="436" customFormat="1">
      <c r="A136" s="636" t="s">
        <v>467</v>
      </c>
      <c r="B136" s="780" t="s">
        <v>232</v>
      </c>
      <c r="C136" s="34" t="s">
        <v>139</v>
      </c>
      <c r="D136" s="122" t="s">
        <v>99</v>
      </c>
      <c r="E136" s="242">
        <v>1.26E-2</v>
      </c>
      <c r="F136" s="9">
        <v>2</v>
      </c>
      <c r="G136" s="9" t="s">
        <v>433</v>
      </c>
      <c r="H136" s="10">
        <v>1</v>
      </c>
      <c r="I136" s="10">
        <v>2</v>
      </c>
      <c r="J136" s="10">
        <v>2</v>
      </c>
      <c r="K136" s="10">
        <v>1</v>
      </c>
      <c r="L136" s="10">
        <v>1</v>
      </c>
      <c r="M136" s="10">
        <v>1</v>
      </c>
      <c r="N136" s="405">
        <f t="shared" si="27"/>
        <v>0.16933510251023262</v>
      </c>
      <c r="O136" s="405">
        <f t="shared" si="28"/>
        <v>0.19908580854301616</v>
      </c>
      <c r="P136" s="43" t="s">
        <v>1971</v>
      </c>
    </row>
    <row r="137" spans="1:16" s="436" customFormat="1">
      <c r="A137" s="636" t="s">
        <v>467</v>
      </c>
      <c r="B137" s="780" t="s">
        <v>251</v>
      </c>
      <c r="C137" s="34" t="s">
        <v>139</v>
      </c>
      <c r="D137" s="122" t="s">
        <v>99</v>
      </c>
      <c r="E137" s="242">
        <v>1.67E-2</v>
      </c>
      <c r="F137" s="9">
        <v>2</v>
      </c>
      <c r="G137" s="9" t="s">
        <v>433</v>
      </c>
      <c r="H137" s="10">
        <v>1</v>
      </c>
      <c r="I137" s="10">
        <v>2</v>
      </c>
      <c r="J137" s="10">
        <v>2</v>
      </c>
      <c r="K137" s="10">
        <v>1</v>
      </c>
      <c r="L137" s="10">
        <v>1</v>
      </c>
      <c r="M137" s="10">
        <v>1</v>
      </c>
      <c r="N137" s="405">
        <f t="shared" si="27"/>
        <v>0.16933510251023262</v>
      </c>
      <c r="O137" s="405">
        <f t="shared" si="28"/>
        <v>0.19908580854301616</v>
      </c>
      <c r="P137" s="43" t="s">
        <v>1982</v>
      </c>
    </row>
    <row r="138" spans="1:16" s="436" customFormat="1">
      <c r="A138" s="636" t="s">
        <v>467</v>
      </c>
      <c r="B138" s="775" t="s">
        <v>258</v>
      </c>
      <c r="C138" s="34" t="s">
        <v>139</v>
      </c>
      <c r="D138" s="124" t="s">
        <v>99</v>
      </c>
      <c r="E138" s="749">
        <v>1.1000000000000001E-3</v>
      </c>
      <c r="F138" s="119">
        <v>2</v>
      </c>
      <c r="G138" s="119" t="s">
        <v>433</v>
      </c>
      <c r="H138" s="10">
        <v>1</v>
      </c>
      <c r="I138" s="10">
        <v>2</v>
      </c>
      <c r="J138" s="10">
        <v>2</v>
      </c>
      <c r="K138" s="10">
        <v>1</v>
      </c>
      <c r="L138" s="10">
        <v>1</v>
      </c>
      <c r="M138" s="10">
        <v>1</v>
      </c>
      <c r="N138" s="405">
        <f>IF( OR( ISBLANK(H138),ISBLANK(J138), ISBLANK(K138), ISBLANK(L138), ISBLANK(M138) ), "", 1.5*SQRT(   EXP(2.21*(H138-1)) + EXP(2.21*(J138-1)) + EXP(2.21*(K138-1)) + EXP(2.21*(L138-1)) + EXP(2.21*M138)   )/100*2.45 )</f>
        <v>0.16933510251023262</v>
      </c>
      <c r="O138" s="405">
        <f>IF( OR( ISBLANK(I138),ISBLANK(J138), ISBLANK(K138), ISBLANK(L138), ISBLANK(M138) ), "", 1.5*SQRT( EXP(2.21*(I138-1)) + EXP(2.21*(J138-1)) + EXP(2.21*(K138-1)) + EXP(2.21*(L138-1)) + EXP(2.21*M138)   )/100*2.45 )</f>
        <v>0.19908580854301616</v>
      </c>
      <c r="P138" s="43" t="s">
        <v>1972</v>
      </c>
    </row>
    <row r="139" spans="1:16" s="436" customFormat="1" ht="15.75" thickBot="1">
      <c r="A139" s="635" t="s">
        <v>467</v>
      </c>
      <c r="B139" s="784" t="s">
        <v>334</v>
      </c>
      <c r="C139" s="34" t="s">
        <v>139</v>
      </c>
      <c r="D139" s="123" t="s">
        <v>99</v>
      </c>
      <c r="E139" s="753" t="s">
        <v>150</v>
      </c>
      <c r="F139" s="12">
        <v>1</v>
      </c>
      <c r="G139" s="12" t="s">
        <v>433</v>
      </c>
      <c r="H139" s="14"/>
      <c r="I139" s="14"/>
      <c r="J139" s="14"/>
      <c r="K139" s="14"/>
      <c r="L139" s="14"/>
      <c r="M139" s="14"/>
      <c r="N139" s="428" t="str">
        <f t="shared" si="27"/>
        <v/>
      </c>
      <c r="O139" s="428" t="str">
        <f t="shared" si="28"/>
        <v/>
      </c>
      <c r="P139" s="44"/>
    </row>
    <row r="140" spans="1:16" s="436" customFormat="1">
      <c r="A140" s="637" t="s">
        <v>469</v>
      </c>
      <c r="B140" s="774" t="s">
        <v>228</v>
      </c>
      <c r="C140" s="34" t="s">
        <v>139</v>
      </c>
      <c r="D140" s="614" t="s">
        <v>99</v>
      </c>
      <c r="E140" s="744">
        <v>3.2000000000000001E-2</v>
      </c>
      <c r="F140" s="118">
        <v>2</v>
      </c>
      <c r="G140" s="118" t="s">
        <v>433</v>
      </c>
      <c r="H140" s="66">
        <v>1</v>
      </c>
      <c r="I140" s="66">
        <v>2</v>
      </c>
      <c r="J140" s="66">
        <v>2</v>
      </c>
      <c r="K140" s="66">
        <v>1</v>
      </c>
      <c r="L140" s="66">
        <v>1</v>
      </c>
      <c r="M140" s="66">
        <v>1</v>
      </c>
      <c r="N140" s="438">
        <f t="shared" si="27"/>
        <v>0.16933510251023262</v>
      </c>
      <c r="O140" s="438">
        <f t="shared" si="28"/>
        <v>0.19908580854301616</v>
      </c>
      <c r="P140" s="118" t="s">
        <v>861</v>
      </c>
    </row>
    <row r="141" spans="1:16" s="436" customFormat="1" ht="15.75" thickBot="1">
      <c r="A141" s="638" t="s">
        <v>469</v>
      </c>
      <c r="B141" s="775" t="s">
        <v>334</v>
      </c>
      <c r="C141" s="34" t="s">
        <v>139</v>
      </c>
      <c r="D141" s="124" t="s">
        <v>99</v>
      </c>
      <c r="E141" s="749" t="s">
        <v>150</v>
      </c>
      <c r="F141" s="119">
        <v>1</v>
      </c>
      <c r="G141" s="119" t="s">
        <v>433</v>
      </c>
      <c r="H141" s="15"/>
      <c r="I141" s="15"/>
      <c r="J141" s="15"/>
      <c r="K141" s="15"/>
      <c r="L141" s="15"/>
      <c r="M141" s="15"/>
      <c r="N141" s="424" t="str">
        <f t="shared" si="27"/>
        <v/>
      </c>
      <c r="O141" s="424" t="str">
        <f t="shared" si="28"/>
        <v/>
      </c>
      <c r="P141" s="119" t="s">
        <v>1943</v>
      </c>
    </row>
    <row r="142" spans="1:16" s="436" customFormat="1">
      <c r="A142" s="634" t="s">
        <v>436</v>
      </c>
      <c r="B142" s="783" t="s">
        <v>470</v>
      </c>
      <c r="C142" s="34" t="s">
        <v>139</v>
      </c>
      <c r="D142" s="121" t="s">
        <v>99</v>
      </c>
      <c r="E142" s="632">
        <f>0.97*0.07</f>
        <v>6.7900000000000002E-2</v>
      </c>
      <c r="F142" s="11">
        <v>2</v>
      </c>
      <c r="G142" s="11" t="s">
        <v>433</v>
      </c>
      <c r="H142" s="13">
        <v>1</v>
      </c>
      <c r="I142" s="13">
        <v>2</v>
      </c>
      <c r="J142" s="13">
        <v>2</v>
      </c>
      <c r="K142" s="13">
        <v>1</v>
      </c>
      <c r="L142" s="13">
        <v>1</v>
      </c>
      <c r="M142" s="13">
        <v>1</v>
      </c>
      <c r="N142" s="425">
        <f t="shared" si="27"/>
        <v>0.16933510251023262</v>
      </c>
      <c r="O142" s="425">
        <f t="shared" si="28"/>
        <v>0.19908580854301616</v>
      </c>
      <c r="P142" s="42" t="s">
        <v>864</v>
      </c>
    </row>
    <row r="143" spans="1:16" s="436" customFormat="1">
      <c r="A143" s="636" t="s">
        <v>436</v>
      </c>
      <c r="B143" s="780" t="s">
        <v>471</v>
      </c>
      <c r="C143" s="34" t="s">
        <v>139</v>
      </c>
      <c r="D143" s="122" t="s">
        <v>99</v>
      </c>
      <c r="E143" s="242">
        <f>0.97*0.93</f>
        <v>0.90210000000000001</v>
      </c>
      <c r="F143" s="9">
        <v>2</v>
      </c>
      <c r="G143" s="9" t="s">
        <v>433</v>
      </c>
      <c r="H143" s="10">
        <v>1</v>
      </c>
      <c r="I143" s="10">
        <v>2</v>
      </c>
      <c r="J143" s="10">
        <v>2</v>
      </c>
      <c r="K143" s="10">
        <v>1</v>
      </c>
      <c r="L143" s="10">
        <v>1</v>
      </c>
      <c r="M143" s="10">
        <v>1</v>
      </c>
      <c r="N143" s="405">
        <f t="shared" si="27"/>
        <v>0.16933510251023262</v>
      </c>
      <c r="O143" s="405">
        <f t="shared" si="28"/>
        <v>0.19908580854301616</v>
      </c>
      <c r="P143" s="43" t="s">
        <v>865</v>
      </c>
    </row>
    <row r="144" spans="1:16" s="436" customFormat="1" ht="15.75" thickBot="1">
      <c r="A144" s="635" t="s">
        <v>436</v>
      </c>
      <c r="B144" s="784" t="s">
        <v>223</v>
      </c>
      <c r="C144" s="34" t="s">
        <v>139</v>
      </c>
      <c r="D144" s="123" t="s">
        <v>99</v>
      </c>
      <c r="E144" s="753">
        <v>0.03</v>
      </c>
      <c r="F144" s="12">
        <v>1</v>
      </c>
      <c r="G144" s="12" t="s">
        <v>433</v>
      </c>
      <c r="H144" s="14">
        <v>1</v>
      </c>
      <c r="I144" s="14">
        <v>2</v>
      </c>
      <c r="J144" s="14">
        <v>2</v>
      </c>
      <c r="K144" s="14">
        <v>1</v>
      </c>
      <c r="L144" s="14">
        <v>1</v>
      </c>
      <c r="M144" s="14">
        <v>1</v>
      </c>
      <c r="N144" s="428">
        <f t="shared" si="27"/>
        <v>0.16933510251023262</v>
      </c>
      <c r="O144" s="428">
        <f t="shared" si="28"/>
        <v>0.19908580854301616</v>
      </c>
      <c r="P144" s="44" t="s">
        <v>854</v>
      </c>
    </row>
    <row r="145" spans="1:16" s="436" customFormat="1">
      <c r="A145" s="774" t="s">
        <v>470</v>
      </c>
      <c r="B145" s="437" t="s">
        <v>473</v>
      </c>
      <c r="C145" s="34" t="s">
        <v>139</v>
      </c>
      <c r="D145" s="121" t="s">
        <v>99</v>
      </c>
      <c r="E145" s="632">
        <v>0.03</v>
      </c>
      <c r="F145" s="11">
        <v>2</v>
      </c>
      <c r="G145" s="11" t="s">
        <v>433</v>
      </c>
      <c r="H145" s="13">
        <v>1</v>
      </c>
      <c r="I145" s="13">
        <v>2</v>
      </c>
      <c r="J145" s="13">
        <v>2</v>
      </c>
      <c r="K145" s="13">
        <v>1</v>
      </c>
      <c r="L145" s="13">
        <v>1</v>
      </c>
      <c r="M145" s="13">
        <v>1</v>
      </c>
      <c r="N145" s="425">
        <f t="shared" si="27"/>
        <v>0.16933510251023262</v>
      </c>
      <c r="O145" s="425">
        <f t="shared" si="28"/>
        <v>0.19908580854301616</v>
      </c>
      <c r="P145" s="42" t="s">
        <v>855</v>
      </c>
    </row>
    <row r="146" spans="1:16" s="436" customFormat="1" ht="15.75" thickBot="1">
      <c r="A146" s="775" t="s">
        <v>470</v>
      </c>
      <c r="B146" s="773" t="s">
        <v>474</v>
      </c>
      <c r="C146" s="34" t="s">
        <v>139</v>
      </c>
      <c r="D146" s="123" t="s">
        <v>99</v>
      </c>
      <c r="E146" s="753" t="s">
        <v>150</v>
      </c>
      <c r="F146" s="12">
        <v>1</v>
      </c>
      <c r="G146" s="12" t="s">
        <v>433</v>
      </c>
      <c r="H146" s="14"/>
      <c r="I146" s="14"/>
      <c r="J146" s="14"/>
      <c r="K146" s="14"/>
      <c r="L146" s="14"/>
      <c r="M146" s="14"/>
      <c r="N146" s="428" t="str">
        <f t="shared" si="27"/>
        <v/>
      </c>
      <c r="O146" s="428" t="str">
        <f t="shared" si="28"/>
        <v/>
      </c>
      <c r="P146" s="44" t="s">
        <v>1944</v>
      </c>
    </row>
    <row r="147" spans="1:16" s="436" customFormat="1">
      <c r="A147" s="634" t="s">
        <v>473</v>
      </c>
      <c r="B147" s="774" t="s">
        <v>231</v>
      </c>
      <c r="C147" s="34" t="s">
        <v>139</v>
      </c>
      <c r="D147" s="614" t="s">
        <v>99</v>
      </c>
      <c r="E147" s="755">
        <v>0.05</v>
      </c>
      <c r="F147" s="754">
        <v>2</v>
      </c>
      <c r="G147" s="11" t="s">
        <v>157</v>
      </c>
      <c r="H147" s="66">
        <v>1</v>
      </c>
      <c r="I147" s="66">
        <v>2</v>
      </c>
      <c r="J147" s="66">
        <v>2</v>
      </c>
      <c r="K147" s="66">
        <v>1</v>
      </c>
      <c r="L147" s="71">
        <v>3</v>
      </c>
      <c r="M147" s="66">
        <v>3</v>
      </c>
      <c r="N147" s="438">
        <f t="shared" si="27"/>
        <v>1.0725046436742278</v>
      </c>
      <c r="O147" s="438">
        <f t="shared" si="28"/>
        <v>1.0776024280428556</v>
      </c>
      <c r="P147" s="776" t="s">
        <v>1937</v>
      </c>
    </row>
    <row r="148" spans="1:16" s="436" customFormat="1">
      <c r="A148" s="636" t="s">
        <v>473</v>
      </c>
      <c r="B148" s="780" t="s">
        <v>232</v>
      </c>
      <c r="C148" s="34" t="s">
        <v>139</v>
      </c>
      <c r="D148" s="122" t="s">
        <v>99</v>
      </c>
      <c r="E148" s="242">
        <v>0.39400000000000002</v>
      </c>
      <c r="F148" s="9">
        <v>2</v>
      </c>
      <c r="G148" s="9" t="s">
        <v>433</v>
      </c>
      <c r="H148" s="10">
        <v>1</v>
      </c>
      <c r="I148" s="10">
        <v>2</v>
      </c>
      <c r="J148" s="10">
        <v>2</v>
      </c>
      <c r="K148" s="10">
        <v>1</v>
      </c>
      <c r="L148" s="10">
        <v>1</v>
      </c>
      <c r="M148" s="10">
        <v>1</v>
      </c>
      <c r="N148" s="405">
        <f t="shared" si="27"/>
        <v>0.16933510251023262</v>
      </c>
      <c r="O148" s="405">
        <f t="shared" si="28"/>
        <v>0.19908580854301616</v>
      </c>
      <c r="P148" s="43" t="s">
        <v>1961</v>
      </c>
    </row>
    <row r="149" spans="1:16" s="436" customFormat="1">
      <c r="A149" s="636" t="s">
        <v>473</v>
      </c>
      <c r="B149" s="780" t="s">
        <v>251</v>
      </c>
      <c r="C149" s="34" t="s">
        <v>139</v>
      </c>
      <c r="D149" s="122" t="s">
        <v>99</v>
      </c>
      <c r="E149" s="242">
        <v>0.52200000000000002</v>
      </c>
      <c r="F149" s="7">
        <v>1</v>
      </c>
      <c r="G149" s="9" t="s">
        <v>433</v>
      </c>
      <c r="H149" s="10">
        <v>1</v>
      </c>
      <c r="I149" s="10">
        <v>2</v>
      </c>
      <c r="J149" s="10">
        <v>2</v>
      </c>
      <c r="K149" s="10">
        <v>1</v>
      </c>
      <c r="L149" s="10">
        <v>1</v>
      </c>
      <c r="M149" s="10">
        <v>1</v>
      </c>
      <c r="N149" s="405">
        <f t="shared" si="27"/>
        <v>0.16933510251023262</v>
      </c>
      <c r="O149" s="405">
        <f t="shared" si="28"/>
        <v>0.19908580854301616</v>
      </c>
      <c r="P149" s="43" t="s">
        <v>1962</v>
      </c>
    </row>
    <row r="150" spans="1:16" s="436" customFormat="1" ht="15.75" thickBot="1">
      <c r="A150" s="635" t="s">
        <v>473</v>
      </c>
      <c r="B150" s="775" t="s">
        <v>258</v>
      </c>
      <c r="C150" s="34" t="s">
        <v>139</v>
      </c>
      <c r="D150" s="124" t="s">
        <v>99</v>
      </c>
      <c r="E150" s="749">
        <v>3.4000000000000002E-2</v>
      </c>
      <c r="F150" s="119">
        <v>2</v>
      </c>
      <c r="G150" s="119" t="s">
        <v>433</v>
      </c>
      <c r="H150" s="15"/>
      <c r="I150" s="15"/>
      <c r="J150" s="15"/>
      <c r="K150" s="15"/>
      <c r="L150" s="15"/>
      <c r="M150" s="15"/>
      <c r="N150" s="424"/>
      <c r="O150" s="424"/>
      <c r="P150" s="155" t="s">
        <v>1963</v>
      </c>
    </row>
    <row r="151" spans="1:16" s="436" customFormat="1">
      <c r="A151" s="774" t="s">
        <v>471</v>
      </c>
      <c r="B151" s="437" t="s">
        <v>475</v>
      </c>
      <c r="C151" s="34" t="s">
        <v>139</v>
      </c>
      <c r="D151" s="121" t="s">
        <v>99</v>
      </c>
      <c r="E151" s="632">
        <f>0.1*E145</f>
        <v>3.0000000000000001E-3</v>
      </c>
      <c r="F151" s="11">
        <v>2</v>
      </c>
      <c r="G151" s="11" t="s">
        <v>433</v>
      </c>
      <c r="H151" s="13">
        <v>1</v>
      </c>
      <c r="I151" s="13">
        <v>2</v>
      </c>
      <c r="J151" s="13">
        <v>2</v>
      </c>
      <c r="K151" s="13">
        <v>1</v>
      </c>
      <c r="L151" s="13">
        <v>1</v>
      </c>
      <c r="M151" s="13">
        <v>1</v>
      </c>
      <c r="N151" s="425">
        <f t="shared" si="27"/>
        <v>0.16933510251023262</v>
      </c>
      <c r="O151" s="425">
        <f t="shared" si="28"/>
        <v>0.19908580854301616</v>
      </c>
      <c r="P151" s="42" t="s">
        <v>856</v>
      </c>
    </row>
    <row r="152" spans="1:16" s="436" customFormat="1" ht="15.75" thickBot="1">
      <c r="A152" s="775" t="s">
        <v>471</v>
      </c>
      <c r="B152" s="773" t="s">
        <v>476</v>
      </c>
      <c r="C152" s="34" t="s">
        <v>139</v>
      </c>
      <c r="D152" s="123" t="s">
        <v>99</v>
      </c>
      <c r="E152" s="753" t="s">
        <v>150</v>
      </c>
      <c r="F152" s="12">
        <v>1</v>
      </c>
      <c r="G152" s="12" t="s">
        <v>433</v>
      </c>
      <c r="H152" s="14"/>
      <c r="I152" s="14"/>
      <c r="J152" s="14"/>
      <c r="K152" s="14"/>
      <c r="L152" s="14"/>
      <c r="M152" s="14"/>
      <c r="N152" s="428" t="str">
        <f t="shared" si="27"/>
        <v/>
      </c>
      <c r="O152" s="428" t="str">
        <f t="shared" si="28"/>
        <v/>
      </c>
      <c r="P152" s="44" t="s">
        <v>1944</v>
      </c>
    </row>
    <row r="153" spans="1:16" s="436" customFormat="1" ht="15.75" thickBot="1">
      <c r="A153" s="633" t="s">
        <v>475</v>
      </c>
      <c r="B153" s="785" t="s">
        <v>228</v>
      </c>
      <c r="C153" s="34" t="s">
        <v>139</v>
      </c>
      <c r="D153" s="781" t="s">
        <v>99</v>
      </c>
      <c r="E153" s="751">
        <v>1</v>
      </c>
      <c r="F153" s="750">
        <v>2</v>
      </c>
      <c r="G153" s="750" t="s">
        <v>433</v>
      </c>
      <c r="H153" s="70">
        <v>1</v>
      </c>
      <c r="I153" s="70">
        <v>2</v>
      </c>
      <c r="J153" s="70">
        <v>2</v>
      </c>
      <c r="K153" s="70">
        <v>1</v>
      </c>
      <c r="L153" s="70">
        <v>1</v>
      </c>
      <c r="M153" s="70">
        <v>1</v>
      </c>
      <c r="N153" s="439">
        <f t="shared" si="27"/>
        <v>0.16933510251023262</v>
      </c>
      <c r="O153" s="439">
        <f t="shared" si="28"/>
        <v>0.19908580854301616</v>
      </c>
      <c r="P153" s="752" t="s">
        <v>857</v>
      </c>
    </row>
    <row r="154" spans="1:16" s="436" customFormat="1">
      <c r="A154" s="637" t="s">
        <v>474</v>
      </c>
      <c r="B154" s="783" t="s">
        <v>231</v>
      </c>
      <c r="C154" s="34" t="s">
        <v>139</v>
      </c>
      <c r="D154" s="614" t="s">
        <v>99</v>
      </c>
      <c r="E154" s="744">
        <v>0</v>
      </c>
      <c r="F154" s="118">
        <v>2</v>
      </c>
      <c r="G154" s="118" t="s">
        <v>433</v>
      </c>
      <c r="H154" s="66">
        <v>1</v>
      </c>
      <c r="I154" s="66">
        <v>2</v>
      </c>
      <c r="J154" s="66">
        <v>2</v>
      </c>
      <c r="K154" s="66">
        <v>1</v>
      </c>
      <c r="L154" s="15">
        <v>1</v>
      </c>
      <c r="M154" s="13">
        <v>1</v>
      </c>
      <c r="N154" s="438">
        <f t="shared" si="27"/>
        <v>0.16933510251023262</v>
      </c>
      <c r="O154" s="438">
        <f t="shared" si="28"/>
        <v>0.19908580854301616</v>
      </c>
      <c r="P154" s="42" t="s">
        <v>1969</v>
      </c>
    </row>
    <row r="155" spans="1:16" s="436" customFormat="1">
      <c r="A155" s="313" t="s">
        <v>474</v>
      </c>
      <c r="B155" s="780" t="s">
        <v>232</v>
      </c>
      <c r="C155" s="34" t="s">
        <v>139</v>
      </c>
      <c r="D155" s="122" t="s">
        <v>99</v>
      </c>
      <c r="E155" s="242">
        <v>0</v>
      </c>
      <c r="F155" s="9">
        <v>2</v>
      </c>
      <c r="G155" s="9" t="s">
        <v>433</v>
      </c>
      <c r="H155" s="10">
        <v>1</v>
      </c>
      <c r="I155" s="10">
        <v>2</v>
      </c>
      <c r="J155" s="10">
        <v>2</v>
      </c>
      <c r="K155" s="10">
        <v>1</v>
      </c>
      <c r="L155" s="10">
        <v>1</v>
      </c>
      <c r="M155" s="10">
        <v>1</v>
      </c>
      <c r="N155" s="405">
        <f t="shared" si="27"/>
        <v>0.16933510251023262</v>
      </c>
      <c r="O155" s="405">
        <f t="shared" si="28"/>
        <v>0.19908580854301616</v>
      </c>
      <c r="P155" s="43" t="s">
        <v>1969</v>
      </c>
    </row>
    <row r="156" spans="1:16" s="436" customFormat="1">
      <c r="A156" s="313" t="s">
        <v>474</v>
      </c>
      <c r="B156" s="780" t="s">
        <v>251</v>
      </c>
      <c r="C156" s="34" t="s">
        <v>139</v>
      </c>
      <c r="D156" s="122" t="s">
        <v>99</v>
      </c>
      <c r="E156" s="242">
        <v>0</v>
      </c>
      <c r="F156" s="9">
        <v>2</v>
      </c>
      <c r="G156" s="9" t="s">
        <v>433</v>
      </c>
      <c r="H156" s="10">
        <v>1</v>
      </c>
      <c r="I156" s="10">
        <v>2</v>
      </c>
      <c r="J156" s="10">
        <v>2</v>
      </c>
      <c r="K156" s="10">
        <v>1</v>
      </c>
      <c r="L156" s="10">
        <v>1</v>
      </c>
      <c r="M156" s="10">
        <v>1</v>
      </c>
      <c r="N156" s="405">
        <f t="shared" si="27"/>
        <v>0.16933510251023262</v>
      </c>
      <c r="O156" s="405">
        <f t="shared" si="28"/>
        <v>0.19908580854301616</v>
      </c>
      <c r="P156" s="43" t="s">
        <v>1969</v>
      </c>
    </row>
    <row r="157" spans="1:16" s="436" customFormat="1">
      <c r="A157" s="313" t="s">
        <v>474</v>
      </c>
      <c r="B157" s="775" t="s">
        <v>258</v>
      </c>
      <c r="C157" s="34" t="s">
        <v>139</v>
      </c>
      <c r="D157" s="124" t="s">
        <v>99</v>
      </c>
      <c r="E157" s="749">
        <v>0</v>
      </c>
      <c r="F157" s="119">
        <v>2</v>
      </c>
      <c r="G157" s="119" t="s">
        <v>433</v>
      </c>
      <c r="H157" s="10">
        <v>1</v>
      </c>
      <c r="I157" s="10">
        <v>2</v>
      </c>
      <c r="J157" s="10">
        <v>2</v>
      </c>
      <c r="K157" s="10">
        <v>1</v>
      </c>
      <c r="L157" s="10">
        <v>1</v>
      </c>
      <c r="M157" s="10">
        <v>1</v>
      </c>
      <c r="N157" s="405">
        <f>IF( OR( ISBLANK(H157),ISBLANK(J157), ISBLANK(K157), ISBLANK(L157), ISBLANK(M157) ), "", 1.5*SQRT(   EXP(2.21*(H157-1)) + EXP(2.21*(J157-1)) + EXP(2.21*(K157-1)) + EXP(2.21*(L157-1)) + EXP(2.21*M157)   )/100*2.45 )</f>
        <v>0.16933510251023262</v>
      </c>
      <c r="O157" s="405">
        <f>IF( OR( ISBLANK(I157),ISBLANK(J157), ISBLANK(K157), ISBLANK(L157), ISBLANK(M157) ), "", 1.5*SQRT( EXP(2.21*(I157-1)) + EXP(2.21*(J157-1)) + EXP(2.21*(K157-1)) + EXP(2.21*(L157-1)) + EXP(2.21*M157)   )/100*2.45 )</f>
        <v>0.19908580854301616</v>
      </c>
      <c r="P157" s="155" t="s">
        <v>1969</v>
      </c>
    </row>
    <row r="158" spans="1:16" s="436" customFormat="1" ht="15.75" thickBot="1">
      <c r="A158" s="638" t="s">
        <v>474</v>
      </c>
      <c r="B158" s="784" t="s">
        <v>334</v>
      </c>
      <c r="C158" s="34" t="s">
        <v>139</v>
      </c>
      <c r="D158" s="124" t="s">
        <v>99</v>
      </c>
      <c r="E158" s="749" t="s">
        <v>150</v>
      </c>
      <c r="F158" s="119">
        <v>1</v>
      </c>
      <c r="G158" s="119" t="s">
        <v>433</v>
      </c>
      <c r="H158" s="15"/>
      <c r="I158" s="15"/>
      <c r="J158" s="15"/>
      <c r="K158" s="15"/>
      <c r="L158" s="15"/>
      <c r="M158" s="15"/>
      <c r="N158" s="424" t="str">
        <f t="shared" si="27"/>
        <v/>
      </c>
      <c r="O158" s="424" t="str">
        <f t="shared" si="28"/>
        <v/>
      </c>
      <c r="P158" s="44"/>
    </row>
    <row r="159" spans="1:16" s="436" customFormat="1">
      <c r="A159" s="634" t="s">
        <v>476</v>
      </c>
      <c r="B159" s="783" t="s">
        <v>228</v>
      </c>
      <c r="C159" s="34" t="s">
        <v>139</v>
      </c>
      <c r="D159" s="121" t="s">
        <v>99</v>
      </c>
      <c r="E159" s="632">
        <v>0</v>
      </c>
      <c r="F159" s="11">
        <v>2</v>
      </c>
      <c r="G159" s="11" t="s">
        <v>433</v>
      </c>
      <c r="H159" s="13">
        <v>1</v>
      </c>
      <c r="I159" s="13">
        <v>2</v>
      </c>
      <c r="J159" s="13">
        <v>2</v>
      </c>
      <c r="K159" s="13">
        <v>1</v>
      </c>
      <c r="L159" s="13">
        <v>1</v>
      </c>
      <c r="M159" s="13">
        <v>1</v>
      </c>
      <c r="N159" s="425">
        <f t="shared" si="27"/>
        <v>0.16933510251023262</v>
      </c>
      <c r="O159" s="425">
        <f t="shared" si="28"/>
        <v>0.19908580854301616</v>
      </c>
      <c r="P159" s="42" t="s">
        <v>858</v>
      </c>
    </row>
    <row r="160" spans="1:16" s="436" customFormat="1" ht="15.75" thickBot="1">
      <c r="A160" s="635" t="s">
        <v>476</v>
      </c>
      <c r="B160" s="784" t="s">
        <v>334</v>
      </c>
      <c r="C160" s="34" t="s">
        <v>139</v>
      </c>
      <c r="D160" s="123" t="s">
        <v>99</v>
      </c>
      <c r="E160" s="753" t="s">
        <v>150</v>
      </c>
      <c r="F160" s="12">
        <v>1</v>
      </c>
      <c r="G160" s="12" t="s">
        <v>433</v>
      </c>
      <c r="H160" s="14"/>
      <c r="I160" s="14"/>
      <c r="J160" s="14"/>
      <c r="K160" s="14"/>
      <c r="L160" s="14"/>
      <c r="M160" s="14"/>
      <c r="N160" s="428" t="str">
        <f t="shared" si="27"/>
        <v/>
      </c>
      <c r="O160" s="428" t="str">
        <f t="shared" si="28"/>
        <v/>
      </c>
      <c r="P160" s="44" t="s">
        <v>1945</v>
      </c>
    </row>
    <row r="161" spans="1:16" s="436" customFormat="1">
      <c r="A161" s="637" t="s">
        <v>437</v>
      </c>
      <c r="B161" s="774" t="s">
        <v>478</v>
      </c>
      <c r="C161" s="34" t="s">
        <v>139</v>
      </c>
      <c r="D161" s="614" t="s">
        <v>99</v>
      </c>
      <c r="E161" s="744">
        <f>0.97*0.03</f>
        <v>2.9099999999999997E-2</v>
      </c>
      <c r="F161" s="118">
        <v>2</v>
      </c>
      <c r="G161" s="118" t="s">
        <v>433</v>
      </c>
      <c r="H161" s="66">
        <v>1</v>
      </c>
      <c r="I161" s="66">
        <v>2</v>
      </c>
      <c r="J161" s="66">
        <v>2</v>
      </c>
      <c r="K161" s="66">
        <v>1</v>
      </c>
      <c r="L161" s="66">
        <v>1</v>
      </c>
      <c r="M161" s="66">
        <v>1</v>
      </c>
      <c r="N161" s="438">
        <f t="shared" si="27"/>
        <v>0.16933510251023262</v>
      </c>
      <c r="O161" s="438">
        <f t="shared" si="28"/>
        <v>0.19908580854301616</v>
      </c>
      <c r="P161" s="118" t="s">
        <v>866</v>
      </c>
    </row>
    <row r="162" spans="1:16" s="436" customFormat="1">
      <c r="A162" s="313" t="s">
        <v>437</v>
      </c>
      <c r="B162" s="780" t="s">
        <v>479</v>
      </c>
      <c r="C162" s="34" t="s">
        <v>139</v>
      </c>
      <c r="D162" s="122" t="s">
        <v>99</v>
      </c>
      <c r="E162" s="242">
        <f>0.97*0.97</f>
        <v>0.94089999999999996</v>
      </c>
      <c r="F162" s="9">
        <v>2</v>
      </c>
      <c r="G162" s="9" t="s">
        <v>433</v>
      </c>
      <c r="H162" s="10">
        <v>1</v>
      </c>
      <c r="I162" s="10">
        <v>2</v>
      </c>
      <c r="J162" s="10">
        <v>2</v>
      </c>
      <c r="K162" s="10">
        <v>1</v>
      </c>
      <c r="L162" s="10">
        <v>1</v>
      </c>
      <c r="M162" s="10">
        <v>1</v>
      </c>
      <c r="N162" s="405">
        <f t="shared" si="27"/>
        <v>0.16933510251023262</v>
      </c>
      <c r="O162" s="405">
        <f t="shared" si="28"/>
        <v>0.19908580854301616</v>
      </c>
      <c r="P162" s="9" t="s">
        <v>867</v>
      </c>
    </row>
    <row r="163" spans="1:16" s="436" customFormat="1" ht="15.75" thickBot="1">
      <c r="A163" s="638" t="s">
        <v>437</v>
      </c>
      <c r="B163" s="775" t="s">
        <v>223</v>
      </c>
      <c r="C163" s="34" t="s">
        <v>139</v>
      </c>
      <c r="D163" s="124" t="s">
        <v>99</v>
      </c>
      <c r="E163" s="749">
        <v>0.03</v>
      </c>
      <c r="F163" s="119">
        <v>1</v>
      </c>
      <c r="G163" s="119" t="s">
        <v>433</v>
      </c>
      <c r="H163" s="15">
        <v>1</v>
      </c>
      <c r="I163" s="15">
        <v>2</v>
      </c>
      <c r="J163" s="15">
        <v>2</v>
      </c>
      <c r="K163" s="15">
        <v>1</v>
      </c>
      <c r="L163" s="15">
        <v>1</v>
      </c>
      <c r="M163" s="15">
        <v>1</v>
      </c>
      <c r="N163" s="424">
        <f t="shared" si="27"/>
        <v>0.16933510251023262</v>
      </c>
      <c r="O163" s="424">
        <f t="shared" si="28"/>
        <v>0.19908580854301616</v>
      </c>
      <c r="P163" s="119" t="s">
        <v>854</v>
      </c>
    </row>
    <row r="164" spans="1:16" s="436" customFormat="1">
      <c r="A164" s="634" t="s">
        <v>478</v>
      </c>
      <c r="B164" s="783" t="s">
        <v>481</v>
      </c>
      <c r="C164" s="34" t="s">
        <v>139</v>
      </c>
      <c r="D164" s="121" t="s">
        <v>99</v>
      </c>
      <c r="E164" s="632">
        <v>0.03</v>
      </c>
      <c r="F164" s="11">
        <v>2</v>
      </c>
      <c r="G164" s="11" t="s">
        <v>433</v>
      </c>
      <c r="H164" s="13">
        <v>1</v>
      </c>
      <c r="I164" s="13">
        <v>2</v>
      </c>
      <c r="J164" s="13">
        <v>2</v>
      </c>
      <c r="K164" s="13">
        <v>1</v>
      </c>
      <c r="L164" s="13">
        <v>1</v>
      </c>
      <c r="M164" s="13">
        <v>1</v>
      </c>
      <c r="N164" s="425">
        <f t="shared" si="27"/>
        <v>0.16933510251023262</v>
      </c>
      <c r="O164" s="425">
        <f t="shared" si="28"/>
        <v>0.19908580854301616</v>
      </c>
      <c r="P164" s="42" t="s">
        <v>855</v>
      </c>
    </row>
    <row r="165" spans="1:16" s="436" customFormat="1" ht="15.75" thickBot="1">
      <c r="A165" s="635" t="s">
        <v>478</v>
      </c>
      <c r="B165" s="784" t="s">
        <v>482</v>
      </c>
      <c r="C165" s="34" t="s">
        <v>139</v>
      </c>
      <c r="D165" s="123" t="s">
        <v>99</v>
      </c>
      <c r="E165" s="753" t="s">
        <v>150</v>
      </c>
      <c r="F165" s="12">
        <v>1</v>
      </c>
      <c r="G165" s="12" t="s">
        <v>433</v>
      </c>
      <c r="H165" s="14"/>
      <c r="I165" s="14"/>
      <c r="J165" s="14"/>
      <c r="K165" s="14"/>
      <c r="L165" s="14"/>
      <c r="M165" s="14"/>
      <c r="N165" s="428" t="str">
        <f t="shared" si="27"/>
        <v/>
      </c>
      <c r="O165" s="428" t="str">
        <f t="shared" si="28"/>
        <v/>
      </c>
      <c r="P165" s="44" t="s">
        <v>1946</v>
      </c>
    </row>
    <row r="166" spans="1:16" s="436" customFormat="1">
      <c r="A166" s="637" t="s">
        <v>481</v>
      </c>
      <c r="B166" s="774" t="s">
        <v>231</v>
      </c>
      <c r="C166" s="34" t="s">
        <v>139</v>
      </c>
      <c r="D166" s="614" t="s">
        <v>99</v>
      </c>
      <c r="E166" s="749">
        <v>0.05</v>
      </c>
      <c r="F166" s="119">
        <v>2</v>
      </c>
      <c r="G166" s="11" t="s">
        <v>157</v>
      </c>
      <c r="H166" s="66">
        <v>1</v>
      </c>
      <c r="I166" s="66">
        <v>2</v>
      </c>
      <c r="J166" s="66">
        <v>2</v>
      </c>
      <c r="K166" s="66">
        <v>1</v>
      </c>
      <c r="L166" s="15">
        <v>3</v>
      </c>
      <c r="M166" s="13">
        <v>3</v>
      </c>
      <c r="N166" s="438">
        <f t="shared" si="27"/>
        <v>1.0725046436742278</v>
      </c>
      <c r="O166" s="438">
        <f t="shared" si="28"/>
        <v>1.0776024280428556</v>
      </c>
      <c r="P166" s="119" t="s">
        <v>1937</v>
      </c>
    </row>
    <row r="167" spans="1:16" s="436" customFormat="1">
      <c r="A167" s="313" t="s">
        <v>481</v>
      </c>
      <c r="B167" s="780" t="s">
        <v>232</v>
      </c>
      <c r="C167" s="34" t="s">
        <v>139</v>
      </c>
      <c r="D167" s="122" t="s">
        <v>99</v>
      </c>
      <c r="E167" s="242">
        <v>0.39400000000000002</v>
      </c>
      <c r="F167" s="9">
        <v>2</v>
      </c>
      <c r="G167" s="9" t="s">
        <v>433</v>
      </c>
      <c r="H167" s="10">
        <v>1</v>
      </c>
      <c r="I167" s="10">
        <v>2</v>
      </c>
      <c r="J167" s="10">
        <v>2</v>
      </c>
      <c r="K167" s="10">
        <v>1</v>
      </c>
      <c r="L167" s="10">
        <v>1</v>
      </c>
      <c r="M167" s="10">
        <v>1</v>
      </c>
      <c r="N167" s="405">
        <f t="shared" si="27"/>
        <v>0.16933510251023262</v>
      </c>
      <c r="O167" s="405">
        <f t="shared" si="28"/>
        <v>0.19908580854301616</v>
      </c>
      <c r="P167" s="9" t="s">
        <v>1961</v>
      </c>
    </row>
    <row r="168" spans="1:16" s="436" customFormat="1">
      <c r="A168" s="638" t="s">
        <v>481</v>
      </c>
      <c r="B168" s="775" t="s">
        <v>251</v>
      </c>
      <c r="C168" s="34" t="s">
        <v>139</v>
      </c>
      <c r="D168" s="124" t="s">
        <v>99</v>
      </c>
      <c r="E168" s="242">
        <v>0.52200000000000002</v>
      </c>
      <c r="F168" s="7">
        <v>1</v>
      </c>
      <c r="G168" s="9" t="s">
        <v>433</v>
      </c>
      <c r="H168" s="15">
        <v>1</v>
      </c>
      <c r="I168" s="15">
        <v>2</v>
      </c>
      <c r="J168" s="15">
        <v>2</v>
      </c>
      <c r="K168" s="15">
        <v>1</v>
      </c>
      <c r="L168" s="15">
        <v>1</v>
      </c>
      <c r="M168" s="15">
        <v>1</v>
      </c>
      <c r="N168" s="424">
        <f t="shared" si="27"/>
        <v>0.16933510251023262</v>
      </c>
      <c r="O168" s="424">
        <f t="shared" si="28"/>
        <v>0.19908580854301616</v>
      </c>
      <c r="P168" s="9" t="s">
        <v>1962</v>
      </c>
    </row>
    <row r="169" spans="1:16" s="436" customFormat="1" ht="15.75" thickBot="1">
      <c r="A169" s="638" t="s">
        <v>481</v>
      </c>
      <c r="B169" s="775" t="s">
        <v>258</v>
      </c>
      <c r="C169" s="34" t="s">
        <v>139</v>
      </c>
      <c r="D169" s="124" t="s">
        <v>99</v>
      </c>
      <c r="E169" s="749">
        <v>3.4000000000000002E-2</v>
      </c>
      <c r="F169" s="119">
        <v>2</v>
      </c>
      <c r="G169" s="9" t="s">
        <v>433</v>
      </c>
      <c r="H169" s="15"/>
      <c r="I169" s="15"/>
      <c r="J169" s="15"/>
      <c r="K169" s="15"/>
      <c r="L169" s="15"/>
      <c r="M169" s="15"/>
      <c r="N169" s="424"/>
      <c r="O169" s="424"/>
      <c r="P169" s="119" t="s">
        <v>1963</v>
      </c>
    </row>
    <row r="170" spans="1:16" s="436" customFormat="1">
      <c r="A170" s="634" t="s">
        <v>479</v>
      </c>
      <c r="B170" s="783" t="s">
        <v>483</v>
      </c>
      <c r="C170" s="34" t="s">
        <v>139</v>
      </c>
      <c r="D170" s="121" t="s">
        <v>99</v>
      </c>
      <c r="E170" s="632">
        <f>0.1*E164</f>
        <v>3.0000000000000001E-3</v>
      </c>
      <c r="F170" s="11">
        <v>2</v>
      </c>
      <c r="G170" s="11" t="s">
        <v>433</v>
      </c>
      <c r="H170" s="13">
        <v>1</v>
      </c>
      <c r="I170" s="13">
        <v>2</v>
      </c>
      <c r="J170" s="13">
        <v>2</v>
      </c>
      <c r="K170" s="13">
        <v>1</v>
      </c>
      <c r="L170" s="13">
        <v>1</v>
      </c>
      <c r="M170" s="13">
        <v>1</v>
      </c>
      <c r="N170" s="425">
        <f t="shared" si="27"/>
        <v>0.16933510251023262</v>
      </c>
      <c r="O170" s="425">
        <f t="shared" si="28"/>
        <v>0.19908580854301616</v>
      </c>
      <c r="P170" s="42" t="s">
        <v>856</v>
      </c>
    </row>
    <row r="171" spans="1:16" s="436" customFormat="1" ht="15.75" thickBot="1">
      <c r="A171" s="635" t="s">
        <v>479</v>
      </c>
      <c r="B171" s="784" t="s">
        <v>484</v>
      </c>
      <c r="C171" s="34" t="s">
        <v>139</v>
      </c>
      <c r="D171" s="123" t="s">
        <v>99</v>
      </c>
      <c r="E171" s="753" t="s">
        <v>150</v>
      </c>
      <c r="F171" s="12">
        <v>1</v>
      </c>
      <c r="G171" s="12" t="s">
        <v>433</v>
      </c>
      <c r="H171" s="14"/>
      <c r="I171" s="14"/>
      <c r="J171" s="14"/>
      <c r="K171" s="14"/>
      <c r="L171" s="14"/>
      <c r="M171" s="14"/>
      <c r="N171" s="428" t="str">
        <f t="shared" si="27"/>
        <v/>
      </c>
      <c r="O171" s="428" t="str">
        <f t="shared" si="28"/>
        <v/>
      </c>
      <c r="P171" s="44" t="s">
        <v>1946</v>
      </c>
    </row>
    <row r="172" spans="1:16" s="436" customFormat="1" ht="15.75" thickBot="1">
      <c r="A172" s="777" t="s">
        <v>483</v>
      </c>
      <c r="B172" s="786" t="s">
        <v>228</v>
      </c>
      <c r="C172" s="34" t="s">
        <v>139</v>
      </c>
      <c r="D172" s="781" t="s">
        <v>99</v>
      </c>
      <c r="E172" s="751">
        <v>1</v>
      </c>
      <c r="F172" s="750">
        <v>2</v>
      </c>
      <c r="G172" s="750" t="s">
        <v>433</v>
      </c>
      <c r="H172" s="70">
        <v>1</v>
      </c>
      <c r="I172" s="70">
        <v>2</v>
      </c>
      <c r="J172" s="70">
        <v>2</v>
      </c>
      <c r="K172" s="70">
        <v>1</v>
      </c>
      <c r="L172" s="70">
        <v>1</v>
      </c>
      <c r="M172" s="70">
        <v>1</v>
      </c>
      <c r="N172" s="439">
        <f t="shared" si="27"/>
        <v>0.16933510251023262</v>
      </c>
      <c r="O172" s="439">
        <f t="shared" si="28"/>
        <v>0.19908580854301616</v>
      </c>
      <c r="P172" s="752" t="s">
        <v>857</v>
      </c>
    </row>
    <row r="173" spans="1:16" s="436" customFormat="1">
      <c r="A173" s="634" t="s">
        <v>482</v>
      </c>
      <c r="B173" s="774" t="s">
        <v>231</v>
      </c>
      <c r="C173" s="34" t="s">
        <v>139</v>
      </c>
      <c r="D173" s="614" t="s">
        <v>99</v>
      </c>
      <c r="E173" s="744">
        <v>0</v>
      </c>
      <c r="F173" s="118">
        <v>2</v>
      </c>
      <c r="G173" s="118" t="s">
        <v>433</v>
      </c>
      <c r="H173" s="66">
        <v>1</v>
      </c>
      <c r="I173" s="66">
        <v>2</v>
      </c>
      <c r="J173" s="66">
        <v>2</v>
      </c>
      <c r="K173" s="66">
        <v>1</v>
      </c>
      <c r="L173" s="71">
        <v>1</v>
      </c>
      <c r="M173" s="66">
        <v>1</v>
      </c>
      <c r="N173" s="438">
        <f t="shared" si="27"/>
        <v>0.16933510251023262</v>
      </c>
      <c r="O173" s="438">
        <f t="shared" si="28"/>
        <v>0.19908580854301616</v>
      </c>
      <c r="P173" s="660" t="s">
        <v>1968</v>
      </c>
    </row>
    <row r="174" spans="1:16" s="436" customFormat="1">
      <c r="A174" s="636" t="s">
        <v>482</v>
      </c>
      <c r="B174" s="780" t="s">
        <v>232</v>
      </c>
      <c r="C174" s="34" t="s">
        <v>139</v>
      </c>
      <c r="D174" s="122" t="s">
        <v>99</v>
      </c>
      <c r="E174" s="242">
        <v>0</v>
      </c>
      <c r="F174" s="9">
        <v>2</v>
      </c>
      <c r="G174" s="9" t="s">
        <v>433</v>
      </c>
      <c r="H174" s="10">
        <v>1</v>
      </c>
      <c r="I174" s="10">
        <v>2</v>
      </c>
      <c r="J174" s="10">
        <v>2</v>
      </c>
      <c r="K174" s="10">
        <v>1</v>
      </c>
      <c r="L174" s="10">
        <v>1</v>
      </c>
      <c r="M174" s="10">
        <v>1</v>
      </c>
      <c r="N174" s="405">
        <f t="shared" si="27"/>
        <v>0.16933510251023262</v>
      </c>
      <c r="O174" s="405">
        <f t="shared" si="28"/>
        <v>0.19908580854301616</v>
      </c>
      <c r="P174" s="43" t="s">
        <v>1968</v>
      </c>
    </row>
    <row r="175" spans="1:16" s="436" customFormat="1">
      <c r="A175" s="636" t="s">
        <v>482</v>
      </c>
      <c r="B175" s="780" t="s">
        <v>251</v>
      </c>
      <c r="C175" s="34" t="s">
        <v>139</v>
      </c>
      <c r="D175" s="122" t="s">
        <v>99</v>
      </c>
      <c r="E175" s="242">
        <v>0</v>
      </c>
      <c r="F175" s="9">
        <v>2</v>
      </c>
      <c r="G175" s="9" t="s">
        <v>433</v>
      </c>
      <c r="H175" s="10">
        <v>1</v>
      </c>
      <c r="I175" s="10">
        <v>2</v>
      </c>
      <c r="J175" s="10">
        <v>2</v>
      </c>
      <c r="K175" s="10">
        <v>1</v>
      </c>
      <c r="L175" s="10">
        <v>1</v>
      </c>
      <c r="M175" s="10">
        <v>1</v>
      </c>
      <c r="N175" s="405">
        <f t="shared" si="27"/>
        <v>0.16933510251023262</v>
      </c>
      <c r="O175" s="405">
        <f t="shared" si="28"/>
        <v>0.19908580854301616</v>
      </c>
      <c r="P175" s="43" t="s">
        <v>1968</v>
      </c>
    </row>
    <row r="176" spans="1:16" s="436" customFormat="1">
      <c r="A176" s="636" t="s">
        <v>482</v>
      </c>
      <c r="B176" s="775" t="s">
        <v>258</v>
      </c>
      <c r="C176" s="34" t="s">
        <v>139</v>
      </c>
      <c r="D176" s="124" t="s">
        <v>99</v>
      </c>
      <c r="E176" s="749">
        <v>0</v>
      </c>
      <c r="F176" s="119">
        <v>2</v>
      </c>
      <c r="G176" s="119" t="s">
        <v>433</v>
      </c>
      <c r="H176" s="10">
        <v>1</v>
      </c>
      <c r="I176" s="10">
        <v>2</v>
      </c>
      <c r="J176" s="10">
        <v>2</v>
      </c>
      <c r="K176" s="10">
        <v>1</v>
      </c>
      <c r="L176" s="10">
        <v>1</v>
      </c>
      <c r="M176" s="10">
        <v>1</v>
      </c>
      <c r="N176" s="405">
        <f>IF( OR( ISBLANK(H176),ISBLANK(J176), ISBLANK(K176), ISBLANK(L176), ISBLANK(M176) ), "", 1.5*SQRT(   EXP(2.21*(H176-1)) + EXP(2.21*(J176-1)) + EXP(2.21*(K176-1)) + EXP(2.21*(L176-1)) + EXP(2.21*M176)   )/100*2.45 )</f>
        <v>0.16933510251023262</v>
      </c>
      <c r="O176" s="405">
        <f>IF( OR( ISBLANK(I176),ISBLANK(J176), ISBLANK(K176), ISBLANK(L176), ISBLANK(M176) ), "", 1.5*SQRT( EXP(2.21*(I176-1)) + EXP(2.21*(J176-1)) + EXP(2.21*(K176-1)) + EXP(2.21*(L176-1)) + EXP(2.21*M176)   )/100*2.45 )</f>
        <v>0.19908580854301616</v>
      </c>
      <c r="P176" s="155" t="s">
        <v>1968</v>
      </c>
    </row>
    <row r="177" spans="1:16" s="436" customFormat="1" ht="15.75" thickBot="1">
      <c r="A177" s="635" t="s">
        <v>482</v>
      </c>
      <c r="B177" s="784" t="s">
        <v>334</v>
      </c>
      <c r="C177" s="34" t="s">
        <v>139</v>
      </c>
      <c r="D177" s="123" t="s">
        <v>99</v>
      </c>
      <c r="E177" s="753" t="s">
        <v>150</v>
      </c>
      <c r="F177" s="12">
        <v>1</v>
      </c>
      <c r="G177" s="12" t="s">
        <v>433</v>
      </c>
      <c r="H177" s="14"/>
      <c r="I177" s="14"/>
      <c r="J177" s="14"/>
      <c r="K177" s="14"/>
      <c r="L177" s="14"/>
      <c r="M177" s="14"/>
      <c r="N177" s="428" t="str">
        <f t="shared" si="27"/>
        <v/>
      </c>
      <c r="O177" s="428" t="str">
        <f t="shared" si="28"/>
        <v/>
      </c>
      <c r="P177" s="44"/>
    </row>
    <row r="178" spans="1:16" s="436" customFormat="1">
      <c r="A178" s="637" t="s">
        <v>484</v>
      </c>
      <c r="B178" s="774" t="s">
        <v>228</v>
      </c>
      <c r="C178" s="34" t="s">
        <v>139</v>
      </c>
      <c r="D178" s="614" t="s">
        <v>99</v>
      </c>
      <c r="E178" s="744">
        <v>0</v>
      </c>
      <c r="F178" s="118">
        <v>2</v>
      </c>
      <c r="G178" s="118" t="s">
        <v>433</v>
      </c>
      <c r="H178" s="66">
        <v>1</v>
      </c>
      <c r="I178" s="66">
        <v>2</v>
      </c>
      <c r="J178" s="66">
        <v>2</v>
      </c>
      <c r="K178" s="66">
        <v>1</v>
      </c>
      <c r="L178" s="66">
        <v>1</v>
      </c>
      <c r="M178" s="66">
        <v>1</v>
      </c>
      <c r="N178" s="438">
        <f t="shared" si="27"/>
        <v>0.16933510251023262</v>
      </c>
      <c r="O178" s="438">
        <f t="shared" si="28"/>
        <v>0.19908580854301616</v>
      </c>
      <c r="P178" s="118" t="s">
        <v>858</v>
      </c>
    </row>
    <row r="179" spans="1:16" s="436" customFormat="1" ht="15.75" thickBot="1">
      <c r="A179" s="638" t="s">
        <v>484</v>
      </c>
      <c r="B179" s="775" t="s">
        <v>334</v>
      </c>
      <c r="C179" s="34" t="s">
        <v>139</v>
      </c>
      <c r="D179" s="124" t="s">
        <v>99</v>
      </c>
      <c r="E179" s="749" t="s">
        <v>150</v>
      </c>
      <c r="F179" s="119">
        <v>1</v>
      </c>
      <c r="G179" s="119" t="s">
        <v>433</v>
      </c>
      <c r="H179" s="15"/>
      <c r="I179" s="15"/>
      <c r="J179" s="15"/>
      <c r="K179" s="15"/>
      <c r="L179" s="15"/>
      <c r="M179" s="15"/>
      <c r="N179" s="424" t="str">
        <f t="shared" si="27"/>
        <v/>
      </c>
      <c r="O179" s="424" t="str">
        <f t="shared" si="28"/>
        <v/>
      </c>
      <c r="P179" s="119" t="s">
        <v>1947</v>
      </c>
    </row>
    <row r="180" spans="1:16" s="436" customFormat="1">
      <c r="A180" s="634" t="s">
        <v>438</v>
      </c>
      <c r="B180" s="783" t="s">
        <v>485</v>
      </c>
      <c r="C180" s="34" t="s">
        <v>139</v>
      </c>
      <c r="D180" s="121" t="s">
        <v>99</v>
      </c>
      <c r="E180" s="632">
        <f>0.97*0.1</f>
        <v>9.7000000000000003E-2</v>
      </c>
      <c r="F180" s="11">
        <v>2</v>
      </c>
      <c r="G180" s="11" t="s">
        <v>433</v>
      </c>
      <c r="H180" s="13">
        <v>1</v>
      </c>
      <c r="I180" s="13">
        <v>2</v>
      </c>
      <c r="J180" s="13">
        <v>2</v>
      </c>
      <c r="K180" s="13">
        <v>1</v>
      </c>
      <c r="L180" s="13">
        <v>1</v>
      </c>
      <c r="M180" s="13">
        <v>1</v>
      </c>
      <c r="N180" s="425">
        <f t="shared" si="27"/>
        <v>0.16933510251023262</v>
      </c>
      <c r="O180" s="425">
        <f t="shared" si="28"/>
        <v>0.19908580854301616</v>
      </c>
      <c r="P180" s="42" t="s">
        <v>868</v>
      </c>
    </row>
    <row r="181" spans="1:16" s="436" customFormat="1">
      <c r="A181" s="636" t="s">
        <v>438</v>
      </c>
      <c r="B181" s="780" t="s">
        <v>486</v>
      </c>
      <c r="C181" s="34" t="s">
        <v>139</v>
      </c>
      <c r="D181" s="122" t="s">
        <v>99</v>
      </c>
      <c r="E181" s="242">
        <f>0.97*0.9</f>
        <v>0.873</v>
      </c>
      <c r="F181" s="9">
        <v>2</v>
      </c>
      <c r="G181" s="9" t="s">
        <v>433</v>
      </c>
      <c r="H181" s="10">
        <v>1</v>
      </c>
      <c r="I181" s="10">
        <v>2</v>
      </c>
      <c r="J181" s="10">
        <v>2</v>
      </c>
      <c r="K181" s="10">
        <v>1</v>
      </c>
      <c r="L181" s="10">
        <v>1</v>
      </c>
      <c r="M181" s="10">
        <v>1</v>
      </c>
      <c r="N181" s="405">
        <f t="shared" si="27"/>
        <v>0.16933510251023262</v>
      </c>
      <c r="O181" s="405">
        <f t="shared" si="28"/>
        <v>0.19908580854301616</v>
      </c>
      <c r="P181" s="43" t="s">
        <v>869</v>
      </c>
    </row>
    <row r="182" spans="1:16" s="436" customFormat="1" ht="15.75" thickBot="1">
      <c r="A182" s="635" t="s">
        <v>438</v>
      </c>
      <c r="B182" s="784" t="s">
        <v>223</v>
      </c>
      <c r="C182" s="34" t="s">
        <v>139</v>
      </c>
      <c r="D182" s="123" t="s">
        <v>99</v>
      </c>
      <c r="E182" s="753">
        <v>0.03</v>
      </c>
      <c r="F182" s="12">
        <v>1</v>
      </c>
      <c r="G182" s="12" t="s">
        <v>433</v>
      </c>
      <c r="H182" s="14">
        <v>1</v>
      </c>
      <c r="I182" s="14">
        <v>2</v>
      </c>
      <c r="J182" s="14">
        <v>2</v>
      </c>
      <c r="K182" s="14">
        <v>1</v>
      </c>
      <c r="L182" s="14">
        <v>1</v>
      </c>
      <c r="M182" s="14">
        <v>1</v>
      </c>
      <c r="N182" s="428">
        <f t="shared" si="27"/>
        <v>0.16933510251023262</v>
      </c>
      <c r="O182" s="428">
        <f t="shared" si="28"/>
        <v>0.19908580854301616</v>
      </c>
      <c r="P182" s="44" t="s">
        <v>854</v>
      </c>
    </row>
    <row r="183" spans="1:16" s="436" customFormat="1">
      <c r="A183" s="637" t="s">
        <v>485</v>
      </c>
      <c r="B183" s="774" t="s">
        <v>487</v>
      </c>
      <c r="C183" s="34" t="s">
        <v>139</v>
      </c>
      <c r="D183" s="614" t="s">
        <v>99</v>
      </c>
      <c r="E183" s="744">
        <v>0.03</v>
      </c>
      <c r="F183" s="118">
        <v>2</v>
      </c>
      <c r="G183" s="118" t="s">
        <v>433</v>
      </c>
      <c r="H183" s="66">
        <v>1</v>
      </c>
      <c r="I183" s="66">
        <v>2</v>
      </c>
      <c r="J183" s="66">
        <v>2</v>
      </c>
      <c r="K183" s="66">
        <v>1</v>
      </c>
      <c r="L183" s="66">
        <v>1</v>
      </c>
      <c r="M183" s="66">
        <v>1</v>
      </c>
      <c r="N183" s="438">
        <f t="shared" si="27"/>
        <v>0.16933510251023262</v>
      </c>
      <c r="O183" s="438">
        <f t="shared" si="28"/>
        <v>0.19908580854301616</v>
      </c>
      <c r="P183" s="118" t="s">
        <v>855</v>
      </c>
    </row>
    <row r="184" spans="1:16" s="436" customFormat="1" ht="15.75" thickBot="1">
      <c r="A184" s="638" t="s">
        <v>485</v>
      </c>
      <c r="B184" s="775" t="s">
        <v>480</v>
      </c>
      <c r="C184" s="34" t="s">
        <v>139</v>
      </c>
      <c r="D184" s="124" t="s">
        <v>99</v>
      </c>
      <c r="E184" s="749" t="s">
        <v>150</v>
      </c>
      <c r="F184" s="119">
        <v>1</v>
      </c>
      <c r="G184" s="119" t="s">
        <v>433</v>
      </c>
      <c r="H184" s="15"/>
      <c r="I184" s="15"/>
      <c r="J184" s="15"/>
      <c r="K184" s="15"/>
      <c r="L184" s="15"/>
      <c r="M184" s="15"/>
      <c r="N184" s="424" t="str">
        <f t="shared" si="27"/>
        <v/>
      </c>
      <c r="O184" s="424" t="str">
        <f t="shared" si="28"/>
        <v/>
      </c>
      <c r="P184" s="119" t="s">
        <v>1948</v>
      </c>
    </row>
    <row r="185" spans="1:16" s="436" customFormat="1">
      <c r="A185" s="437" t="s">
        <v>487</v>
      </c>
      <c r="B185" s="437" t="s">
        <v>231</v>
      </c>
      <c r="C185" s="34" t="s">
        <v>139</v>
      </c>
      <c r="D185" s="121" t="s">
        <v>99</v>
      </c>
      <c r="E185" s="770">
        <v>0.05</v>
      </c>
      <c r="F185" s="771">
        <v>2</v>
      </c>
      <c r="G185" s="11" t="s">
        <v>157</v>
      </c>
      <c r="H185" s="13">
        <v>1</v>
      </c>
      <c r="I185" s="13">
        <v>2</v>
      </c>
      <c r="J185" s="13">
        <v>2</v>
      </c>
      <c r="K185" s="13">
        <v>1</v>
      </c>
      <c r="L185" s="772">
        <v>3</v>
      </c>
      <c r="M185" s="13">
        <v>3</v>
      </c>
      <c r="N185" s="425">
        <f t="shared" si="27"/>
        <v>1.0725046436742278</v>
      </c>
      <c r="O185" s="425">
        <f t="shared" si="28"/>
        <v>1.0776024280428556</v>
      </c>
      <c r="P185" s="760" t="s">
        <v>1937</v>
      </c>
    </row>
    <row r="186" spans="1:16" s="436" customFormat="1">
      <c r="A186" s="496" t="s">
        <v>487</v>
      </c>
      <c r="B186" s="496" t="s">
        <v>232</v>
      </c>
      <c r="C186" s="34" t="s">
        <v>139</v>
      </c>
      <c r="D186" s="122" t="s">
        <v>99</v>
      </c>
      <c r="E186" s="242">
        <v>0.39400000000000002</v>
      </c>
      <c r="F186" s="9">
        <v>2</v>
      </c>
      <c r="G186" s="9" t="s">
        <v>433</v>
      </c>
      <c r="H186" s="10">
        <v>1</v>
      </c>
      <c r="I186" s="10">
        <v>2</v>
      </c>
      <c r="J186" s="10">
        <v>2</v>
      </c>
      <c r="K186" s="10">
        <v>1</v>
      </c>
      <c r="L186" s="10">
        <v>1</v>
      </c>
      <c r="M186" s="10">
        <v>1</v>
      </c>
      <c r="N186" s="405">
        <f t="shared" si="27"/>
        <v>0.16933510251023262</v>
      </c>
      <c r="O186" s="405">
        <f t="shared" si="28"/>
        <v>0.19908580854301616</v>
      </c>
      <c r="P186" s="43" t="s">
        <v>1961</v>
      </c>
    </row>
    <row r="187" spans="1:16" s="436" customFormat="1">
      <c r="A187" s="496" t="s">
        <v>487</v>
      </c>
      <c r="B187" s="496" t="s">
        <v>251</v>
      </c>
      <c r="C187" s="34" t="s">
        <v>139</v>
      </c>
      <c r="D187" s="122" t="s">
        <v>99</v>
      </c>
      <c r="E187" s="242">
        <v>0.52200000000000002</v>
      </c>
      <c r="F187" s="7">
        <v>1</v>
      </c>
      <c r="G187" s="9" t="s">
        <v>433</v>
      </c>
      <c r="H187" s="10">
        <v>1</v>
      </c>
      <c r="I187" s="10">
        <v>2</v>
      </c>
      <c r="J187" s="10">
        <v>2</v>
      </c>
      <c r="K187" s="10">
        <v>1</v>
      </c>
      <c r="L187" s="10">
        <v>1</v>
      </c>
      <c r="M187" s="10">
        <v>1</v>
      </c>
      <c r="N187" s="405">
        <f t="shared" si="27"/>
        <v>0.16933510251023262</v>
      </c>
      <c r="O187" s="405">
        <f t="shared" si="28"/>
        <v>0.19908580854301616</v>
      </c>
      <c r="P187" s="43" t="s">
        <v>1962</v>
      </c>
    </row>
    <row r="188" spans="1:16" s="436" customFormat="1" ht="15.75" thickBot="1">
      <c r="A188" s="773" t="s">
        <v>487</v>
      </c>
      <c r="B188" s="773" t="s">
        <v>258</v>
      </c>
      <c r="C188" s="34" t="s">
        <v>139</v>
      </c>
      <c r="D188" s="123" t="s">
        <v>99</v>
      </c>
      <c r="E188" s="753">
        <v>3.4000000000000002E-2</v>
      </c>
      <c r="F188" s="12">
        <v>2</v>
      </c>
      <c r="G188" s="12" t="s">
        <v>433</v>
      </c>
      <c r="H188" s="14"/>
      <c r="I188" s="14"/>
      <c r="J188" s="14"/>
      <c r="K188" s="14"/>
      <c r="L188" s="14"/>
      <c r="M188" s="14"/>
      <c r="N188" s="428"/>
      <c r="O188" s="428"/>
      <c r="P188" s="44" t="s">
        <v>1963</v>
      </c>
    </row>
    <row r="189" spans="1:16" s="436" customFormat="1">
      <c r="A189" s="637" t="s">
        <v>486</v>
      </c>
      <c r="B189" s="774" t="s">
        <v>488</v>
      </c>
      <c r="C189" s="34" t="s">
        <v>139</v>
      </c>
      <c r="D189" s="614" t="s">
        <v>99</v>
      </c>
      <c r="E189" s="744">
        <f>0.1*E183</f>
        <v>3.0000000000000001E-3</v>
      </c>
      <c r="F189" s="118">
        <v>2</v>
      </c>
      <c r="G189" s="118" t="s">
        <v>433</v>
      </c>
      <c r="H189" s="66">
        <v>1</v>
      </c>
      <c r="I189" s="66">
        <v>2</v>
      </c>
      <c r="J189" s="66">
        <v>2</v>
      </c>
      <c r="K189" s="66">
        <v>1</v>
      </c>
      <c r="L189" s="66">
        <v>1</v>
      </c>
      <c r="M189" s="66">
        <v>1</v>
      </c>
      <c r="N189" s="438">
        <f t="shared" si="27"/>
        <v>0.16933510251023262</v>
      </c>
      <c r="O189" s="438">
        <f t="shared" si="28"/>
        <v>0.19908580854301616</v>
      </c>
      <c r="P189" s="118" t="s">
        <v>856</v>
      </c>
    </row>
    <row r="190" spans="1:16" s="436" customFormat="1" ht="15.75" thickBot="1">
      <c r="A190" s="638" t="s">
        <v>486</v>
      </c>
      <c r="B190" s="775" t="s">
        <v>477</v>
      </c>
      <c r="C190" s="34" t="s">
        <v>139</v>
      </c>
      <c r="D190" s="124" t="s">
        <v>99</v>
      </c>
      <c r="E190" s="749" t="s">
        <v>150</v>
      </c>
      <c r="F190" s="119">
        <v>1</v>
      </c>
      <c r="G190" s="119" t="s">
        <v>433</v>
      </c>
      <c r="H190" s="15"/>
      <c r="I190" s="15"/>
      <c r="J190" s="15"/>
      <c r="K190" s="15"/>
      <c r="L190" s="15"/>
      <c r="M190" s="15"/>
      <c r="N190" s="424" t="str">
        <f t="shared" si="27"/>
        <v/>
      </c>
      <c r="O190" s="424" t="str">
        <f t="shared" si="28"/>
        <v/>
      </c>
      <c r="P190" s="119" t="s">
        <v>1948</v>
      </c>
    </row>
    <row r="191" spans="1:16" s="436" customFormat="1" ht="15.75" thickBot="1">
      <c r="A191" s="633" t="s">
        <v>488</v>
      </c>
      <c r="B191" s="785" t="s">
        <v>228</v>
      </c>
      <c r="C191" s="34" t="s">
        <v>139</v>
      </c>
      <c r="D191" s="781" t="s">
        <v>99</v>
      </c>
      <c r="E191" s="751">
        <v>1</v>
      </c>
      <c r="F191" s="750">
        <v>2</v>
      </c>
      <c r="G191" s="750" t="s">
        <v>433</v>
      </c>
      <c r="H191" s="70">
        <v>1</v>
      </c>
      <c r="I191" s="70">
        <v>2</v>
      </c>
      <c r="J191" s="70">
        <v>2</v>
      </c>
      <c r="K191" s="70">
        <v>1</v>
      </c>
      <c r="L191" s="70">
        <v>1</v>
      </c>
      <c r="M191" s="70">
        <v>1</v>
      </c>
      <c r="N191" s="439">
        <f t="shared" si="27"/>
        <v>0.16933510251023262</v>
      </c>
      <c r="O191" s="439">
        <f t="shared" si="28"/>
        <v>0.19908580854301616</v>
      </c>
      <c r="P191" s="752" t="s">
        <v>857</v>
      </c>
    </row>
    <row r="192" spans="1:16" s="436" customFormat="1">
      <c r="A192" s="637" t="s">
        <v>480</v>
      </c>
      <c r="B192" s="783" t="s">
        <v>231</v>
      </c>
      <c r="C192" s="34" t="s">
        <v>139</v>
      </c>
      <c r="D192" s="614" t="s">
        <v>99</v>
      </c>
      <c r="E192" s="744">
        <v>0</v>
      </c>
      <c r="F192" s="118">
        <v>2</v>
      </c>
      <c r="G192" s="118" t="s">
        <v>433</v>
      </c>
      <c r="H192" s="66">
        <v>1</v>
      </c>
      <c r="I192" s="66">
        <v>2</v>
      </c>
      <c r="J192" s="66">
        <v>2</v>
      </c>
      <c r="K192" s="66">
        <v>1</v>
      </c>
      <c r="L192" s="66">
        <v>1</v>
      </c>
      <c r="M192" s="66">
        <v>1</v>
      </c>
      <c r="N192" s="438">
        <f t="shared" si="27"/>
        <v>0.16933510251023262</v>
      </c>
      <c r="O192" s="438">
        <f t="shared" si="28"/>
        <v>0.19908580854301616</v>
      </c>
      <c r="P192" s="42" t="s">
        <v>1967</v>
      </c>
    </row>
    <row r="193" spans="1:16" s="436" customFormat="1">
      <c r="A193" s="313" t="s">
        <v>480</v>
      </c>
      <c r="B193" s="780" t="s">
        <v>232</v>
      </c>
      <c r="C193" s="34" t="s">
        <v>139</v>
      </c>
      <c r="D193" s="122" t="s">
        <v>99</v>
      </c>
      <c r="E193" s="242">
        <v>0</v>
      </c>
      <c r="F193" s="9">
        <v>2</v>
      </c>
      <c r="G193" s="9" t="s">
        <v>433</v>
      </c>
      <c r="H193" s="10">
        <v>1</v>
      </c>
      <c r="I193" s="10">
        <v>2</v>
      </c>
      <c r="J193" s="10">
        <v>2</v>
      </c>
      <c r="K193" s="10">
        <v>1</v>
      </c>
      <c r="L193" s="10">
        <v>1</v>
      </c>
      <c r="M193" s="10">
        <v>1</v>
      </c>
      <c r="N193" s="405">
        <f t="shared" si="27"/>
        <v>0.16933510251023262</v>
      </c>
      <c r="O193" s="405">
        <f t="shared" si="28"/>
        <v>0.19908580854301616</v>
      </c>
      <c r="P193" s="43" t="s">
        <v>1967</v>
      </c>
    </row>
    <row r="194" spans="1:16" s="436" customFormat="1">
      <c r="A194" s="313" t="s">
        <v>480</v>
      </c>
      <c r="B194" s="780" t="s">
        <v>251</v>
      </c>
      <c r="C194" s="34" t="s">
        <v>139</v>
      </c>
      <c r="D194" s="122" t="s">
        <v>99</v>
      </c>
      <c r="E194" s="242">
        <v>0</v>
      </c>
      <c r="F194" s="9">
        <v>2</v>
      </c>
      <c r="G194" s="9" t="s">
        <v>433</v>
      </c>
      <c r="H194" s="10">
        <v>1</v>
      </c>
      <c r="I194" s="10">
        <v>2</v>
      </c>
      <c r="J194" s="10">
        <v>2</v>
      </c>
      <c r="K194" s="10">
        <v>1</v>
      </c>
      <c r="L194" s="10">
        <v>1</v>
      </c>
      <c r="M194" s="10">
        <v>1</v>
      </c>
      <c r="N194" s="405">
        <f t="shared" si="27"/>
        <v>0.16933510251023262</v>
      </c>
      <c r="O194" s="405">
        <f t="shared" si="28"/>
        <v>0.19908580854301616</v>
      </c>
      <c r="P194" s="43" t="s">
        <v>1967</v>
      </c>
    </row>
    <row r="195" spans="1:16" s="436" customFormat="1">
      <c r="A195" s="313" t="s">
        <v>480</v>
      </c>
      <c r="B195" s="775" t="s">
        <v>258</v>
      </c>
      <c r="C195" s="34" t="s">
        <v>139</v>
      </c>
      <c r="D195" s="124" t="s">
        <v>99</v>
      </c>
      <c r="E195" s="749">
        <v>0</v>
      </c>
      <c r="F195" s="119">
        <v>2</v>
      </c>
      <c r="G195" s="119" t="s">
        <v>433</v>
      </c>
      <c r="H195" s="10">
        <v>1</v>
      </c>
      <c r="I195" s="10">
        <v>2</v>
      </c>
      <c r="J195" s="10">
        <v>2</v>
      </c>
      <c r="K195" s="10">
        <v>1</v>
      </c>
      <c r="L195" s="10">
        <v>1</v>
      </c>
      <c r="M195" s="10">
        <v>1</v>
      </c>
      <c r="N195" s="405">
        <f>IF( OR( ISBLANK(H195),ISBLANK(J195), ISBLANK(K195), ISBLANK(L195), ISBLANK(M195) ), "", 1.5*SQRT(   EXP(2.21*(H195-1)) + EXP(2.21*(J195-1)) + EXP(2.21*(K195-1)) + EXP(2.21*(L195-1)) + EXP(2.21*M195)   )/100*2.45 )</f>
        <v>0.16933510251023262</v>
      </c>
      <c r="O195" s="405">
        <f>IF( OR( ISBLANK(I195),ISBLANK(J195), ISBLANK(K195), ISBLANK(L195), ISBLANK(M195) ), "", 1.5*SQRT( EXP(2.21*(I195-1)) + EXP(2.21*(J195-1)) + EXP(2.21*(K195-1)) + EXP(2.21*(L195-1)) + EXP(2.21*M195)   )/100*2.45 )</f>
        <v>0.19908580854301616</v>
      </c>
      <c r="P195" s="155" t="s">
        <v>1967</v>
      </c>
    </row>
    <row r="196" spans="1:16" s="436" customFormat="1" ht="15.75" thickBot="1">
      <c r="A196" s="638" t="s">
        <v>480</v>
      </c>
      <c r="B196" s="784" t="s">
        <v>334</v>
      </c>
      <c r="C196" s="34" t="s">
        <v>139</v>
      </c>
      <c r="D196" s="124" t="s">
        <v>99</v>
      </c>
      <c r="E196" s="749" t="s">
        <v>150</v>
      </c>
      <c r="F196" s="119">
        <v>1</v>
      </c>
      <c r="G196" s="119" t="s">
        <v>433</v>
      </c>
      <c r="H196" s="15"/>
      <c r="I196" s="15"/>
      <c r="J196" s="15"/>
      <c r="K196" s="15"/>
      <c r="L196" s="15"/>
      <c r="M196" s="15"/>
      <c r="N196" s="424" t="str">
        <f t="shared" si="27"/>
        <v/>
      </c>
      <c r="O196" s="424" t="str">
        <f t="shared" si="28"/>
        <v/>
      </c>
      <c r="P196" s="44"/>
    </row>
    <row r="197" spans="1:16" s="436" customFormat="1">
      <c r="A197" s="634" t="s">
        <v>477</v>
      </c>
      <c r="B197" s="783" t="s">
        <v>228</v>
      </c>
      <c r="C197" s="34" t="s">
        <v>139</v>
      </c>
      <c r="D197" s="121" t="s">
        <v>99</v>
      </c>
      <c r="E197" s="632">
        <v>0</v>
      </c>
      <c r="F197" s="11">
        <v>2</v>
      </c>
      <c r="G197" s="11" t="s">
        <v>433</v>
      </c>
      <c r="H197" s="13">
        <v>1</v>
      </c>
      <c r="I197" s="13">
        <v>2</v>
      </c>
      <c r="J197" s="13">
        <v>2</v>
      </c>
      <c r="K197" s="13">
        <v>1</v>
      </c>
      <c r="L197" s="13">
        <v>1</v>
      </c>
      <c r="M197" s="13">
        <v>1</v>
      </c>
      <c r="N197" s="425">
        <f t="shared" si="27"/>
        <v>0.16933510251023262</v>
      </c>
      <c r="O197" s="425">
        <f t="shared" si="28"/>
        <v>0.19908580854301616</v>
      </c>
      <c r="P197" s="42" t="s">
        <v>858</v>
      </c>
    </row>
    <row r="198" spans="1:16" s="436" customFormat="1" ht="15.75" thickBot="1">
      <c r="A198" s="635" t="s">
        <v>477</v>
      </c>
      <c r="B198" s="784" t="s">
        <v>334</v>
      </c>
      <c r="C198" s="34" t="s">
        <v>139</v>
      </c>
      <c r="D198" s="123" t="s">
        <v>99</v>
      </c>
      <c r="E198" s="753" t="s">
        <v>150</v>
      </c>
      <c r="F198" s="12">
        <v>1</v>
      </c>
      <c r="G198" s="12" t="s">
        <v>433</v>
      </c>
      <c r="H198" s="14"/>
      <c r="I198" s="14"/>
      <c r="J198" s="14"/>
      <c r="K198" s="14"/>
      <c r="L198" s="14"/>
      <c r="M198" s="14"/>
      <c r="N198" s="428" t="str">
        <f t="shared" si="27"/>
        <v/>
      </c>
      <c r="O198" s="428" t="str">
        <f t="shared" si="28"/>
        <v/>
      </c>
      <c r="P198" s="44" t="s">
        <v>1949</v>
      </c>
    </row>
    <row r="199" spans="1:16" s="436" customFormat="1">
      <c r="A199" s="637" t="s">
        <v>439</v>
      </c>
      <c r="B199" s="774" t="s">
        <v>491</v>
      </c>
      <c r="C199" s="34" t="s">
        <v>139</v>
      </c>
      <c r="D199" s="614" t="s">
        <v>99</v>
      </c>
      <c r="E199" s="744">
        <f>0.97*0.25</f>
        <v>0.24249999999999999</v>
      </c>
      <c r="F199" s="118">
        <v>2</v>
      </c>
      <c r="G199" s="118" t="s">
        <v>433</v>
      </c>
      <c r="H199" s="66">
        <v>1</v>
      </c>
      <c r="I199" s="66">
        <v>2</v>
      </c>
      <c r="J199" s="66">
        <v>2</v>
      </c>
      <c r="K199" s="66">
        <v>1</v>
      </c>
      <c r="L199" s="66">
        <v>1</v>
      </c>
      <c r="M199" s="66">
        <v>1</v>
      </c>
      <c r="N199" s="438">
        <f t="shared" si="27"/>
        <v>0.16933510251023262</v>
      </c>
      <c r="O199" s="438">
        <f t="shared" si="28"/>
        <v>0.19908580854301616</v>
      </c>
      <c r="P199" s="118" t="s">
        <v>862</v>
      </c>
    </row>
    <row r="200" spans="1:16" s="436" customFormat="1">
      <c r="A200" s="313" t="s">
        <v>439</v>
      </c>
      <c r="B200" s="780" t="s">
        <v>492</v>
      </c>
      <c r="C200" s="34" t="s">
        <v>139</v>
      </c>
      <c r="D200" s="122" t="s">
        <v>99</v>
      </c>
      <c r="E200" s="242">
        <f>0.97*0.75</f>
        <v>0.72750000000000004</v>
      </c>
      <c r="F200" s="9">
        <v>2</v>
      </c>
      <c r="G200" s="9" t="s">
        <v>433</v>
      </c>
      <c r="H200" s="10">
        <v>1</v>
      </c>
      <c r="I200" s="10">
        <v>2</v>
      </c>
      <c r="J200" s="10">
        <v>2</v>
      </c>
      <c r="K200" s="10">
        <v>1</v>
      </c>
      <c r="L200" s="10">
        <v>1</v>
      </c>
      <c r="M200" s="10">
        <v>1</v>
      </c>
      <c r="N200" s="405">
        <f t="shared" si="27"/>
        <v>0.16933510251023262</v>
      </c>
      <c r="O200" s="405">
        <f t="shared" si="28"/>
        <v>0.19908580854301616</v>
      </c>
      <c r="P200" s="9" t="s">
        <v>869</v>
      </c>
    </row>
    <row r="201" spans="1:16" s="436" customFormat="1" ht="15.75" thickBot="1">
      <c r="A201" s="638" t="s">
        <v>439</v>
      </c>
      <c r="B201" s="775" t="s">
        <v>223</v>
      </c>
      <c r="C201" s="34" t="s">
        <v>139</v>
      </c>
      <c r="D201" s="124" t="s">
        <v>99</v>
      </c>
      <c r="E201" s="749">
        <v>0.03</v>
      </c>
      <c r="F201" s="119">
        <v>1</v>
      </c>
      <c r="G201" s="119" t="s">
        <v>433</v>
      </c>
      <c r="H201" s="15">
        <v>1</v>
      </c>
      <c r="I201" s="15">
        <v>2</v>
      </c>
      <c r="J201" s="15">
        <v>2</v>
      </c>
      <c r="K201" s="15">
        <v>1</v>
      </c>
      <c r="L201" s="15">
        <v>1</v>
      </c>
      <c r="M201" s="15">
        <v>1</v>
      </c>
      <c r="N201" s="424">
        <f t="shared" si="27"/>
        <v>0.16933510251023262</v>
      </c>
      <c r="O201" s="424">
        <f t="shared" si="28"/>
        <v>0.19908580854301616</v>
      </c>
      <c r="P201" s="119" t="s">
        <v>854</v>
      </c>
    </row>
    <row r="202" spans="1:16" s="436" customFormat="1">
      <c r="A202" s="634" t="s">
        <v>491</v>
      </c>
      <c r="B202" s="783" t="s">
        <v>493</v>
      </c>
      <c r="C202" s="34" t="s">
        <v>139</v>
      </c>
      <c r="D202" s="121" t="s">
        <v>99</v>
      </c>
      <c r="E202" s="632">
        <v>0.03</v>
      </c>
      <c r="F202" s="11">
        <v>2</v>
      </c>
      <c r="G202" s="11" t="s">
        <v>433</v>
      </c>
      <c r="H202" s="13">
        <v>1</v>
      </c>
      <c r="I202" s="13">
        <v>2</v>
      </c>
      <c r="J202" s="13">
        <v>2</v>
      </c>
      <c r="K202" s="13">
        <v>1</v>
      </c>
      <c r="L202" s="13">
        <v>1</v>
      </c>
      <c r="M202" s="13">
        <v>1</v>
      </c>
      <c r="N202" s="425">
        <f t="shared" ref="N202:N272" si="29">IF( OR( ISBLANK(H202),ISBLANK(J202), ISBLANK(K202), ISBLANK(L202), ISBLANK(M202) ), "", 1.5*SQRT(   EXP(2.21*(H202-1)) + EXP(2.21*(J202-1)) + EXP(2.21*(K202-1)) + EXP(2.21*(L202-1)) + EXP(2.21*M202)   )/100*2.45 )</f>
        <v>0.16933510251023262</v>
      </c>
      <c r="O202" s="425">
        <f t="shared" ref="O202:O272" si="30">IF( OR( ISBLANK(I202),ISBLANK(J202), ISBLANK(K202), ISBLANK(L202), ISBLANK(M202) ), "", 1.5*SQRT( EXP(2.21*(I202-1)) + EXP(2.21*(J202-1)) + EXP(2.21*(K202-1)) + EXP(2.21*(L202-1)) + EXP(2.21*M202)   )/100*2.45 )</f>
        <v>0.19908580854301616</v>
      </c>
      <c r="P202" s="42" t="s">
        <v>855</v>
      </c>
    </row>
    <row r="203" spans="1:16" s="436" customFormat="1" ht="15.75" thickBot="1">
      <c r="A203" s="635" t="s">
        <v>491</v>
      </c>
      <c r="B203" s="784" t="s">
        <v>490</v>
      </c>
      <c r="C203" s="34" t="s">
        <v>139</v>
      </c>
      <c r="D203" s="123" t="s">
        <v>99</v>
      </c>
      <c r="E203" s="753" t="s">
        <v>150</v>
      </c>
      <c r="F203" s="12">
        <v>1</v>
      </c>
      <c r="G203" s="12" t="s">
        <v>433</v>
      </c>
      <c r="H203" s="14"/>
      <c r="I203" s="14"/>
      <c r="J203" s="14"/>
      <c r="K203" s="14"/>
      <c r="L203" s="14"/>
      <c r="M203" s="14"/>
      <c r="N203" s="428" t="str">
        <f t="shared" si="29"/>
        <v/>
      </c>
      <c r="O203" s="428" t="str">
        <f t="shared" si="30"/>
        <v/>
      </c>
      <c r="P203" s="44" t="s">
        <v>1983</v>
      </c>
    </row>
    <row r="204" spans="1:16" s="436" customFormat="1">
      <c r="A204" s="637" t="s">
        <v>493</v>
      </c>
      <c r="B204" s="774" t="s">
        <v>231</v>
      </c>
      <c r="C204" s="34" t="s">
        <v>139</v>
      </c>
      <c r="D204" s="614" t="s">
        <v>99</v>
      </c>
      <c r="E204" s="749">
        <v>0.05</v>
      </c>
      <c r="F204" s="119">
        <v>2</v>
      </c>
      <c r="G204" s="11" t="s">
        <v>157</v>
      </c>
      <c r="H204" s="66">
        <v>1</v>
      </c>
      <c r="I204" s="66">
        <v>2</v>
      </c>
      <c r="J204" s="66">
        <v>2</v>
      </c>
      <c r="K204" s="66">
        <v>1</v>
      </c>
      <c r="L204" s="15">
        <v>3</v>
      </c>
      <c r="M204" s="13">
        <v>3</v>
      </c>
      <c r="N204" s="438">
        <f t="shared" si="29"/>
        <v>1.0725046436742278</v>
      </c>
      <c r="O204" s="438">
        <f t="shared" si="30"/>
        <v>1.0776024280428556</v>
      </c>
      <c r="P204" s="119" t="s">
        <v>1937</v>
      </c>
    </row>
    <row r="205" spans="1:16" s="436" customFormat="1">
      <c r="A205" s="313" t="s">
        <v>493</v>
      </c>
      <c r="B205" s="780" t="s">
        <v>232</v>
      </c>
      <c r="C205" s="34" t="s">
        <v>139</v>
      </c>
      <c r="D205" s="122" t="s">
        <v>99</v>
      </c>
      <c r="E205" s="242">
        <v>0.39400000000000002</v>
      </c>
      <c r="F205" s="9">
        <v>2</v>
      </c>
      <c r="G205" s="9" t="s">
        <v>433</v>
      </c>
      <c r="H205" s="10">
        <v>1</v>
      </c>
      <c r="I205" s="10">
        <v>2</v>
      </c>
      <c r="J205" s="10">
        <v>2</v>
      </c>
      <c r="K205" s="10">
        <v>1</v>
      </c>
      <c r="L205" s="10">
        <v>1</v>
      </c>
      <c r="M205" s="10">
        <v>1</v>
      </c>
      <c r="N205" s="405">
        <f t="shared" si="29"/>
        <v>0.16933510251023262</v>
      </c>
      <c r="O205" s="405">
        <f t="shared" si="30"/>
        <v>0.19908580854301616</v>
      </c>
      <c r="P205" s="9" t="s">
        <v>1961</v>
      </c>
    </row>
    <row r="206" spans="1:16" s="436" customFormat="1">
      <c r="A206" s="638" t="s">
        <v>493</v>
      </c>
      <c r="B206" s="775" t="s">
        <v>251</v>
      </c>
      <c r="C206" s="34" t="s">
        <v>139</v>
      </c>
      <c r="D206" s="124" t="s">
        <v>99</v>
      </c>
      <c r="E206" s="242">
        <v>0.52200000000000002</v>
      </c>
      <c r="F206" s="7">
        <v>1</v>
      </c>
      <c r="G206" s="9" t="s">
        <v>433</v>
      </c>
      <c r="H206" s="15">
        <v>1</v>
      </c>
      <c r="I206" s="15">
        <v>2</v>
      </c>
      <c r="J206" s="15">
        <v>2</v>
      </c>
      <c r="K206" s="15">
        <v>1</v>
      </c>
      <c r="L206" s="15">
        <v>1</v>
      </c>
      <c r="M206" s="15">
        <v>1</v>
      </c>
      <c r="N206" s="424">
        <f t="shared" si="29"/>
        <v>0.16933510251023262</v>
      </c>
      <c r="O206" s="424">
        <f t="shared" si="30"/>
        <v>0.19908580854301616</v>
      </c>
      <c r="P206" s="9" t="s">
        <v>1962</v>
      </c>
    </row>
    <row r="207" spans="1:16" s="436" customFormat="1" ht="15.75" thickBot="1">
      <c r="A207" s="638" t="s">
        <v>493</v>
      </c>
      <c r="B207" s="775" t="s">
        <v>258</v>
      </c>
      <c r="C207" s="34" t="s">
        <v>139</v>
      </c>
      <c r="D207" s="124" t="s">
        <v>99</v>
      </c>
      <c r="E207" s="749">
        <v>3.4000000000000002E-2</v>
      </c>
      <c r="F207" s="119">
        <v>2</v>
      </c>
      <c r="G207" s="9" t="s">
        <v>433</v>
      </c>
      <c r="H207" s="15"/>
      <c r="I207" s="15"/>
      <c r="J207" s="15"/>
      <c r="K207" s="15"/>
      <c r="L207" s="15"/>
      <c r="M207" s="15"/>
      <c r="N207" s="424"/>
      <c r="O207" s="424"/>
      <c r="P207" s="119" t="s">
        <v>1963</v>
      </c>
    </row>
    <row r="208" spans="1:16" s="436" customFormat="1">
      <c r="A208" s="634" t="s">
        <v>492</v>
      </c>
      <c r="B208" s="783" t="s">
        <v>494</v>
      </c>
      <c r="C208" s="34" t="s">
        <v>139</v>
      </c>
      <c r="D208" s="121" t="s">
        <v>99</v>
      </c>
      <c r="E208" s="632">
        <f>0.1*E202</f>
        <v>3.0000000000000001E-3</v>
      </c>
      <c r="F208" s="11">
        <v>2</v>
      </c>
      <c r="G208" s="11" t="s">
        <v>433</v>
      </c>
      <c r="H208" s="13">
        <v>1</v>
      </c>
      <c r="I208" s="13">
        <v>2</v>
      </c>
      <c r="J208" s="13">
        <v>2</v>
      </c>
      <c r="K208" s="13">
        <v>1</v>
      </c>
      <c r="L208" s="13">
        <v>1</v>
      </c>
      <c r="M208" s="13">
        <v>1</v>
      </c>
      <c r="N208" s="425">
        <f t="shared" si="29"/>
        <v>0.16933510251023262</v>
      </c>
      <c r="O208" s="425">
        <f t="shared" si="30"/>
        <v>0.19908580854301616</v>
      </c>
      <c r="P208" s="42" t="s">
        <v>856</v>
      </c>
    </row>
    <row r="209" spans="1:16" s="436" customFormat="1" ht="15.75" thickBot="1">
      <c r="A209" s="635" t="s">
        <v>492</v>
      </c>
      <c r="B209" s="784" t="s">
        <v>489</v>
      </c>
      <c r="C209" s="34" t="s">
        <v>139</v>
      </c>
      <c r="D209" s="123" t="s">
        <v>99</v>
      </c>
      <c r="E209" s="753" t="s">
        <v>150</v>
      </c>
      <c r="F209" s="12">
        <v>1</v>
      </c>
      <c r="G209" s="12" t="s">
        <v>433</v>
      </c>
      <c r="H209" s="14">
        <v>1</v>
      </c>
      <c r="I209" s="14">
        <v>2</v>
      </c>
      <c r="J209" s="14">
        <v>2</v>
      </c>
      <c r="K209" s="14">
        <v>1</v>
      </c>
      <c r="L209" s="14">
        <v>1</v>
      </c>
      <c r="M209" s="14">
        <v>1</v>
      </c>
      <c r="N209" s="428">
        <f t="shared" si="29"/>
        <v>0.16933510251023262</v>
      </c>
      <c r="O209" s="428">
        <f t="shared" si="30"/>
        <v>0.19908580854301616</v>
      </c>
      <c r="P209" s="44" t="s">
        <v>1983</v>
      </c>
    </row>
    <row r="210" spans="1:16" s="436" customFormat="1" ht="15.75" thickBot="1">
      <c r="A210" s="777" t="s">
        <v>494</v>
      </c>
      <c r="B210" s="786" t="s">
        <v>228</v>
      </c>
      <c r="C210" s="34" t="s">
        <v>139</v>
      </c>
      <c r="D210" s="781" t="s">
        <v>99</v>
      </c>
      <c r="E210" s="751">
        <v>1</v>
      </c>
      <c r="F210" s="750">
        <v>2</v>
      </c>
      <c r="G210" s="750" t="s">
        <v>433</v>
      </c>
      <c r="H210" s="70"/>
      <c r="I210" s="70"/>
      <c r="J210" s="70"/>
      <c r="K210" s="70"/>
      <c r="L210" s="70"/>
      <c r="M210" s="70"/>
      <c r="N210" s="439" t="str">
        <f t="shared" si="29"/>
        <v/>
      </c>
      <c r="O210" s="439" t="str">
        <f t="shared" si="30"/>
        <v/>
      </c>
      <c r="P210" s="752" t="s">
        <v>857</v>
      </c>
    </row>
    <row r="211" spans="1:16" s="436" customFormat="1">
      <c r="A211" s="634" t="s">
        <v>490</v>
      </c>
      <c r="B211" s="774" t="s">
        <v>231</v>
      </c>
      <c r="C211" s="34" t="s">
        <v>139</v>
      </c>
      <c r="D211" s="614" t="s">
        <v>99</v>
      </c>
      <c r="E211" s="744">
        <v>1.6000000000000001E-3</v>
      </c>
      <c r="F211" s="118">
        <v>2</v>
      </c>
      <c r="G211" s="118" t="s">
        <v>1997</v>
      </c>
      <c r="H211" s="66">
        <v>1</v>
      </c>
      <c r="I211" s="66">
        <v>2</v>
      </c>
      <c r="J211" s="66">
        <v>2</v>
      </c>
      <c r="K211" s="66">
        <v>1</v>
      </c>
      <c r="L211" s="71">
        <v>3</v>
      </c>
      <c r="M211" s="66">
        <v>3</v>
      </c>
      <c r="N211" s="438">
        <f t="shared" si="29"/>
        <v>1.0725046436742278</v>
      </c>
      <c r="O211" s="438">
        <f t="shared" si="30"/>
        <v>1.0776024280428556</v>
      </c>
      <c r="P211" s="660" t="s">
        <v>1973</v>
      </c>
    </row>
    <row r="212" spans="1:16" s="436" customFormat="1">
      <c r="A212" s="636" t="s">
        <v>490</v>
      </c>
      <c r="B212" s="780" t="s">
        <v>232</v>
      </c>
      <c r="C212" s="34" t="s">
        <v>139</v>
      </c>
      <c r="D212" s="122" t="s">
        <v>99</v>
      </c>
      <c r="E212" s="242">
        <v>1.26E-2</v>
      </c>
      <c r="F212" s="9">
        <v>2</v>
      </c>
      <c r="G212" s="9" t="s">
        <v>433</v>
      </c>
      <c r="H212" s="10">
        <v>1</v>
      </c>
      <c r="I212" s="10">
        <v>2</v>
      </c>
      <c r="J212" s="10">
        <v>2</v>
      </c>
      <c r="K212" s="10">
        <v>1</v>
      </c>
      <c r="L212" s="10">
        <v>1</v>
      </c>
      <c r="M212" s="10">
        <v>1</v>
      </c>
      <c r="N212" s="405">
        <f t="shared" si="29"/>
        <v>0.16933510251023262</v>
      </c>
      <c r="O212" s="405">
        <f t="shared" si="30"/>
        <v>0.19908580854301616</v>
      </c>
      <c r="P212" s="43" t="s">
        <v>1974</v>
      </c>
    </row>
    <row r="213" spans="1:16" s="436" customFormat="1">
      <c r="A213" s="636" t="s">
        <v>490</v>
      </c>
      <c r="B213" s="780" t="s">
        <v>251</v>
      </c>
      <c r="C213" s="34" t="s">
        <v>139</v>
      </c>
      <c r="D213" s="122" t="s">
        <v>99</v>
      </c>
      <c r="E213" s="242">
        <v>1.67E-2</v>
      </c>
      <c r="F213" s="9">
        <v>2</v>
      </c>
      <c r="G213" s="9" t="s">
        <v>433</v>
      </c>
      <c r="H213" s="10">
        <v>1</v>
      </c>
      <c r="I213" s="10">
        <v>2</v>
      </c>
      <c r="J213" s="10">
        <v>2</v>
      </c>
      <c r="K213" s="10">
        <v>1</v>
      </c>
      <c r="L213" s="10">
        <v>1</v>
      </c>
      <c r="M213" s="10">
        <v>1</v>
      </c>
      <c r="N213" s="405">
        <f t="shared" si="29"/>
        <v>0.16933510251023262</v>
      </c>
      <c r="O213" s="405">
        <f t="shared" si="30"/>
        <v>0.19908580854301616</v>
      </c>
      <c r="P213" s="43" t="s">
        <v>1980</v>
      </c>
    </row>
    <row r="214" spans="1:16" s="436" customFormat="1">
      <c r="A214" s="636" t="s">
        <v>490</v>
      </c>
      <c r="B214" s="775" t="s">
        <v>258</v>
      </c>
      <c r="C214" s="34" t="s">
        <v>139</v>
      </c>
      <c r="D214" s="124" t="s">
        <v>99</v>
      </c>
      <c r="E214" s="749">
        <v>1.1000000000000001E-3</v>
      </c>
      <c r="F214" s="119">
        <v>2</v>
      </c>
      <c r="G214" s="119" t="s">
        <v>433</v>
      </c>
      <c r="H214" s="10">
        <v>1</v>
      </c>
      <c r="I214" s="10">
        <v>2</v>
      </c>
      <c r="J214" s="10">
        <v>2</v>
      </c>
      <c r="K214" s="10">
        <v>1</v>
      </c>
      <c r="L214" s="10">
        <v>1</v>
      </c>
      <c r="M214" s="10">
        <v>1</v>
      </c>
      <c r="N214" s="405">
        <f>IF( OR( ISBLANK(H214),ISBLANK(J214), ISBLANK(K214), ISBLANK(L214), ISBLANK(M214) ), "", 1.5*SQRT(   EXP(2.21*(H214-1)) + EXP(2.21*(J214-1)) + EXP(2.21*(K214-1)) + EXP(2.21*(L214-1)) + EXP(2.21*M214)   )/100*2.45 )</f>
        <v>0.16933510251023262</v>
      </c>
      <c r="O214" s="405">
        <f>IF( OR( ISBLANK(I214),ISBLANK(J214), ISBLANK(K214), ISBLANK(L214), ISBLANK(M214) ), "", 1.5*SQRT( EXP(2.21*(I214-1)) + EXP(2.21*(J214-1)) + EXP(2.21*(K214-1)) + EXP(2.21*(L214-1)) + EXP(2.21*M214)   )/100*2.45 )</f>
        <v>0.19908580854301616</v>
      </c>
      <c r="P214" s="43" t="s">
        <v>1975</v>
      </c>
    </row>
    <row r="215" spans="1:16" s="436" customFormat="1" ht="15.75" thickBot="1">
      <c r="A215" s="635" t="s">
        <v>490</v>
      </c>
      <c r="B215" s="784" t="s">
        <v>334</v>
      </c>
      <c r="C215" s="34" t="s">
        <v>139</v>
      </c>
      <c r="D215" s="123" t="s">
        <v>99</v>
      </c>
      <c r="E215" s="753" t="s">
        <v>150</v>
      </c>
      <c r="F215" s="12">
        <v>1</v>
      </c>
      <c r="G215" s="12" t="s">
        <v>433</v>
      </c>
      <c r="H215" s="14"/>
      <c r="I215" s="14"/>
      <c r="J215" s="14"/>
      <c r="K215" s="14"/>
      <c r="L215" s="14"/>
      <c r="M215" s="14"/>
      <c r="N215" s="428" t="str">
        <f t="shared" si="29"/>
        <v/>
      </c>
      <c r="O215" s="428" t="str">
        <f t="shared" si="30"/>
        <v/>
      </c>
      <c r="P215" s="44"/>
    </row>
    <row r="216" spans="1:16" s="436" customFormat="1">
      <c r="A216" s="637" t="s">
        <v>489</v>
      </c>
      <c r="B216" s="774" t="s">
        <v>228</v>
      </c>
      <c r="C216" s="34" t="s">
        <v>139</v>
      </c>
      <c r="D216" s="614" t="s">
        <v>99</v>
      </c>
      <c r="E216" s="744">
        <v>3.2000000000000001E-2</v>
      </c>
      <c r="F216" s="118">
        <v>2</v>
      </c>
      <c r="G216" s="118" t="s">
        <v>433</v>
      </c>
      <c r="H216" s="66">
        <v>1</v>
      </c>
      <c r="I216" s="66">
        <v>2</v>
      </c>
      <c r="J216" s="66">
        <v>2</v>
      </c>
      <c r="K216" s="66">
        <v>1</v>
      </c>
      <c r="L216" s="66">
        <v>1</v>
      </c>
      <c r="M216" s="66">
        <v>1</v>
      </c>
      <c r="N216" s="438">
        <f t="shared" si="29"/>
        <v>0.16933510251023262</v>
      </c>
      <c r="O216" s="438">
        <f t="shared" si="30"/>
        <v>0.19908580854301616</v>
      </c>
      <c r="P216" s="118" t="s">
        <v>861</v>
      </c>
    </row>
    <row r="217" spans="1:16" s="436" customFormat="1" ht="15.75" thickBot="1">
      <c r="A217" s="638" t="s">
        <v>489</v>
      </c>
      <c r="B217" s="775" t="s">
        <v>334</v>
      </c>
      <c r="C217" s="34" t="s">
        <v>139</v>
      </c>
      <c r="D217" s="124" t="s">
        <v>99</v>
      </c>
      <c r="E217" s="749" t="s">
        <v>150</v>
      </c>
      <c r="F217" s="119">
        <v>1</v>
      </c>
      <c r="G217" s="119" t="s">
        <v>433</v>
      </c>
      <c r="H217" s="15"/>
      <c r="I217" s="15"/>
      <c r="J217" s="15"/>
      <c r="K217" s="15"/>
      <c r="L217" s="15"/>
      <c r="M217" s="15"/>
      <c r="N217" s="424" t="str">
        <f t="shared" si="29"/>
        <v/>
      </c>
      <c r="O217" s="424" t="str">
        <f t="shared" si="30"/>
        <v/>
      </c>
      <c r="P217" s="119" t="s">
        <v>1984</v>
      </c>
    </row>
    <row r="218" spans="1:16" s="436" customFormat="1">
      <c r="A218" s="634" t="s">
        <v>440</v>
      </c>
      <c r="B218" s="783" t="s">
        <v>495</v>
      </c>
      <c r="C218" s="34" t="s">
        <v>139</v>
      </c>
      <c r="D218" s="121" t="s">
        <v>99</v>
      </c>
      <c r="E218" s="632">
        <f>0.85*0.4</f>
        <v>0.34</v>
      </c>
      <c r="F218" s="11">
        <v>2</v>
      </c>
      <c r="G218" s="11" t="s">
        <v>433</v>
      </c>
      <c r="H218" s="13">
        <v>1</v>
      </c>
      <c r="I218" s="13">
        <v>2</v>
      </c>
      <c r="J218" s="13">
        <v>2</v>
      </c>
      <c r="K218" s="13">
        <v>1</v>
      </c>
      <c r="L218" s="13">
        <v>1</v>
      </c>
      <c r="M218" s="13">
        <v>1</v>
      </c>
      <c r="N218" s="425">
        <f t="shared" si="29"/>
        <v>0.16933510251023262</v>
      </c>
      <c r="O218" s="425">
        <f t="shared" si="30"/>
        <v>0.19908580854301616</v>
      </c>
      <c r="P218" s="42" t="s">
        <v>870</v>
      </c>
    </row>
    <row r="219" spans="1:16" s="436" customFormat="1">
      <c r="A219" s="636" t="s">
        <v>440</v>
      </c>
      <c r="B219" s="780" t="s">
        <v>496</v>
      </c>
      <c r="C219" s="34" t="s">
        <v>139</v>
      </c>
      <c r="D219" s="122" t="s">
        <v>99</v>
      </c>
      <c r="E219" s="242">
        <f>0.85*0.6</f>
        <v>0.51</v>
      </c>
      <c r="F219" s="9">
        <v>2</v>
      </c>
      <c r="G219" s="9" t="s">
        <v>433</v>
      </c>
      <c r="H219" s="10">
        <v>1</v>
      </c>
      <c r="I219" s="10">
        <v>2</v>
      </c>
      <c r="J219" s="10">
        <v>2</v>
      </c>
      <c r="K219" s="10">
        <v>1</v>
      </c>
      <c r="L219" s="10">
        <v>1</v>
      </c>
      <c r="M219" s="10">
        <v>1</v>
      </c>
      <c r="N219" s="405">
        <f t="shared" si="29"/>
        <v>0.16933510251023262</v>
      </c>
      <c r="O219" s="405">
        <f t="shared" si="30"/>
        <v>0.19908580854301616</v>
      </c>
      <c r="P219" s="43" t="s">
        <v>871</v>
      </c>
    </row>
    <row r="220" spans="1:16" s="436" customFormat="1" ht="15.75" thickBot="1">
      <c r="A220" s="635" t="s">
        <v>440</v>
      </c>
      <c r="B220" s="784" t="s">
        <v>223</v>
      </c>
      <c r="C220" s="34" t="s">
        <v>139</v>
      </c>
      <c r="D220" s="123" t="s">
        <v>99</v>
      </c>
      <c r="E220" s="753">
        <v>0.15</v>
      </c>
      <c r="F220" s="12">
        <v>1</v>
      </c>
      <c r="G220" s="12" t="s">
        <v>433</v>
      </c>
      <c r="H220" s="14">
        <v>1</v>
      </c>
      <c r="I220" s="14">
        <v>2</v>
      </c>
      <c r="J220" s="14">
        <v>2</v>
      </c>
      <c r="K220" s="14">
        <v>1</v>
      </c>
      <c r="L220" s="14">
        <v>1</v>
      </c>
      <c r="M220" s="14">
        <v>1</v>
      </c>
      <c r="N220" s="428">
        <f t="shared" si="29"/>
        <v>0.16933510251023262</v>
      </c>
      <c r="O220" s="428">
        <f t="shared" si="30"/>
        <v>0.19908580854301616</v>
      </c>
      <c r="P220" s="44" t="s">
        <v>872</v>
      </c>
    </row>
    <row r="221" spans="1:16" s="436" customFormat="1">
      <c r="A221" s="637" t="s">
        <v>495</v>
      </c>
      <c r="B221" s="774" t="s">
        <v>497</v>
      </c>
      <c r="C221" s="34" t="s">
        <v>139</v>
      </c>
      <c r="D221" s="614" t="s">
        <v>99</v>
      </c>
      <c r="E221" s="744">
        <v>0.03</v>
      </c>
      <c r="F221" s="118">
        <v>2</v>
      </c>
      <c r="G221" s="118" t="s">
        <v>433</v>
      </c>
      <c r="H221" s="66">
        <v>1</v>
      </c>
      <c r="I221" s="66">
        <v>2</v>
      </c>
      <c r="J221" s="66">
        <v>2</v>
      </c>
      <c r="K221" s="66">
        <v>1</v>
      </c>
      <c r="L221" s="66">
        <v>1</v>
      </c>
      <c r="M221" s="66">
        <v>1</v>
      </c>
      <c r="N221" s="438">
        <f t="shared" si="29"/>
        <v>0.16933510251023262</v>
      </c>
      <c r="O221" s="438">
        <f t="shared" si="30"/>
        <v>0.19908580854301616</v>
      </c>
      <c r="P221" s="118" t="s">
        <v>855</v>
      </c>
    </row>
    <row r="222" spans="1:16" s="436" customFormat="1" ht="15.75" thickBot="1">
      <c r="A222" s="638" t="s">
        <v>495</v>
      </c>
      <c r="B222" s="775" t="s">
        <v>498</v>
      </c>
      <c r="C222" s="34" t="s">
        <v>139</v>
      </c>
      <c r="D222" s="124" t="s">
        <v>99</v>
      </c>
      <c r="E222" s="749" t="s">
        <v>150</v>
      </c>
      <c r="F222" s="119">
        <v>1</v>
      </c>
      <c r="G222" s="119" t="s">
        <v>433</v>
      </c>
      <c r="H222" s="15"/>
      <c r="I222" s="15"/>
      <c r="J222" s="15"/>
      <c r="K222" s="15"/>
      <c r="L222" s="15"/>
      <c r="M222" s="15"/>
      <c r="N222" s="424" t="str">
        <f t="shared" si="29"/>
        <v/>
      </c>
      <c r="O222" s="424" t="str">
        <f t="shared" si="30"/>
        <v/>
      </c>
      <c r="P222" s="119" t="s">
        <v>1950</v>
      </c>
    </row>
    <row r="223" spans="1:16" s="436" customFormat="1">
      <c r="A223" s="437" t="s">
        <v>497</v>
      </c>
      <c r="B223" s="437" t="s">
        <v>231</v>
      </c>
      <c r="C223" s="34" t="s">
        <v>139</v>
      </c>
      <c r="D223" s="121" t="s">
        <v>99</v>
      </c>
      <c r="E223" s="770">
        <v>0.05</v>
      </c>
      <c r="F223" s="771">
        <v>2</v>
      </c>
      <c r="G223" s="11" t="s">
        <v>157</v>
      </c>
      <c r="H223" s="13">
        <v>1</v>
      </c>
      <c r="I223" s="13">
        <v>2</v>
      </c>
      <c r="J223" s="13">
        <v>2</v>
      </c>
      <c r="K223" s="13">
        <v>1</v>
      </c>
      <c r="L223" s="772">
        <v>3</v>
      </c>
      <c r="M223" s="13">
        <v>3</v>
      </c>
      <c r="N223" s="425">
        <f t="shared" si="29"/>
        <v>1.0725046436742278</v>
      </c>
      <c r="O223" s="425">
        <f t="shared" si="30"/>
        <v>1.0776024280428556</v>
      </c>
      <c r="P223" s="760" t="s">
        <v>1937</v>
      </c>
    </row>
    <row r="224" spans="1:16" s="436" customFormat="1">
      <c r="A224" s="496" t="s">
        <v>497</v>
      </c>
      <c r="B224" s="496" t="s">
        <v>232</v>
      </c>
      <c r="C224" s="34" t="s">
        <v>139</v>
      </c>
      <c r="D224" s="122" t="s">
        <v>99</v>
      </c>
      <c r="E224" s="242">
        <v>0.39400000000000002</v>
      </c>
      <c r="F224" s="9">
        <v>2</v>
      </c>
      <c r="G224" s="9" t="s">
        <v>433</v>
      </c>
      <c r="H224" s="10">
        <v>1</v>
      </c>
      <c r="I224" s="10">
        <v>2</v>
      </c>
      <c r="J224" s="10">
        <v>2</v>
      </c>
      <c r="K224" s="10">
        <v>1</v>
      </c>
      <c r="L224" s="10">
        <v>1</v>
      </c>
      <c r="M224" s="10">
        <v>1</v>
      </c>
      <c r="N224" s="405">
        <f t="shared" si="29"/>
        <v>0.16933510251023262</v>
      </c>
      <c r="O224" s="405">
        <f t="shared" si="30"/>
        <v>0.19908580854301616</v>
      </c>
      <c r="P224" s="43" t="s">
        <v>1961</v>
      </c>
    </row>
    <row r="225" spans="1:20" s="436" customFormat="1">
      <c r="A225" s="496" t="s">
        <v>497</v>
      </c>
      <c r="B225" s="496" t="s">
        <v>251</v>
      </c>
      <c r="C225" s="34" t="s">
        <v>139</v>
      </c>
      <c r="D225" s="122" t="s">
        <v>99</v>
      </c>
      <c r="E225" s="242">
        <v>0.52200000000000002</v>
      </c>
      <c r="F225" s="7">
        <v>1</v>
      </c>
      <c r="G225" s="9" t="s">
        <v>433</v>
      </c>
      <c r="H225" s="10">
        <v>1</v>
      </c>
      <c r="I225" s="10">
        <v>2</v>
      </c>
      <c r="J225" s="10">
        <v>2</v>
      </c>
      <c r="K225" s="10">
        <v>1</v>
      </c>
      <c r="L225" s="10">
        <v>1</v>
      </c>
      <c r="M225" s="10">
        <v>1</v>
      </c>
      <c r="N225" s="405">
        <f t="shared" si="29"/>
        <v>0.16933510251023262</v>
      </c>
      <c r="O225" s="405">
        <f t="shared" si="30"/>
        <v>0.19908580854301616</v>
      </c>
      <c r="P225" s="43" t="s">
        <v>1962</v>
      </c>
    </row>
    <row r="226" spans="1:20" s="436" customFormat="1" ht="15.75" thickBot="1">
      <c r="A226" s="773" t="s">
        <v>497</v>
      </c>
      <c r="B226" s="773" t="s">
        <v>258</v>
      </c>
      <c r="C226" s="34" t="s">
        <v>139</v>
      </c>
      <c r="D226" s="123" t="s">
        <v>99</v>
      </c>
      <c r="E226" s="753">
        <v>3.4000000000000002E-2</v>
      </c>
      <c r="F226" s="12">
        <v>2</v>
      </c>
      <c r="G226" s="12" t="s">
        <v>433</v>
      </c>
      <c r="H226" s="14"/>
      <c r="I226" s="14"/>
      <c r="J226" s="14"/>
      <c r="K226" s="14"/>
      <c r="L226" s="14"/>
      <c r="M226" s="14"/>
      <c r="N226" s="428"/>
      <c r="O226" s="428"/>
      <c r="P226" s="44" t="s">
        <v>1963</v>
      </c>
    </row>
    <row r="227" spans="1:20" s="436" customFormat="1">
      <c r="A227" s="637" t="s">
        <v>496</v>
      </c>
      <c r="B227" s="774" t="s">
        <v>499</v>
      </c>
      <c r="C227" s="34" t="s">
        <v>139</v>
      </c>
      <c r="D227" s="614" t="s">
        <v>99</v>
      </c>
      <c r="E227" s="744">
        <f>0.1*E221</f>
        <v>3.0000000000000001E-3</v>
      </c>
      <c r="F227" s="118">
        <v>2</v>
      </c>
      <c r="G227" s="118" t="s">
        <v>433</v>
      </c>
      <c r="H227" s="66">
        <v>1</v>
      </c>
      <c r="I227" s="66">
        <v>2</v>
      </c>
      <c r="J227" s="66">
        <v>2</v>
      </c>
      <c r="K227" s="66">
        <v>1</v>
      </c>
      <c r="L227" s="66">
        <v>1</v>
      </c>
      <c r="M227" s="66">
        <v>1</v>
      </c>
      <c r="N227" s="438">
        <f t="shared" si="29"/>
        <v>0.16933510251023262</v>
      </c>
      <c r="O227" s="438">
        <f t="shared" si="30"/>
        <v>0.19908580854301616</v>
      </c>
      <c r="P227" s="118" t="s">
        <v>856</v>
      </c>
    </row>
    <row r="228" spans="1:20" s="436" customFormat="1" ht="15.75" thickBot="1">
      <c r="A228" s="638" t="s">
        <v>496</v>
      </c>
      <c r="B228" s="775" t="s">
        <v>500</v>
      </c>
      <c r="C228" s="34" t="s">
        <v>139</v>
      </c>
      <c r="D228" s="124" t="s">
        <v>99</v>
      </c>
      <c r="E228" s="749" t="s">
        <v>150</v>
      </c>
      <c r="F228" s="119">
        <v>1</v>
      </c>
      <c r="G228" s="119" t="s">
        <v>433</v>
      </c>
      <c r="H228" s="15"/>
      <c r="I228" s="15"/>
      <c r="J228" s="15"/>
      <c r="K228" s="15"/>
      <c r="L228" s="15"/>
      <c r="M228" s="15"/>
      <c r="N228" s="424" t="str">
        <f t="shared" si="29"/>
        <v/>
      </c>
      <c r="O228" s="424" t="str">
        <f t="shared" si="30"/>
        <v/>
      </c>
      <c r="P228" s="119" t="s">
        <v>1950</v>
      </c>
    </row>
    <row r="229" spans="1:20" s="436" customFormat="1" ht="15.75" thickBot="1">
      <c r="A229" s="633" t="s">
        <v>499</v>
      </c>
      <c r="B229" s="785" t="s">
        <v>228</v>
      </c>
      <c r="C229" s="34" t="s">
        <v>139</v>
      </c>
      <c r="D229" s="781" t="s">
        <v>99</v>
      </c>
      <c r="E229" s="751">
        <v>1</v>
      </c>
      <c r="F229" s="750">
        <v>2</v>
      </c>
      <c r="G229" s="750" t="s">
        <v>433</v>
      </c>
      <c r="H229" s="70">
        <v>1</v>
      </c>
      <c r="I229" s="70">
        <v>2</v>
      </c>
      <c r="J229" s="70">
        <v>2</v>
      </c>
      <c r="K229" s="70">
        <v>1</v>
      </c>
      <c r="L229" s="70">
        <v>1</v>
      </c>
      <c r="M229" s="70">
        <v>1</v>
      </c>
      <c r="N229" s="439">
        <f t="shared" si="29"/>
        <v>0.16933510251023262</v>
      </c>
      <c r="O229" s="439">
        <f t="shared" si="30"/>
        <v>0.19908580854301616</v>
      </c>
      <c r="P229" s="752" t="s">
        <v>857</v>
      </c>
    </row>
    <row r="230" spans="1:20" s="436" customFormat="1">
      <c r="A230" s="637" t="s">
        <v>498</v>
      </c>
      <c r="B230" s="783" t="s">
        <v>231</v>
      </c>
      <c r="C230" s="34" t="s">
        <v>139</v>
      </c>
      <c r="D230" s="614" t="s">
        <v>99</v>
      </c>
      <c r="E230" s="744">
        <v>3.2000000000000002E-3</v>
      </c>
      <c r="F230" s="118">
        <v>2</v>
      </c>
      <c r="G230" s="118" t="s">
        <v>1997</v>
      </c>
      <c r="H230" s="66">
        <v>1</v>
      </c>
      <c r="I230" s="66">
        <v>2</v>
      </c>
      <c r="J230" s="66">
        <v>2</v>
      </c>
      <c r="K230" s="66">
        <v>1</v>
      </c>
      <c r="L230" s="15">
        <v>3</v>
      </c>
      <c r="M230" s="13">
        <v>3</v>
      </c>
      <c r="N230" s="438">
        <f t="shared" si="29"/>
        <v>1.0725046436742278</v>
      </c>
      <c r="O230" s="438">
        <f t="shared" si="30"/>
        <v>1.0776024280428556</v>
      </c>
      <c r="P230" s="118" t="s">
        <v>1985</v>
      </c>
      <c r="T230" s="761"/>
    </row>
    <row r="231" spans="1:20" s="436" customFormat="1">
      <c r="A231" s="313" t="s">
        <v>498</v>
      </c>
      <c r="B231" s="780" t="s">
        <v>232</v>
      </c>
      <c r="C231" s="34" t="s">
        <v>139</v>
      </c>
      <c r="D231" s="122" t="s">
        <v>99</v>
      </c>
      <c r="E231" s="242">
        <v>2.5215999999999999E-2</v>
      </c>
      <c r="F231" s="9">
        <v>2</v>
      </c>
      <c r="G231" s="9" t="s">
        <v>433</v>
      </c>
      <c r="H231" s="10">
        <v>1</v>
      </c>
      <c r="I231" s="10">
        <v>2</v>
      </c>
      <c r="J231" s="10">
        <v>2</v>
      </c>
      <c r="K231" s="10">
        <v>1</v>
      </c>
      <c r="L231" s="10">
        <v>1</v>
      </c>
      <c r="M231" s="10">
        <v>1</v>
      </c>
      <c r="N231" s="405">
        <f t="shared" si="29"/>
        <v>0.16933510251023262</v>
      </c>
      <c r="O231" s="405">
        <f t="shared" si="30"/>
        <v>0.19908580854301616</v>
      </c>
      <c r="P231" s="9" t="s">
        <v>1988</v>
      </c>
      <c r="R231" s="757"/>
      <c r="T231" s="761"/>
    </row>
    <row r="232" spans="1:20" s="436" customFormat="1">
      <c r="A232" s="313" t="s">
        <v>498</v>
      </c>
      <c r="B232" s="780" t="s">
        <v>251</v>
      </c>
      <c r="C232" s="34" t="s">
        <v>139</v>
      </c>
      <c r="D232" s="122" t="s">
        <v>99</v>
      </c>
      <c r="E232" s="242">
        <v>3.3408E-2</v>
      </c>
      <c r="F232" s="9">
        <v>2</v>
      </c>
      <c r="G232" s="9" t="s">
        <v>433</v>
      </c>
      <c r="H232" s="10">
        <v>1</v>
      </c>
      <c r="I232" s="10">
        <v>2</v>
      </c>
      <c r="J232" s="10">
        <v>2</v>
      </c>
      <c r="K232" s="10">
        <v>1</v>
      </c>
      <c r="L232" s="10">
        <v>1</v>
      </c>
      <c r="M232" s="10">
        <v>1</v>
      </c>
      <c r="N232" s="405">
        <f t="shared" si="29"/>
        <v>0.16933510251023262</v>
      </c>
      <c r="O232" s="405">
        <f t="shared" si="30"/>
        <v>0.19908580854301616</v>
      </c>
      <c r="P232" s="9" t="s">
        <v>1986</v>
      </c>
      <c r="T232" s="761"/>
    </row>
    <row r="233" spans="1:20" s="436" customFormat="1">
      <c r="A233" s="313" t="s">
        <v>498</v>
      </c>
      <c r="B233" s="775" t="s">
        <v>258</v>
      </c>
      <c r="C233" s="34" t="s">
        <v>139</v>
      </c>
      <c r="D233" s="124" t="s">
        <v>99</v>
      </c>
      <c r="E233" s="749">
        <v>2.176E-3</v>
      </c>
      <c r="F233" s="119">
        <v>2</v>
      </c>
      <c r="G233" s="119" t="s">
        <v>433</v>
      </c>
      <c r="H233" s="10">
        <v>1</v>
      </c>
      <c r="I233" s="10">
        <v>2</v>
      </c>
      <c r="J233" s="10">
        <v>2</v>
      </c>
      <c r="K233" s="10">
        <v>1</v>
      </c>
      <c r="L233" s="10">
        <v>1</v>
      </c>
      <c r="M233" s="10">
        <v>1</v>
      </c>
      <c r="N233" s="405">
        <f>IF( OR( ISBLANK(H233),ISBLANK(J233), ISBLANK(K233), ISBLANK(L233), ISBLANK(M233) ), "", 1.5*SQRT(   EXP(2.21*(H233-1)) + EXP(2.21*(J233-1)) + EXP(2.21*(K233-1)) + EXP(2.21*(L233-1)) + EXP(2.21*M233)   )/100*2.45 )</f>
        <v>0.16933510251023262</v>
      </c>
      <c r="O233" s="405">
        <f>IF( OR( ISBLANK(I233),ISBLANK(J233), ISBLANK(K233), ISBLANK(L233), ISBLANK(M233) ), "", 1.5*SQRT( EXP(2.21*(I233-1)) + EXP(2.21*(J233-1)) + EXP(2.21*(K233-1)) + EXP(2.21*(L233-1)) + EXP(2.21*M233)   )/100*2.45 )</f>
        <v>0.19908580854301616</v>
      </c>
      <c r="P233" s="155" t="s">
        <v>1987</v>
      </c>
      <c r="T233" s="761"/>
    </row>
    <row r="234" spans="1:20" s="436" customFormat="1" ht="15.75" thickBot="1">
      <c r="A234" s="638" t="s">
        <v>498</v>
      </c>
      <c r="B234" s="784" t="s">
        <v>334</v>
      </c>
      <c r="C234" s="34" t="s">
        <v>139</v>
      </c>
      <c r="D234" s="124" t="s">
        <v>99</v>
      </c>
      <c r="E234" s="749" t="s">
        <v>150</v>
      </c>
      <c r="F234" s="119">
        <v>1</v>
      </c>
      <c r="G234" s="119" t="s">
        <v>433</v>
      </c>
      <c r="H234" s="15"/>
      <c r="I234" s="15"/>
      <c r="J234" s="15"/>
      <c r="K234" s="15"/>
      <c r="L234" s="15"/>
      <c r="M234" s="15"/>
      <c r="N234" s="424" t="str">
        <f t="shared" si="29"/>
        <v/>
      </c>
      <c r="O234" s="424" t="str">
        <f t="shared" si="30"/>
        <v/>
      </c>
      <c r="P234" s="119"/>
      <c r="T234" s="761"/>
    </row>
    <row r="235" spans="1:20" s="436" customFormat="1">
      <c r="A235" s="634" t="s">
        <v>500</v>
      </c>
      <c r="B235" s="783" t="s">
        <v>228</v>
      </c>
      <c r="C235" s="34" t="s">
        <v>139</v>
      </c>
      <c r="D235" s="121" t="s">
        <v>99</v>
      </c>
      <c r="E235" s="632">
        <v>6.4000000000000001E-2</v>
      </c>
      <c r="F235" s="11">
        <v>2</v>
      </c>
      <c r="G235" s="11" t="s">
        <v>433</v>
      </c>
      <c r="H235" s="13">
        <v>1</v>
      </c>
      <c r="I235" s="13">
        <v>2</v>
      </c>
      <c r="J235" s="13">
        <v>2</v>
      </c>
      <c r="K235" s="13">
        <v>1</v>
      </c>
      <c r="L235" s="13">
        <v>1</v>
      </c>
      <c r="M235" s="13">
        <v>1</v>
      </c>
      <c r="N235" s="425">
        <f t="shared" si="29"/>
        <v>0.16933510251023262</v>
      </c>
      <c r="O235" s="425">
        <f t="shared" si="30"/>
        <v>0.19908580854301616</v>
      </c>
      <c r="P235" s="42" t="s">
        <v>873</v>
      </c>
    </row>
    <row r="236" spans="1:20" s="436" customFormat="1" ht="15.75" thickBot="1">
      <c r="A236" s="635" t="s">
        <v>500</v>
      </c>
      <c r="B236" s="784" t="s">
        <v>334</v>
      </c>
      <c r="C236" s="34" t="s">
        <v>139</v>
      </c>
      <c r="D236" s="123" t="s">
        <v>99</v>
      </c>
      <c r="E236" s="753" t="s">
        <v>150</v>
      </c>
      <c r="F236" s="12">
        <v>1</v>
      </c>
      <c r="G236" s="12" t="s">
        <v>433</v>
      </c>
      <c r="H236" s="14"/>
      <c r="I236" s="14"/>
      <c r="J236" s="14"/>
      <c r="K236" s="14"/>
      <c r="L236" s="14"/>
      <c r="M236" s="14"/>
      <c r="N236" s="428" t="str">
        <f t="shared" si="29"/>
        <v/>
      </c>
      <c r="O236" s="428" t="str">
        <f t="shared" si="30"/>
        <v/>
      </c>
      <c r="P236" s="44" t="s">
        <v>1951</v>
      </c>
    </row>
    <row r="237" spans="1:20" s="436" customFormat="1">
      <c r="A237" s="637" t="s">
        <v>441</v>
      </c>
      <c r="B237" s="774" t="s">
        <v>501</v>
      </c>
      <c r="C237" s="34" t="s">
        <v>139</v>
      </c>
      <c r="D237" s="614" t="s">
        <v>99</v>
      </c>
      <c r="E237" s="744">
        <f>0.85*0.6</f>
        <v>0.51</v>
      </c>
      <c r="F237" s="118">
        <v>2</v>
      </c>
      <c r="G237" s="118" t="s">
        <v>433</v>
      </c>
      <c r="H237" s="66">
        <v>1</v>
      </c>
      <c r="I237" s="66">
        <v>2</v>
      </c>
      <c r="J237" s="66">
        <v>2</v>
      </c>
      <c r="K237" s="66">
        <v>1</v>
      </c>
      <c r="L237" s="66">
        <v>1</v>
      </c>
      <c r="M237" s="66">
        <v>1</v>
      </c>
      <c r="N237" s="438">
        <f t="shared" si="29"/>
        <v>0.16933510251023262</v>
      </c>
      <c r="O237" s="438">
        <f t="shared" si="30"/>
        <v>0.19908580854301616</v>
      </c>
      <c r="P237" s="118" t="s">
        <v>874</v>
      </c>
    </row>
    <row r="238" spans="1:20" s="436" customFormat="1">
      <c r="A238" s="313" t="s">
        <v>441</v>
      </c>
      <c r="B238" s="780" t="s">
        <v>502</v>
      </c>
      <c r="C238" s="34" t="s">
        <v>139</v>
      </c>
      <c r="D238" s="122" t="s">
        <v>99</v>
      </c>
      <c r="E238" s="242">
        <f>0.85*0.4</f>
        <v>0.34</v>
      </c>
      <c r="F238" s="9">
        <v>2</v>
      </c>
      <c r="G238" s="9" t="s">
        <v>433</v>
      </c>
      <c r="H238" s="10">
        <v>1</v>
      </c>
      <c r="I238" s="10">
        <v>2</v>
      </c>
      <c r="J238" s="10">
        <v>2</v>
      </c>
      <c r="K238" s="10">
        <v>1</v>
      </c>
      <c r="L238" s="10">
        <v>1</v>
      </c>
      <c r="M238" s="10">
        <v>1</v>
      </c>
      <c r="N238" s="405">
        <f t="shared" si="29"/>
        <v>0.16933510251023262</v>
      </c>
      <c r="O238" s="405">
        <f t="shared" si="30"/>
        <v>0.19908580854301616</v>
      </c>
      <c r="P238" s="9" t="s">
        <v>875</v>
      </c>
    </row>
    <row r="239" spans="1:20" s="436" customFormat="1" ht="15.75" thickBot="1">
      <c r="A239" s="638" t="s">
        <v>441</v>
      </c>
      <c r="B239" s="775" t="s">
        <v>223</v>
      </c>
      <c r="C239" s="34" t="s">
        <v>139</v>
      </c>
      <c r="D239" s="124" t="s">
        <v>99</v>
      </c>
      <c r="E239" s="749">
        <v>0.15</v>
      </c>
      <c r="F239" s="119">
        <v>1</v>
      </c>
      <c r="G239" s="119" t="s">
        <v>433</v>
      </c>
      <c r="H239" s="15">
        <v>1</v>
      </c>
      <c r="I239" s="15">
        <v>2</v>
      </c>
      <c r="J239" s="15">
        <v>2</v>
      </c>
      <c r="K239" s="15">
        <v>1</v>
      </c>
      <c r="L239" s="15">
        <v>1</v>
      </c>
      <c r="M239" s="15">
        <v>1</v>
      </c>
      <c r="N239" s="424">
        <f t="shared" si="29"/>
        <v>0.16933510251023262</v>
      </c>
      <c r="O239" s="424">
        <f t="shared" si="30"/>
        <v>0.19908580854301616</v>
      </c>
      <c r="P239" s="119" t="s">
        <v>872</v>
      </c>
    </row>
    <row r="240" spans="1:20" s="436" customFormat="1">
      <c r="A240" s="634" t="s">
        <v>501</v>
      </c>
      <c r="B240" s="783" t="s">
        <v>503</v>
      </c>
      <c r="C240" s="34" t="s">
        <v>139</v>
      </c>
      <c r="D240" s="121" t="s">
        <v>99</v>
      </c>
      <c r="E240" s="632">
        <v>0.15</v>
      </c>
      <c r="F240" s="11">
        <v>2</v>
      </c>
      <c r="G240" s="11" t="s">
        <v>433</v>
      </c>
      <c r="H240" s="13">
        <v>1</v>
      </c>
      <c r="I240" s="13">
        <v>2</v>
      </c>
      <c r="J240" s="13">
        <v>2</v>
      </c>
      <c r="K240" s="13">
        <v>1</v>
      </c>
      <c r="L240" s="13">
        <v>1</v>
      </c>
      <c r="M240" s="13">
        <v>1</v>
      </c>
      <c r="N240" s="425">
        <f t="shared" si="29"/>
        <v>0.16933510251023262</v>
      </c>
      <c r="O240" s="425">
        <f t="shared" si="30"/>
        <v>0.19908580854301616</v>
      </c>
      <c r="P240" s="42" t="s">
        <v>876</v>
      </c>
    </row>
    <row r="241" spans="1:16" s="436" customFormat="1" ht="15.75" thickBot="1">
      <c r="A241" s="635" t="s">
        <v>501</v>
      </c>
      <c r="B241" s="784" t="s">
        <v>504</v>
      </c>
      <c r="C241" s="34" t="s">
        <v>139</v>
      </c>
      <c r="D241" s="123" t="s">
        <v>99</v>
      </c>
      <c r="E241" s="753" t="s">
        <v>150</v>
      </c>
      <c r="F241" s="12">
        <v>1</v>
      </c>
      <c r="G241" s="12" t="s">
        <v>433</v>
      </c>
      <c r="H241" s="14"/>
      <c r="I241" s="14"/>
      <c r="J241" s="14"/>
      <c r="K241" s="14"/>
      <c r="L241" s="14"/>
      <c r="M241" s="14"/>
      <c r="N241" s="428" t="str">
        <f t="shared" si="29"/>
        <v/>
      </c>
      <c r="O241" s="428" t="str">
        <f t="shared" si="30"/>
        <v/>
      </c>
      <c r="P241" s="44" t="s">
        <v>1952</v>
      </c>
    </row>
    <row r="242" spans="1:16" s="436" customFormat="1">
      <c r="A242" s="637" t="s">
        <v>503</v>
      </c>
      <c r="B242" s="774" t="s">
        <v>231</v>
      </c>
      <c r="C242" s="34" t="s">
        <v>139</v>
      </c>
      <c r="D242" s="614" t="s">
        <v>99</v>
      </c>
      <c r="E242" s="749">
        <v>0.05</v>
      </c>
      <c r="F242" s="119">
        <v>2</v>
      </c>
      <c r="G242" s="11" t="s">
        <v>157</v>
      </c>
      <c r="H242" s="66">
        <v>1</v>
      </c>
      <c r="I242" s="66">
        <v>2</v>
      </c>
      <c r="J242" s="66">
        <v>2</v>
      </c>
      <c r="K242" s="66">
        <v>1</v>
      </c>
      <c r="L242" s="15">
        <v>3</v>
      </c>
      <c r="M242" s="13">
        <v>3</v>
      </c>
      <c r="N242" s="438">
        <f t="shared" si="29"/>
        <v>1.0725046436742278</v>
      </c>
      <c r="O242" s="438">
        <f t="shared" si="30"/>
        <v>1.0776024280428556</v>
      </c>
      <c r="P242" s="119" t="s">
        <v>1937</v>
      </c>
    </row>
    <row r="243" spans="1:16" s="436" customFormat="1">
      <c r="A243" s="313" t="s">
        <v>503</v>
      </c>
      <c r="B243" s="780" t="s">
        <v>232</v>
      </c>
      <c r="C243" s="34" t="s">
        <v>139</v>
      </c>
      <c r="D243" s="122" t="s">
        <v>99</v>
      </c>
      <c r="E243" s="242">
        <v>0.39400000000000002</v>
      </c>
      <c r="F243" s="9">
        <v>2</v>
      </c>
      <c r="G243" s="9" t="s">
        <v>433</v>
      </c>
      <c r="H243" s="10">
        <v>1</v>
      </c>
      <c r="I243" s="10">
        <v>2</v>
      </c>
      <c r="J243" s="10">
        <v>2</v>
      </c>
      <c r="K243" s="10">
        <v>1</v>
      </c>
      <c r="L243" s="10">
        <v>1</v>
      </c>
      <c r="M243" s="10">
        <v>1</v>
      </c>
      <c r="N243" s="405">
        <f t="shared" si="29"/>
        <v>0.16933510251023262</v>
      </c>
      <c r="O243" s="405">
        <f t="shared" si="30"/>
        <v>0.19908580854301616</v>
      </c>
      <c r="P243" s="9" t="s">
        <v>1961</v>
      </c>
    </row>
    <row r="244" spans="1:16" s="436" customFormat="1">
      <c r="A244" s="638" t="s">
        <v>503</v>
      </c>
      <c r="B244" s="775" t="s">
        <v>251</v>
      </c>
      <c r="C244" s="34" t="s">
        <v>139</v>
      </c>
      <c r="D244" s="124" t="s">
        <v>99</v>
      </c>
      <c r="E244" s="242">
        <v>0.52200000000000002</v>
      </c>
      <c r="F244" s="7">
        <v>1</v>
      </c>
      <c r="G244" s="9" t="s">
        <v>433</v>
      </c>
      <c r="H244" s="15">
        <v>1</v>
      </c>
      <c r="I244" s="15">
        <v>2</v>
      </c>
      <c r="J244" s="15">
        <v>2</v>
      </c>
      <c r="K244" s="15">
        <v>1</v>
      </c>
      <c r="L244" s="15">
        <v>1</v>
      </c>
      <c r="M244" s="15">
        <v>1</v>
      </c>
      <c r="N244" s="424">
        <f t="shared" si="29"/>
        <v>0.16933510251023262</v>
      </c>
      <c r="O244" s="424">
        <f t="shared" si="30"/>
        <v>0.19908580854301616</v>
      </c>
      <c r="P244" s="9" t="s">
        <v>1962</v>
      </c>
    </row>
    <row r="245" spans="1:16" s="436" customFormat="1" ht="15.75" thickBot="1">
      <c r="A245" s="638" t="s">
        <v>503</v>
      </c>
      <c r="B245" s="775" t="s">
        <v>258</v>
      </c>
      <c r="C245" s="34" t="s">
        <v>139</v>
      </c>
      <c r="D245" s="124" t="s">
        <v>99</v>
      </c>
      <c r="E245" s="749">
        <v>3.4000000000000002E-2</v>
      </c>
      <c r="F245" s="119">
        <v>2</v>
      </c>
      <c r="G245" s="9" t="s">
        <v>433</v>
      </c>
      <c r="H245" s="15"/>
      <c r="I245" s="15"/>
      <c r="J245" s="15"/>
      <c r="K245" s="15"/>
      <c r="L245" s="15"/>
      <c r="M245" s="15"/>
      <c r="N245" s="424"/>
      <c r="O245" s="424"/>
      <c r="P245" s="119" t="s">
        <v>1963</v>
      </c>
    </row>
    <row r="246" spans="1:16" s="436" customFormat="1">
      <c r="A246" s="634" t="s">
        <v>502</v>
      </c>
      <c r="B246" s="783" t="s">
        <v>505</v>
      </c>
      <c r="C246" s="34" t="s">
        <v>139</v>
      </c>
      <c r="D246" s="121" t="s">
        <v>99</v>
      </c>
      <c r="E246" s="632">
        <f>0.1*E240</f>
        <v>1.4999999999999999E-2</v>
      </c>
      <c r="F246" s="11">
        <v>2</v>
      </c>
      <c r="G246" s="11" t="s">
        <v>433</v>
      </c>
      <c r="H246" s="13">
        <v>1</v>
      </c>
      <c r="I246" s="13">
        <v>2</v>
      </c>
      <c r="J246" s="13">
        <v>2</v>
      </c>
      <c r="K246" s="13">
        <v>1</v>
      </c>
      <c r="L246" s="13">
        <v>1</v>
      </c>
      <c r="M246" s="13">
        <v>1</v>
      </c>
      <c r="N246" s="425">
        <f t="shared" si="29"/>
        <v>0.16933510251023262</v>
      </c>
      <c r="O246" s="425">
        <f t="shared" si="30"/>
        <v>0.19908580854301616</v>
      </c>
      <c r="P246" s="42" t="s">
        <v>856</v>
      </c>
    </row>
    <row r="247" spans="1:16" s="436" customFormat="1" ht="15.75" thickBot="1">
      <c r="A247" s="635" t="s">
        <v>502</v>
      </c>
      <c r="B247" s="784" t="s">
        <v>506</v>
      </c>
      <c r="C247" s="34" t="s">
        <v>139</v>
      </c>
      <c r="D247" s="123" t="s">
        <v>99</v>
      </c>
      <c r="E247" s="753" t="s">
        <v>150</v>
      </c>
      <c r="F247" s="12">
        <v>1</v>
      </c>
      <c r="G247" s="12" t="s">
        <v>433</v>
      </c>
      <c r="H247" s="14"/>
      <c r="I247" s="14"/>
      <c r="J247" s="14"/>
      <c r="K247" s="14"/>
      <c r="L247" s="14"/>
      <c r="M247" s="14"/>
      <c r="N247" s="428" t="str">
        <f t="shared" si="29"/>
        <v/>
      </c>
      <c r="O247" s="428" t="str">
        <f t="shared" si="30"/>
        <v/>
      </c>
      <c r="P247" s="44" t="s">
        <v>1952</v>
      </c>
    </row>
    <row r="248" spans="1:16" s="436" customFormat="1" ht="15.75" thickBot="1">
      <c r="A248" s="758" t="s">
        <v>505</v>
      </c>
      <c r="B248" s="777" t="s">
        <v>228</v>
      </c>
      <c r="C248" s="34" t="s">
        <v>139</v>
      </c>
      <c r="D248" s="787" t="s">
        <v>99</v>
      </c>
      <c r="E248" s="755">
        <v>1</v>
      </c>
      <c r="F248" s="754">
        <v>2</v>
      </c>
      <c r="G248" s="754" t="s">
        <v>433</v>
      </c>
      <c r="H248" s="71">
        <v>1</v>
      </c>
      <c r="I248" s="71">
        <v>2</v>
      </c>
      <c r="J248" s="71">
        <v>2</v>
      </c>
      <c r="K248" s="71">
        <v>1</v>
      </c>
      <c r="L248" s="71">
        <v>1</v>
      </c>
      <c r="M248" s="71">
        <v>1</v>
      </c>
      <c r="N248" s="759">
        <f t="shared" si="29"/>
        <v>0.16933510251023262</v>
      </c>
      <c r="O248" s="759">
        <f t="shared" si="30"/>
        <v>0.19908580854301616</v>
      </c>
      <c r="P248" s="754" t="s">
        <v>857</v>
      </c>
    </row>
    <row r="249" spans="1:16" s="436" customFormat="1">
      <c r="A249" s="437" t="s">
        <v>504</v>
      </c>
      <c r="B249" s="437" t="s">
        <v>231</v>
      </c>
      <c r="C249" s="34" t="s">
        <v>139</v>
      </c>
      <c r="D249" s="121" t="s">
        <v>99</v>
      </c>
      <c r="E249" s="632">
        <v>0</v>
      </c>
      <c r="F249" s="11">
        <v>2</v>
      </c>
      <c r="G249" s="11" t="s">
        <v>433</v>
      </c>
      <c r="H249" s="13">
        <v>1</v>
      </c>
      <c r="I249" s="13">
        <v>2</v>
      </c>
      <c r="J249" s="13">
        <v>2</v>
      </c>
      <c r="K249" s="13">
        <v>1</v>
      </c>
      <c r="L249" s="772">
        <v>1</v>
      </c>
      <c r="M249" s="13">
        <v>1</v>
      </c>
      <c r="N249" s="425">
        <f t="shared" si="29"/>
        <v>0.16933510251023262</v>
      </c>
      <c r="O249" s="425">
        <f t="shared" si="30"/>
        <v>0.19908580854301616</v>
      </c>
      <c r="P249" s="42" t="s">
        <v>1966</v>
      </c>
    </row>
    <row r="250" spans="1:16" s="436" customFormat="1">
      <c r="A250" s="496" t="s">
        <v>504</v>
      </c>
      <c r="B250" s="496" t="s">
        <v>232</v>
      </c>
      <c r="C250" s="34" t="s">
        <v>139</v>
      </c>
      <c r="D250" s="122" t="s">
        <v>99</v>
      </c>
      <c r="E250" s="242">
        <v>0</v>
      </c>
      <c r="F250" s="9">
        <v>2</v>
      </c>
      <c r="G250" s="9" t="s">
        <v>433</v>
      </c>
      <c r="H250" s="10">
        <v>1</v>
      </c>
      <c r="I250" s="10">
        <v>2</v>
      </c>
      <c r="J250" s="10">
        <v>2</v>
      </c>
      <c r="K250" s="10">
        <v>1</v>
      </c>
      <c r="L250" s="10">
        <v>1</v>
      </c>
      <c r="M250" s="10">
        <v>1</v>
      </c>
      <c r="N250" s="405">
        <f t="shared" si="29"/>
        <v>0.16933510251023262</v>
      </c>
      <c r="O250" s="405">
        <f t="shared" si="30"/>
        <v>0.19908580854301616</v>
      </c>
      <c r="P250" s="43" t="s">
        <v>1966</v>
      </c>
    </row>
    <row r="251" spans="1:16" s="436" customFormat="1">
      <c r="A251" s="496" t="s">
        <v>504</v>
      </c>
      <c r="B251" s="496" t="s">
        <v>251</v>
      </c>
      <c r="C251" s="34" t="s">
        <v>139</v>
      </c>
      <c r="D251" s="122" t="s">
        <v>99</v>
      </c>
      <c r="E251" s="242">
        <v>0</v>
      </c>
      <c r="F251" s="9">
        <v>2</v>
      </c>
      <c r="G251" s="9" t="s">
        <v>433</v>
      </c>
      <c r="H251" s="10">
        <v>1</v>
      </c>
      <c r="I251" s="10">
        <v>2</v>
      </c>
      <c r="J251" s="10">
        <v>2</v>
      </c>
      <c r="K251" s="10">
        <v>1</v>
      </c>
      <c r="L251" s="10">
        <v>1</v>
      </c>
      <c r="M251" s="10">
        <v>1</v>
      </c>
      <c r="N251" s="405">
        <f t="shared" si="29"/>
        <v>0.16933510251023262</v>
      </c>
      <c r="O251" s="405">
        <f t="shared" si="30"/>
        <v>0.19908580854301616</v>
      </c>
      <c r="P251" s="43" t="s">
        <v>1966</v>
      </c>
    </row>
    <row r="252" spans="1:16" s="436" customFormat="1">
      <c r="A252" s="496" t="s">
        <v>504</v>
      </c>
      <c r="B252" s="782" t="s">
        <v>258</v>
      </c>
      <c r="C252" s="34" t="s">
        <v>139</v>
      </c>
      <c r="D252" s="124" t="s">
        <v>99</v>
      </c>
      <c r="E252" s="749">
        <v>0</v>
      </c>
      <c r="F252" s="119">
        <v>2</v>
      </c>
      <c r="G252" s="119" t="s">
        <v>433</v>
      </c>
      <c r="H252" s="10">
        <v>1</v>
      </c>
      <c r="I252" s="10">
        <v>2</v>
      </c>
      <c r="J252" s="10">
        <v>2</v>
      </c>
      <c r="K252" s="10">
        <v>1</v>
      </c>
      <c r="L252" s="10">
        <v>1</v>
      </c>
      <c r="M252" s="10">
        <v>1</v>
      </c>
      <c r="N252" s="405">
        <f>IF( OR( ISBLANK(H252),ISBLANK(J252), ISBLANK(K252), ISBLANK(L252), ISBLANK(M252) ), "", 1.5*SQRT(   EXP(2.21*(H252-1)) + EXP(2.21*(J252-1)) + EXP(2.21*(K252-1)) + EXP(2.21*(L252-1)) + EXP(2.21*M252)   )/100*2.45 )</f>
        <v>0.16933510251023262</v>
      </c>
      <c r="O252" s="405">
        <f>IF( OR( ISBLANK(I252),ISBLANK(J252), ISBLANK(K252), ISBLANK(L252), ISBLANK(M252) ), "", 1.5*SQRT( EXP(2.21*(I252-1)) + EXP(2.21*(J252-1)) + EXP(2.21*(K252-1)) + EXP(2.21*(L252-1)) + EXP(2.21*M252)   )/100*2.45 )</f>
        <v>0.19908580854301616</v>
      </c>
      <c r="P252" s="155" t="s">
        <v>1966</v>
      </c>
    </row>
    <row r="253" spans="1:16" s="436" customFormat="1" ht="15.75" thickBot="1">
      <c r="A253" s="773" t="s">
        <v>504</v>
      </c>
      <c r="B253" s="773" t="s">
        <v>334</v>
      </c>
      <c r="C253" s="34" t="s">
        <v>139</v>
      </c>
      <c r="D253" s="123" t="s">
        <v>99</v>
      </c>
      <c r="E253" s="753" t="s">
        <v>150</v>
      </c>
      <c r="F253" s="12">
        <v>1</v>
      </c>
      <c r="G253" s="12" t="s">
        <v>433</v>
      </c>
      <c r="H253" s="14"/>
      <c r="I253" s="14"/>
      <c r="J253" s="14"/>
      <c r="K253" s="14"/>
      <c r="L253" s="14"/>
      <c r="M253" s="14"/>
      <c r="N253" s="428" t="str">
        <f t="shared" si="29"/>
        <v/>
      </c>
      <c r="O253" s="428" t="str">
        <f t="shared" si="30"/>
        <v/>
      </c>
      <c r="P253" s="44"/>
    </row>
    <row r="254" spans="1:16" s="436" customFormat="1">
      <c r="A254" s="637" t="s">
        <v>506</v>
      </c>
      <c r="B254" s="774" t="s">
        <v>228</v>
      </c>
      <c r="C254" s="34" t="s">
        <v>139</v>
      </c>
      <c r="D254" s="614" t="s">
        <v>99</v>
      </c>
      <c r="E254" s="744">
        <v>0</v>
      </c>
      <c r="F254" s="118">
        <v>2</v>
      </c>
      <c r="G254" s="118" t="s">
        <v>433</v>
      </c>
      <c r="H254" s="66">
        <v>1</v>
      </c>
      <c r="I254" s="66">
        <v>2</v>
      </c>
      <c r="J254" s="66">
        <v>2</v>
      </c>
      <c r="K254" s="66">
        <v>1</v>
      </c>
      <c r="L254" s="66">
        <v>1</v>
      </c>
      <c r="M254" s="66">
        <v>1</v>
      </c>
      <c r="N254" s="438">
        <f t="shared" si="29"/>
        <v>0.16933510251023262</v>
      </c>
      <c r="O254" s="438">
        <f t="shared" si="30"/>
        <v>0.19908580854301616</v>
      </c>
      <c r="P254" s="118" t="s">
        <v>858</v>
      </c>
    </row>
    <row r="255" spans="1:16" s="436" customFormat="1" ht="15.75" thickBot="1">
      <c r="A255" s="638" t="s">
        <v>506</v>
      </c>
      <c r="B255" s="775" t="s">
        <v>334</v>
      </c>
      <c r="C255" s="34" t="s">
        <v>139</v>
      </c>
      <c r="D255" s="124" t="s">
        <v>99</v>
      </c>
      <c r="E255" s="749" t="s">
        <v>150</v>
      </c>
      <c r="F255" s="119">
        <v>1</v>
      </c>
      <c r="G255" s="119" t="s">
        <v>433</v>
      </c>
      <c r="H255" s="15">
        <v>1</v>
      </c>
      <c r="I255" s="15">
        <v>2</v>
      </c>
      <c r="J255" s="15">
        <v>2</v>
      </c>
      <c r="K255" s="15">
        <v>1</v>
      </c>
      <c r="L255" s="15">
        <v>1</v>
      </c>
      <c r="M255" s="15">
        <v>1</v>
      </c>
      <c r="N255" s="424">
        <f t="shared" si="29"/>
        <v>0.16933510251023262</v>
      </c>
      <c r="O255" s="424">
        <f t="shared" si="30"/>
        <v>0.19908580854301616</v>
      </c>
      <c r="P255" s="119" t="s">
        <v>1953</v>
      </c>
    </row>
    <row r="256" spans="1:16" s="436" customFormat="1">
      <c r="A256" s="634" t="s">
        <v>442</v>
      </c>
      <c r="B256" s="783" t="s">
        <v>507</v>
      </c>
      <c r="C256" s="34" t="s">
        <v>139</v>
      </c>
      <c r="D256" s="121" t="s">
        <v>99</v>
      </c>
      <c r="E256" s="632">
        <v>0</v>
      </c>
      <c r="F256" s="11">
        <v>2</v>
      </c>
      <c r="G256" s="11" t="s">
        <v>433</v>
      </c>
      <c r="H256" s="13">
        <v>1</v>
      </c>
      <c r="I256" s="13">
        <v>2</v>
      </c>
      <c r="J256" s="13">
        <v>2</v>
      </c>
      <c r="K256" s="13">
        <v>1</v>
      </c>
      <c r="L256" s="13">
        <v>1</v>
      </c>
      <c r="M256" s="13">
        <v>1</v>
      </c>
      <c r="N256" s="425">
        <f t="shared" si="29"/>
        <v>0.16933510251023262</v>
      </c>
      <c r="O256" s="425">
        <f t="shared" si="30"/>
        <v>0.19908580854301616</v>
      </c>
      <c r="P256" s="42" t="s">
        <v>877</v>
      </c>
    </row>
    <row r="257" spans="1:16" s="436" customFormat="1">
      <c r="A257" s="636" t="s">
        <v>442</v>
      </c>
      <c r="B257" s="780" t="s">
        <v>508</v>
      </c>
      <c r="C257" s="34" t="s">
        <v>139</v>
      </c>
      <c r="D257" s="122" t="s">
        <v>99</v>
      </c>
      <c r="E257" s="242">
        <v>0.85</v>
      </c>
      <c r="F257" s="9">
        <v>2</v>
      </c>
      <c r="G257" s="9" t="s">
        <v>433</v>
      </c>
      <c r="H257" s="10">
        <v>1</v>
      </c>
      <c r="I257" s="10">
        <v>2</v>
      </c>
      <c r="J257" s="10">
        <v>2</v>
      </c>
      <c r="K257" s="10">
        <v>1</v>
      </c>
      <c r="L257" s="10">
        <v>1</v>
      </c>
      <c r="M257" s="10">
        <v>1</v>
      </c>
      <c r="N257" s="405">
        <f t="shared" si="29"/>
        <v>0.16933510251023262</v>
      </c>
      <c r="O257" s="405">
        <f t="shared" si="30"/>
        <v>0.19908580854301616</v>
      </c>
      <c r="P257" s="43" t="s">
        <v>878</v>
      </c>
    </row>
    <row r="258" spans="1:16" s="436" customFormat="1" ht="15.75" thickBot="1">
      <c r="A258" s="635" t="s">
        <v>442</v>
      </c>
      <c r="B258" s="784" t="s">
        <v>223</v>
      </c>
      <c r="C258" s="34" t="s">
        <v>139</v>
      </c>
      <c r="D258" s="123" t="s">
        <v>99</v>
      </c>
      <c r="E258" s="753">
        <v>0.15</v>
      </c>
      <c r="F258" s="12">
        <v>1</v>
      </c>
      <c r="G258" s="12" t="s">
        <v>433</v>
      </c>
      <c r="H258" s="14">
        <v>1</v>
      </c>
      <c r="I258" s="14">
        <v>2</v>
      </c>
      <c r="J258" s="14">
        <v>2</v>
      </c>
      <c r="K258" s="14">
        <v>1</v>
      </c>
      <c r="L258" s="14">
        <v>1</v>
      </c>
      <c r="M258" s="14">
        <v>1</v>
      </c>
      <c r="N258" s="428">
        <f t="shared" si="29"/>
        <v>0.16933510251023262</v>
      </c>
      <c r="O258" s="428">
        <f t="shared" si="30"/>
        <v>0.19908580854301616</v>
      </c>
      <c r="P258" s="44" t="s">
        <v>872</v>
      </c>
    </row>
    <row r="259" spans="1:16" s="436" customFormat="1">
      <c r="A259" s="774" t="s">
        <v>507</v>
      </c>
      <c r="B259" s="437" t="s">
        <v>510</v>
      </c>
      <c r="C259" s="34" t="s">
        <v>139</v>
      </c>
      <c r="D259" s="121" t="s">
        <v>99</v>
      </c>
      <c r="E259" s="632">
        <v>0.03</v>
      </c>
      <c r="F259" s="11">
        <v>2</v>
      </c>
      <c r="G259" s="11" t="s">
        <v>433</v>
      </c>
      <c r="H259" s="13">
        <v>1</v>
      </c>
      <c r="I259" s="13">
        <v>2</v>
      </c>
      <c r="J259" s="13">
        <v>2</v>
      </c>
      <c r="K259" s="13">
        <v>1</v>
      </c>
      <c r="L259" s="13">
        <v>1</v>
      </c>
      <c r="M259" s="13">
        <v>1</v>
      </c>
      <c r="N259" s="425">
        <f t="shared" si="29"/>
        <v>0.16933510251023262</v>
      </c>
      <c r="O259" s="425">
        <f t="shared" si="30"/>
        <v>0.19908580854301616</v>
      </c>
      <c r="P259" s="42" t="s">
        <v>855</v>
      </c>
    </row>
    <row r="260" spans="1:16" s="436" customFormat="1" ht="15.75" thickBot="1">
      <c r="A260" s="775" t="s">
        <v>507</v>
      </c>
      <c r="B260" s="773" t="s">
        <v>511</v>
      </c>
      <c r="C260" s="34" t="s">
        <v>139</v>
      </c>
      <c r="D260" s="123" t="s">
        <v>99</v>
      </c>
      <c r="E260" s="753" t="s">
        <v>150</v>
      </c>
      <c r="F260" s="12">
        <v>1</v>
      </c>
      <c r="G260" s="12" t="s">
        <v>433</v>
      </c>
      <c r="H260" s="14"/>
      <c r="I260" s="14"/>
      <c r="J260" s="14"/>
      <c r="K260" s="14"/>
      <c r="L260" s="14"/>
      <c r="M260" s="14"/>
      <c r="N260" s="428" t="str">
        <f t="shared" si="29"/>
        <v/>
      </c>
      <c r="O260" s="428" t="str">
        <f t="shared" si="30"/>
        <v/>
      </c>
      <c r="P260" s="44" t="s">
        <v>1954</v>
      </c>
    </row>
    <row r="261" spans="1:16" s="436" customFormat="1">
      <c r="A261" s="634" t="s">
        <v>510</v>
      </c>
      <c r="B261" s="774" t="s">
        <v>231</v>
      </c>
      <c r="C261" s="34" t="s">
        <v>139</v>
      </c>
      <c r="D261" s="614" t="s">
        <v>99</v>
      </c>
      <c r="E261" s="755">
        <v>0.05</v>
      </c>
      <c r="F261" s="754">
        <v>2</v>
      </c>
      <c r="G261" s="754"/>
      <c r="H261" s="66">
        <v>1</v>
      </c>
      <c r="I261" s="66">
        <v>2</v>
      </c>
      <c r="J261" s="66">
        <v>2</v>
      </c>
      <c r="K261" s="66">
        <v>1</v>
      </c>
      <c r="L261" s="71">
        <v>3</v>
      </c>
      <c r="M261" s="66">
        <v>3</v>
      </c>
      <c r="N261" s="438">
        <f t="shared" si="29"/>
        <v>1.0725046436742278</v>
      </c>
      <c r="O261" s="438">
        <f t="shared" si="30"/>
        <v>1.0776024280428556</v>
      </c>
      <c r="P261" s="776" t="s">
        <v>1937</v>
      </c>
    </row>
    <row r="262" spans="1:16" s="436" customFormat="1">
      <c r="A262" s="636" t="s">
        <v>510</v>
      </c>
      <c r="B262" s="780" t="s">
        <v>232</v>
      </c>
      <c r="C262" s="34" t="s">
        <v>139</v>
      </c>
      <c r="D262" s="122" t="s">
        <v>99</v>
      </c>
      <c r="E262" s="242">
        <v>0.39400000000000002</v>
      </c>
      <c r="F262" s="9">
        <v>2</v>
      </c>
      <c r="G262" s="9" t="s">
        <v>433</v>
      </c>
      <c r="H262" s="10">
        <v>1</v>
      </c>
      <c r="I262" s="10">
        <v>2</v>
      </c>
      <c r="J262" s="10">
        <v>2</v>
      </c>
      <c r="K262" s="10">
        <v>1</v>
      </c>
      <c r="L262" s="10">
        <v>1</v>
      </c>
      <c r="M262" s="10">
        <v>1</v>
      </c>
      <c r="N262" s="405">
        <f t="shared" si="29"/>
        <v>0.16933510251023262</v>
      </c>
      <c r="O262" s="405">
        <f t="shared" si="30"/>
        <v>0.19908580854301616</v>
      </c>
      <c r="P262" s="43" t="s">
        <v>1961</v>
      </c>
    </row>
    <row r="263" spans="1:16" s="436" customFormat="1">
      <c r="A263" s="636" t="s">
        <v>510</v>
      </c>
      <c r="B263" s="780" t="s">
        <v>251</v>
      </c>
      <c r="C263" s="34" t="s">
        <v>139</v>
      </c>
      <c r="D263" s="122" t="s">
        <v>99</v>
      </c>
      <c r="E263" s="242">
        <v>0.52200000000000002</v>
      </c>
      <c r="F263" s="7">
        <v>1</v>
      </c>
      <c r="G263" s="9" t="s">
        <v>433</v>
      </c>
      <c r="H263" s="10">
        <v>1</v>
      </c>
      <c r="I263" s="10">
        <v>2</v>
      </c>
      <c r="J263" s="10">
        <v>2</v>
      </c>
      <c r="K263" s="10">
        <v>1</v>
      </c>
      <c r="L263" s="10">
        <v>1</v>
      </c>
      <c r="M263" s="10">
        <v>1</v>
      </c>
      <c r="N263" s="405">
        <f t="shared" si="29"/>
        <v>0.16933510251023262</v>
      </c>
      <c r="O263" s="405">
        <f t="shared" si="30"/>
        <v>0.19908580854301616</v>
      </c>
      <c r="P263" s="43" t="s">
        <v>1962</v>
      </c>
    </row>
    <row r="264" spans="1:16" s="436" customFormat="1" ht="15.75" thickBot="1">
      <c r="A264" s="635" t="s">
        <v>510</v>
      </c>
      <c r="B264" s="775" t="s">
        <v>258</v>
      </c>
      <c r="C264" s="34" t="s">
        <v>139</v>
      </c>
      <c r="D264" s="124" t="s">
        <v>99</v>
      </c>
      <c r="E264" s="749">
        <v>3.4000000000000002E-2</v>
      </c>
      <c r="F264" s="119">
        <v>2</v>
      </c>
      <c r="G264" s="119" t="s">
        <v>433</v>
      </c>
      <c r="H264" s="15"/>
      <c r="I264" s="15"/>
      <c r="J264" s="15"/>
      <c r="K264" s="15"/>
      <c r="L264" s="15"/>
      <c r="M264" s="15"/>
      <c r="N264" s="424"/>
      <c r="O264" s="424"/>
      <c r="P264" s="155" t="s">
        <v>1963</v>
      </c>
    </row>
    <row r="265" spans="1:16" s="436" customFormat="1">
      <c r="A265" s="774" t="s">
        <v>508</v>
      </c>
      <c r="B265" s="437" t="s">
        <v>512</v>
      </c>
      <c r="C265" s="34" t="s">
        <v>139</v>
      </c>
      <c r="D265" s="121" t="s">
        <v>99</v>
      </c>
      <c r="E265" s="632" t="s">
        <v>150</v>
      </c>
      <c r="F265" s="11">
        <v>1</v>
      </c>
      <c r="G265" s="11" t="s">
        <v>433</v>
      </c>
      <c r="H265" s="13">
        <v>1</v>
      </c>
      <c r="I265" s="13">
        <v>2</v>
      </c>
      <c r="J265" s="13">
        <v>2</v>
      </c>
      <c r="K265" s="13">
        <v>1</v>
      </c>
      <c r="L265" s="13">
        <v>1</v>
      </c>
      <c r="M265" s="13">
        <v>1</v>
      </c>
      <c r="N265" s="425">
        <f t="shared" si="29"/>
        <v>0.16933510251023262</v>
      </c>
      <c r="O265" s="425">
        <f t="shared" si="30"/>
        <v>0.19908580854301616</v>
      </c>
      <c r="P265" s="42" t="s">
        <v>1955</v>
      </c>
    </row>
    <row r="266" spans="1:16" s="436" customFormat="1" ht="15.75" thickBot="1">
      <c r="A266" s="775" t="s">
        <v>508</v>
      </c>
      <c r="B266" s="773" t="s">
        <v>513</v>
      </c>
      <c r="C266" s="34" t="s">
        <v>139</v>
      </c>
      <c r="D266" s="123" t="s">
        <v>99</v>
      </c>
      <c r="E266" s="753">
        <f>0.016*0.091</f>
        <v>1.456E-3</v>
      </c>
      <c r="F266" s="12">
        <v>2</v>
      </c>
      <c r="G266" s="12" t="s">
        <v>433</v>
      </c>
      <c r="H266" s="14">
        <v>1</v>
      </c>
      <c r="I266" s="14">
        <v>2</v>
      </c>
      <c r="J266" s="14">
        <v>2</v>
      </c>
      <c r="K266" s="14">
        <v>1</v>
      </c>
      <c r="L266" s="14">
        <v>1</v>
      </c>
      <c r="M266" s="14">
        <v>1</v>
      </c>
      <c r="N266" s="428">
        <f t="shared" si="29"/>
        <v>0.16933510251023262</v>
      </c>
      <c r="O266" s="428">
        <f t="shared" si="30"/>
        <v>0.19908580854301616</v>
      </c>
      <c r="P266" s="44" t="s">
        <v>879</v>
      </c>
    </row>
    <row r="267" spans="1:16" s="436" customFormat="1">
      <c r="A267" s="634" t="s">
        <v>512</v>
      </c>
      <c r="B267" s="783" t="s">
        <v>514</v>
      </c>
      <c r="C267" s="34" t="s">
        <v>139</v>
      </c>
      <c r="D267" s="121" t="s">
        <v>99</v>
      </c>
      <c r="E267" s="632">
        <f>0.1*E259</f>
        <v>3.0000000000000001E-3</v>
      </c>
      <c r="F267" s="11">
        <v>2</v>
      </c>
      <c r="G267" s="11" t="s">
        <v>433</v>
      </c>
      <c r="H267" s="13">
        <v>1</v>
      </c>
      <c r="I267" s="13">
        <v>2</v>
      </c>
      <c r="J267" s="13">
        <v>2</v>
      </c>
      <c r="K267" s="13">
        <v>1</v>
      </c>
      <c r="L267" s="13">
        <v>1</v>
      </c>
      <c r="M267" s="13">
        <v>1</v>
      </c>
      <c r="N267" s="425">
        <f t="shared" si="29"/>
        <v>0.16933510251023262</v>
      </c>
      <c r="O267" s="425">
        <f t="shared" si="30"/>
        <v>0.19908580854301616</v>
      </c>
      <c r="P267" s="42" t="s">
        <v>856</v>
      </c>
    </row>
    <row r="268" spans="1:16" s="436" customFormat="1" ht="15.75" thickBot="1">
      <c r="A268" s="635" t="s">
        <v>512</v>
      </c>
      <c r="B268" s="784" t="s">
        <v>509</v>
      </c>
      <c r="C268" s="34" t="s">
        <v>139</v>
      </c>
      <c r="D268" s="123" t="s">
        <v>99</v>
      </c>
      <c r="E268" s="753" t="s">
        <v>150</v>
      </c>
      <c r="F268" s="12">
        <v>1</v>
      </c>
      <c r="G268" s="12" t="s">
        <v>433</v>
      </c>
      <c r="H268" s="14"/>
      <c r="I268" s="14"/>
      <c r="J268" s="14"/>
      <c r="K268" s="14"/>
      <c r="L268" s="14"/>
      <c r="M268" s="14"/>
      <c r="N268" s="428" t="str">
        <f t="shared" si="29"/>
        <v/>
      </c>
      <c r="O268" s="428" t="str">
        <f t="shared" si="30"/>
        <v/>
      </c>
      <c r="P268" s="44" t="s">
        <v>1956</v>
      </c>
    </row>
    <row r="269" spans="1:16" s="436" customFormat="1" ht="15.75" thickBot="1">
      <c r="A269" s="758" t="s">
        <v>514</v>
      </c>
      <c r="B269" s="777" t="s">
        <v>228</v>
      </c>
      <c r="C269" s="34" t="s">
        <v>139</v>
      </c>
      <c r="D269" s="787" t="s">
        <v>99</v>
      </c>
      <c r="E269" s="755">
        <v>1</v>
      </c>
      <c r="F269" s="754">
        <v>2</v>
      </c>
      <c r="G269" s="754" t="s">
        <v>433</v>
      </c>
      <c r="H269" s="71">
        <v>1</v>
      </c>
      <c r="I269" s="71">
        <v>2</v>
      </c>
      <c r="J269" s="71">
        <v>2</v>
      </c>
      <c r="K269" s="71">
        <v>1</v>
      </c>
      <c r="L269" s="71">
        <v>1</v>
      </c>
      <c r="M269" s="71">
        <v>1</v>
      </c>
      <c r="N269" s="759">
        <f t="shared" si="29"/>
        <v>0.16933510251023262</v>
      </c>
      <c r="O269" s="759">
        <f t="shared" si="30"/>
        <v>0.19908580854301616</v>
      </c>
      <c r="P269" s="754" t="s">
        <v>857</v>
      </c>
    </row>
    <row r="270" spans="1:16" s="436" customFormat="1" ht="15.75" thickBot="1">
      <c r="A270" s="633" t="s">
        <v>513</v>
      </c>
      <c r="B270" s="785" t="s">
        <v>232</v>
      </c>
      <c r="C270" s="34" t="s">
        <v>139</v>
      </c>
      <c r="D270" s="781" t="s">
        <v>99</v>
      </c>
      <c r="E270" s="751">
        <v>1</v>
      </c>
      <c r="F270" s="750">
        <v>1</v>
      </c>
      <c r="G270" s="750" t="s">
        <v>433</v>
      </c>
      <c r="H270" s="70">
        <v>1</v>
      </c>
      <c r="I270" s="70">
        <v>2</v>
      </c>
      <c r="J270" s="70">
        <v>2</v>
      </c>
      <c r="K270" s="70">
        <v>1</v>
      </c>
      <c r="L270" s="70">
        <v>1</v>
      </c>
      <c r="M270" s="70">
        <v>1</v>
      </c>
      <c r="N270" s="439">
        <f t="shared" si="29"/>
        <v>0.16933510251023262</v>
      </c>
      <c r="O270" s="439">
        <f t="shared" si="30"/>
        <v>0.19908580854301616</v>
      </c>
      <c r="P270" s="752" t="s">
        <v>857</v>
      </c>
    </row>
    <row r="271" spans="1:16" s="436" customFormat="1">
      <c r="A271" s="637" t="s">
        <v>511</v>
      </c>
      <c r="B271" s="783" t="s">
        <v>231</v>
      </c>
      <c r="C271" s="34" t="s">
        <v>139</v>
      </c>
      <c r="D271" s="614" t="s">
        <v>99</v>
      </c>
      <c r="E271" s="744">
        <v>0</v>
      </c>
      <c r="F271" s="118">
        <v>2</v>
      </c>
      <c r="G271" s="118" t="s">
        <v>433</v>
      </c>
      <c r="H271" s="66">
        <v>1</v>
      </c>
      <c r="I271" s="66">
        <v>2</v>
      </c>
      <c r="J271" s="66">
        <v>2</v>
      </c>
      <c r="K271" s="66">
        <v>1</v>
      </c>
      <c r="L271" s="15">
        <v>1</v>
      </c>
      <c r="M271" s="13">
        <v>1</v>
      </c>
      <c r="N271" s="438">
        <f t="shared" si="29"/>
        <v>0.16933510251023262</v>
      </c>
      <c r="O271" s="438">
        <f t="shared" si="30"/>
        <v>0.19908580854301616</v>
      </c>
      <c r="P271" s="42" t="s">
        <v>1965</v>
      </c>
    </row>
    <row r="272" spans="1:16" s="436" customFormat="1">
      <c r="A272" s="313" t="s">
        <v>511</v>
      </c>
      <c r="B272" s="780" t="s">
        <v>232</v>
      </c>
      <c r="C272" s="34" t="s">
        <v>139</v>
      </c>
      <c r="D272" s="122" t="s">
        <v>99</v>
      </c>
      <c r="E272" s="242">
        <v>0</v>
      </c>
      <c r="F272" s="9">
        <v>2</v>
      </c>
      <c r="G272" s="9" t="s">
        <v>433</v>
      </c>
      <c r="H272" s="10">
        <v>1</v>
      </c>
      <c r="I272" s="10">
        <v>2</v>
      </c>
      <c r="J272" s="10">
        <v>2</v>
      </c>
      <c r="K272" s="10">
        <v>1</v>
      </c>
      <c r="L272" s="10">
        <v>1</v>
      </c>
      <c r="M272" s="10">
        <v>1</v>
      </c>
      <c r="N272" s="405">
        <f t="shared" si="29"/>
        <v>0.16933510251023262</v>
      </c>
      <c r="O272" s="405">
        <f t="shared" si="30"/>
        <v>0.19908580854301616</v>
      </c>
      <c r="P272" s="43" t="s">
        <v>1965</v>
      </c>
    </row>
    <row r="273" spans="1:16" s="436" customFormat="1">
      <c r="A273" s="313" t="s">
        <v>511</v>
      </c>
      <c r="B273" s="780" t="s">
        <v>251</v>
      </c>
      <c r="C273" s="34" t="s">
        <v>139</v>
      </c>
      <c r="D273" s="122" t="s">
        <v>99</v>
      </c>
      <c r="E273" s="242">
        <v>0</v>
      </c>
      <c r="F273" s="9">
        <v>2</v>
      </c>
      <c r="G273" s="9" t="s">
        <v>433</v>
      </c>
      <c r="H273" s="10">
        <v>1</v>
      </c>
      <c r="I273" s="10">
        <v>2</v>
      </c>
      <c r="J273" s="10">
        <v>2</v>
      </c>
      <c r="K273" s="10">
        <v>1</v>
      </c>
      <c r="L273" s="10">
        <v>1</v>
      </c>
      <c r="M273" s="10">
        <v>1</v>
      </c>
      <c r="N273" s="405">
        <f t="shared" ref="N273:N315" si="31">IF( OR( ISBLANK(H273),ISBLANK(J273), ISBLANK(K273), ISBLANK(L273), ISBLANK(M273) ), "", 1.5*SQRT(   EXP(2.21*(H273-1)) + EXP(2.21*(J273-1)) + EXP(2.21*(K273-1)) + EXP(2.21*(L273-1)) + EXP(2.21*M273)   )/100*2.45 )</f>
        <v>0.16933510251023262</v>
      </c>
      <c r="O273" s="405">
        <f t="shared" ref="O273:O315" si="32">IF( OR( ISBLANK(I273),ISBLANK(J273), ISBLANK(K273), ISBLANK(L273), ISBLANK(M273) ), "", 1.5*SQRT( EXP(2.21*(I273-1)) + EXP(2.21*(J273-1)) + EXP(2.21*(K273-1)) + EXP(2.21*(L273-1)) + EXP(2.21*M273)   )/100*2.45 )</f>
        <v>0.19908580854301616</v>
      </c>
      <c r="P273" s="43" t="s">
        <v>1965</v>
      </c>
    </row>
    <row r="274" spans="1:16" s="436" customFormat="1">
      <c r="A274" s="313" t="s">
        <v>511</v>
      </c>
      <c r="B274" s="775" t="s">
        <v>258</v>
      </c>
      <c r="C274" s="34" t="s">
        <v>139</v>
      </c>
      <c r="D274" s="124" t="s">
        <v>99</v>
      </c>
      <c r="E274" s="749">
        <v>0</v>
      </c>
      <c r="F274" s="119">
        <v>2</v>
      </c>
      <c r="G274" s="119" t="s">
        <v>433</v>
      </c>
      <c r="H274" s="10">
        <v>1</v>
      </c>
      <c r="I274" s="10">
        <v>2</v>
      </c>
      <c r="J274" s="10">
        <v>2</v>
      </c>
      <c r="K274" s="10">
        <v>1</v>
      </c>
      <c r="L274" s="10">
        <v>1</v>
      </c>
      <c r="M274" s="10">
        <v>1</v>
      </c>
      <c r="N274" s="405">
        <f>IF( OR( ISBLANK(H274),ISBLANK(J274), ISBLANK(K274), ISBLANK(L274), ISBLANK(M274) ), "", 1.5*SQRT(   EXP(2.21*(H274-1)) + EXP(2.21*(J274-1)) + EXP(2.21*(K274-1)) + EXP(2.21*(L274-1)) + EXP(2.21*M274)   )/100*2.45 )</f>
        <v>0.16933510251023262</v>
      </c>
      <c r="O274" s="405">
        <f>IF( OR( ISBLANK(I274),ISBLANK(J274), ISBLANK(K274), ISBLANK(L274), ISBLANK(M274) ), "", 1.5*SQRT( EXP(2.21*(I274-1)) + EXP(2.21*(J274-1)) + EXP(2.21*(K274-1)) + EXP(2.21*(L274-1)) + EXP(2.21*M274)   )/100*2.45 )</f>
        <v>0.19908580854301616</v>
      </c>
      <c r="P274" s="155" t="s">
        <v>1965</v>
      </c>
    </row>
    <row r="275" spans="1:16" s="436" customFormat="1" ht="15.75" thickBot="1">
      <c r="A275" s="638" t="s">
        <v>511</v>
      </c>
      <c r="B275" s="784" t="s">
        <v>334</v>
      </c>
      <c r="C275" s="34" t="s">
        <v>139</v>
      </c>
      <c r="D275" s="124" t="s">
        <v>99</v>
      </c>
      <c r="E275" s="749" t="s">
        <v>150</v>
      </c>
      <c r="F275" s="119">
        <v>1</v>
      </c>
      <c r="G275" s="119" t="s">
        <v>433</v>
      </c>
      <c r="H275" s="15"/>
      <c r="I275" s="15"/>
      <c r="J275" s="15"/>
      <c r="K275" s="15"/>
      <c r="L275" s="15"/>
      <c r="M275" s="15"/>
      <c r="N275" s="424" t="str">
        <f t="shared" si="31"/>
        <v/>
      </c>
      <c r="O275" s="424" t="str">
        <f t="shared" si="32"/>
        <v/>
      </c>
      <c r="P275" s="44"/>
    </row>
    <row r="276" spans="1:16" s="436" customFormat="1">
      <c r="A276" s="634" t="s">
        <v>509</v>
      </c>
      <c r="B276" s="783" t="s">
        <v>228</v>
      </c>
      <c r="C276" s="34" t="s">
        <v>139</v>
      </c>
      <c r="D276" s="121" t="s">
        <v>99</v>
      </c>
      <c r="E276" s="632">
        <v>0</v>
      </c>
      <c r="F276" s="11">
        <v>2</v>
      </c>
      <c r="G276" s="11" t="s">
        <v>433</v>
      </c>
      <c r="H276" s="13">
        <v>1</v>
      </c>
      <c r="I276" s="13">
        <v>2</v>
      </c>
      <c r="J276" s="13">
        <v>2</v>
      </c>
      <c r="K276" s="13">
        <v>1</v>
      </c>
      <c r="L276" s="13">
        <v>1</v>
      </c>
      <c r="M276" s="13">
        <v>1</v>
      </c>
      <c r="N276" s="425">
        <f t="shared" si="31"/>
        <v>0.16933510251023262</v>
      </c>
      <c r="O276" s="425">
        <f t="shared" si="32"/>
        <v>0.19908580854301616</v>
      </c>
      <c r="P276" s="42" t="s">
        <v>858</v>
      </c>
    </row>
    <row r="277" spans="1:16" s="436" customFormat="1" ht="15.75" thickBot="1">
      <c r="A277" s="635" t="s">
        <v>509</v>
      </c>
      <c r="B277" s="784" t="s">
        <v>334</v>
      </c>
      <c r="C277" s="34" t="s">
        <v>139</v>
      </c>
      <c r="D277" s="123" t="s">
        <v>99</v>
      </c>
      <c r="E277" s="753" t="s">
        <v>150</v>
      </c>
      <c r="F277" s="12">
        <v>1</v>
      </c>
      <c r="G277" s="12" t="s">
        <v>433</v>
      </c>
      <c r="H277" s="14"/>
      <c r="I277" s="14"/>
      <c r="J277" s="14"/>
      <c r="K277" s="14"/>
      <c r="L277" s="14"/>
      <c r="M277" s="14"/>
      <c r="N277" s="428" t="str">
        <f t="shared" si="31"/>
        <v/>
      </c>
      <c r="O277" s="428" t="str">
        <f t="shared" si="32"/>
        <v/>
      </c>
      <c r="P277" s="44" t="s">
        <v>1957</v>
      </c>
    </row>
    <row r="278" spans="1:16" s="436" customFormat="1">
      <c r="A278" s="637" t="s">
        <v>443</v>
      </c>
      <c r="B278" s="774" t="s">
        <v>515</v>
      </c>
      <c r="C278" s="34" t="s">
        <v>139</v>
      </c>
      <c r="D278" s="614" t="s">
        <v>99</v>
      </c>
      <c r="E278" s="744">
        <v>0</v>
      </c>
      <c r="F278" s="118">
        <v>2</v>
      </c>
      <c r="G278" s="118" t="s">
        <v>433</v>
      </c>
      <c r="H278" s="66">
        <v>1</v>
      </c>
      <c r="I278" s="66">
        <v>2</v>
      </c>
      <c r="J278" s="66">
        <v>2</v>
      </c>
      <c r="K278" s="66">
        <v>1</v>
      </c>
      <c r="L278" s="66">
        <v>1</v>
      </c>
      <c r="M278" s="66">
        <v>1</v>
      </c>
      <c r="N278" s="438">
        <f t="shared" si="31"/>
        <v>0.16933510251023262</v>
      </c>
      <c r="O278" s="438">
        <f t="shared" si="32"/>
        <v>0.19908580854301616</v>
      </c>
      <c r="P278" s="118" t="s">
        <v>877</v>
      </c>
    </row>
    <row r="279" spans="1:16" s="436" customFormat="1">
      <c r="A279" s="313" t="s">
        <v>443</v>
      </c>
      <c r="B279" s="780" t="s">
        <v>516</v>
      </c>
      <c r="C279" s="34" t="s">
        <v>139</v>
      </c>
      <c r="D279" s="122" t="s">
        <v>99</v>
      </c>
      <c r="E279" s="242">
        <v>0.85</v>
      </c>
      <c r="F279" s="9">
        <v>2</v>
      </c>
      <c r="G279" s="9" t="s">
        <v>433</v>
      </c>
      <c r="H279" s="10">
        <v>1</v>
      </c>
      <c r="I279" s="10">
        <v>2</v>
      </c>
      <c r="J279" s="10">
        <v>2</v>
      </c>
      <c r="K279" s="10">
        <v>1</v>
      </c>
      <c r="L279" s="10">
        <v>1</v>
      </c>
      <c r="M279" s="10">
        <v>1</v>
      </c>
      <c r="N279" s="405">
        <f t="shared" si="31"/>
        <v>0.16933510251023262</v>
      </c>
      <c r="O279" s="405">
        <f t="shared" si="32"/>
        <v>0.19908580854301616</v>
      </c>
      <c r="P279" s="9" t="s">
        <v>878</v>
      </c>
    </row>
    <row r="280" spans="1:16" s="436" customFormat="1" ht="15.75" thickBot="1">
      <c r="A280" s="638" t="s">
        <v>443</v>
      </c>
      <c r="B280" s="775" t="s">
        <v>223</v>
      </c>
      <c r="C280" s="34" t="s">
        <v>139</v>
      </c>
      <c r="D280" s="124" t="s">
        <v>99</v>
      </c>
      <c r="E280" s="749">
        <v>0.15</v>
      </c>
      <c r="F280" s="119">
        <v>1</v>
      </c>
      <c r="G280" s="119" t="s">
        <v>433</v>
      </c>
      <c r="H280" s="15">
        <v>1</v>
      </c>
      <c r="I280" s="15">
        <v>2</v>
      </c>
      <c r="J280" s="15">
        <v>2</v>
      </c>
      <c r="K280" s="15">
        <v>1</v>
      </c>
      <c r="L280" s="15">
        <v>1</v>
      </c>
      <c r="M280" s="15">
        <v>1</v>
      </c>
      <c r="N280" s="424">
        <f t="shared" si="31"/>
        <v>0.16933510251023262</v>
      </c>
      <c r="O280" s="424">
        <f t="shared" si="32"/>
        <v>0.19908580854301616</v>
      </c>
      <c r="P280" s="119" t="s">
        <v>872</v>
      </c>
    </row>
    <row r="281" spans="1:16" s="436" customFormat="1">
      <c r="A281" s="634" t="s">
        <v>515</v>
      </c>
      <c r="B281" s="783" t="s">
        <v>517</v>
      </c>
      <c r="C281" s="34" t="s">
        <v>139</v>
      </c>
      <c r="D281" s="121" t="s">
        <v>99</v>
      </c>
      <c r="E281" s="632">
        <v>0.03</v>
      </c>
      <c r="F281" s="11">
        <v>2</v>
      </c>
      <c r="G281" s="11" t="s">
        <v>433</v>
      </c>
      <c r="H281" s="13">
        <v>1</v>
      </c>
      <c r="I281" s="13">
        <v>2</v>
      </c>
      <c r="J281" s="13">
        <v>2</v>
      </c>
      <c r="K281" s="13">
        <v>1</v>
      </c>
      <c r="L281" s="13">
        <v>1</v>
      </c>
      <c r="M281" s="13">
        <v>1</v>
      </c>
      <c r="N281" s="425">
        <f t="shared" si="31"/>
        <v>0.16933510251023262</v>
      </c>
      <c r="O281" s="425">
        <f t="shared" si="32"/>
        <v>0.19908580854301616</v>
      </c>
      <c r="P281" s="42" t="s">
        <v>855</v>
      </c>
    </row>
    <row r="282" spans="1:16" s="436" customFormat="1" ht="15.75" thickBot="1">
      <c r="A282" s="635" t="s">
        <v>515</v>
      </c>
      <c r="B282" s="784" t="s">
        <v>518</v>
      </c>
      <c r="C282" s="34" t="s">
        <v>139</v>
      </c>
      <c r="D282" s="123" t="s">
        <v>99</v>
      </c>
      <c r="E282" s="753" t="s">
        <v>150</v>
      </c>
      <c r="F282" s="12">
        <v>1</v>
      </c>
      <c r="G282" s="12" t="s">
        <v>433</v>
      </c>
      <c r="H282" s="14"/>
      <c r="I282" s="14"/>
      <c r="J282" s="14"/>
      <c r="K282" s="14"/>
      <c r="L282" s="14"/>
      <c r="M282" s="14"/>
      <c r="N282" s="428" t="str">
        <f t="shared" si="31"/>
        <v/>
      </c>
      <c r="O282" s="428" t="str">
        <f t="shared" si="32"/>
        <v/>
      </c>
      <c r="P282" s="44" t="s">
        <v>1950</v>
      </c>
    </row>
    <row r="283" spans="1:16" s="436" customFormat="1">
      <c r="A283" s="637" t="s">
        <v>517</v>
      </c>
      <c r="B283" s="774" t="s">
        <v>231</v>
      </c>
      <c r="C283" s="34" t="s">
        <v>139</v>
      </c>
      <c r="D283" s="614" t="s">
        <v>99</v>
      </c>
      <c r="E283" s="749">
        <v>0.05</v>
      </c>
      <c r="F283" s="119">
        <v>2</v>
      </c>
      <c r="G283" s="11" t="s">
        <v>157</v>
      </c>
      <c r="H283" s="66">
        <v>1</v>
      </c>
      <c r="I283" s="66">
        <v>2</v>
      </c>
      <c r="J283" s="66">
        <v>2</v>
      </c>
      <c r="K283" s="66">
        <v>1</v>
      </c>
      <c r="L283" s="15">
        <v>3</v>
      </c>
      <c r="M283" s="13">
        <v>3</v>
      </c>
      <c r="N283" s="438">
        <f t="shared" si="31"/>
        <v>1.0725046436742278</v>
      </c>
      <c r="O283" s="438">
        <f t="shared" si="32"/>
        <v>1.0776024280428556</v>
      </c>
      <c r="P283" s="119" t="s">
        <v>1937</v>
      </c>
    </row>
    <row r="284" spans="1:16" s="436" customFormat="1">
      <c r="A284" s="313" t="s">
        <v>517</v>
      </c>
      <c r="B284" s="780" t="s">
        <v>232</v>
      </c>
      <c r="C284" s="34" t="s">
        <v>139</v>
      </c>
      <c r="D284" s="122" t="s">
        <v>99</v>
      </c>
      <c r="E284" s="242">
        <v>0.39400000000000002</v>
      </c>
      <c r="F284" s="9">
        <v>2</v>
      </c>
      <c r="G284" s="9" t="s">
        <v>433</v>
      </c>
      <c r="H284" s="10">
        <v>1</v>
      </c>
      <c r="I284" s="10">
        <v>2</v>
      </c>
      <c r="J284" s="10">
        <v>2</v>
      </c>
      <c r="K284" s="10">
        <v>1</v>
      </c>
      <c r="L284" s="10">
        <v>1</v>
      </c>
      <c r="M284" s="10">
        <v>1</v>
      </c>
      <c r="N284" s="405">
        <f t="shared" si="31"/>
        <v>0.16933510251023262</v>
      </c>
      <c r="O284" s="405">
        <f t="shared" si="32"/>
        <v>0.19908580854301616</v>
      </c>
      <c r="P284" s="9" t="s">
        <v>1961</v>
      </c>
    </row>
    <row r="285" spans="1:16" s="436" customFormat="1">
      <c r="A285" s="638" t="s">
        <v>517</v>
      </c>
      <c r="B285" s="775" t="s">
        <v>251</v>
      </c>
      <c r="C285" s="34" t="s">
        <v>139</v>
      </c>
      <c r="D285" s="124" t="s">
        <v>99</v>
      </c>
      <c r="E285" s="242">
        <v>0.52200000000000002</v>
      </c>
      <c r="F285" s="7">
        <v>1</v>
      </c>
      <c r="G285" s="9" t="s">
        <v>433</v>
      </c>
      <c r="H285" s="15">
        <v>1</v>
      </c>
      <c r="I285" s="15">
        <v>2</v>
      </c>
      <c r="J285" s="15">
        <v>2</v>
      </c>
      <c r="K285" s="15">
        <v>1</v>
      </c>
      <c r="L285" s="15">
        <v>1</v>
      </c>
      <c r="M285" s="15">
        <v>1</v>
      </c>
      <c r="N285" s="424">
        <f t="shared" si="31"/>
        <v>0.16933510251023262</v>
      </c>
      <c r="O285" s="424">
        <f t="shared" si="32"/>
        <v>0.19908580854301616</v>
      </c>
      <c r="P285" s="9" t="s">
        <v>1962</v>
      </c>
    </row>
    <row r="286" spans="1:16" s="436" customFormat="1" ht="15.75" thickBot="1">
      <c r="A286" s="638" t="s">
        <v>517</v>
      </c>
      <c r="B286" s="775" t="s">
        <v>258</v>
      </c>
      <c r="C286" s="34" t="s">
        <v>139</v>
      </c>
      <c r="D286" s="124" t="s">
        <v>99</v>
      </c>
      <c r="E286" s="749">
        <v>3.4000000000000002E-2</v>
      </c>
      <c r="F286" s="119">
        <v>2</v>
      </c>
      <c r="G286" s="9" t="s">
        <v>433</v>
      </c>
      <c r="H286" s="15"/>
      <c r="I286" s="15"/>
      <c r="J286" s="15"/>
      <c r="K286" s="15"/>
      <c r="L286" s="15"/>
      <c r="M286" s="15"/>
      <c r="N286" s="424"/>
      <c r="O286" s="424"/>
      <c r="P286" s="119" t="s">
        <v>1963</v>
      </c>
    </row>
    <row r="287" spans="1:16" s="436" customFormat="1">
      <c r="A287" s="634" t="s">
        <v>516</v>
      </c>
      <c r="B287" s="783" t="s">
        <v>519</v>
      </c>
      <c r="C287" s="34" t="s">
        <v>139</v>
      </c>
      <c r="D287" s="121" t="s">
        <v>99</v>
      </c>
      <c r="E287" s="632">
        <f>0.1*E281</f>
        <v>3.0000000000000001E-3</v>
      </c>
      <c r="F287" s="11">
        <v>2</v>
      </c>
      <c r="G287" s="11" t="s">
        <v>433</v>
      </c>
      <c r="H287" s="13">
        <v>1</v>
      </c>
      <c r="I287" s="13">
        <v>2</v>
      </c>
      <c r="J287" s="13">
        <v>2</v>
      </c>
      <c r="K287" s="13">
        <v>1</v>
      </c>
      <c r="L287" s="13">
        <v>1</v>
      </c>
      <c r="M287" s="13">
        <v>1</v>
      </c>
      <c r="N287" s="425">
        <f t="shared" si="31"/>
        <v>0.16933510251023262</v>
      </c>
      <c r="O287" s="425">
        <f t="shared" si="32"/>
        <v>0.19908580854301616</v>
      </c>
      <c r="P287" s="42" t="s">
        <v>856</v>
      </c>
    </row>
    <row r="288" spans="1:16" s="436" customFormat="1" ht="15.75" thickBot="1">
      <c r="A288" s="635" t="s">
        <v>516</v>
      </c>
      <c r="B288" s="784" t="s">
        <v>520</v>
      </c>
      <c r="C288" s="34" t="s">
        <v>139</v>
      </c>
      <c r="D288" s="123" t="s">
        <v>99</v>
      </c>
      <c r="E288" s="753" t="s">
        <v>150</v>
      </c>
      <c r="F288" s="12">
        <v>1</v>
      </c>
      <c r="G288" s="12" t="s">
        <v>433</v>
      </c>
      <c r="H288" s="14"/>
      <c r="I288" s="14"/>
      <c r="J288" s="14"/>
      <c r="K288" s="14"/>
      <c r="L288" s="14"/>
      <c r="M288" s="14"/>
      <c r="N288" s="428" t="str">
        <f t="shared" si="31"/>
        <v/>
      </c>
      <c r="O288" s="428" t="str">
        <f t="shared" si="32"/>
        <v/>
      </c>
      <c r="P288" s="44" t="s">
        <v>1950</v>
      </c>
    </row>
    <row r="289" spans="1:16" s="436" customFormat="1" ht="15.75" thickBot="1">
      <c r="A289" s="758" t="s">
        <v>519</v>
      </c>
      <c r="B289" s="777" t="s">
        <v>228</v>
      </c>
      <c r="C289" s="34" t="s">
        <v>139</v>
      </c>
      <c r="D289" s="787" t="s">
        <v>99</v>
      </c>
      <c r="E289" s="755">
        <v>1</v>
      </c>
      <c r="F289" s="754">
        <v>2</v>
      </c>
      <c r="G289" s="754" t="s">
        <v>433</v>
      </c>
      <c r="H289" s="71">
        <v>1</v>
      </c>
      <c r="I289" s="71">
        <v>2</v>
      </c>
      <c r="J289" s="71">
        <v>2</v>
      </c>
      <c r="K289" s="71">
        <v>1</v>
      </c>
      <c r="L289" s="71">
        <v>1</v>
      </c>
      <c r="M289" s="71">
        <v>1</v>
      </c>
      <c r="N289" s="759">
        <f t="shared" si="31"/>
        <v>0.16933510251023262</v>
      </c>
      <c r="O289" s="759">
        <f t="shared" si="32"/>
        <v>0.19908580854301616</v>
      </c>
      <c r="P289" s="754" t="s">
        <v>857</v>
      </c>
    </row>
    <row r="290" spans="1:16" s="436" customFormat="1">
      <c r="A290" s="634" t="s">
        <v>518</v>
      </c>
      <c r="B290" s="783" t="s">
        <v>231</v>
      </c>
      <c r="C290" s="34" t="s">
        <v>139</v>
      </c>
      <c r="D290" s="121" t="s">
        <v>99</v>
      </c>
      <c r="E290" s="632">
        <v>0</v>
      </c>
      <c r="F290" s="11">
        <v>2</v>
      </c>
      <c r="G290" s="11" t="s">
        <v>433</v>
      </c>
      <c r="H290" s="13">
        <v>1</v>
      </c>
      <c r="I290" s="13">
        <v>2</v>
      </c>
      <c r="J290" s="13">
        <v>2</v>
      </c>
      <c r="K290" s="13">
        <v>1</v>
      </c>
      <c r="L290" s="772">
        <v>1</v>
      </c>
      <c r="M290" s="13">
        <v>1</v>
      </c>
      <c r="N290" s="425">
        <f t="shared" si="31"/>
        <v>0.16933510251023262</v>
      </c>
      <c r="O290" s="425">
        <f t="shared" si="32"/>
        <v>0.19908580854301616</v>
      </c>
      <c r="P290" s="42" t="s">
        <v>1964</v>
      </c>
    </row>
    <row r="291" spans="1:16" s="436" customFormat="1">
      <c r="A291" s="636" t="s">
        <v>518</v>
      </c>
      <c r="B291" s="780" t="s">
        <v>232</v>
      </c>
      <c r="C291" s="34" t="s">
        <v>139</v>
      </c>
      <c r="D291" s="122" t="s">
        <v>99</v>
      </c>
      <c r="E291" s="242">
        <v>0</v>
      </c>
      <c r="F291" s="9">
        <v>2</v>
      </c>
      <c r="G291" s="9" t="s">
        <v>433</v>
      </c>
      <c r="H291" s="10">
        <v>1</v>
      </c>
      <c r="I291" s="10">
        <v>2</v>
      </c>
      <c r="J291" s="10">
        <v>2</v>
      </c>
      <c r="K291" s="10">
        <v>1</v>
      </c>
      <c r="L291" s="10">
        <v>1</v>
      </c>
      <c r="M291" s="10">
        <v>1</v>
      </c>
      <c r="N291" s="405">
        <f t="shared" si="31"/>
        <v>0.16933510251023262</v>
      </c>
      <c r="O291" s="405">
        <f t="shared" si="32"/>
        <v>0.19908580854301616</v>
      </c>
      <c r="P291" s="43" t="s">
        <v>1964</v>
      </c>
    </row>
    <row r="292" spans="1:16" s="436" customFormat="1">
      <c r="A292" s="636" t="s">
        <v>518</v>
      </c>
      <c r="B292" s="780" t="s">
        <v>251</v>
      </c>
      <c r="C292" s="34" t="s">
        <v>139</v>
      </c>
      <c r="D292" s="122" t="s">
        <v>99</v>
      </c>
      <c r="E292" s="242">
        <v>0</v>
      </c>
      <c r="F292" s="9">
        <v>2</v>
      </c>
      <c r="G292" s="9" t="s">
        <v>433</v>
      </c>
      <c r="H292" s="10">
        <v>1</v>
      </c>
      <c r="I292" s="10">
        <v>2</v>
      </c>
      <c r="J292" s="10">
        <v>2</v>
      </c>
      <c r="K292" s="10">
        <v>1</v>
      </c>
      <c r="L292" s="10">
        <v>1</v>
      </c>
      <c r="M292" s="10">
        <v>1</v>
      </c>
      <c r="N292" s="405">
        <f t="shared" si="31"/>
        <v>0.16933510251023262</v>
      </c>
      <c r="O292" s="405">
        <f t="shared" si="32"/>
        <v>0.19908580854301616</v>
      </c>
      <c r="P292" s="43" t="s">
        <v>1964</v>
      </c>
    </row>
    <row r="293" spans="1:16" s="436" customFormat="1">
      <c r="A293" s="636" t="s">
        <v>518</v>
      </c>
      <c r="B293" s="775" t="s">
        <v>258</v>
      </c>
      <c r="C293" s="34" t="s">
        <v>139</v>
      </c>
      <c r="D293" s="124" t="s">
        <v>99</v>
      </c>
      <c r="E293" s="749">
        <v>0</v>
      </c>
      <c r="F293" s="119">
        <v>2</v>
      </c>
      <c r="G293" s="119" t="s">
        <v>433</v>
      </c>
      <c r="H293" s="10">
        <v>1</v>
      </c>
      <c r="I293" s="10">
        <v>2</v>
      </c>
      <c r="J293" s="10">
        <v>2</v>
      </c>
      <c r="K293" s="10">
        <v>1</v>
      </c>
      <c r="L293" s="10">
        <v>1</v>
      </c>
      <c r="M293" s="10">
        <v>1</v>
      </c>
      <c r="N293" s="405">
        <f>IF( OR( ISBLANK(H293),ISBLANK(J293), ISBLANK(K293), ISBLANK(L293), ISBLANK(M293) ), "", 1.5*SQRT(   EXP(2.21*(H293-1)) + EXP(2.21*(J293-1)) + EXP(2.21*(K293-1)) + EXP(2.21*(L293-1)) + EXP(2.21*M293)   )/100*2.45 )</f>
        <v>0.16933510251023262</v>
      </c>
      <c r="O293" s="405">
        <f>IF( OR( ISBLANK(I293),ISBLANK(J293), ISBLANK(K293), ISBLANK(L293), ISBLANK(M293) ), "", 1.5*SQRT( EXP(2.21*(I293-1)) + EXP(2.21*(J293-1)) + EXP(2.21*(K293-1)) + EXP(2.21*(L293-1)) + EXP(2.21*M293)   )/100*2.45 )</f>
        <v>0.19908580854301616</v>
      </c>
      <c r="P293" s="155" t="s">
        <v>1964</v>
      </c>
    </row>
    <row r="294" spans="1:16" s="436" customFormat="1" ht="15.75" thickBot="1">
      <c r="A294" s="635" t="s">
        <v>518</v>
      </c>
      <c r="B294" s="784" t="s">
        <v>334</v>
      </c>
      <c r="C294" s="34" t="s">
        <v>139</v>
      </c>
      <c r="D294" s="123" t="s">
        <v>99</v>
      </c>
      <c r="E294" s="753" t="s">
        <v>150</v>
      </c>
      <c r="F294" s="12">
        <v>1</v>
      </c>
      <c r="G294" s="12" t="s">
        <v>433</v>
      </c>
      <c r="H294" s="14"/>
      <c r="I294" s="14"/>
      <c r="J294" s="14"/>
      <c r="K294" s="14"/>
      <c r="L294" s="14"/>
      <c r="M294" s="14"/>
      <c r="N294" s="428" t="str">
        <f t="shared" si="31"/>
        <v/>
      </c>
      <c r="O294" s="428" t="str">
        <f t="shared" si="32"/>
        <v/>
      </c>
      <c r="P294" s="44"/>
    </row>
    <row r="295" spans="1:16" s="436" customFormat="1">
      <c r="A295" s="637" t="s">
        <v>520</v>
      </c>
      <c r="B295" s="774" t="s">
        <v>228</v>
      </c>
      <c r="C295" s="34" t="s">
        <v>139</v>
      </c>
      <c r="D295" s="614" t="s">
        <v>99</v>
      </c>
      <c r="E295" s="744">
        <v>0</v>
      </c>
      <c r="F295" s="118">
        <v>2</v>
      </c>
      <c r="G295" s="118" t="s">
        <v>433</v>
      </c>
      <c r="H295" s="66">
        <v>1</v>
      </c>
      <c r="I295" s="66">
        <v>2</v>
      </c>
      <c r="J295" s="66">
        <v>2</v>
      </c>
      <c r="K295" s="66">
        <v>1</v>
      </c>
      <c r="L295" s="66">
        <v>1</v>
      </c>
      <c r="M295" s="66">
        <v>1</v>
      </c>
      <c r="N295" s="438">
        <f t="shared" si="31"/>
        <v>0.16933510251023262</v>
      </c>
      <c r="O295" s="438">
        <f t="shared" si="32"/>
        <v>0.19908580854301616</v>
      </c>
      <c r="P295" s="118" t="s">
        <v>858</v>
      </c>
    </row>
    <row r="296" spans="1:16" s="436" customFormat="1" ht="15.75" thickBot="1">
      <c r="A296" s="638" t="s">
        <v>520</v>
      </c>
      <c r="B296" s="775" t="s">
        <v>334</v>
      </c>
      <c r="C296" s="34" t="s">
        <v>139</v>
      </c>
      <c r="D296" s="124" t="s">
        <v>99</v>
      </c>
      <c r="E296" s="749" t="s">
        <v>150</v>
      </c>
      <c r="F296" s="119">
        <v>1</v>
      </c>
      <c r="G296" s="119" t="s">
        <v>433</v>
      </c>
      <c r="H296" s="15"/>
      <c r="I296" s="15"/>
      <c r="J296" s="15"/>
      <c r="K296" s="15"/>
      <c r="L296" s="15"/>
      <c r="M296" s="15"/>
      <c r="N296" s="424" t="str">
        <f t="shared" si="31"/>
        <v/>
      </c>
      <c r="O296" s="424" t="str">
        <f t="shared" si="32"/>
        <v/>
      </c>
      <c r="P296" s="119" t="s">
        <v>1958</v>
      </c>
    </row>
    <row r="297" spans="1:16" s="436" customFormat="1">
      <c r="A297" s="634" t="s">
        <v>444</v>
      </c>
      <c r="B297" s="783" t="s">
        <v>521</v>
      </c>
      <c r="C297" s="34" t="s">
        <v>139</v>
      </c>
      <c r="D297" s="121" t="s">
        <v>99</v>
      </c>
      <c r="E297" s="632">
        <v>0</v>
      </c>
      <c r="F297" s="11">
        <v>2</v>
      </c>
      <c r="G297" s="11" t="s">
        <v>433</v>
      </c>
      <c r="H297" s="13">
        <v>1</v>
      </c>
      <c r="I297" s="13">
        <v>2</v>
      </c>
      <c r="J297" s="13">
        <v>2</v>
      </c>
      <c r="K297" s="13">
        <v>1</v>
      </c>
      <c r="L297" s="13">
        <v>1</v>
      </c>
      <c r="M297" s="13">
        <v>1</v>
      </c>
      <c r="N297" s="425">
        <f t="shared" si="31"/>
        <v>0.16933510251023262</v>
      </c>
      <c r="O297" s="425">
        <f t="shared" si="32"/>
        <v>0.19908580854301616</v>
      </c>
      <c r="P297" s="42" t="s">
        <v>877</v>
      </c>
    </row>
    <row r="298" spans="1:16" s="436" customFormat="1">
      <c r="A298" s="636" t="s">
        <v>444</v>
      </c>
      <c r="B298" s="780" t="s">
        <v>522</v>
      </c>
      <c r="C298" s="34" t="s">
        <v>139</v>
      </c>
      <c r="D298" s="122" t="s">
        <v>99</v>
      </c>
      <c r="E298" s="242">
        <v>0.85</v>
      </c>
      <c r="F298" s="9">
        <v>2</v>
      </c>
      <c r="G298" s="9" t="s">
        <v>433</v>
      </c>
      <c r="H298" s="10">
        <v>1</v>
      </c>
      <c r="I298" s="10">
        <v>2</v>
      </c>
      <c r="J298" s="10">
        <v>2</v>
      </c>
      <c r="K298" s="10">
        <v>1</v>
      </c>
      <c r="L298" s="10">
        <v>1</v>
      </c>
      <c r="M298" s="10">
        <v>1</v>
      </c>
      <c r="N298" s="405">
        <f t="shared" si="31"/>
        <v>0.16933510251023262</v>
      </c>
      <c r="O298" s="405">
        <f t="shared" si="32"/>
        <v>0.19908580854301616</v>
      </c>
      <c r="P298" s="43" t="s">
        <v>878</v>
      </c>
    </row>
    <row r="299" spans="1:16" s="436" customFormat="1" ht="15.75" thickBot="1">
      <c r="A299" s="635" t="s">
        <v>444</v>
      </c>
      <c r="B299" s="784" t="s">
        <v>223</v>
      </c>
      <c r="C299" s="34" t="s">
        <v>139</v>
      </c>
      <c r="D299" s="123" t="s">
        <v>99</v>
      </c>
      <c r="E299" s="753">
        <v>0.15</v>
      </c>
      <c r="F299" s="12">
        <v>1</v>
      </c>
      <c r="G299" s="12" t="s">
        <v>433</v>
      </c>
      <c r="H299" s="14">
        <v>1</v>
      </c>
      <c r="I299" s="14">
        <v>2</v>
      </c>
      <c r="J299" s="14">
        <v>2</v>
      </c>
      <c r="K299" s="14">
        <v>1</v>
      </c>
      <c r="L299" s="14">
        <v>1</v>
      </c>
      <c r="M299" s="14">
        <v>1</v>
      </c>
      <c r="N299" s="428">
        <f t="shared" si="31"/>
        <v>0.16933510251023262</v>
      </c>
      <c r="O299" s="428">
        <f t="shared" si="32"/>
        <v>0.19908580854301616</v>
      </c>
      <c r="P299" s="44" t="s">
        <v>872</v>
      </c>
    </row>
    <row r="300" spans="1:16" s="436" customFormat="1">
      <c r="A300" s="637" t="s">
        <v>521</v>
      </c>
      <c r="B300" s="774" t="s">
        <v>523</v>
      </c>
      <c r="C300" s="34" t="s">
        <v>139</v>
      </c>
      <c r="D300" s="614" t="s">
        <v>99</v>
      </c>
      <c r="E300" s="744">
        <v>0.03</v>
      </c>
      <c r="F300" s="118">
        <v>2</v>
      </c>
      <c r="G300" s="118" t="s">
        <v>433</v>
      </c>
      <c r="H300" s="66">
        <v>1</v>
      </c>
      <c r="I300" s="66">
        <v>2</v>
      </c>
      <c r="J300" s="66">
        <v>2</v>
      </c>
      <c r="K300" s="66">
        <v>1</v>
      </c>
      <c r="L300" s="66">
        <v>1</v>
      </c>
      <c r="M300" s="66">
        <v>1</v>
      </c>
      <c r="N300" s="438">
        <f t="shared" si="31"/>
        <v>0.16933510251023262</v>
      </c>
      <c r="O300" s="438">
        <f t="shared" si="32"/>
        <v>0.19908580854301616</v>
      </c>
      <c r="P300" s="118" t="s">
        <v>855</v>
      </c>
    </row>
    <row r="301" spans="1:16" s="436" customFormat="1" ht="15.75" thickBot="1">
      <c r="A301" s="638" t="s">
        <v>521</v>
      </c>
      <c r="B301" s="775" t="s">
        <v>472</v>
      </c>
      <c r="C301" s="34" t="s">
        <v>139</v>
      </c>
      <c r="D301" s="124" t="s">
        <v>99</v>
      </c>
      <c r="E301" s="749" t="s">
        <v>150</v>
      </c>
      <c r="F301" s="119">
        <v>1</v>
      </c>
      <c r="G301" s="119" t="s">
        <v>433</v>
      </c>
      <c r="H301" s="15"/>
      <c r="I301" s="15"/>
      <c r="J301" s="15"/>
      <c r="K301" s="15"/>
      <c r="L301" s="15"/>
      <c r="M301" s="15"/>
      <c r="N301" s="424" t="str">
        <f t="shared" si="31"/>
        <v/>
      </c>
      <c r="O301" s="424" t="str">
        <f t="shared" si="32"/>
        <v/>
      </c>
      <c r="P301" s="119" t="s">
        <v>1959</v>
      </c>
    </row>
    <row r="302" spans="1:16" s="436" customFormat="1">
      <c r="A302" s="634" t="s">
        <v>523</v>
      </c>
      <c r="B302" s="783" t="s">
        <v>231</v>
      </c>
      <c r="C302" s="34" t="s">
        <v>139</v>
      </c>
      <c r="D302" s="121" t="s">
        <v>99</v>
      </c>
      <c r="E302" s="632">
        <v>0.05</v>
      </c>
      <c r="F302" s="11">
        <v>2</v>
      </c>
      <c r="G302" s="11" t="s">
        <v>157</v>
      </c>
      <c r="H302" s="13">
        <v>1</v>
      </c>
      <c r="I302" s="13">
        <v>2</v>
      </c>
      <c r="J302" s="13">
        <v>2</v>
      </c>
      <c r="K302" s="13">
        <v>1</v>
      </c>
      <c r="L302" s="13">
        <v>3</v>
      </c>
      <c r="M302" s="13">
        <v>3</v>
      </c>
      <c r="N302" s="425">
        <f t="shared" si="31"/>
        <v>1.0725046436742278</v>
      </c>
      <c r="O302" s="425">
        <f t="shared" si="32"/>
        <v>1.0776024280428556</v>
      </c>
      <c r="P302" s="42" t="s">
        <v>1937</v>
      </c>
    </row>
    <row r="303" spans="1:16" s="436" customFormat="1">
      <c r="A303" s="636" t="s">
        <v>523</v>
      </c>
      <c r="B303" s="780" t="s">
        <v>232</v>
      </c>
      <c r="C303" s="34" t="s">
        <v>139</v>
      </c>
      <c r="D303" s="122" t="s">
        <v>99</v>
      </c>
      <c r="E303" s="242">
        <v>0.39400000000000002</v>
      </c>
      <c r="F303" s="9">
        <v>2</v>
      </c>
      <c r="G303" s="9" t="s">
        <v>433</v>
      </c>
      <c r="H303" s="10">
        <v>1</v>
      </c>
      <c r="I303" s="10">
        <v>2</v>
      </c>
      <c r="J303" s="10">
        <v>2</v>
      </c>
      <c r="K303" s="10">
        <v>1</v>
      </c>
      <c r="L303" s="10">
        <v>1</v>
      </c>
      <c r="M303" s="10">
        <v>1</v>
      </c>
      <c r="N303" s="405">
        <f t="shared" si="31"/>
        <v>0.16933510251023262</v>
      </c>
      <c r="O303" s="405">
        <f t="shared" si="32"/>
        <v>0.19908580854301616</v>
      </c>
      <c r="P303" s="43" t="s">
        <v>1961</v>
      </c>
    </row>
    <row r="304" spans="1:16" s="436" customFormat="1">
      <c r="A304" s="636" t="s">
        <v>523</v>
      </c>
      <c r="B304" s="780" t="s">
        <v>251</v>
      </c>
      <c r="C304" s="34" t="s">
        <v>139</v>
      </c>
      <c r="D304" s="122" t="s">
        <v>99</v>
      </c>
      <c r="E304" s="242">
        <v>0.52200000000000002</v>
      </c>
      <c r="F304" s="9">
        <v>1</v>
      </c>
      <c r="G304" s="9" t="s">
        <v>433</v>
      </c>
      <c r="H304" s="10">
        <v>1</v>
      </c>
      <c r="I304" s="10">
        <v>2</v>
      </c>
      <c r="J304" s="10">
        <v>2</v>
      </c>
      <c r="K304" s="10">
        <v>1</v>
      </c>
      <c r="L304" s="10">
        <v>1</v>
      </c>
      <c r="M304" s="10">
        <v>1</v>
      </c>
      <c r="N304" s="405">
        <f t="shared" si="31"/>
        <v>0.16933510251023262</v>
      </c>
      <c r="O304" s="405">
        <f t="shared" si="32"/>
        <v>0.19908580854301616</v>
      </c>
      <c r="P304" s="43" t="s">
        <v>1962</v>
      </c>
    </row>
    <row r="305" spans="1:19" s="436" customFormat="1" ht="15.75" thickBot="1">
      <c r="A305" s="635" t="s">
        <v>523</v>
      </c>
      <c r="B305" s="784" t="s">
        <v>258</v>
      </c>
      <c r="C305" s="34" t="s">
        <v>139</v>
      </c>
      <c r="D305" s="123" t="s">
        <v>99</v>
      </c>
      <c r="E305" s="753">
        <v>3.4000000000000002E-2</v>
      </c>
      <c r="F305" s="12">
        <v>2</v>
      </c>
      <c r="G305" s="12" t="s">
        <v>433</v>
      </c>
      <c r="H305" s="14"/>
      <c r="I305" s="14"/>
      <c r="J305" s="14"/>
      <c r="K305" s="14"/>
      <c r="L305" s="14"/>
      <c r="M305" s="14"/>
      <c r="N305" s="428"/>
      <c r="O305" s="428"/>
      <c r="P305" s="44" t="s">
        <v>1963</v>
      </c>
    </row>
    <row r="306" spans="1:19" s="436" customFormat="1">
      <c r="A306" s="637" t="s">
        <v>522</v>
      </c>
      <c r="B306" s="774" t="s">
        <v>524</v>
      </c>
      <c r="C306" s="34" t="s">
        <v>139</v>
      </c>
      <c r="D306" s="614" t="s">
        <v>99</v>
      </c>
      <c r="E306" s="744">
        <f>0.1*E300</f>
        <v>3.0000000000000001E-3</v>
      </c>
      <c r="F306" s="118">
        <v>2</v>
      </c>
      <c r="G306" s="118" t="s">
        <v>433</v>
      </c>
      <c r="H306" s="66">
        <v>1</v>
      </c>
      <c r="I306" s="66">
        <v>2</v>
      </c>
      <c r="J306" s="66">
        <v>2</v>
      </c>
      <c r="K306" s="66">
        <v>1</v>
      </c>
      <c r="L306" s="66">
        <v>1</v>
      </c>
      <c r="M306" s="66">
        <v>1</v>
      </c>
      <c r="N306" s="438">
        <f t="shared" si="31"/>
        <v>0.16933510251023262</v>
      </c>
      <c r="O306" s="438">
        <f t="shared" si="32"/>
        <v>0.19908580854301616</v>
      </c>
      <c r="P306" s="118" t="s">
        <v>856</v>
      </c>
    </row>
    <row r="307" spans="1:19" s="436" customFormat="1" ht="15.75" thickBot="1">
      <c r="A307" s="638" t="s">
        <v>522</v>
      </c>
      <c r="B307" s="775" t="s">
        <v>465</v>
      </c>
      <c r="C307" s="34" t="s">
        <v>139</v>
      </c>
      <c r="D307" s="124" t="s">
        <v>99</v>
      </c>
      <c r="E307" s="749" t="s">
        <v>150</v>
      </c>
      <c r="F307" s="119">
        <v>1</v>
      </c>
      <c r="G307" s="119" t="s">
        <v>433</v>
      </c>
      <c r="H307" s="15"/>
      <c r="I307" s="15"/>
      <c r="J307" s="15"/>
      <c r="K307" s="15"/>
      <c r="L307" s="15"/>
      <c r="M307" s="15"/>
      <c r="N307" s="424" t="str">
        <f t="shared" si="31"/>
        <v/>
      </c>
      <c r="O307" s="424" t="str">
        <f t="shared" si="32"/>
        <v/>
      </c>
      <c r="P307" s="119" t="s">
        <v>1959</v>
      </c>
    </row>
    <row r="308" spans="1:19" s="436" customFormat="1" ht="15.75" thickBot="1">
      <c r="A308" s="633" t="s">
        <v>524</v>
      </c>
      <c r="B308" s="785" t="s">
        <v>228</v>
      </c>
      <c r="C308" s="34" t="s">
        <v>139</v>
      </c>
      <c r="D308" s="781" t="s">
        <v>99</v>
      </c>
      <c r="E308" s="751">
        <v>1</v>
      </c>
      <c r="F308" s="750">
        <v>2</v>
      </c>
      <c r="G308" s="750" t="s">
        <v>433</v>
      </c>
      <c r="H308" s="70">
        <v>1</v>
      </c>
      <c r="I308" s="70">
        <v>2</v>
      </c>
      <c r="J308" s="70">
        <v>2</v>
      </c>
      <c r="K308" s="70">
        <v>1</v>
      </c>
      <c r="L308" s="70">
        <v>1</v>
      </c>
      <c r="M308" s="70">
        <v>1</v>
      </c>
      <c r="N308" s="439">
        <f t="shared" si="31"/>
        <v>0.16933510251023262</v>
      </c>
      <c r="O308" s="439">
        <f t="shared" si="32"/>
        <v>0.19908580854301616</v>
      </c>
      <c r="P308" s="752" t="s">
        <v>857</v>
      </c>
    </row>
    <row r="309" spans="1:19" s="436" customFormat="1">
      <c r="A309" s="637" t="s">
        <v>472</v>
      </c>
      <c r="B309" s="783" t="s">
        <v>231</v>
      </c>
      <c r="C309" s="34" t="s">
        <v>139</v>
      </c>
      <c r="D309" s="614" t="s">
        <v>99</v>
      </c>
      <c r="E309" s="744">
        <v>3.2000000000000002E-3</v>
      </c>
      <c r="F309" s="118">
        <v>2</v>
      </c>
      <c r="G309" s="118" t="s">
        <v>1997</v>
      </c>
      <c r="H309" s="66">
        <v>1</v>
      </c>
      <c r="I309" s="66">
        <v>2</v>
      </c>
      <c r="J309" s="66">
        <v>2</v>
      </c>
      <c r="K309" s="66">
        <v>1</v>
      </c>
      <c r="L309" s="15">
        <v>3</v>
      </c>
      <c r="M309" s="13">
        <v>3</v>
      </c>
      <c r="N309" s="438">
        <f t="shared" si="31"/>
        <v>1.0725046436742278</v>
      </c>
      <c r="O309" s="438">
        <f t="shared" si="32"/>
        <v>1.0776024280428556</v>
      </c>
      <c r="P309" s="118" t="s">
        <v>1989</v>
      </c>
    </row>
    <row r="310" spans="1:19" s="436" customFormat="1">
      <c r="A310" s="313" t="s">
        <v>472</v>
      </c>
      <c r="B310" s="780" t="s">
        <v>232</v>
      </c>
      <c r="C310" s="34" t="s">
        <v>139</v>
      </c>
      <c r="D310" s="122" t="s">
        <v>99</v>
      </c>
      <c r="E310" s="242">
        <v>2.5215999999999999E-2</v>
      </c>
      <c r="F310" s="9">
        <v>2</v>
      </c>
      <c r="G310" s="9" t="s">
        <v>433</v>
      </c>
      <c r="H310" s="10">
        <v>1</v>
      </c>
      <c r="I310" s="10">
        <v>2</v>
      </c>
      <c r="J310" s="10">
        <v>2</v>
      </c>
      <c r="K310" s="10">
        <v>1</v>
      </c>
      <c r="L310" s="10">
        <v>1</v>
      </c>
      <c r="M310" s="10">
        <v>1</v>
      </c>
      <c r="N310" s="405">
        <f t="shared" si="31"/>
        <v>0.16933510251023262</v>
      </c>
      <c r="O310" s="405">
        <f t="shared" si="32"/>
        <v>0.19908580854301616</v>
      </c>
      <c r="P310" s="9" t="s">
        <v>1990</v>
      </c>
    </row>
    <row r="311" spans="1:19" s="436" customFormat="1">
      <c r="A311" s="313" t="s">
        <v>472</v>
      </c>
      <c r="B311" s="780" t="s">
        <v>251</v>
      </c>
      <c r="C311" s="34" t="s">
        <v>139</v>
      </c>
      <c r="D311" s="122" t="s">
        <v>99</v>
      </c>
      <c r="E311" s="242">
        <v>3.3408E-2</v>
      </c>
      <c r="F311" s="9">
        <v>2</v>
      </c>
      <c r="G311" s="9" t="s">
        <v>433</v>
      </c>
      <c r="H311" s="10">
        <v>1</v>
      </c>
      <c r="I311" s="10">
        <v>2</v>
      </c>
      <c r="J311" s="10">
        <v>2</v>
      </c>
      <c r="K311" s="10">
        <v>1</v>
      </c>
      <c r="L311" s="10">
        <v>1</v>
      </c>
      <c r="M311" s="10">
        <v>1</v>
      </c>
      <c r="N311" s="405">
        <f t="shared" si="31"/>
        <v>0.16933510251023262</v>
      </c>
      <c r="O311" s="405">
        <f t="shared" si="32"/>
        <v>0.19908580854301616</v>
      </c>
      <c r="P311" s="9" t="s">
        <v>1991</v>
      </c>
    </row>
    <row r="312" spans="1:19" s="436" customFormat="1">
      <c r="A312" s="313" t="s">
        <v>472</v>
      </c>
      <c r="B312" s="775" t="s">
        <v>258</v>
      </c>
      <c r="C312" s="34" t="s">
        <v>139</v>
      </c>
      <c r="D312" s="124" t="s">
        <v>99</v>
      </c>
      <c r="E312" s="749">
        <v>2.176E-3</v>
      </c>
      <c r="F312" s="119">
        <v>2</v>
      </c>
      <c r="G312" s="119" t="s">
        <v>433</v>
      </c>
      <c r="H312" s="10">
        <v>1</v>
      </c>
      <c r="I312" s="10">
        <v>2</v>
      </c>
      <c r="J312" s="10">
        <v>2</v>
      </c>
      <c r="K312" s="10">
        <v>1</v>
      </c>
      <c r="L312" s="10">
        <v>1</v>
      </c>
      <c r="M312" s="10">
        <v>1</v>
      </c>
      <c r="N312" s="405">
        <f>IF( OR( ISBLANK(H312),ISBLANK(J312), ISBLANK(K312), ISBLANK(L312), ISBLANK(M312) ), "", 1.5*SQRT(   EXP(2.21*(H312-1)) + EXP(2.21*(J312-1)) + EXP(2.21*(K312-1)) + EXP(2.21*(L312-1)) + EXP(2.21*M312)   )/100*2.45 )</f>
        <v>0.16933510251023262</v>
      </c>
      <c r="O312" s="405">
        <f>IF( OR( ISBLANK(I312),ISBLANK(J312), ISBLANK(K312), ISBLANK(L312), ISBLANK(M312) ), "", 1.5*SQRT( EXP(2.21*(I312-1)) + EXP(2.21*(J312-1)) + EXP(2.21*(K312-1)) + EXP(2.21*(L312-1)) + EXP(2.21*M312)   )/100*2.45 )</f>
        <v>0.19908580854301616</v>
      </c>
      <c r="P312" s="155" t="s">
        <v>1992</v>
      </c>
    </row>
    <row r="313" spans="1:19" s="436" customFormat="1" ht="15.75" thickBot="1">
      <c r="A313" s="638" t="s">
        <v>472</v>
      </c>
      <c r="B313" s="784" t="s">
        <v>334</v>
      </c>
      <c r="C313" s="34" t="s">
        <v>139</v>
      </c>
      <c r="D313" s="124" t="s">
        <v>99</v>
      </c>
      <c r="E313" s="749" t="s">
        <v>150</v>
      </c>
      <c r="F313" s="119">
        <v>1</v>
      </c>
      <c r="G313" s="119" t="s">
        <v>433</v>
      </c>
      <c r="H313" s="15"/>
      <c r="I313" s="15"/>
      <c r="J313" s="15"/>
      <c r="K313" s="15"/>
      <c r="L313" s="15"/>
      <c r="M313" s="15"/>
      <c r="N313" s="424" t="str">
        <f t="shared" si="31"/>
        <v/>
      </c>
      <c r="O313" s="424" t="str">
        <f t="shared" si="32"/>
        <v/>
      </c>
      <c r="P313" s="119"/>
    </row>
    <row r="314" spans="1:19" s="436" customFormat="1">
      <c r="A314" s="634" t="s">
        <v>465</v>
      </c>
      <c r="B314" s="783" t="s">
        <v>228</v>
      </c>
      <c r="C314" s="34" t="s">
        <v>139</v>
      </c>
      <c r="D314" s="121" t="s">
        <v>99</v>
      </c>
      <c r="E314" s="632">
        <v>6.4000000000000001E-2</v>
      </c>
      <c r="F314" s="11">
        <v>2</v>
      </c>
      <c r="G314" s="11" t="s">
        <v>433</v>
      </c>
      <c r="H314" s="13">
        <v>1</v>
      </c>
      <c r="I314" s="13">
        <v>2</v>
      </c>
      <c r="J314" s="13">
        <v>2</v>
      </c>
      <c r="K314" s="13">
        <v>1</v>
      </c>
      <c r="L314" s="13">
        <v>1</v>
      </c>
      <c r="M314" s="13">
        <v>1</v>
      </c>
      <c r="N314" s="425">
        <f t="shared" si="31"/>
        <v>0.16933510251023262</v>
      </c>
      <c r="O314" s="425">
        <f t="shared" si="32"/>
        <v>0.19908580854301616</v>
      </c>
      <c r="P314" s="42" t="s">
        <v>873</v>
      </c>
    </row>
    <row r="315" spans="1:19" s="436" customFormat="1" ht="15.75" thickBot="1">
      <c r="A315" s="635" t="s">
        <v>465</v>
      </c>
      <c r="B315" s="784" t="s">
        <v>334</v>
      </c>
      <c r="C315" s="35" t="s">
        <v>139</v>
      </c>
      <c r="D315" s="123" t="s">
        <v>99</v>
      </c>
      <c r="E315" s="753" t="s">
        <v>150</v>
      </c>
      <c r="F315" s="12">
        <v>1</v>
      </c>
      <c r="G315" s="12" t="s">
        <v>433</v>
      </c>
      <c r="H315" s="14"/>
      <c r="I315" s="14"/>
      <c r="J315" s="14"/>
      <c r="K315" s="14"/>
      <c r="L315" s="14"/>
      <c r="M315" s="14"/>
      <c r="N315" s="428" t="str">
        <f t="shared" si="31"/>
        <v/>
      </c>
      <c r="O315" s="428" t="str">
        <f t="shared" si="32"/>
        <v/>
      </c>
      <c r="P315" s="44" t="s">
        <v>1960</v>
      </c>
    </row>
    <row r="317" spans="1:19" s="6" customFormat="1" ht="18.75">
      <c r="A317" s="1137" t="s">
        <v>880</v>
      </c>
      <c r="B317" s="1137"/>
      <c r="C317" s="1137"/>
      <c r="D317" s="1137"/>
      <c r="E317" s="1137"/>
      <c r="F317" s="1137"/>
      <c r="G317" s="1137"/>
      <c r="H317" s="1137"/>
      <c r="I317" s="1137"/>
      <c r="J317" s="1137"/>
      <c r="K317" s="1137"/>
      <c r="L317" s="1137"/>
      <c r="M317" s="1137"/>
      <c r="N317" s="1137"/>
      <c r="O317" s="1137"/>
      <c r="P317" s="1137"/>
      <c r="Q317" s="1137"/>
      <c r="R317" s="1137"/>
      <c r="S317" s="1137"/>
    </row>
    <row r="319" spans="1:19">
      <c r="A319" t="s">
        <v>881</v>
      </c>
    </row>
    <row r="323" spans="1:1">
      <c r="A323" s="640"/>
    </row>
  </sheetData>
  <autoFilter ref="A60:P315" xr:uid="{E8338EDF-3B93-4267-BDF4-561D15195B80}"/>
  <mergeCells count="54">
    <mergeCell ref="E3:G3"/>
    <mergeCell ref="H3:O3"/>
    <mergeCell ref="H8:O8"/>
    <mergeCell ref="H9:O9"/>
    <mergeCell ref="H10:O10"/>
    <mergeCell ref="A317:S317"/>
    <mergeCell ref="D46:E46"/>
    <mergeCell ref="D47:E47"/>
    <mergeCell ref="D48:E48"/>
    <mergeCell ref="D49:E49"/>
    <mergeCell ref="L56:N56"/>
    <mergeCell ref="L57:N57"/>
    <mergeCell ref="A55:G55"/>
    <mergeCell ref="A51:G51"/>
    <mergeCell ref="D43:E43"/>
    <mergeCell ref="D44:E44"/>
    <mergeCell ref="A59:S59"/>
    <mergeCell ref="D45:E45"/>
    <mergeCell ref="D41:E41"/>
    <mergeCell ref="D42:E42"/>
    <mergeCell ref="L52:N52"/>
    <mergeCell ref="L53:N53"/>
    <mergeCell ref="D36:E36"/>
    <mergeCell ref="D37:E37"/>
    <mergeCell ref="D38:E38"/>
    <mergeCell ref="D39:E39"/>
    <mergeCell ref="D40:E40"/>
    <mergeCell ref="D14:E14"/>
    <mergeCell ref="D35:E35"/>
    <mergeCell ref="D20:E20"/>
    <mergeCell ref="D21:E27"/>
    <mergeCell ref="D28:E32"/>
    <mergeCell ref="D33:E34"/>
    <mergeCell ref="D15:E15"/>
    <mergeCell ref="D17:E17"/>
    <mergeCell ref="D16:E16"/>
    <mergeCell ref="D18:E18"/>
    <mergeCell ref="D19:E19"/>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s>
  <phoneticPr fontId="22" type="noConversion"/>
  <conditionalFormatting sqref="D52">
    <cfRule type="cellIs" dxfId="105" priority="62" operator="greaterThan">
      <formula>0</formula>
    </cfRule>
    <cfRule type="cellIs" dxfId="104" priority="63" operator="equal">
      <formula>0</formula>
    </cfRule>
  </conditionalFormatting>
  <conditionalFormatting sqref="D56">
    <cfRule type="cellIs" dxfId="103" priority="57" operator="greaterThan">
      <formula>0</formula>
    </cfRule>
    <cfRule type="cellIs" dxfId="102"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101"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100" priority="3" stopIfTrue="1" operator="notBetween">
      <formula>1</formula>
      <formula>4</formula>
    </cfRule>
  </conditionalFormatting>
  <conditionalFormatting sqref="H75:M315">
    <cfRule type="containsBlanks" dxfId="99"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98"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97"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69" t="s">
        <v>845</v>
      </c>
      <c r="B2" s="409"/>
      <c r="C2" s="409"/>
      <c r="D2" s="409"/>
      <c r="E2" s="409"/>
      <c r="F2" s="409"/>
      <c r="G2" s="409"/>
      <c r="H2" s="409"/>
      <c r="I2" s="409"/>
      <c r="J2" s="409"/>
      <c r="K2" s="409"/>
      <c r="L2" s="409"/>
      <c r="M2" s="409"/>
      <c r="N2" s="409"/>
      <c r="O2"/>
      <c r="P2"/>
      <c r="Q2"/>
    </row>
    <row r="3" spans="1:19" s="6" customFormat="1" ht="30" customHeight="1">
      <c r="A3" s="140" t="s">
        <v>100</v>
      </c>
      <c r="B3" s="140" t="s">
        <v>131</v>
      </c>
      <c r="C3" s="140" t="s">
        <v>101</v>
      </c>
      <c r="D3" s="140" t="s">
        <v>102</v>
      </c>
      <c r="E3" s="140" t="s">
        <v>894</v>
      </c>
      <c r="F3" s="361" t="s">
        <v>104</v>
      </c>
      <c r="G3" s="225"/>
      <c r="H3" s="225"/>
      <c r="I3" s="225"/>
      <c r="J3" s="225"/>
      <c r="K3" s="225"/>
      <c r="L3" s="225"/>
      <c r="O3"/>
      <c r="P3"/>
      <c r="Q3"/>
      <c r="R3"/>
      <c r="S3"/>
    </row>
    <row r="4" spans="1:19" s="6" customFormat="1">
      <c r="A4" s="411" t="s">
        <v>954</v>
      </c>
      <c r="B4" s="411" t="s">
        <v>182</v>
      </c>
      <c r="C4" s="220">
        <v>2018</v>
      </c>
      <c r="D4" s="117" t="s">
        <v>955</v>
      </c>
      <c r="E4" s="490">
        <f>((D200)/1000)-B232</f>
        <v>692.81</v>
      </c>
      <c r="F4" t="s">
        <v>956</v>
      </c>
      <c r="G4"/>
      <c r="H4"/>
      <c r="I4"/>
      <c r="O4"/>
      <c r="P4"/>
      <c r="Q4"/>
      <c r="R4"/>
      <c r="S4"/>
    </row>
    <row r="5" spans="1:19" s="6" customFormat="1">
      <c r="A5" s="412" t="s">
        <v>954</v>
      </c>
      <c r="B5" s="412" t="s">
        <v>182</v>
      </c>
      <c r="C5" s="410">
        <v>2019</v>
      </c>
      <c r="D5" s="117" t="s">
        <v>955</v>
      </c>
      <c r="E5" s="413">
        <f>((D203/1000)-B232)</f>
        <v>695.5</v>
      </c>
      <c r="F5" t="s">
        <v>956</v>
      </c>
      <c r="G5"/>
      <c r="H5"/>
      <c r="I5"/>
      <c r="O5"/>
      <c r="P5"/>
      <c r="Q5"/>
      <c r="R5"/>
      <c r="S5"/>
    </row>
    <row r="6" spans="1:19" s="6" customFormat="1">
      <c r="A6"/>
      <c r="B6"/>
      <c r="C6"/>
      <c r="D6"/>
      <c r="E6"/>
      <c r="F6"/>
      <c r="G6"/>
      <c r="H6"/>
      <c r="I6"/>
      <c r="J6"/>
      <c r="K6"/>
      <c r="L6"/>
      <c r="M6"/>
      <c r="O6"/>
      <c r="P6"/>
      <c r="Q6"/>
      <c r="R6"/>
      <c r="S6"/>
    </row>
    <row r="7" spans="1:19" s="6" customFormat="1" ht="15.75" thickBot="1">
      <c r="A7" s="6" t="s">
        <v>957</v>
      </c>
      <c r="E7"/>
      <c r="O7"/>
      <c r="P7"/>
      <c r="Q7"/>
      <c r="R7"/>
      <c r="S7"/>
    </row>
    <row r="8" spans="1:19" s="6" customFormat="1">
      <c r="A8" s="140" t="s">
        <v>100</v>
      </c>
      <c r="B8" s="140" t="s">
        <v>131</v>
      </c>
      <c r="C8" s="140" t="s">
        <v>101</v>
      </c>
      <c r="D8" s="140" t="s">
        <v>102</v>
      </c>
      <c r="E8" s="140" t="s">
        <v>894</v>
      </c>
      <c r="F8" s="361" t="s">
        <v>104</v>
      </c>
      <c r="G8" s="111" t="s">
        <v>135</v>
      </c>
      <c r="H8" s="112" t="s">
        <v>65</v>
      </c>
      <c r="I8" s="112" t="s">
        <v>67</v>
      </c>
      <c r="J8" s="112" t="s">
        <v>73</v>
      </c>
      <c r="K8" s="113" t="s">
        <v>79</v>
      </c>
      <c r="L8" s="114" t="s">
        <v>106</v>
      </c>
      <c r="M8" s="115" t="s">
        <v>123</v>
      </c>
      <c r="O8"/>
      <c r="P8"/>
      <c r="Q8"/>
      <c r="R8"/>
      <c r="S8"/>
    </row>
    <row r="9" spans="1:19" s="6" customFormat="1">
      <c r="A9" s="143" t="s">
        <v>954</v>
      </c>
      <c r="B9" s="143" t="s">
        <v>182</v>
      </c>
      <c r="C9" s="220">
        <v>2018</v>
      </c>
      <c r="D9" s="9" t="s">
        <v>90</v>
      </c>
      <c r="E9" s="408">
        <f>E4*H165</f>
        <v>56.385014842085823</v>
      </c>
      <c r="F9" t="s">
        <v>958</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954</v>
      </c>
      <c r="B10" s="143" t="s">
        <v>182</v>
      </c>
      <c r="C10" s="220">
        <v>2018</v>
      </c>
      <c r="D10" s="9" t="s">
        <v>88</v>
      </c>
      <c r="E10" s="408">
        <f>E4*H166</f>
        <v>3.9507478925049049</v>
      </c>
      <c r="F10" t="s">
        <v>958</v>
      </c>
      <c r="G10" s="172">
        <v>1</v>
      </c>
      <c r="H10" s="10">
        <v>1</v>
      </c>
      <c r="I10" s="66">
        <v>2</v>
      </c>
      <c r="J10" s="10">
        <v>1</v>
      </c>
      <c r="K10" s="10">
        <v>2</v>
      </c>
      <c r="L10" s="179">
        <f t="shared" si="0"/>
        <v>0.35859414261160716</v>
      </c>
      <c r="M10" s="34"/>
      <c r="O10"/>
      <c r="P10"/>
      <c r="Q10"/>
      <c r="R10"/>
      <c r="S10"/>
    </row>
    <row r="11" spans="1:19" s="6" customFormat="1">
      <c r="A11" s="143" t="s">
        <v>954</v>
      </c>
      <c r="B11" s="143" t="s">
        <v>182</v>
      </c>
      <c r="C11" s="220">
        <v>2018</v>
      </c>
      <c r="D11" s="9" t="s">
        <v>87</v>
      </c>
      <c r="E11" s="408">
        <f>E5*H167</f>
        <v>3.9660876131077227</v>
      </c>
      <c r="F11" t="s">
        <v>958</v>
      </c>
      <c r="G11" s="172">
        <v>1</v>
      </c>
      <c r="H11" s="10">
        <v>1</v>
      </c>
      <c r="I11" s="66">
        <v>2</v>
      </c>
      <c r="J11" s="10">
        <v>1</v>
      </c>
      <c r="K11" s="10">
        <v>2</v>
      </c>
      <c r="L11" s="179">
        <f t="shared" si="0"/>
        <v>0.35859414261160716</v>
      </c>
      <c r="M11" s="34"/>
      <c r="O11"/>
      <c r="P11"/>
      <c r="Q11"/>
      <c r="R11"/>
      <c r="S11"/>
    </row>
    <row r="12" spans="1:19" s="6" customFormat="1">
      <c r="A12" s="143" t="s">
        <v>954</v>
      </c>
      <c r="B12" s="143" t="s">
        <v>182</v>
      </c>
      <c r="C12" s="220">
        <v>2018</v>
      </c>
      <c r="D12" s="9" t="s">
        <v>85</v>
      </c>
      <c r="E12" s="408">
        <f>E4*H168</f>
        <v>622.8710048492452</v>
      </c>
      <c r="F12" t="s">
        <v>958</v>
      </c>
      <c r="G12" s="172">
        <v>1</v>
      </c>
      <c r="H12" s="10">
        <v>1</v>
      </c>
      <c r="I12" s="66">
        <v>2</v>
      </c>
      <c r="J12" s="10">
        <v>1</v>
      </c>
      <c r="K12" s="10">
        <v>2</v>
      </c>
      <c r="L12" s="179">
        <f t="shared" si="0"/>
        <v>0.35859414261160716</v>
      </c>
      <c r="M12" s="34"/>
      <c r="O12"/>
      <c r="P12"/>
      <c r="Q12"/>
      <c r="R12"/>
      <c r="S12"/>
    </row>
    <row r="13" spans="1:19">
      <c r="A13" s="143" t="s">
        <v>954</v>
      </c>
      <c r="B13" s="143" t="s">
        <v>182</v>
      </c>
      <c r="C13" s="220">
        <v>2018</v>
      </c>
      <c r="D13" s="9" t="s">
        <v>86</v>
      </c>
      <c r="E13" s="408">
        <f>E4*H169</f>
        <v>5.6494845366498607</v>
      </c>
      <c r="F13" t="s">
        <v>958</v>
      </c>
      <c r="G13" s="172">
        <v>1</v>
      </c>
      <c r="H13" s="10">
        <v>1</v>
      </c>
      <c r="I13" s="66">
        <v>2</v>
      </c>
      <c r="J13" s="10">
        <v>1</v>
      </c>
      <c r="K13" s="10">
        <v>2</v>
      </c>
      <c r="L13" s="179">
        <f t="shared" si="0"/>
        <v>0.35859414261160716</v>
      </c>
      <c r="M13" s="34"/>
    </row>
    <row r="14" spans="1:19" s="131" customFormat="1" ht="18.75">
      <c r="A14" s="143" t="s">
        <v>954</v>
      </c>
      <c r="B14" s="143" t="s">
        <v>182</v>
      </c>
      <c r="C14" s="220">
        <v>2019</v>
      </c>
      <c r="D14" s="9" t="s">
        <v>90</v>
      </c>
      <c r="E14" s="408">
        <f>E5*H165</f>
        <v>56.60394310513805</v>
      </c>
      <c r="F14" t="s">
        <v>958</v>
      </c>
      <c r="G14" s="174">
        <v>1</v>
      </c>
      <c r="H14" s="66">
        <v>1</v>
      </c>
      <c r="I14" s="66">
        <v>2</v>
      </c>
      <c r="J14" s="66">
        <v>1</v>
      </c>
      <c r="K14" s="66">
        <v>2</v>
      </c>
      <c r="L14" s="179">
        <f t="shared" si="0"/>
        <v>0.35859414261160716</v>
      </c>
      <c r="M14" s="60"/>
      <c r="O14"/>
      <c r="P14"/>
      <c r="Q14"/>
      <c r="R14"/>
      <c r="S14"/>
    </row>
    <row r="15" spans="1:19" s="6" customFormat="1">
      <c r="A15" s="143" t="s">
        <v>954</v>
      </c>
      <c r="B15" s="143" t="s">
        <v>182</v>
      </c>
      <c r="C15" s="220">
        <v>2019</v>
      </c>
      <c r="D15" s="9" t="s">
        <v>88</v>
      </c>
      <c r="E15" s="408">
        <f>E5*H166</f>
        <v>3.9660876131077227</v>
      </c>
      <c r="F15" t="s">
        <v>958</v>
      </c>
      <c r="G15" s="172">
        <v>1</v>
      </c>
      <c r="H15" s="10">
        <v>1</v>
      </c>
      <c r="I15" s="66">
        <v>2</v>
      </c>
      <c r="J15" s="10">
        <v>1</v>
      </c>
      <c r="K15" s="10">
        <v>2</v>
      </c>
      <c r="L15" s="179">
        <f t="shared" si="0"/>
        <v>0.35859414261160716</v>
      </c>
      <c r="M15" s="34"/>
      <c r="O15"/>
      <c r="P15"/>
      <c r="Q15"/>
      <c r="R15"/>
      <c r="S15"/>
    </row>
    <row r="16" spans="1:19" s="6" customFormat="1">
      <c r="A16" s="143" t="s">
        <v>954</v>
      </c>
      <c r="B16" s="143" t="s">
        <v>182</v>
      </c>
      <c r="C16" s="220">
        <v>2019</v>
      </c>
      <c r="D16" s="9" t="s">
        <v>87</v>
      </c>
      <c r="E16" s="408">
        <f>E5*H167</f>
        <v>3.9660876131077227</v>
      </c>
      <c r="F16" t="s">
        <v>958</v>
      </c>
      <c r="G16" s="172">
        <v>1</v>
      </c>
      <c r="H16" s="10">
        <v>1</v>
      </c>
      <c r="I16" s="66">
        <v>2</v>
      </c>
      <c r="J16" s="10">
        <v>1</v>
      </c>
      <c r="K16" s="10">
        <v>2</v>
      </c>
      <c r="L16" s="179">
        <f t="shared" si="0"/>
        <v>0.35859414261160716</v>
      </c>
      <c r="M16" s="34"/>
      <c r="O16"/>
      <c r="P16"/>
      <c r="Q16"/>
      <c r="R16"/>
      <c r="S16"/>
    </row>
    <row r="17" spans="1:19" s="6" customFormat="1">
      <c r="A17" s="143" t="s">
        <v>954</v>
      </c>
      <c r="B17" s="143" t="s">
        <v>182</v>
      </c>
      <c r="C17" s="220">
        <v>2019</v>
      </c>
      <c r="D17" s="9" t="s">
        <v>85</v>
      </c>
      <c r="E17" s="408">
        <f>E5*H168</f>
        <v>625.28945002619776</v>
      </c>
      <c r="F17" t="s">
        <v>958</v>
      </c>
      <c r="G17" s="172">
        <v>1</v>
      </c>
      <c r="H17" s="10">
        <v>1</v>
      </c>
      <c r="I17" s="66">
        <v>2</v>
      </c>
      <c r="J17" s="10">
        <v>1</v>
      </c>
      <c r="K17" s="10">
        <v>2</v>
      </c>
      <c r="L17" s="179">
        <f t="shared" si="0"/>
        <v>0.35859414261160716</v>
      </c>
      <c r="M17" s="34"/>
      <c r="O17"/>
      <c r="P17"/>
      <c r="Q17"/>
      <c r="R17"/>
      <c r="S17"/>
    </row>
    <row r="18" spans="1:19" s="6" customFormat="1">
      <c r="A18" s="143" t="s">
        <v>954</v>
      </c>
      <c r="B18" s="143" t="s">
        <v>182</v>
      </c>
      <c r="C18" s="220">
        <v>2019</v>
      </c>
      <c r="D18" s="9" t="s">
        <v>86</v>
      </c>
      <c r="E18" s="408">
        <f>E5*H169</f>
        <v>5.6714200072746905</v>
      </c>
      <c r="F18" t="s">
        <v>958</v>
      </c>
      <c r="G18" s="172">
        <v>1</v>
      </c>
      <c r="H18" s="10">
        <v>1</v>
      </c>
      <c r="I18" s="66">
        <v>2</v>
      </c>
      <c r="J18" s="10">
        <v>1</v>
      </c>
      <c r="K18" s="10">
        <v>2</v>
      </c>
      <c r="L18" s="179">
        <f t="shared" si="0"/>
        <v>0.35859414261160716</v>
      </c>
      <c r="M18" s="34"/>
      <c r="O18"/>
      <c r="P18"/>
      <c r="Q18"/>
      <c r="R18"/>
      <c r="S18"/>
    </row>
    <row r="19" spans="1:19" s="6" customFormat="1">
      <c r="B19"/>
      <c r="C19"/>
      <c r="D19"/>
      <c r="E19"/>
      <c r="F19" s="407"/>
      <c r="G19"/>
      <c r="H19"/>
      <c r="I19"/>
      <c r="J19"/>
      <c r="K19"/>
      <c r="L19"/>
      <c r="M19"/>
      <c r="N19"/>
      <c r="O19"/>
      <c r="P19"/>
      <c r="Q19"/>
      <c r="R19"/>
      <c r="S19"/>
    </row>
    <row r="20" spans="1:19" s="6" customFormat="1" ht="27" customHeight="1">
      <c r="A20" s="469" t="s">
        <v>844</v>
      </c>
      <c r="B20" s="469"/>
      <c r="C20" s="469"/>
      <c r="D20" s="409"/>
      <c r="E20" s="409"/>
      <c r="F20" s="409"/>
      <c r="G20" s="409"/>
      <c r="H20" s="409"/>
      <c r="I20" s="409"/>
      <c r="J20" s="409"/>
      <c r="K20" s="409"/>
      <c r="L20" s="409"/>
      <c r="M20" s="409"/>
      <c r="N20" s="409"/>
      <c r="O20"/>
      <c r="P20"/>
      <c r="Q20"/>
      <c r="R20"/>
      <c r="S20"/>
    </row>
    <row r="21" spans="1:19" s="6" customFormat="1">
      <c r="A21" s="140" t="s">
        <v>100</v>
      </c>
      <c r="B21" s="140" t="s">
        <v>131</v>
      </c>
      <c r="C21" s="140" t="s">
        <v>101</v>
      </c>
      <c r="D21" s="140" t="s">
        <v>102</v>
      </c>
      <c r="E21" s="140" t="s">
        <v>894</v>
      </c>
      <c r="F21" s="361" t="s">
        <v>104</v>
      </c>
      <c r="G21" s="791" t="s">
        <v>123</v>
      </c>
      <c r="H21" s="791"/>
      <c r="I21" s="791"/>
      <c r="O21"/>
      <c r="P21"/>
      <c r="Q21"/>
      <c r="R21"/>
      <c r="S21"/>
    </row>
    <row r="22" spans="1:19" s="6" customFormat="1">
      <c r="A22" s="143" t="s">
        <v>954</v>
      </c>
      <c r="B22" s="143" t="s">
        <v>180</v>
      </c>
      <c r="C22" s="220">
        <v>2018</v>
      </c>
      <c r="D22" s="117" t="s">
        <v>955</v>
      </c>
      <c r="E22" s="413">
        <f>(((D200)/1000))*$C$222-Intentional_Agr_NL_2020*'Input projections'!$C$42</f>
        <v>22.798165427830579</v>
      </c>
      <c r="F22" s="224" t="s">
        <v>959</v>
      </c>
      <c r="G22" s="60" t="s">
        <v>960</v>
      </c>
      <c r="H22"/>
      <c r="I22"/>
      <c r="O22"/>
      <c r="P22"/>
      <c r="Q22"/>
      <c r="R22"/>
      <c r="S22"/>
    </row>
    <row r="23" spans="1:19" s="6" customFormat="1">
      <c r="A23" s="412" t="s">
        <v>954</v>
      </c>
      <c r="B23" s="143" t="s">
        <v>180</v>
      </c>
      <c r="C23" s="220">
        <v>2018</v>
      </c>
      <c r="D23" s="117" t="s">
        <v>955</v>
      </c>
      <c r="E23" s="413">
        <f>(((D200)/1000))*$C$224-Intentional_Agr_NL_2020*'Input projections'!$C$42</f>
        <v>46.525919248910952</v>
      </c>
      <c r="F23" s="224" t="s">
        <v>959</v>
      </c>
      <c r="G23" s="60" t="s">
        <v>961</v>
      </c>
      <c r="H23"/>
      <c r="I23"/>
      <c r="O23"/>
      <c r="P23"/>
      <c r="Q23"/>
      <c r="R23"/>
      <c r="S23"/>
    </row>
    <row r="24" spans="1:19">
      <c r="A24" s="143" t="s">
        <v>954</v>
      </c>
      <c r="B24" s="143" t="s">
        <v>180</v>
      </c>
      <c r="C24" s="220">
        <v>2019</v>
      </c>
      <c r="D24" s="117" t="s">
        <v>955</v>
      </c>
      <c r="E24" s="413">
        <f>(((D203)/1000))*$C$222-Intentional_Agr_NL_2020*'Input projections'!$C$42</f>
        <v>22.888549427830579</v>
      </c>
      <c r="F24" s="224" t="s">
        <v>959</v>
      </c>
      <c r="G24" s="60" t="s">
        <v>960</v>
      </c>
    </row>
    <row r="25" spans="1:19">
      <c r="A25" s="412" t="s">
        <v>954</v>
      </c>
      <c r="B25" s="143" t="s">
        <v>180</v>
      </c>
      <c r="C25" s="220">
        <v>2019</v>
      </c>
      <c r="D25" s="117" t="s">
        <v>955</v>
      </c>
      <c r="E25" s="413">
        <f>(((D203)/1000))*$C$224-Intentional_Agr_NL_2020*'Input projections'!$C$42</f>
        <v>46.706479507763902</v>
      </c>
      <c r="F25" s="224" t="s">
        <v>959</v>
      </c>
      <c r="G25" s="60" t="s">
        <v>961</v>
      </c>
    </row>
    <row r="26" spans="1:19" s="6" customFormat="1">
      <c r="A26"/>
      <c r="B26"/>
      <c r="C26"/>
      <c r="D26"/>
      <c r="E26"/>
      <c r="F26"/>
      <c r="G26"/>
      <c r="H26"/>
      <c r="I26"/>
      <c r="J26"/>
      <c r="K26"/>
      <c r="L26"/>
      <c r="M26"/>
    </row>
    <row r="27" spans="1:19" s="6" customFormat="1" ht="15.75" thickBot="1">
      <c r="A27" s="6" t="s">
        <v>957</v>
      </c>
      <c r="E27"/>
    </row>
    <row r="28" spans="1:19" s="2" customFormat="1">
      <c r="A28" s="140" t="s">
        <v>100</v>
      </c>
      <c r="B28" s="140" t="s">
        <v>131</v>
      </c>
      <c r="C28" s="140" t="s">
        <v>101</v>
      </c>
      <c r="D28" s="140" t="s">
        <v>102</v>
      </c>
      <c r="E28" s="140" t="s">
        <v>894</v>
      </c>
      <c r="F28" s="225" t="s">
        <v>104</v>
      </c>
      <c r="G28" s="111" t="s">
        <v>134</v>
      </c>
      <c r="H28" s="112" t="s">
        <v>65</v>
      </c>
      <c r="I28" s="112" t="s">
        <v>67</v>
      </c>
      <c r="J28" s="112" t="s">
        <v>73</v>
      </c>
      <c r="K28" s="113" t="s">
        <v>79</v>
      </c>
      <c r="L28" s="114" t="s">
        <v>106</v>
      </c>
      <c r="M28" s="115" t="s">
        <v>123</v>
      </c>
    </row>
    <row r="29" spans="1:19" s="2" customFormat="1">
      <c r="A29" s="143" t="s">
        <v>954</v>
      </c>
      <c r="B29" s="143" t="s">
        <v>180</v>
      </c>
      <c r="C29" s="220">
        <v>2018</v>
      </c>
      <c r="D29" s="465" t="s">
        <v>90</v>
      </c>
      <c r="E29" s="136">
        <f>$E$22*H183</f>
        <v>2.3385327534831104</v>
      </c>
      <c r="F29" t="s">
        <v>962</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960</v>
      </c>
    </row>
    <row r="30" spans="1:19" s="2" customFormat="1">
      <c r="A30" s="143" t="s">
        <v>954</v>
      </c>
      <c r="B30" s="143" t="s">
        <v>180</v>
      </c>
      <c r="C30" s="220">
        <v>2018</v>
      </c>
      <c r="D30" s="465" t="s">
        <v>88</v>
      </c>
      <c r="E30" s="136">
        <f>$E$22*H184</f>
        <v>0.11106595848154695</v>
      </c>
      <c r="F30" t="s">
        <v>962</v>
      </c>
      <c r="G30" s="172">
        <v>2</v>
      </c>
      <c r="H30" s="10">
        <v>1</v>
      </c>
      <c r="I30" s="66">
        <v>2</v>
      </c>
      <c r="J30" s="10">
        <v>1</v>
      </c>
      <c r="K30" s="10">
        <v>2</v>
      </c>
      <c r="L30" s="179">
        <f t="shared" si="1"/>
        <v>0.37356464144298934</v>
      </c>
      <c r="M30" s="60" t="s">
        <v>960</v>
      </c>
    </row>
    <row r="31" spans="1:19" s="2" customFormat="1">
      <c r="A31" s="143" t="s">
        <v>954</v>
      </c>
      <c r="B31" s="143" t="s">
        <v>180</v>
      </c>
      <c r="C31" s="220">
        <v>2018</v>
      </c>
      <c r="D31" s="465" t="s">
        <v>87</v>
      </c>
      <c r="E31" s="136">
        <f>$E$22*H185</f>
        <v>0.11106595848154695</v>
      </c>
      <c r="F31" t="s">
        <v>962</v>
      </c>
      <c r="G31" s="172">
        <v>2</v>
      </c>
      <c r="H31" s="10">
        <v>1</v>
      </c>
      <c r="I31" s="66">
        <v>2</v>
      </c>
      <c r="J31" s="10">
        <v>1</v>
      </c>
      <c r="K31" s="10">
        <v>2</v>
      </c>
      <c r="L31" s="179">
        <f t="shared" si="1"/>
        <v>0.37356464144298934</v>
      </c>
      <c r="M31" s="60" t="s">
        <v>960</v>
      </c>
    </row>
    <row r="32" spans="1:19" s="2" customFormat="1">
      <c r="A32" s="143" t="s">
        <v>954</v>
      </c>
      <c r="B32" s="143" t="s">
        <v>180</v>
      </c>
      <c r="C32" s="220">
        <v>2018</v>
      </c>
      <c r="D32" s="465" t="s">
        <v>85</v>
      </c>
      <c r="E32" s="136">
        <f>$E$22*H186</f>
        <v>19.95503155784176</v>
      </c>
      <c r="F32" t="s">
        <v>962</v>
      </c>
      <c r="G32" s="172">
        <v>2</v>
      </c>
      <c r="H32" s="10">
        <v>1</v>
      </c>
      <c r="I32" s="66">
        <v>2</v>
      </c>
      <c r="J32" s="10">
        <v>1</v>
      </c>
      <c r="K32" s="10">
        <v>2</v>
      </c>
      <c r="L32" s="179">
        <f t="shared" si="1"/>
        <v>0.37356464144298934</v>
      </c>
      <c r="M32" s="60" t="s">
        <v>960</v>
      </c>
    </row>
    <row r="33" spans="1:13" s="2" customFormat="1">
      <c r="A33" s="143" t="s">
        <v>954</v>
      </c>
      <c r="B33" s="143" t="s">
        <v>180</v>
      </c>
      <c r="C33" s="220">
        <v>2018</v>
      </c>
      <c r="D33" s="465" t="s">
        <v>86</v>
      </c>
      <c r="E33" s="136">
        <f>$E$22*H187</f>
        <v>0.2824691995426149</v>
      </c>
      <c r="F33" t="s">
        <v>962</v>
      </c>
      <c r="G33" s="172">
        <v>2</v>
      </c>
      <c r="H33" s="10">
        <v>1</v>
      </c>
      <c r="I33" s="66">
        <v>2</v>
      </c>
      <c r="J33" s="10">
        <v>1</v>
      </c>
      <c r="K33" s="10">
        <v>2</v>
      </c>
      <c r="L33" s="179">
        <f t="shared" si="1"/>
        <v>0.37356464144298934</v>
      </c>
      <c r="M33" s="60" t="s">
        <v>960</v>
      </c>
    </row>
    <row r="34" spans="1:13" s="2" customFormat="1">
      <c r="A34" s="143" t="s">
        <v>954</v>
      </c>
      <c r="B34" s="143" t="s">
        <v>180</v>
      </c>
      <c r="C34" s="220">
        <v>2018</v>
      </c>
      <c r="D34" s="9" t="s">
        <v>90</v>
      </c>
      <c r="E34" s="136">
        <f>$E$23*H183</f>
        <v>4.7724184822639018</v>
      </c>
      <c r="F34" t="s">
        <v>963</v>
      </c>
      <c r="G34" s="174">
        <v>2</v>
      </c>
      <c r="H34" s="66">
        <v>1</v>
      </c>
      <c r="I34" s="66">
        <v>2</v>
      </c>
      <c r="J34" s="66">
        <v>1</v>
      </c>
      <c r="K34" s="66">
        <v>2</v>
      </c>
      <c r="L34" s="179">
        <f t="shared" si="1"/>
        <v>0.37356464144298934</v>
      </c>
      <c r="M34" s="60" t="s">
        <v>961</v>
      </c>
    </row>
    <row r="35" spans="1:13" s="2" customFormat="1">
      <c r="A35" s="143" t="s">
        <v>954</v>
      </c>
      <c r="B35" s="143" t="s">
        <v>180</v>
      </c>
      <c r="C35" s="220">
        <v>2018</v>
      </c>
      <c r="D35" s="9" t="s">
        <v>88</v>
      </c>
      <c r="E35" s="136">
        <f>$E$23*H184</f>
        <v>0.22666059828249402</v>
      </c>
      <c r="F35" t="s">
        <v>963</v>
      </c>
      <c r="G35" s="172">
        <v>2</v>
      </c>
      <c r="H35" s="10">
        <v>1</v>
      </c>
      <c r="I35" s="66">
        <v>2</v>
      </c>
      <c r="J35" s="10">
        <v>1</v>
      </c>
      <c r="K35" s="10">
        <v>2</v>
      </c>
      <c r="L35" s="179">
        <f t="shared" si="1"/>
        <v>0.37356464144298934</v>
      </c>
      <c r="M35" s="60" t="s">
        <v>961</v>
      </c>
    </row>
    <row r="36" spans="1:13" s="2" customFormat="1">
      <c r="A36" s="143" t="s">
        <v>954</v>
      </c>
      <c r="B36" s="143" t="s">
        <v>180</v>
      </c>
      <c r="C36" s="220">
        <v>2018</v>
      </c>
      <c r="D36" s="9" t="s">
        <v>87</v>
      </c>
      <c r="E36" s="136">
        <f>$E$23*H185</f>
        <v>0.22666059828249402</v>
      </c>
      <c r="F36" t="s">
        <v>963</v>
      </c>
      <c r="G36" s="172">
        <v>2</v>
      </c>
      <c r="H36" s="10">
        <v>1</v>
      </c>
      <c r="I36" s="66">
        <v>2</v>
      </c>
      <c r="J36" s="10">
        <v>1</v>
      </c>
      <c r="K36" s="10">
        <v>2</v>
      </c>
      <c r="L36" s="179">
        <f t="shared" si="1"/>
        <v>0.37356464144298934</v>
      </c>
      <c r="M36" s="60" t="s">
        <v>961</v>
      </c>
    </row>
    <row r="37" spans="1:13" s="2" customFormat="1">
      <c r="A37" s="143" t="s">
        <v>954</v>
      </c>
      <c r="B37" s="143" t="s">
        <v>180</v>
      </c>
      <c r="C37" s="220">
        <v>2018</v>
      </c>
      <c r="D37" s="9" t="s">
        <v>85</v>
      </c>
      <c r="E37" s="136">
        <f>$E$23*H186</f>
        <v>40.723723573663108</v>
      </c>
      <c r="F37" t="s">
        <v>963</v>
      </c>
      <c r="G37" s="172">
        <v>2</v>
      </c>
      <c r="H37" s="10">
        <v>1</v>
      </c>
      <c r="I37" s="66">
        <v>2</v>
      </c>
      <c r="J37" s="10">
        <v>1</v>
      </c>
      <c r="K37" s="10">
        <v>2</v>
      </c>
      <c r="L37" s="179">
        <f t="shared" si="1"/>
        <v>0.37356464144298934</v>
      </c>
      <c r="M37" s="60" t="s">
        <v>961</v>
      </c>
    </row>
    <row r="38" spans="1:13" s="2" customFormat="1">
      <c r="A38" s="143" t="s">
        <v>954</v>
      </c>
      <c r="B38" s="143" t="s">
        <v>180</v>
      </c>
      <c r="C38" s="220">
        <v>2018</v>
      </c>
      <c r="D38" s="9" t="s">
        <v>86</v>
      </c>
      <c r="E38" s="136">
        <f>$E$23*H187</f>
        <v>0.57645599641895362</v>
      </c>
      <c r="F38" t="s">
        <v>963</v>
      </c>
      <c r="G38" s="172">
        <v>2</v>
      </c>
      <c r="H38" s="10">
        <v>1</v>
      </c>
      <c r="I38" s="66">
        <v>2</v>
      </c>
      <c r="J38" s="10">
        <v>1</v>
      </c>
      <c r="K38" s="10">
        <v>2</v>
      </c>
      <c r="L38" s="179">
        <f t="shared" si="1"/>
        <v>0.37356464144298934</v>
      </c>
      <c r="M38" s="60" t="s">
        <v>961</v>
      </c>
    </row>
    <row r="39" spans="1:13" s="2" customFormat="1">
      <c r="A39" s="143" t="s">
        <v>954</v>
      </c>
      <c r="B39" s="143" t="s">
        <v>180</v>
      </c>
      <c r="C39" s="220">
        <v>2019</v>
      </c>
      <c r="D39" s="465" t="s">
        <v>90</v>
      </c>
      <c r="E39" s="136">
        <f>$E$24*H183</f>
        <v>2.3478039356341438</v>
      </c>
      <c r="F39" t="s">
        <v>962</v>
      </c>
      <c r="G39" s="174">
        <v>2</v>
      </c>
      <c r="H39" s="66">
        <v>1</v>
      </c>
      <c r="I39" s="66">
        <v>2</v>
      </c>
      <c r="J39" s="66">
        <v>1</v>
      </c>
      <c r="K39" s="66">
        <v>2</v>
      </c>
      <c r="L39" s="179">
        <f t="shared" si="1"/>
        <v>0.37356464144298934</v>
      </c>
      <c r="M39" s="60" t="s">
        <v>960</v>
      </c>
    </row>
    <row r="40" spans="1:13" s="2" customFormat="1">
      <c r="A40" s="143" t="s">
        <v>954</v>
      </c>
      <c r="B40" s="143" t="s">
        <v>180</v>
      </c>
      <c r="C40" s="220">
        <v>2019</v>
      </c>
      <c r="D40" s="465" t="s">
        <v>88</v>
      </c>
      <c r="E40" s="136">
        <f>$E$24*H184</f>
        <v>0.11150628275339129</v>
      </c>
      <c r="F40" t="s">
        <v>962</v>
      </c>
      <c r="G40" s="172">
        <v>2</v>
      </c>
      <c r="H40" s="10">
        <v>1</v>
      </c>
      <c r="I40" s="66">
        <v>2</v>
      </c>
      <c r="J40" s="10">
        <v>1</v>
      </c>
      <c r="K40" s="10">
        <v>2</v>
      </c>
      <c r="L40" s="179">
        <f t="shared" si="1"/>
        <v>0.37356464144298934</v>
      </c>
      <c r="M40" s="60" t="s">
        <v>960</v>
      </c>
    </row>
    <row r="41" spans="1:13" s="2" customFormat="1">
      <c r="A41" s="143" t="s">
        <v>954</v>
      </c>
      <c r="B41" s="143" t="s">
        <v>180</v>
      </c>
      <c r="C41" s="220">
        <v>2019</v>
      </c>
      <c r="D41" s="465" t="s">
        <v>87</v>
      </c>
      <c r="E41" s="136">
        <f>$E$24*H185</f>
        <v>0.11150628275339129</v>
      </c>
      <c r="F41" t="s">
        <v>962</v>
      </c>
      <c r="G41" s="172">
        <v>2</v>
      </c>
      <c r="H41" s="10">
        <v>1</v>
      </c>
      <c r="I41" s="66">
        <v>2</v>
      </c>
      <c r="J41" s="10">
        <v>1</v>
      </c>
      <c r="K41" s="10">
        <v>2</v>
      </c>
      <c r="L41" s="179">
        <f t="shared" si="1"/>
        <v>0.37356464144298934</v>
      </c>
      <c r="M41" s="60" t="s">
        <v>960</v>
      </c>
    </row>
    <row r="42" spans="1:13" s="2" customFormat="1">
      <c r="A42" s="143" t="s">
        <v>954</v>
      </c>
      <c r="B42" s="143" t="s">
        <v>180</v>
      </c>
      <c r="C42" s="220">
        <v>2019</v>
      </c>
      <c r="D42" s="465" t="s">
        <v>85</v>
      </c>
      <c r="E42" s="136">
        <f>$E$24*H186</f>
        <v>20.034143869664984</v>
      </c>
      <c r="F42" t="s">
        <v>962</v>
      </c>
      <c r="G42" s="172">
        <v>2</v>
      </c>
      <c r="H42" s="10">
        <v>1</v>
      </c>
      <c r="I42" s="66">
        <v>2</v>
      </c>
      <c r="J42" s="10">
        <v>1</v>
      </c>
      <c r="K42" s="10">
        <v>2</v>
      </c>
      <c r="L42" s="179">
        <f t="shared" si="1"/>
        <v>0.37356464144298934</v>
      </c>
      <c r="M42" s="60" t="s">
        <v>960</v>
      </c>
    </row>
    <row r="43" spans="1:13" s="2" customFormat="1">
      <c r="A43" s="143" t="s">
        <v>954</v>
      </c>
      <c r="B43" s="143" t="s">
        <v>180</v>
      </c>
      <c r="C43" s="220">
        <v>2019</v>
      </c>
      <c r="D43" s="465" t="s">
        <v>86</v>
      </c>
      <c r="E43" s="136">
        <f>$E$24*H187</f>
        <v>0.28358905702466886</v>
      </c>
      <c r="F43" t="s">
        <v>962</v>
      </c>
      <c r="G43" s="172">
        <v>2</v>
      </c>
      <c r="H43" s="10">
        <v>1</v>
      </c>
      <c r="I43" s="66">
        <v>2</v>
      </c>
      <c r="J43" s="10">
        <v>1</v>
      </c>
      <c r="K43" s="10">
        <v>2</v>
      </c>
      <c r="L43" s="179">
        <f t="shared" si="1"/>
        <v>0.37356464144298934</v>
      </c>
      <c r="M43" s="60" t="s">
        <v>960</v>
      </c>
    </row>
    <row r="44" spans="1:13" s="2" customFormat="1">
      <c r="A44" s="143" t="s">
        <v>954</v>
      </c>
      <c r="B44" s="143" t="s">
        <v>180</v>
      </c>
      <c r="C44" s="220">
        <v>2019</v>
      </c>
      <c r="D44" s="9" t="s">
        <v>90</v>
      </c>
      <c r="E44" s="136">
        <f>$E$25*H183</f>
        <v>4.7909395374181711</v>
      </c>
      <c r="F44" t="s">
        <v>963</v>
      </c>
      <c r="G44" s="174">
        <v>2</v>
      </c>
      <c r="H44" s="66">
        <v>1</v>
      </c>
      <c r="I44" s="66">
        <v>2</v>
      </c>
      <c r="J44" s="66">
        <v>1</v>
      </c>
      <c r="K44" s="66">
        <v>2</v>
      </c>
      <c r="L44" s="179">
        <f t="shared" si="1"/>
        <v>0.37356464144298934</v>
      </c>
      <c r="M44" s="60" t="s">
        <v>961</v>
      </c>
    </row>
    <row r="45" spans="1:13" s="2" customFormat="1">
      <c r="A45" s="143" t="s">
        <v>954</v>
      </c>
      <c r="B45" s="143" t="s">
        <v>180</v>
      </c>
      <c r="C45" s="220">
        <v>2019</v>
      </c>
      <c r="D45" s="9" t="s">
        <v>88</v>
      </c>
      <c r="E45" s="136">
        <f>$E$25*H184</f>
        <v>0.22754023477239763</v>
      </c>
      <c r="F45" t="s">
        <v>963</v>
      </c>
      <c r="G45" s="172">
        <v>2</v>
      </c>
      <c r="H45" s="10">
        <v>1</v>
      </c>
      <c r="I45" s="66">
        <v>2</v>
      </c>
      <c r="J45" s="10">
        <v>1</v>
      </c>
      <c r="K45" s="10">
        <v>2</v>
      </c>
      <c r="L45" s="179">
        <f t="shared" si="1"/>
        <v>0.37356464144298934</v>
      </c>
      <c r="M45" s="60" t="s">
        <v>961</v>
      </c>
    </row>
    <row r="46" spans="1:13" s="2" customFormat="1">
      <c r="A46" s="143" t="s">
        <v>954</v>
      </c>
      <c r="B46" s="143" t="s">
        <v>180</v>
      </c>
      <c r="C46" s="220">
        <v>2019</v>
      </c>
      <c r="D46" s="9" t="s">
        <v>87</v>
      </c>
      <c r="E46" s="136">
        <f>$E$25*H185</f>
        <v>0.22754023477239763</v>
      </c>
      <c r="F46" t="s">
        <v>963</v>
      </c>
      <c r="G46" s="172">
        <v>2</v>
      </c>
      <c r="H46" s="10">
        <v>1</v>
      </c>
      <c r="I46" s="66">
        <v>2</v>
      </c>
      <c r="J46" s="10">
        <v>1</v>
      </c>
      <c r="K46" s="10">
        <v>2</v>
      </c>
      <c r="L46" s="179">
        <f t="shared" si="1"/>
        <v>0.37356464144298934</v>
      </c>
      <c r="M46" s="60" t="s">
        <v>961</v>
      </c>
    </row>
    <row r="47" spans="1:13" s="2" customFormat="1">
      <c r="A47" s="143" t="s">
        <v>954</v>
      </c>
      <c r="B47" s="143" t="s">
        <v>180</v>
      </c>
      <c r="C47" s="220">
        <v>2019</v>
      </c>
      <c r="D47" s="9" t="s">
        <v>85</v>
      </c>
      <c r="E47" s="136">
        <f>$E$25*H186</f>
        <v>40.881766363330044</v>
      </c>
      <c r="F47" t="s">
        <v>963</v>
      </c>
      <c r="G47" s="172">
        <v>2</v>
      </c>
      <c r="H47" s="10">
        <v>1</v>
      </c>
      <c r="I47" s="66">
        <v>2</v>
      </c>
      <c r="J47" s="10">
        <v>1</v>
      </c>
      <c r="K47" s="10">
        <v>2</v>
      </c>
      <c r="L47" s="179">
        <f t="shared" si="1"/>
        <v>0.37356464144298934</v>
      </c>
      <c r="M47" s="60" t="s">
        <v>961</v>
      </c>
    </row>
    <row r="48" spans="1:13" s="2" customFormat="1">
      <c r="A48" s="143" t="s">
        <v>954</v>
      </c>
      <c r="B48" s="143" t="s">
        <v>180</v>
      </c>
      <c r="C48" s="220">
        <v>2019</v>
      </c>
      <c r="D48" s="9" t="s">
        <v>86</v>
      </c>
      <c r="E48" s="136">
        <f>$E$25*H187</f>
        <v>0.57869313747088835</v>
      </c>
      <c r="F48" t="s">
        <v>963</v>
      </c>
      <c r="G48" s="172">
        <v>2</v>
      </c>
      <c r="H48" s="10">
        <v>1</v>
      </c>
      <c r="I48" s="66">
        <v>2</v>
      </c>
      <c r="J48" s="10">
        <v>1</v>
      </c>
      <c r="K48" s="10">
        <v>2</v>
      </c>
      <c r="L48" s="179">
        <f t="shared" si="1"/>
        <v>0.37356464144298934</v>
      </c>
      <c r="M48" s="60" t="s">
        <v>961</v>
      </c>
    </row>
    <row r="49" spans="1:35" s="2" customFormat="1"/>
    <row r="50" spans="1:35" s="470" customFormat="1" ht="27" thickBot="1">
      <c r="A50" s="469"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5" t="s">
        <v>136</v>
      </c>
      <c r="O51" s="445" t="s">
        <v>137</v>
      </c>
      <c r="P51" s="448" t="s">
        <v>123</v>
      </c>
    </row>
    <row r="52" spans="1:35" s="2" customFormat="1">
      <c r="A52" s="60" t="s">
        <v>954</v>
      </c>
      <c r="B52" s="161" t="s">
        <v>964</v>
      </c>
      <c r="C52" s="60" t="s">
        <v>180</v>
      </c>
      <c r="D52" s="161" t="s">
        <v>90</v>
      </c>
      <c r="E52" s="491">
        <f>E183*$E$249</f>
        <v>0.40710942904980374</v>
      </c>
      <c r="F52" s="418">
        <v>2</v>
      </c>
      <c r="G52" s="60" t="s">
        <v>965</v>
      </c>
      <c r="H52" s="251">
        <v>1</v>
      </c>
      <c r="I52" s="66"/>
      <c r="J52" s="66">
        <v>2</v>
      </c>
      <c r="K52" s="66">
        <v>1</v>
      </c>
      <c r="L52" s="66">
        <v>1</v>
      </c>
      <c r="M52" s="295">
        <v>2</v>
      </c>
      <c r="N52" s="298">
        <f t="shared" ref="N52:N81" si="2">IF( OR( ISBLANK(H52),ISBLANK(J52), ISBLANK(K52), ISBLANK(L52), ISBLANK(M52) ), "", 1.5*SQRT(   EXP(2.21*(H52-1)) + EXP(2.21*(J52-1)) + EXP(2.21*(K52-1)) + EXP(2.21*(L52-1)) + EXP(2.21*M52)   )/100*2.45 )</f>
        <v>0.35859414261160716</v>
      </c>
      <c r="O52" s="446" t="str">
        <f t="shared" ref="O52:O81" si="3">IF( OR( ISBLANK(I52),ISBLANK(J52), ISBLANK(K52), ISBLANK(L52), ISBLANK(M52) ), "", 1.5*SQRT( EXP(2.21*(I52-1)) + EXP(2.21*(J52-1)) + EXP(2.21*(K52-1)) + EXP(2.21*(L52-1)) + EXP(2.21*M52)   )/100*2.45 )</f>
        <v/>
      </c>
      <c r="P52" s="68"/>
    </row>
    <row r="53" spans="1:35" s="2" customFormat="1">
      <c r="A53" s="34" t="s">
        <v>954</v>
      </c>
      <c r="B53" s="161" t="s">
        <v>964</v>
      </c>
      <c r="C53" s="34" t="s">
        <v>180</v>
      </c>
      <c r="D53" s="40" t="s">
        <v>88</v>
      </c>
      <c r="E53" s="491">
        <f t="shared" ref="E53:E56" si="4">E184*$E$249</f>
        <v>0</v>
      </c>
      <c r="F53" s="418">
        <v>2</v>
      </c>
      <c r="G53" s="34" t="s">
        <v>965</v>
      </c>
      <c r="H53" s="249">
        <v>1</v>
      </c>
      <c r="I53" s="10"/>
      <c r="J53" s="66">
        <v>2</v>
      </c>
      <c r="K53" s="66">
        <v>1</v>
      </c>
      <c r="L53" s="66">
        <v>1</v>
      </c>
      <c r="M53" s="295">
        <v>2</v>
      </c>
      <c r="N53" s="298">
        <f t="shared" si="2"/>
        <v>0.35859414261160716</v>
      </c>
      <c r="O53" s="446" t="str">
        <f t="shared" si="3"/>
        <v/>
      </c>
      <c r="P53" s="68"/>
    </row>
    <row r="54" spans="1:35" s="2" customFormat="1">
      <c r="A54" s="34" t="s">
        <v>954</v>
      </c>
      <c r="B54" s="161" t="s">
        <v>964</v>
      </c>
      <c r="C54" s="34" t="s">
        <v>180</v>
      </c>
      <c r="D54" s="40" t="s">
        <v>87</v>
      </c>
      <c r="E54" s="491">
        <f t="shared" si="4"/>
        <v>0</v>
      </c>
      <c r="F54" s="418">
        <v>2</v>
      </c>
      <c r="G54" s="34" t="s">
        <v>965</v>
      </c>
      <c r="H54" s="249">
        <v>1</v>
      </c>
      <c r="I54" s="10"/>
      <c r="J54" s="66">
        <v>2</v>
      </c>
      <c r="K54" s="66">
        <v>1</v>
      </c>
      <c r="L54" s="66">
        <v>1</v>
      </c>
      <c r="M54" s="295">
        <v>2</v>
      </c>
      <c r="N54" s="298">
        <f t="shared" si="2"/>
        <v>0.35859414261160716</v>
      </c>
      <c r="O54" s="446" t="str">
        <f t="shared" si="3"/>
        <v/>
      </c>
      <c r="P54" s="68"/>
    </row>
    <row r="55" spans="1:35" s="2" customFormat="1">
      <c r="A55" s="34" t="s">
        <v>954</v>
      </c>
      <c r="B55" s="161" t="s">
        <v>964</v>
      </c>
      <c r="C55" s="34" t="s">
        <v>180</v>
      </c>
      <c r="D55" s="40" t="s">
        <v>85</v>
      </c>
      <c r="E55" s="491">
        <f t="shared" si="4"/>
        <v>0.14312762142097193</v>
      </c>
      <c r="F55" s="418">
        <v>2</v>
      </c>
      <c r="G55" s="34" t="s">
        <v>965</v>
      </c>
      <c r="H55" s="249">
        <v>1</v>
      </c>
      <c r="I55" s="10"/>
      <c r="J55" s="10">
        <v>2</v>
      </c>
      <c r="K55" s="10">
        <v>1</v>
      </c>
      <c r="L55" s="10">
        <v>1</v>
      </c>
      <c r="M55" s="293">
        <v>2</v>
      </c>
      <c r="N55" s="298">
        <f t="shared" si="2"/>
        <v>0.35859414261160716</v>
      </c>
      <c r="O55" s="446" t="str">
        <f t="shared" si="3"/>
        <v/>
      </c>
      <c r="P55" s="68"/>
    </row>
    <row r="56" spans="1:35" s="2" customFormat="1">
      <c r="A56" s="34" t="s">
        <v>954</v>
      </c>
      <c r="B56" s="161" t="s">
        <v>964</v>
      </c>
      <c r="C56" s="34" t="s">
        <v>180</v>
      </c>
      <c r="D56" s="40" t="s">
        <v>86</v>
      </c>
      <c r="E56" s="491">
        <f t="shared" si="4"/>
        <v>0.56173601441995114</v>
      </c>
      <c r="F56" s="418">
        <v>2</v>
      </c>
      <c r="G56" s="34" t="s">
        <v>965</v>
      </c>
      <c r="H56" s="249">
        <v>1</v>
      </c>
      <c r="I56" s="10"/>
      <c r="J56" s="10">
        <v>2</v>
      </c>
      <c r="K56" s="10">
        <v>1</v>
      </c>
      <c r="L56" s="10">
        <v>1</v>
      </c>
      <c r="M56" s="293">
        <v>2</v>
      </c>
      <c r="N56" s="298">
        <f t="shared" si="2"/>
        <v>0.35859414261160716</v>
      </c>
      <c r="O56" s="446" t="str">
        <f t="shared" si="3"/>
        <v/>
      </c>
      <c r="P56" s="68"/>
    </row>
    <row r="57" spans="1:35" s="2" customFormat="1">
      <c r="A57" s="34" t="s">
        <v>954</v>
      </c>
      <c r="B57" s="161" t="s">
        <v>964</v>
      </c>
      <c r="C57" s="34" t="s">
        <v>182</v>
      </c>
      <c r="D57" s="40" t="s">
        <v>90</v>
      </c>
      <c r="E57" s="491">
        <f>E165*$E$249</f>
        <v>0.16733929871138836</v>
      </c>
      <c r="F57" s="418">
        <v>2</v>
      </c>
      <c r="G57" s="34" t="s">
        <v>966</v>
      </c>
      <c r="H57" s="249"/>
      <c r="I57" s="10">
        <v>1</v>
      </c>
      <c r="J57" s="66">
        <v>2</v>
      </c>
      <c r="K57" s="10">
        <v>1</v>
      </c>
      <c r="L57" s="10">
        <v>1</v>
      </c>
      <c r="M57" s="293">
        <v>2</v>
      </c>
      <c r="N57" s="298" t="str">
        <f>IF( OR( ISBLANK(H57),ISBLANK(J57), ISBLANK(K57), ISBLANK(L57), ISBLANK(M57) ), "", 1.5*SQRT(   EXP(2.21*(H57-1)) + EXP(2.21*(J57-1)) + EXP(2.21*(K57-1)) + EXP(2.21*(L57-1)) + EXP(2.21*M57)   )/100*2.45 )</f>
        <v/>
      </c>
      <c r="O57" s="446">
        <f>IF( OR( ISBLANK(I57),ISBLANK(J57), ISBLANK(K57), ISBLANK(L57), ISBLANK(M57) ), "", 1.5*SQRT( EXP(2.21*(I57-1)) + EXP(2.21*(J57-1)) + EXP(2.21*(K57-1)) + EXP(2.21*(L57-1)) + EXP(2.21*M57)   )/100*2.45 )</f>
        <v>0.35859414261160716</v>
      </c>
      <c r="P57" s="68"/>
    </row>
    <row r="58" spans="1:35" s="2" customFormat="1">
      <c r="A58" s="34" t="s">
        <v>954</v>
      </c>
      <c r="B58" s="161" t="s">
        <v>964</v>
      </c>
      <c r="C58" s="34" t="s">
        <v>182</v>
      </c>
      <c r="D58" s="40" t="s">
        <v>88</v>
      </c>
      <c r="E58" s="491">
        <f>E166*$E$249</f>
        <v>0</v>
      </c>
      <c r="F58" s="418">
        <v>2</v>
      </c>
      <c r="G58" s="34" t="s">
        <v>966</v>
      </c>
      <c r="H58" s="249"/>
      <c r="I58" s="10">
        <v>1</v>
      </c>
      <c r="J58" s="66">
        <v>2</v>
      </c>
      <c r="K58" s="10">
        <v>1</v>
      </c>
      <c r="L58" s="10">
        <v>1</v>
      </c>
      <c r="M58" s="293">
        <v>2</v>
      </c>
      <c r="N58" s="298" t="str">
        <f>IF( OR( ISBLANK(H58),ISBLANK(J58), ISBLANK(K58), ISBLANK(L58), ISBLANK(M58) ), "", 1.5*SQRT(   EXP(2.21*(H58-1)) + EXP(2.21*(J58-1)) + EXP(2.21*(K58-1)) + EXP(2.21*(L58-1)) + EXP(2.21*M58)   )/100*2.45 )</f>
        <v/>
      </c>
      <c r="O58" s="446">
        <f>IF( OR( ISBLANK(I58),ISBLANK(J58), ISBLANK(K58), ISBLANK(L58), ISBLANK(M58) ), "", 1.5*SQRT( EXP(2.21*(I58-1)) + EXP(2.21*(J58-1)) + EXP(2.21*(K58-1)) + EXP(2.21*(L58-1)) + EXP(2.21*M58)   )/100*2.45 )</f>
        <v>0.35859414261160716</v>
      </c>
      <c r="P58" s="68"/>
    </row>
    <row r="59" spans="1:35">
      <c r="A59" s="34" t="s">
        <v>954</v>
      </c>
      <c r="B59" s="161" t="s">
        <v>964</v>
      </c>
      <c r="C59" s="34" t="s">
        <v>182</v>
      </c>
      <c r="D59" s="40" t="s">
        <v>87</v>
      </c>
      <c r="E59" s="491">
        <f>E167*$E$249</f>
        <v>0</v>
      </c>
      <c r="F59" s="418">
        <v>2</v>
      </c>
      <c r="G59" s="34" t="s">
        <v>966</v>
      </c>
      <c r="H59" s="249"/>
      <c r="I59" s="10">
        <v>1</v>
      </c>
      <c r="J59" s="66">
        <v>2</v>
      </c>
      <c r="K59" s="10">
        <v>1</v>
      </c>
      <c r="L59" s="10">
        <v>1</v>
      </c>
      <c r="M59" s="293">
        <v>2</v>
      </c>
      <c r="N59" s="298" t="str">
        <f>IF( OR( ISBLANK(H59),ISBLANK(J59), ISBLANK(K59), ISBLANK(L59), ISBLANK(M59) ), "", 1.5*SQRT(   EXP(2.21*(H59-1)) + EXP(2.21*(J59-1)) + EXP(2.21*(K59-1)) + EXP(2.21*(L59-1)) + EXP(2.21*M59)   )/100*2.45 )</f>
        <v/>
      </c>
      <c r="O59" s="446">
        <f>IF( OR( ISBLANK(I59),ISBLANK(J59), ISBLANK(K59), ISBLANK(L59), ISBLANK(M59) ), "", 1.5*SQRT( EXP(2.21*(I59-1)) + EXP(2.21*(J59-1)) + EXP(2.21*(K59-1)) + EXP(2.21*(L59-1)) + EXP(2.21*M59)   )/100*2.45 )</f>
        <v>0.35859414261160716</v>
      </c>
      <c r="P59" s="68"/>
    </row>
    <row r="60" spans="1:35" s="221" customFormat="1">
      <c r="A60" s="34" t="s">
        <v>954</v>
      </c>
      <c r="B60" s="161" t="s">
        <v>964</v>
      </c>
      <c r="C60" s="34" t="s">
        <v>182</v>
      </c>
      <c r="D60" s="40" t="s">
        <v>85</v>
      </c>
      <c r="E60" s="491">
        <f>E168*$E$249</f>
        <v>4.5444861462717513E-2</v>
      </c>
      <c r="F60" s="418">
        <v>2</v>
      </c>
      <c r="G60" s="34" t="s">
        <v>966</v>
      </c>
      <c r="H60" s="249"/>
      <c r="I60" s="10">
        <v>1</v>
      </c>
      <c r="J60" s="10">
        <v>2</v>
      </c>
      <c r="K60" s="10">
        <v>1</v>
      </c>
      <c r="L60" s="10">
        <v>1</v>
      </c>
      <c r="M60" s="293">
        <v>2</v>
      </c>
      <c r="N60" s="298" t="str">
        <f>IF( OR( ISBLANK(H60),ISBLANK(J60), ISBLANK(K60), ISBLANK(L60), ISBLANK(M60) ), "", 1.5*SQRT(   EXP(2.21*(H60-1)) + EXP(2.21*(J60-1)) + EXP(2.21*(K60-1)) + EXP(2.21*(L60-1)) + EXP(2.21*M60)   )/100*2.45 )</f>
        <v/>
      </c>
      <c r="O60" s="446">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954</v>
      </c>
      <c r="B61" s="161" t="s">
        <v>964</v>
      </c>
      <c r="C61" s="34" t="s">
        <v>182</v>
      </c>
      <c r="D61" s="40" t="s">
        <v>86</v>
      </c>
      <c r="E61" s="491">
        <f>E169*$E$249</f>
        <v>0.27835662942036199</v>
      </c>
      <c r="F61" s="418">
        <v>2</v>
      </c>
      <c r="G61" s="34" t="s">
        <v>966</v>
      </c>
      <c r="H61" s="249"/>
      <c r="I61" s="10">
        <v>1</v>
      </c>
      <c r="J61" s="10">
        <v>2</v>
      </c>
      <c r="K61" s="10">
        <v>1</v>
      </c>
      <c r="L61" s="10">
        <v>1</v>
      </c>
      <c r="M61" s="293">
        <v>2</v>
      </c>
      <c r="N61" s="298" t="str">
        <f>IF( OR( ISBLANK(H61),ISBLANK(J61), ISBLANK(K61), ISBLANK(L61), ISBLANK(M61) ), "", 1.5*SQRT(   EXP(2.21*(H61-1)) + EXP(2.21*(J61-1)) + EXP(2.21*(K61-1)) + EXP(2.21*(L61-1)) + EXP(2.21*M61)   )/100*2.45 )</f>
        <v/>
      </c>
      <c r="O61" s="446">
        <f>IF( OR( ISBLANK(I61),ISBLANK(J61), ISBLANK(K61), ISBLANK(L61), ISBLANK(M61) ), "", 1.5*SQRT( EXP(2.21*(I61-1)) + EXP(2.21*(J61-1)) + EXP(2.21*(K61-1)) + EXP(2.21*(L61-1)) + EXP(2.21*M61)   )/100*2.45 )</f>
        <v>0.35859414261160716</v>
      </c>
      <c r="P61" s="68"/>
    </row>
    <row r="62" spans="1:35">
      <c r="A62" s="60" t="s">
        <v>954</v>
      </c>
      <c r="B62" s="161" t="s">
        <v>967</v>
      </c>
      <c r="C62" s="60" t="s">
        <v>180</v>
      </c>
      <c r="D62" s="161" t="s">
        <v>90</v>
      </c>
      <c r="E62" s="491">
        <f>F183</f>
        <v>0.2192024530360637</v>
      </c>
      <c r="F62" s="418">
        <v>2</v>
      </c>
      <c r="G62" s="60" t="s">
        <v>965</v>
      </c>
      <c r="H62" s="251">
        <v>1</v>
      </c>
      <c r="I62" s="66"/>
      <c r="J62" s="66">
        <v>2</v>
      </c>
      <c r="K62" s="66">
        <v>1</v>
      </c>
      <c r="L62" s="66">
        <v>1</v>
      </c>
      <c r="M62" s="295">
        <v>2</v>
      </c>
      <c r="N62" s="298">
        <f t="shared" si="2"/>
        <v>0.35859414261160716</v>
      </c>
      <c r="O62" s="446" t="str">
        <f t="shared" si="3"/>
        <v/>
      </c>
      <c r="P62" s="68"/>
    </row>
    <row r="63" spans="1:35">
      <c r="A63" s="34" t="s">
        <v>954</v>
      </c>
      <c r="B63" s="40" t="s">
        <v>967</v>
      </c>
      <c r="C63" s="34" t="s">
        <v>180</v>
      </c>
      <c r="D63" s="40" t="s">
        <v>88</v>
      </c>
      <c r="E63" s="491">
        <f>F184</f>
        <v>1</v>
      </c>
      <c r="F63" s="418">
        <v>2</v>
      </c>
      <c r="G63" s="34" t="s">
        <v>965</v>
      </c>
      <c r="H63" s="249">
        <v>1</v>
      </c>
      <c r="I63" s="10"/>
      <c r="J63" s="66">
        <v>2</v>
      </c>
      <c r="K63" s="66">
        <v>1</v>
      </c>
      <c r="L63" s="66">
        <v>1</v>
      </c>
      <c r="M63" s="295">
        <v>2</v>
      </c>
      <c r="N63" s="298">
        <f t="shared" si="2"/>
        <v>0.35859414261160716</v>
      </c>
      <c r="O63" s="446" t="str">
        <f t="shared" si="3"/>
        <v/>
      </c>
      <c r="P63" s="68"/>
    </row>
    <row r="64" spans="1:35">
      <c r="A64" s="34" t="s">
        <v>954</v>
      </c>
      <c r="B64" s="40" t="s">
        <v>967</v>
      </c>
      <c r="C64" s="34" t="s">
        <v>180</v>
      </c>
      <c r="D64" s="40" t="s">
        <v>87</v>
      </c>
      <c r="E64" s="491">
        <f>F185</f>
        <v>1</v>
      </c>
      <c r="F64" s="418">
        <v>2</v>
      </c>
      <c r="G64" s="34" t="s">
        <v>965</v>
      </c>
      <c r="H64" s="249">
        <v>1</v>
      </c>
      <c r="I64" s="10"/>
      <c r="J64" s="66">
        <v>2</v>
      </c>
      <c r="K64" s="66">
        <v>1</v>
      </c>
      <c r="L64" s="66">
        <v>1</v>
      </c>
      <c r="M64" s="295">
        <v>2</v>
      </c>
      <c r="N64" s="298">
        <f t="shared" si="2"/>
        <v>0.35859414261160716</v>
      </c>
      <c r="O64" s="446" t="str">
        <f t="shared" si="3"/>
        <v/>
      </c>
      <c r="P64" s="68"/>
    </row>
    <row r="65" spans="1:16">
      <c r="A65" s="34" t="s">
        <v>954</v>
      </c>
      <c r="B65" s="40" t="s">
        <v>967</v>
      </c>
      <c r="C65" s="34" t="s">
        <v>180</v>
      </c>
      <c r="D65" s="40" t="s">
        <v>85</v>
      </c>
      <c r="E65" s="491">
        <f>F186</f>
        <v>8.6056019698713113E-2</v>
      </c>
      <c r="F65" s="418">
        <v>2</v>
      </c>
      <c r="G65" s="34" t="s">
        <v>965</v>
      </c>
      <c r="H65" s="249">
        <v>1</v>
      </c>
      <c r="I65" s="10"/>
      <c r="J65" s="10">
        <v>2</v>
      </c>
      <c r="K65" s="10">
        <v>1</v>
      </c>
      <c r="L65" s="10">
        <v>1</v>
      </c>
      <c r="M65" s="293">
        <v>2</v>
      </c>
      <c r="N65" s="298">
        <f t="shared" si="2"/>
        <v>0.35859414261160716</v>
      </c>
      <c r="O65" s="446" t="str">
        <f t="shared" si="3"/>
        <v/>
      </c>
      <c r="P65" s="68"/>
    </row>
    <row r="66" spans="1:16">
      <c r="A66" s="34" t="s">
        <v>954</v>
      </c>
      <c r="B66" s="40" t="s">
        <v>967</v>
      </c>
      <c r="C66" s="34" t="s">
        <v>180</v>
      </c>
      <c r="D66" s="40" t="s">
        <v>86</v>
      </c>
      <c r="E66" s="491">
        <f>F187</f>
        <v>0.39319670484919866</v>
      </c>
      <c r="F66" s="418">
        <v>2</v>
      </c>
      <c r="G66" s="34" t="s">
        <v>965</v>
      </c>
      <c r="H66" s="249">
        <v>1</v>
      </c>
      <c r="I66" s="10"/>
      <c r="J66" s="10">
        <v>2</v>
      </c>
      <c r="K66" s="10">
        <v>1</v>
      </c>
      <c r="L66" s="10">
        <v>1</v>
      </c>
      <c r="M66" s="293">
        <v>2</v>
      </c>
      <c r="N66" s="298">
        <f t="shared" si="2"/>
        <v>0.35859414261160716</v>
      </c>
      <c r="O66" s="446" t="str">
        <f t="shared" si="3"/>
        <v/>
      </c>
      <c r="P66" s="68"/>
    </row>
    <row r="67" spans="1:16">
      <c r="A67" s="34" t="s">
        <v>954</v>
      </c>
      <c r="B67" s="40" t="s">
        <v>967</v>
      </c>
      <c r="C67" s="34" t="s">
        <v>182</v>
      </c>
      <c r="D67" s="40" t="s">
        <v>90</v>
      </c>
      <c r="E67" s="216">
        <f>F165</f>
        <v>0.32338771379945241</v>
      </c>
      <c r="F67" s="418">
        <v>2</v>
      </c>
      <c r="G67" s="34" t="s">
        <v>966</v>
      </c>
      <c r="H67" s="249"/>
      <c r="I67" s="10">
        <v>1</v>
      </c>
      <c r="J67" s="66">
        <v>2</v>
      </c>
      <c r="K67" s="10">
        <v>1</v>
      </c>
      <c r="L67" s="10">
        <v>1</v>
      </c>
      <c r="M67" s="293">
        <v>2</v>
      </c>
      <c r="N67" s="298" t="str">
        <f t="shared" si="2"/>
        <v/>
      </c>
      <c r="O67" s="446">
        <f t="shared" si="3"/>
        <v>0.35859414261160716</v>
      </c>
      <c r="P67" s="68"/>
    </row>
    <row r="68" spans="1:16">
      <c r="A68" s="34" t="s">
        <v>954</v>
      </c>
      <c r="B68" s="40" t="s">
        <v>967</v>
      </c>
      <c r="C68" s="34" t="s">
        <v>182</v>
      </c>
      <c r="D68" s="40" t="s">
        <v>88</v>
      </c>
      <c r="E68" s="216">
        <f t="shared" ref="E68:E71" si="5">F166</f>
        <v>1</v>
      </c>
      <c r="F68" s="418">
        <v>2</v>
      </c>
      <c r="G68" s="34" t="s">
        <v>966</v>
      </c>
      <c r="H68" s="249"/>
      <c r="I68" s="10">
        <v>1</v>
      </c>
      <c r="J68" s="66">
        <v>2</v>
      </c>
      <c r="K68" s="10">
        <v>1</v>
      </c>
      <c r="L68" s="10">
        <v>1</v>
      </c>
      <c r="M68" s="293">
        <v>2</v>
      </c>
      <c r="N68" s="298" t="str">
        <f t="shared" si="2"/>
        <v/>
      </c>
      <c r="O68" s="446">
        <f t="shared" si="3"/>
        <v>0.35859414261160716</v>
      </c>
      <c r="P68" s="68"/>
    </row>
    <row r="69" spans="1:16">
      <c r="A69" s="34" t="s">
        <v>954</v>
      </c>
      <c r="B69" s="40" t="s">
        <v>967</v>
      </c>
      <c r="C69" s="34" t="s">
        <v>182</v>
      </c>
      <c r="D69" s="40" t="s">
        <v>87</v>
      </c>
      <c r="E69" s="216">
        <f t="shared" si="5"/>
        <v>1</v>
      </c>
      <c r="F69" s="418">
        <v>2</v>
      </c>
      <c r="G69" s="34" t="s">
        <v>966</v>
      </c>
      <c r="H69" s="249"/>
      <c r="I69" s="10">
        <v>1</v>
      </c>
      <c r="J69" s="66">
        <v>2</v>
      </c>
      <c r="K69" s="10">
        <v>1</v>
      </c>
      <c r="L69" s="10">
        <v>1</v>
      </c>
      <c r="M69" s="293">
        <v>2</v>
      </c>
      <c r="N69" s="298" t="str">
        <f t="shared" si="2"/>
        <v/>
      </c>
      <c r="O69" s="446">
        <f t="shared" si="3"/>
        <v>0.35859414261160716</v>
      </c>
      <c r="P69" s="68"/>
    </row>
    <row r="70" spans="1:16">
      <c r="A70" s="34" t="s">
        <v>954</v>
      </c>
      <c r="B70" s="40" t="s">
        <v>967</v>
      </c>
      <c r="C70" s="34" t="s">
        <v>182</v>
      </c>
      <c r="D70" s="40" t="s">
        <v>85</v>
      </c>
      <c r="E70" s="216">
        <f t="shared" si="5"/>
        <v>9.8069487929673418E-2</v>
      </c>
      <c r="F70" s="418">
        <v>2</v>
      </c>
      <c r="G70" s="34" t="s">
        <v>966</v>
      </c>
      <c r="H70" s="249"/>
      <c r="I70" s="10">
        <v>1</v>
      </c>
      <c r="J70" s="10">
        <v>2</v>
      </c>
      <c r="K70" s="10">
        <v>1</v>
      </c>
      <c r="L70" s="10">
        <v>1</v>
      </c>
      <c r="M70" s="293">
        <v>2</v>
      </c>
      <c r="N70" s="298" t="str">
        <f t="shared" si="2"/>
        <v/>
      </c>
      <c r="O70" s="446">
        <f t="shared" si="3"/>
        <v>0.35859414261160716</v>
      </c>
      <c r="P70" s="68"/>
    </row>
    <row r="71" spans="1:16">
      <c r="A71" s="34" t="s">
        <v>954</v>
      </c>
      <c r="B71" s="40" t="s">
        <v>967</v>
      </c>
      <c r="C71" s="34" t="s">
        <v>182</v>
      </c>
      <c r="D71" s="40" t="s">
        <v>86</v>
      </c>
      <c r="E71" s="216">
        <f t="shared" si="5"/>
        <v>0.6993112144789928</v>
      </c>
      <c r="F71" s="418">
        <v>2</v>
      </c>
      <c r="G71" s="34" t="s">
        <v>966</v>
      </c>
      <c r="H71" s="249"/>
      <c r="I71" s="10">
        <v>1</v>
      </c>
      <c r="J71" s="10">
        <v>2</v>
      </c>
      <c r="K71" s="10">
        <v>1</v>
      </c>
      <c r="L71" s="10">
        <v>1</v>
      </c>
      <c r="M71" s="293">
        <v>2</v>
      </c>
      <c r="N71" s="298" t="str">
        <f t="shared" si="2"/>
        <v/>
      </c>
      <c r="O71" s="446">
        <f t="shared" si="3"/>
        <v>0.35859414261160716</v>
      </c>
      <c r="P71" s="68"/>
    </row>
    <row r="72" spans="1:16">
      <c r="A72" s="60" t="s">
        <v>954</v>
      </c>
      <c r="B72" s="161" t="s">
        <v>968</v>
      </c>
      <c r="C72" s="60" t="s">
        <v>180</v>
      </c>
      <c r="D72" s="161" t="s">
        <v>90</v>
      </c>
      <c r="E72" s="491">
        <f>G183*SUM($E$238:$E$241, $E$236)</f>
        <v>6.3729615065902419E-3</v>
      </c>
      <c r="F72" s="418">
        <v>2</v>
      </c>
      <c r="G72" s="230" t="s">
        <v>965</v>
      </c>
      <c r="H72" s="224">
        <v>1</v>
      </c>
      <c r="I72" s="224"/>
      <c r="J72" s="66">
        <v>2</v>
      </c>
      <c r="K72" s="224">
        <v>1</v>
      </c>
      <c r="L72" s="224">
        <v>1</v>
      </c>
      <c r="M72" s="295">
        <v>2</v>
      </c>
      <c r="N72" s="298">
        <f t="shared" si="2"/>
        <v>0.35859414261160716</v>
      </c>
      <c r="O72" s="446" t="str">
        <f t="shared" si="3"/>
        <v/>
      </c>
      <c r="P72" s="68"/>
    </row>
    <row r="73" spans="1:16">
      <c r="A73" s="34" t="s">
        <v>954</v>
      </c>
      <c r="B73" s="161" t="s">
        <v>968</v>
      </c>
      <c r="C73" s="34" t="s">
        <v>180</v>
      </c>
      <c r="D73" s="40" t="s">
        <v>88</v>
      </c>
      <c r="E73" s="491">
        <f t="shared" ref="E73:E76" si="6">G184*SUM($E$238:$E$241, $E$236)</f>
        <v>0</v>
      </c>
      <c r="F73" s="168">
        <v>2</v>
      </c>
      <c r="G73" s="151" t="s">
        <v>965</v>
      </c>
      <c r="H73" s="224">
        <v>1</v>
      </c>
      <c r="I73" s="224"/>
      <c r="J73" s="66">
        <v>2</v>
      </c>
      <c r="K73" s="224">
        <v>1</v>
      </c>
      <c r="L73" s="224">
        <v>1</v>
      </c>
      <c r="M73" s="295">
        <v>2</v>
      </c>
      <c r="N73" s="298">
        <f t="shared" si="2"/>
        <v>0.35859414261160716</v>
      </c>
      <c r="O73" s="446" t="str">
        <f t="shared" si="3"/>
        <v/>
      </c>
      <c r="P73" s="68"/>
    </row>
    <row r="74" spans="1:16">
      <c r="A74" s="34" t="s">
        <v>954</v>
      </c>
      <c r="B74" s="161" t="s">
        <v>968</v>
      </c>
      <c r="C74" s="34" t="s">
        <v>180</v>
      </c>
      <c r="D74" s="40" t="s">
        <v>87</v>
      </c>
      <c r="E74" s="491">
        <f t="shared" si="6"/>
        <v>0</v>
      </c>
      <c r="F74" s="168">
        <v>2</v>
      </c>
      <c r="G74" s="151" t="s">
        <v>965</v>
      </c>
      <c r="H74" s="224">
        <v>1</v>
      </c>
      <c r="I74" s="224"/>
      <c r="J74" s="66">
        <v>2</v>
      </c>
      <c r="K74" s="224">
        <v>1</v>
      </c>
      <c r="L74" s="224">
        <v>1</v>
      </c>
      <c r="M74" s="295">
        <v>2</v>
      </c>
      <c r="N74" s="298">
        <f t="shared" si="2"/>
        <v>0.35859414261160716</v>
      </c>
      <c r="O74" s="446" t="str">
        <f t="shared" si="3"/>
        <v/>
      </c>
      <c r="P74" s="68"/>
    </row>
    <row r="75" spans="1:16">
      <c r="A75" s="34" t="s">
        <v>954</v>
      </c>
      <c r="B75" s="161" t="s">
        <v>968</v>
      </c>
      <c r="C75" s="34" t="s">
        <v>180</v>
      </c>
      <c r="D75" s="40" t="s">
        <v>85</v>
      </c>
      <c r="E75" s="491">
        <f t="shared" si="6"/>
        <v>1.4190115628548983E-2</v>
      </c>
      <c r="F75" s="168">
        <v>2</v>
      </c>
      <c r="G75" s="151" t="s">
        <v>965</v>
      </c>
      <c r="H75" s="224">
        <v>1</v>
      </c>
      <c r="I75" s="224"/>
      <c r="J75" s="10">
        <v>2</v>
      </c>
      <c r="K75" s="224">
        <v>1</v>
      </c>
      <c r="L75" s="224">
        <v>1</v>
      </c>
      <c r="M75" s="293">
        <v>2</v>
      </c>
      <c r="N75" s="298">
        <f t="shared" si="2"/>
        <v>0.35859414261160716</v>
      </c>
      <c r="O75" s="446" t="str">
        <f t="shared" si="3"/>
        <v/>
      </c>
      <c r="P75" s="68"/>
    </row>
    <row r="76" spans="1:16">
      <c r="A76" s="34" t="s">
        <v>954</v>
      </c>
      <c r="B76" s="161" t="s">
        <v>968</v>
      </c>
      <c r="C76" s="34" t="s">
        <v>180</v>
      </c>
      <c r="D76" s="40" t="s">
        <v>86</v>
      </c>
      <c r="E76" s="491">
        <f t="shared" si="6"/>
        <v>0</v>
      </c>
      <c r="F76" s="168">
        <v>2</v>
      </c>
      <c r="G76" s="151" t="s">
        <v>965</v>
      </c>
      <c r="H76" s="224">
        <v>1</v>
      </c>
      <c r="I76" s="224"/>
      <c r="J76" s="10">
        <v>2</v>
      </c>
      <c r="K76" s="224">
        <v>1</v>
      </c>
      <c r="L76" s="224">
        <v>1</v>
      </c>
      <c r="M76" s="293">
        <v>2</v>
      </c>
      <c r="N76" s="298">
        <f t="shared" si="2"/>
        <v>0.35859414261160716</v>
      </c>
      <c r="O76" s="446" t="str">
        <f t="shared" si="3"/>
        <v/>
      </c>
      <c r="P76" s="68"/>
    </row>
    <row r="77" spans="1:16">
      <c r="A77" s="34" t="s">
        <v>954</v>
      </c>
      <c r="B77" s="161" t="s">
        <v>968</v>
      </c>
      <c r="C77" s="34" t="s">
        <v>182</v>
      </c>
      <c r="D77" s="40" t="s">
        <v>90</v>
      </c>
      <c r="E77" s="491">
        <f>G165*SUM($E$238:$E$241, $E$236)</f>
        <v>9.2661989829646799E-3</v>
      </c>
      <c r="F77" s="168">
        <v>2</v>
      </c>
      <c r="G77" s="151" t="s">
        <v>966</v>
      </c>
      <c r="H77" s="224"/>
      <c r="I77" s="224">
        <v>1</v>
      </c>
      <c r="J77" s="66">
        <v>2</v>
      </c>
      <c r="K77" s="224">
        <v>1</v>
      </c>
      <c r="L77" s="224">
        <v>1</v>
      </c>
      <c r="M77" s="293">
        <v>2</v>
      </c>
      <c r="N77" s="298" t="str">
        <f t="shared" si="2"/>
        <v/>
      </c>
      <c r="O77" s="446">
        <f t="shared" si="3"/>
        <v>0.35859414261160716</v>
      </c>
      <c r="P77" s="68"/>
    </row>
    <row r="78" spans="1:16">
      <c r="A78" s="34" t="s">
        <v>954</v>
      </c>
      <c r="B78" s="161" t="s">
        <v>968</v>
      </c>
      <c r="C78" s="34" t="s">
        <v>182</v>
      </c>
      <c r="D78" s="40" t="s">
        <v>88</v>
      </c>
      <c r="E78" s="491">
        <f t="shared" ref="E78:E81" si="7">G166*SUM($E$238:$E$241, $E$236)</f>
        <v>0</v>
      </c>
      <c r="F78" s="168">
        <v>2</v>
      </c>
      <c r="G78" s="151" t="s">
        <v>966</v>
      </c>
      <c r="H78" s="224"/>
      <c r="I78" s="224">
        <v>1</v>
      </c>
      <c r="J78" s="66">
        <v>2</v>
      </c>
      <c r="K78" s="224">
        <v>1</v>
      </c>
      <c r="L78" s="224">
        <v>1</v>
      </c>
      <c r="M78" s="293">
        <v>2</v>
      </c>
      <c r="N78" s="298" t="str">
        <f t="shared" si="2"/>
        <v/>
      </c>
      <c r="O78" s="446">
        <f t="shared" si="3"/>
        <v>0.35859414261160716</v>
      </c>
      <c r="P78" s="68"/>
    </row>
    <row r="79" spans="1:16">
      <c r="A79" s="34" t="s">
        <v>954</v>
      </c>
      <c r="B79" s="161" t="s">
        <v>968</v>
      </c>
      <c r="C79" s="34" t="s">
        <v>182</v>
      </c>
      <c r="D79" s="40" t="s">
        <v>87</v>
      </c>
      <c r="E79" s="491">
        <f t="shared" si="7"/>
        <v>0</v>
      </c>
      <c r="F79" s="168">
        <v>2</v>
      </c>
      <c r="G79" s="151" t="s">
        <v>966</v>
      </c>
      <c r="H79" s="224"/>
      <c r="I79" s="224">
        <v>1</v>
      </c>
      <c r="J79" s="66">
        <v>2</v>
      </c>
      <c r="K79" s="224">
        <v>1</v>
      </c>
      <c r="L79" s="224">
        <v>1</v>
      </c>
      <c r="M79" s="293">
        <v>2</v>
      </c>
      <c r="N79" s="298" t="str">
        <f t="shared" si="2"/>
        <v/>
      </c>
      <c r="O79" s="446">
        <f t="shared" si="3"/>
        <v>0.35859414261160716</v>
      </c>
      <c r="P79" s="68"/>
    </row>
    <row r="80" spans="1:16">
      <c r="A80" s="34" t="s">
        <v>954</v>
      </c>
      <c r="B80" s="161" t="s">
        <v>968</v>
      </c>
      <c r="C80" s="34" t="s">
        <v>182</v>
      </c>
      <c r="D80" s="40" t="s">
        <v>85</v>
      </c>
      <c r="E80" s="491">
        <f t="shared" si="7"/>
        <v>1.5937522374961335E-2</v>
      </c>
      <c r="F80" s="168">
        <v>2</v>
      </c>
      <c r="G80" s="151" t="s">
        <v>966</v>
      </c>
      <c r="H80" s="224"/>
      <c r="I80" s="224">
        <v>1</v>
      </c>
      <c r="J80" s="10">
        <v>2</v>
      </c>
      <c r="K80" s="224">
        <v>1</v>
      </c>
      <c r="L80" s="224">
        <v>1</v>
      </c>
      <c r="M80" s="293">
        <v>2</v>
      </c>
      <c r="N80" s="298" t="str">
        <f t="shared" si="2"/>
        <v/>
      </c>
      <c r="O80" s="446">
        <f t="shared" si="3"/>
        <v>0.35859414261160716</v>
      </c>
      <c r="P80" s="68"/>
    </row>
    <row r="81" spans="1:16">
      <c r="A81" s="149" t="s">
        <v>954</v>
      </c>
      <c r="B81" s="161" t="s">
        <v>968</v>
      </c>
      <c r="C81" s="34" t="s">
        <v>182</v>
      </c>
      <c r="D81" s="63" t="s">
        <v>86</v>
      </c>
      <c r="E81" s="491">
        <f t="shared" si="7"/>
        <v>0</v>
      </c>
      <c r="F81" s="170">
        <v>2</v>
      </c>
      <c r="G81" s="227" t="s">
        <v>966</v>
      </c>
      <c r="H81" s="224"/>
      <c r="I81" s="224">
        <v>1</v>
      </c>
      <c r="J81" s="10">
        <v>2</v>
      </c>
      <c r="K81" s="224">
        <v>1</v>
      </c>
      <c r="L81" s="224">
        <v>1</v>
      </c>
      <c r="M81" s="293">
        <v>2</v>
      </c>
      <c r="N81" s="298" t="str">
        <f t="shared" si="2"/>
        <v/>
      </c>
      <c r="O81" s="446">
        <f t="shared" si="3"/>
        <v>0.35859414261160716</v>
      </c>
      <c r="P81" s="68"/>
    </row>
    <row r="82" spans="1:16">
      <c r="A82" s="149" t="s">
        <v>954</v>
      </c>
      <c r="B82" s="161" t="s">
        <v>969</v>
      </c>
      <c r="C82" s="60" t="s">
        <v>180</v>
      </c>
      <c r="D82" s="161" t="s">
        <v>90</v>
      </c>
      <c r="E82" s="492">
        <f>E183*SUM($E$250:$E$253, $E$248)</f>
        <v>3.2661809918149924E-2</v>
      </c>
      <c r="F82" s="171">
        <v>2</v>
      </c>
      <c r="G82" s="151" t="s">
        <v>965</v>
      </c>
      <c r="H82" s="224">
        <v>1</v>
      </c>
      <c r="I82" s="224"/>
      <c r="J82" s="66">
        <v>2</v>
      </c>
      <c r="K82" s="224">
        <v>1</v>
      </c>
      <c r="L82" s="224">
        <v>1</v>
      </c>
      <c r="M82" s="295">
        <v>2</v>
      </c>
      <c r="N82" s="298">
        <f t="shared" ref="N82:N86" si="8">IF( OR( ISBLANK(H82),ISBLANK(J82), ISBLANK(K82), ISBLANK(L82), ISBLANK(M82) ), "", 1.5*SQRT(   EXP(2.21*(H82-1)) + EXP(2.21*(J82-1)) + EXP(2.21*(K82-1)) + EXP(2.21*(L82-1)) + EXP(2.21*M82)   )/100*2.45 )</f>
        <v>0.35859414261160716</v>
      </c>
      <c r="O82" s="446" t="str">
        <f t="shared" ref="O82:O86" si="9">IF( OR( ISBLANK(I82),ISBLANK(J82), ISBLANK(K82), ISBLANK(L82), ISBLANK(M82) ), "", 1.5*SQRT( EXP(2.21*(I82-1)) + EXP(2.21*(J82-1)) + EXP(2.21*(K82-1)) + EXP(2.21*(L82-1)) + EXP(2.21*M82)   )/100*2.45 )</f>
        <v/>
      </c>
      <c r="P82" s="68"/>
    </row>
    <row r="83" spans="1:16">
      <c r="A83" s="149" t="s">
        <v>954</v>
      </c>
      <c r="B83" s="161" t="s">
        <v>969</v>
      </c>
      <c r="C83" s="34" t="s">
        <v>180</v>
      </c>
      <c r="D83" s="40" t="s">
        <v>88</v>
      </c>
      <c r="E83" s="491">
        <f t="shared" ref="E83:E86" si="10">E184*SUM($E$250:$E$253, $E$248)</f>
        <v>0</v>
      </c>
      <c r="F83" s="418">
        <v>2</v>
      </c>
      <c r="G83" s="230" t="s">
        <v>965</v>
      </c>
      <c r="H83" s="224">
        <v>1</v>
      </c>
      <c r="I83" s="224"/>
      <c r="J83" s="66">
        <v>2</v>
      </c>
      <c r="K83" s="224">
        <v>1</v>
      </c>
      <c r="L83" s="224">
        <v>1</v>
      </c>
      <c r="M83" s="295">
        <v>2</v>
      </c>
      <c r="N83" s="298">
        <f t="shared" si="8"/>
        <v>0.35859414261160716</v>
      </c>
      <c r="O83" s="446" t="str">
        <f t="shared" si="9"/>
        <v/>
      </c>
      <c r="P83" s="68"/>
    </row>
    <row r="84" spans="1:16">
      <c r="A84" s="149" t="s">
        <v>954</v>
      </c>
      <c r="B84" s="161" t="s">
        <v>969</v>
      </c>
      <c r="C84" s="34" t="s">
        <v>180</v>
      </c>
      <c r="D84" s="40" t="s">
        <v>87</v>
      </c>
      <c r="E84" s="491">
        <f t="shared" si="10"/>
        <v>0</v>
      </c>
      <c r="F84" s="168">
        <v>2</v>
      </c>
      <c r="G84" s="151" t="s">
        <v>965</v>
      </c>
      <c r="H84" s="224">
        <v>1</v>
      </c>
      <c r="I84" s="224"/>
      <c r="J84" s="66">
        <v>2</v>
      </c>
      <c r="K84" s="224">
        <v>1</v>
      </c>
      <c r="L84" s="224">
        <v>1</v>
      </c>
      <c r="M84" s="295">
        <v>2</v>
      </c>
      <c r="N84" s="298">
        <f t="shared" si="8"/>
        <v>0.35859414261160716</v>
      </c>
      <c r="O84" s="446" t="str">
        <f t="shared" si="9"/>
        <v/>
      </c>
      <c r="P84" s="68"/>
    </row>
    <row r="85" spans="1:16">
      <c r="A85" s="149" t="s">
        <v>954</v>
      </c>
      <c r="B85" s="161" t="s">
        <v>969</v>
      </c>
      <c r="C85" s="34" t="s">
        <v>180</v>
      </c>
      <c r="D85" s="40" t="s">
        <v>85</v>
      </c>
      <c r="E85" s="491">
        <f t="shared" si="10"/>
        <v>1.1482925305365051E-2</v>
      </c>
      <c r="F85" s="168">
        <v>2</v>
      </c>
      <c r="G85" s="151" t="s">
        <v>965</v>
      </c>
      <c r="H85" s="224">
        <v>1</v>
      </c>
      <c r="I85" s="224"/>
      <c r="J85" s="10">
        <v>2</v>
      </c>
      <c r="K85" s="224">
        <v>1</v>
      </c>
      <c r="L85" s="224">
        <v>1</v>
      </c>
      <c r="M85" s="293">
        <v>2</v>
      </c>
      <c r="N85" s="298">
        <f t="shared" si="8"/>
        <v>0.35859414261160716</v>
      </c>
      <c r="O85" s="446" t="str">
        <f t="shared" si="9"/>
        <v/>
      </c>
      <c r="P85" s="68"/>
    </row>
    <row r="86" spans="1:16">
      <c r="A86" s="149" t="s">
        <v>954</v>
      </c>
      <c r="B86" s="161" t="s">
        <v>969</v>
      </c>
      <c r="C86" s="34" t="s">
        <v>180</v>
      </c>
      <c r="D86" s="40" t="s">
        <v>86</v>
      </c>
      <c r="E86" s="491">
        <f t="shared" si="10"/>
        <v>4.5067280730850014E-2</v>
      </c>
      <c r="F86" s="168">
        <v>2</v>
      </c>
      <c r="G86" s="151" t="s">
        <v>965</v>
      </c>
      <c r="H86" s="224">
        <v>1</v>
      </c>
      <c r="I86" s="224"/>
      <c r="J86" s="10">
        <v>2</v>
      </c>
      <c r="K86" s="224">
        <v>1</v>
      </c>
      <c r="L86" s="224">
        <v>1</v>
      </c>
      <c r="M86" s="293">
        <v>2</v>
      </c>
      <c r="N86" s="298">
        <f t="shared" si="8"/>
        <v>0.35859414261160716</v>
      </c>
      <c r="O86" s="446" t="str">
        <f t="shared" si="9"/>
        <v/>
      </c>
      <c r="P86" s="68"/>
    </row>
    <row r="87" spans="1:16">
      <c r="A87" s="149" t="s">
        <v>954</v>
      </c>
      <c r="B87" s="161" t="s">
        <v>969</v>
      </c>
      <c r="C87" s="34" t="s">
        <v>182</v>
      </c>
      <c r="D87" s="40" t="s">
        <v>90</v>
      </c>
      <c r="E87" s="491">
        <f>E165*SUM($E$250:$E$253, $E$248)</f>
        <v>1.3425393705826556E-2</v>
      </c>
      <c r="F87" s="168">
        <v>2</v>
      </c>
      <c r="G87" s="151" t="s">
        <v>966</v>
      </c>
      <c r="H87" s="224"/>
      <c r="I87" s="224">
        <v>1</v>
      </c>
      <c r="J87" s="66">
        <v>2</v>
      </c>
      <c r="K87" s="224">
        <v>1</v>
      </c>
      <c r="L87" s="224">
        <v>1</v>
      </c>
      <c r="M87" s="293">
        <v>2</v>
      </c>
      <c r="N87" s="298" t="str">
        <f>IF( OR( ISBLANK(H87),ISBLANK(J87), ISBLANK(K87), ISBLANK(L87), ISBLANK(M87) ), "", 1.5*SQRT(   EXP(2.21*(H87-1)) + EXP(2.21*(J87-1)) + EXP(2.21*(K87-1)) + EXP(2.21*(L87-1)) + EXP(2.21*M87)   )/100*2.45 )</f>
        <v/>
      </c>
      <c r="O87" s="446">
        <f>IF( OR( ISBLANK(I87),ISBLANK(J87), ISBLANK(K87), ISBLANK(L87), ISBLANK(M87) ), "", 1.5*SQRT( EXP(2.21*(I87-1)) + EXP(2.21*(J87-1)) + EXP(2.21*(K87-1)) + EXP(2.21*(L87-1)) + EXP(2.21*M87)   )/100*2.45 )</f>
        <v>0.35859414261160716</v>
      </c>
      <c r="P87" s="68"/>
    </row>
    <row r="88" spans="1:16">
      <c r="A88" s="149" t="s">
        <v>954</v>
      </c>
      <c r="B88" s="161" t="s">
        <v>969</v>
      </c>
      <c r="C88" s="34" t="s">
        <v>182</v>
      </c>
      <c r="D88" s="40" t="s">
        <v>88</v>
      </c>
      <c r="E88" s="491">
        <f t="shared" ref="E88:E91" si="11">E166*SUM($E$250:$E$253, $E$248)</f>
        <v>0</v>
      </c>
      <c r="F88" s="168">
        <v>2</v>
      </c>
      <c r="G88" s="151" t="s">
        <v>966</v>
      </c>
      <c r="H88" s="224"/>
      <c r="I88" s="224">
        <v>1</v>
      </c>
      <c r="J88" s="66">
        <v>2</v>
      </c>
      <c r="K88" s="224">
        <v>1</v>
      </c>
      <c r="L88" s="224">
        <v>1</v>
      </c>
      <c r="M88" s="293">
        <v>2</v>
      </c>
      <c r="N88" s="298" t="str">
        <f>IF( OR( ISBLANK(H88),ISBLANK(J88), ISBLANK(K88), ISBLANK(L88), ISBLANK(M88) ), "", 1.5*SQRT(   EXP(2.21*(H88-1)) + EXP(2.21*(J88-1)) + EXP(2.21*(K88-1)) + EXP(2.21*(L88-1)) + EXP(2.21*M88)   )/100*2.45 )</f>
        <v/>
      </c>
      <c r="O88" s="446">
        <f>IF( OR( ISBLANK(I88),ISBLANK(J88), ISBLANK(K88), ISBLANK(L88), ISBLANK(M88) ), "", 1.5*SQRT( EXP(2.21*(I88-1)) + EXP(2.21*(J88-1)) + EXP(2.21*(K88-1)) + EXP(2.21*(L88-1)) + EXP(2.21*M88)   )/100*2.45 )</f>
        <v>0.35859414261160716</v>
      </c>
      <c r="P88" s="68"/>
    </row>
    <row r="89" spans="1:16">
      <c r="A89" s="149" t="s">
        <v>954</v>
      </c>
      <c r="B89" s="161" t="s">
        <v>969</v>
      </c>
      <c r="C89" s="34" t="s">
        <v>182</v>
      </c>
      <c r="D89" s="40" t="s">
        <v>87</v>
      </c>
      <c r="E89" s="491">
        <f t="shared" si="11"/>
        <v>0</v>
      </c>
      <c r="F89" s="168">
        <v>2</v>
      </c>
      <c r="G89" s="151" t="s">
        <v>966</v>
      </c>
      <c r="H89" s="224"/>
      <c r="I89" s="224">
        <v>1</v>
      </c>
      <c r="J89" s="66">
        <v>2</v>
      </c>
      <c r="K89" s="224">
        <v>1</v>
      </c>
      <c r="L89" s="224">
        <v>1</v>
      </c>
      <c r="M89" s="293">
        <v>2</v>
      </c>
      <c r="N89" s="298" t="str">
        <f>IF( OR( ISBLANK(H89),ISBLANK(J89), ISBLANK(K89), ISBLANK(L89), ISBLANK(M89) ), "", 1.5*SQRT(   EXP(2.21*(H89-1)) + EXP(2.21*(J89-1)) + EXP(2.21*(K89-1)) + EXP(2.21*(L89-1)) + EXP(2.21*M89)   )/100*2.45 )</f>
        <v/>
      </c>
      <c r="O89" s="446">
        <f>IF( OR( ISBLANK(I89),ISBLANK(J89), ISBLANK(K89), ISBLANK(L89), ISBLANK(M89) ), "", 1.5*SQRT( EXP(2.21*(I89-1)) + EXP(2.21*(J89-1)) + EXP(2.21*(K89-1)) + EXP(2.21*(L89-1)) + EXP(2.21*M89)   )/100*2.45 )</f>
        <v>0.35859414261160716</v>
      </c>
      <c r="P89" s="68"/>
    </row>
    <row r="90" spans="1:16">
      <c r="A90" s="149" t="s">
        <v>954</v>
      </c>
      <c r="B90" s="161" t="s">
        <v>969</v>
      </c>
      <c r="C90" s="34" t="s">
        <v>182</v>
      </c>
      <c r="D90" s="40" t="s">
        <v>85</v>
      </c>
      <c r="E90" s="491">
        <f t="shared" si="11"/>
        <v>3.6459765383384255E-3</v>
      </c>
      <c r="F90" s="168">
        <v>2</v>
      </c>
      <c r="G90" s="151" t="s">
        <v>966</v>
      </c>
      <c r="H90" s="224"/>
      <c r="I90" s="224">
        <v>1</v>
      </c>
      <c r="J90" s="10">
        <v>2</v>
      </c>
      <c r="K90" s="224">
        <v>1</v>
      </c>
      <c r="L90" s="224">
        <v>1</v>
      </c>
      <c r="M90" s="293">
        <v>2</v>
      </c>
      <c r="N90" s="298" t="str">
        <f>IF( OR( ISBLANK(H90),ISBLANK(J90), ISBLANK(K90), ISBLANK(L90), ISBLANK(M90) ), "", 1.5*SQRT(   EXP(2.21*(H90-1)) + EXP(2.21*(J90-1)) + EXP(2.21*(K90-1)) + EXP(2.21*(L90-1)) + EXP(2.21*M90)   )/100*2.45 )</f>
        <v/>
      </c>
      <c r="O90" s="446">
        <f>IF( OR( ISBLANK(I90),ISBLANK(J90), ISBLANK(K90), ISBLANK(L90), ISBLANK(M90) ), "", 1.5*SQRT( EXP(2.21*(I90-1)) + EXP(2.21*(J90-1)) + EXP(2.21*(K90-1)) + EXP(2.21*(L90-1)) + EXP(2.21*M90)   )/100*2.45 )</f>
        <v>0.35859414261160716</v>
      </c>
      <c r="P90" s="68"/>
    </row>
    <row r="91" spans="1:16">
      <c r="A91" s="149" t="s">
        <v>954</v>
      </c>
      <c r="B91" s="161" t="s">
        <v>969</v>
      </c>
      <c r="C91" s="34" t="s">
        <v>182</v>
      </c>
      <c r="D91" s="40" t="s">
        <v>86</v>
      </c>
      <c r="E91" s="491">
        <f t="shared" si="11"/>
        <v>2.233215610064521E-2</v>
      </c>
      <c r="F91" s="168">
        <v>2</v>
      </c>
      <c r="G91" s="151" t="s">
        <v>966</v>
      </c>
      <c r="H91" s="224"/>
      <c r="I91" s="224">
        <v>1</v>
      </c>
      <c r="J91" s="10">
        <v>2</v>
      </c>
      <c r="K91" s="224">
        <v>1</v>
      </c>
      <c r="L91" s="224">
        <v>1</v>
      </c>
      <c r="M91" s="293">
        <v>2</v>
      </c>
      <c r="N91" s="298" t="str">
        <f>IF( OR( ISBLANK(H91),ISBLANK(J91), ISBLANK(K91), ISBLANK(L91), ISBLANK(M91) ), "", 1.5*SQRT(   EXP(2.21*(H91-1)) + EXP(2.21*(J91-1)) + EXP(2.21*(K91-1)) + EXP(2.21*(L91-1)) + EXP(2.21*M91)   )/100*2.45 )</f>
        <v/>
      </c>
      <c r="O91" s="446">
        <f>IF( OR( ISBLANK(I91),ISBLANK(J91), ISBLANK(K91), ISBLANK(L91), ISBLANK(M91) ), "", 1.5*SQRT( EXP(2.21*(I91-1)) + EXP(2.21*(J91-1)) + EXP(2.21*(K91-1)) + EXP(2.21*(L91-1)) + EXP(2.21*M91)   )/100*2.45 )</f>
        <v>0.35859414261160716</v>
      </c>
      <c r="P91" s="68"/>
    </row>
    <row r="92" spans="1:16">
      <c r="A92" s="34" t="s">
        <v>954</v>
      </c>
      <c r="B92" s="161" t="s">
        <v>970</v>
      </c>
      <c r="C92" s="60" t="s">
        <v>180</v>
      </c>
      <c r="D92" s="161" t="s">
        <v>90</v>
      </c>
      <c r="E92" s="449">
        <f>G183*$E$237</f>
        <v>6.2695657834368257E-2</v>
      </c>
      <c r="F92" s="418">
        <v>1</v>
      </c>
      <c r="G92" s="230" t="s">
        <v>965</v>
      </c>
      <c r="H92" s="10">
        <v>1</v>
      </c>
      <c r="I92" s="10"/>
      <c r="J92" s="66">
        <v>2</v>
      </c>
      <c r="K92" s="10">
        <v>1</v>
      </c>
      <c r="L92" s="10">
        <v>1</v>
      </c>
      <c r="M92" s="295">
        <v>2</v>
      </c>
      <c r="N92" s="298">
        <f t="shared" ref="N92:N101" si="12">IF( OR( ISBLANK(H92),ISBLANK(J92), ISBLANK(K92), ISBLANK(L92), ISBLANK(M92) ), "", 1.5*SQRT(   EXP(2.21*(H92-1)) + EXP(2.21*(J92-1)) + EXP(2.21*(K92-1)) + EXP(2.21*(L92-1)) + EXP(2.21*M92)   )/100*2.45 )</f>
        <v>0.35859414261160716</v>
      </c>
      <c r="O92" s="446" t="str">
        <f t="shared" ref="O92:O101" si="13">IF( OR( ISBLANK(I92),ISBLANK(J92), ISBLANK(K92), ISBLANK(L92), ISBLANK(M92) ), "", 1.5*SQRT( EXP(2.21*(I92-1)) + EXP(2.21*(J92-1)) + EXP(2.21*(K92-1)) + EXP(2.21*(L92-1)) + EXP(2.21*M92)   )/100*2.45 )</f>
        <v/>
      </c>
      <c r="P92" s="68"/>
    </row>
    <row r="93" spans="1:16">
      <c r="A93" s="34" t="s">
        <v>954</v>
      </c>
      <c r="B93" s="161" t="s">
        <v>970</v>
      </c>
      <c r="C93" s="34" t="s">
        <v>180</v>
      </c>
      <c r="D93" s="40" t="s">
        <v>88</v>
      </c>
      <c r="E93" s="449">
        <f>G184*$E$237</f>
        <v>0</v>
      </c>
      <c r="F93" s="168">
        <v>1</v>
      </c>
      <c r="G93" s="34" t="s">
        <v>965</v>
      </c>
      <c r="H93" s="251">
        <v>1</v>
      </c>
      <c r="I93" s="66"/>
      <c r="J93" s="66">
        <v>2</v>
      </c>
      <c r="K93" s="66">
        <v>1</v>
      </c>
      <c r="L93" s="66">
        <v>1</v>
      </c>
      <c r="M93" s="295">
        <v>2</v>
      </c>
      <c r="N93" s="298">
        <f t="shared" si="12"/>
        <v>0.35859414261160716</v>
      </c>
      <c r="O93" s="446" t="str">
        <f t="shared" si="13"/>
        <v/>
      </c>
      <c r="P93" s="68"/>
    </row>
    <row r="94" spans="1:16">
      <c r="A94" s="34" t="s">
        <v>954</v>
      </c>
      <c r="B94" s="161" t="s">
        <v>970</v>
      </c>
      <c r="C94" s="34" t="s">
        <v>180</v>
      </c>
      <c r="D94" s="40" t="s">
        <v>87</v>
      </c>
      <c r="E94" s="449">
        <f>G185*$E$237</f>
        <v>0</v>
      </c>
      <c r="F94" s="168">
        <v>1</v>
      </c>
      <c r="G94" s="34" t="s">
        <v>965</v>
      </c>
      <c r="H94" s="251">
        <v>1</v>
      </c>
      <c r="I94" s="66"/>
      <c r="J94" s="66">
        <v>2</v>
      </c>
      <c r="K94" s="66">
        <v>1</v>
      </c>
      <c r="L94" s="66">
        <v>1</v>
      </c>
      <c r="M94" s="295">
        <v>2</v>
      </c>
      <c r="N94" s="298">
        <f t="shared" si="12"/>
        <v>0.35859414261160716</v>
      </c>
      <c r="O94" s="446" t="str">
        <f t="shared" si="13"/>
        <v/>
      </c>
      <c r="P94" s="68"/>
    </row>
    <row r="95" spans="1:16">
      <c r="A95" s="34" t="s">
        <v>954</v>
      </c>
      <c r="B95" s="161" t="s">
        <v>970</v>
      </c>
      <c r="C95" s="34" t="s">
        <v>180</v>
      </c>
      <c r="D95" s="40" t="s">
        <v>85</v>
      </c>
      <c r="E95" s="449">
        <f>G186*$E$237</f>
        <v>0.13959893420941549</v>
      </c>
      <c r="F95" s="168">
        <v>1</v>
      </c>
      <c r="G95" s="34" t="s">
        <v>965</v>
      </c>
      <c r="H95" s="251">
        <v>1</v>
      </c>
      <c r="I95" s="66"/>
      <c r="J95" s="10">
        <v>2</v>
      </c>
      <c r="K95" s="66">
        <v>1</v>
      </c>
      <c r="L95" s="66">
        <v>1</v>
      </c>
      <c r="M95" s="293">
        <v>2</v>
      </c>
      <c r="N95" s="298">
        <f t="shared" si="12"/>
        <v>0.35859414261160716</v>
      </c>
      <c r="O95" s="446" t="str">
        <f t="shared" si="13"/>
        <v/>
      </c>
      <c r="P95" s="68"/>
    </row>
    <row r="96" spans="1:16">
      <c r="A96" s="34" t="s">
        <v>954</v>
      </c>
      <c r="B96" s="161" t="s">
        <v>970</v>
      </c>
      <c r="C96" s="34" t="s">
        <v>180</v>
      </c>
      <c r="D96" s="40" t="s">
        <v>86</v>
      </c>
      <c r="E96" s="449">
        <f>G187*$E$237</f>
        <v>0</v>
      </c>
      <c r="F96" s="168">
        <v>1</v>
      </c>
      <c r="G96" s="34" t="s">
        <v>965</v>
      </c>
      <c r="H96" s="251">
        <v>1</v>
      </c>
      <c r="I96" s="66"/>
      <c r="J96" s="10">
        <v>2</v>
      </c>
      <c r="K96" s="66">
        <v>1</v>
      </c>
      <c r="L96" s="66">
        <v>1</v>
      </c>
      <c r="M96" s="293">
        <v>2</v>
      </c>
      <c r="N96" s="298">
        <f t="shared" si="12"/>
        <v>0.35859414261160716</v>
      </c>
      <c r="O96" s="446" t="str">
        <f t="shared" si="13"/>
        <v/>
      </c>
      <c r="P96" s="68"/>
    </row>
    <row r="97" spans="1:16">
      <c r="A97" s="34" t="s">
        <v>954</v>
      </c>
      <c r="B97" s="161" t="s">
        <v>970</v>
      </c>
      <c r="C97" s="34" t="s">
        <v>182</v>
      </c>
      <c r="D97" s="40" t="s">
        <v>90</v>
      </c>
      <c r="E97" s="449">
        <f>G165*$E$237</f>
        <v>9.1158630137710292E-2</v>
      </c>
      <c r="F97" s="168">
        <v>1</v>
      </c>
      <c r="G97" s="34" t="s">
        <v>966</v>
      </c>
      <c r="H97" s="249"/>
      <c r="I97" s="10">
        <v>1</v>
      </c>
      <c r="J97" s="66">
        <v>2</v>
      </c>
      <c r="K97" s="10">
        <v>1</v>
      </c>
      <c r="L97" s="10">
        <v>1</v>
      </c>
      <c r="M97" s="293">
        <v>2</v>
      </c>
      <c r="N97" s="298" t="str">
        <f t="shared" si="12"/>
        <v/>
      </c>
      <c r="O97" s="446">
        <f t="shared" si="13"/>
        <v>0.35859414261160716</v>
      </c>
      <c r="P97" s="68"/>
    </row>
    <row r="98" spans="1:16">
      <c r="A98" s="34" t="s">
        <v>954</v>
      </c>
      <c r="B98" s="161" t="s">
        <v>970</v>
      </c>
      <c r="C98" s="34" t="s">
        <v>182</v>
      </c>
      <c r="D98" s="40" t="s">
        <v>88</v>
      </c>
      <c r="E98" s="449">
        <f>G166*$E$237</f>
        <v>0</v>
      </c>
      <c r="F98" s="168">
        <v>1</v>
      </c>
      <c r="G98" s="34" t="s">
        <v>966</v>
      </c>
      <c r="H98" s="249"/>
      <c r="I98" s="10">
        <v>1</v>
      </c>
      <c r="J98" s="66">
        <v>2</v>
      </c>
      <c r="K98" s="10">
        <v>1</v>
      </c>
      <c r="L98" s="10">
        <v>1</v>
      </c>
      <c r="M98" s="293">
        <v>2</v>
      </c>
      <c r="N98" s="298" t="str">
        <f t="shared" si="12"/>
        <v/>
      </c>
      <c r="O98" s="446">
        <f t="shared" si="13"/>
        <v>0.35859414261160716</v>
      </c>
      <c r="P98" s="68"/>
    </row>
    <row r="99" spans="1:16">
      <c r="A99" s="34" t="s">
        <v>954</v>
      </c>
      <c r="B99" s="161" t="s">
        <v>970</v>
      </c>
      <c r="C99" s="34" t="s">
        <v>182</v>
      </c>
      <c r="D99" s="40" t="s">
        <v>87</v>
      </c>
      <c r="E99" s="449">
        <f>G167*$E$237</f>
        <v>0</v>
      </c>
      <c r="F99" s="168">
        <v>1</v>
      </c>
      <c r="G99" s="34" t="s">
        <v>966</v>
      </c>
      <c r="H99" s="249"/>
      <c r="I99" s="10">
        <v>1</v>
      </c>
      <c r="J99" s="66">
        <v>2</v>
      </c>
      <c r="K99" s="10">
        <v>1</v>
      </c>
      <c r="L99" s="10">
        <v>1</v>
      </c>
      <c r="M99" s="293">
        <v>2</v>
      </c>
      <c r="N99" s="298" t="str">
        <f t="shared" si="12"/>
        <v/>
      </c>
      <c r="O99" s="446">
        <f t="shared" si="13"/>
        <v>0.35859414261160716</v>
      </c>
      <c r="P99" s="68"/>
    </row>
    <row r="100" spans="1:16">
      <c r="A100" s="34" t="s">
        <v>954</v>
      </c>
      <c r="B100" s="161" t="s">
        <v>970</v>
      </c>
      <c r="C100" s="34" t="s">
        <v>182</v>
      </c>
      <c r="D100" s="40" t="s">
        <v>85</v>
      </c>
      <c r="E100" s="449">
        <f>G168*$E$237</f>
        <v>0.15678950022134661</v>
      </c>
      <c r="F100" s="168">
        <v>1</v>
      </c>
      <c r="G100" s="34" t="s">
        <v>966</v>
      </c>
      <c r="H100" s="249"/>
      <c r="I100" s="10">
        <v>1</v>
      </c>
      <c r="J100" s="10">
        <v>2</v>
      </c>
      <c r="K100" s="10">
        <v>1</v>
      </c>
      <c r="L100" s="10">
        <v>1</v>
      </c>
      <c r="M100" s="293">
        <v>2</v>
      </c>
      <c r="N100" s="298" t="str">
        <f t="shared" si="12"/>
        <v/>
      </c>
      <c r="O100" s="446">
        <f t="shared" si="13"/>
        <v>0.35859414261160716</v>
      </c>
      <c r="P100" s="68"/>
    </row>
    <row r="101" spans="1:16">
      <c r="A101" s="149" t="s">
        <v>954</v>
      </c>
      <c r="B101" s="7" t="s">
        <v>970</v>
      </c>
      <c r="C101" s="149" t="s">
        <v>182</v>
      </c>
      <c r="D101" s="153" t="s">
        <v>86</v>
      </c>
      <c r="E101" s="449">
        <f>G169*$E$237</f>
        <v>0</v>
      </c>
      <c r="F101" s="170">
        <v>1</v>
      </c>
      <c r="G101" s="149" t="s">
        <v>966</v>
      </c>
      <c r="H101" s="248"/>
      <c r="I101" s="10">
        <v>1</v>
      </c>
      <c r="J101" s="10">
        <v>2</v>
      </c>
      <c r="K101" s="10">
        <v>1</v>
      </c>
      <c r="L101" s="10">
        <v>1</v>
      </c>
      <c r="M101" s="293">
        <v>2</v>
      </c>
      <c r="N101" s="298" t="str">
        <f t="shared" si="12"/>
        <v/>
      </c>
      <c r="O101" s="446">
        <f t="shared" si="13"/>
        <v>0.35859414261160716</v>
      </c>
      <c r="P101" s="68"/>
    </row>
    <row r="102" spans="1:16">
      <c r="A102" s="34" t="s">
        <v>954</v>
      </c>
      <c r="B102" s="40" t="s">
        <v>971</v>
      </c>
      <c r="C102" s="34" t="s">
        <v>180</v>
      </c>
      <c r="D102" s="40" t="s">
        <v>90</v>
      </c>
      <c r="E102" s="237">
        <f>D183</f>
        <v>0.27195768865502412</v>
      </c>
      <c r="F102" s="168">
        <v>1</v>
      </c>
      <c r="G102" s="34" t="s">
        <v>965</v>
      </c>
      <c r="H102" s="249">
        <v>1</v>
      </c>
      <c r="I102" s="10"/>
      <c r="J102" s="66">
        <v>2</v>
      </c>
      <c r="K102" s="10">
        <v>1</v>
      </c>
      <c r="L102" s="10">
        <v>1</v>
      </c>
      <c r="M102" s="295">
        <v>2</v>
      </c>
      <c r="N102" s="298">
        <f t="shared" ref="N102:N111" si="14">IF( OR( ISBLANK(H102),ISBLANK(J102), ISBLANK(K102), ISBLANK(L102), ISBLANK(M102) ), "", 1.5*SQRT(   EXP(2.21*(H102-1)) + EXP(2.21*(J102-1)) + EXP(2.21*(K102-1)) + EXP(2.21*(L102-1)) + EXP(2.21*M102)   )/100*2.45 )</f>
        <v>0.35859414261160716</v>
      </c>
      <c r="O102" s="446" t="str">
        <f t="shared" ref="O102:O111" si="15">IF( OR( ISBLANK(I102),ISBLANK(J102), ISBLANK(K102), ISBLANK(L102), ISBLANK(M102) ), "", 1.5*SQRT( EXP(2.21*(I102-1)) + EXP(2.21*(J102-1)) + EXP(2.21*(K102-1)) + EXP(2.21*(L102-1)) + EXP(2.21*M102)   )/100*2.45 )</f>
        <v/>
      </c>
      <c r="P102" s="68"/>
    </row>
    <row r="103" spans="1:16">
      <c r="A103" s="34" t="s">
        <v>954</v>
      </c>
      <c r="B103" s="161" t="s">
        <v>971</v>
      </c>
      <c r="C103" s="34" t="s">
        <v>180</v>
      </c>
      <c r="D103" s="40" t="s">
        <v>88</v>
      </c>
      <c r="E103" s="237">
        <f>D184</f>
        <v>0</v>
      </c>
      <c r="F103" s="168">
        <v>1</v>
      </c>
      <c r="G103" s="34" t="s">
        <v>965</v>
      </c>
      <c r="H103" s="249">
        <v>1</v>
      </c>
      <c r="I103" s="10"/>
      <c r="J103" s="66">
        <v>2</v>
      </c>
      <c r="K103" s="10">
        <v>1</v>
      </c>
      <c r="L103" s="10">
        <v>1</v>
      </c>
      <c r="M103" s="295">
        <v>2</v>
      </c>
      <c r="N103" s="298">
        <f t="shared" si="14"/>
        <v>0.35859414261160716</v>
      </c>
      <c r="O103" s="446" t="str">
        <f t="shared" si="15"/>
        <v/>
      </c>
      <c r="P103" s="68"/>
    </row>
    <row r="104" spans="1:16">
      <c r="A104" s="34" t="s">
        <v>954</v>
      </c>
      <c r="B104" s="161" t="s">
        <v>971</v>
      </c>
      <c r="C104" s="34" t="s">
        <v>180</v>
      </c>
      <c r="D104" s="40" t="s">
        <v>87</v>
      </c>
      <c r="E104" s="237">
        <f>D185</f>
        <v>0</v>
      </c>
      <c r="F104" s="168">
        <v>1</v>
      </c>
      <c r="G104" s="34" t="s">
        <v>965</v>
      </c>
      <c r="H104" s="249">
        <v>1</v>
      </c>
      <c r="I104" s="10"/>
      <c r="J104" s="66">
        <v>2</v>
      </c>
      <c r="K104" s="10">
        <v>1</v>
      </c>
      <c r="L104" s="10">
        <v>1</v>
      </c>
      <c r="M104" s="295">
        <v>2</v>
      </c>
      <c r="N104" s="298">
        <f t="shared" si="14"/>
        <v>0.35859414261160716</v>
      </c>
      <c r="O104" s="446" t="str">
        <f t="shared" si="15"/>
        <v/>
      </c>
      <c r="P104" s="68"/>
    </row>
    <row r="105" spans="1:16">
      <c r="A105" s="34" t="s">
        <v>954</v>
      </c>
      <c r="B105" s="161" t="s">
        <v>971</v>
      </c>
      <c r="C105" s="34" t="s">
        <v>180</v>
      </c>
      <c r="D105" s="40" t="s">
        <v>85</v>
      </c>
      <c r="E105" s="237">
        <f>D186</f>
        <v>0.60554438373698527</v>
      </c>
      <c r="F105" s="168">
        <v>1</v>
      </c>
      <c r="G105" s="34" t="s">
        <v>965</v>
      </c>
      <c r="H105" s="249">
        <v>1</v>
      </c>
      <c r="I105" s="10"/>
      <c r="J105" s="10">
        <v>2</v>
      </c>
      <c r="K105" s="10">
        <v>1</v>
      </c>
      <c r="L105" s="10">
        <v>1</v>
      </c>
      <c r="M105" s="293">
        <v>2</v>
      </c>
      <c r="N105" s="298">
        <f t="shared" si="14"/>
        <v>0.35859414261160716</v>
      </c>
      <c r="O105" s="446" t="str">
        <f t="shared" si="15"/>
        <v/>
      </c>
      <c r="P105" s="68"/>
    </row>
    <row r="106" spans="1:16">
      <c r="A106" s="34" t="s">
        <v>954</v>
      </c>
      <c r="B106" s="161" t="s">
        <v>971</v>
      </c>
      <c r="C106" s="34" t="s">
        <v>180</v>
      </c>
      <c r="D106" s="40" t="s">
        <v>86</v>
      </c>
      <c r="E106" s="237">
        <f>D187</f>
        <v>0</v>
      </c>
      <c r="F106" s="168">
        <v>1</v>
      </c>
      <c r="G106" s="34" t="s">
        <v>965</v>
      </c>
      <c r="H106" s="249">
        <v>1</v>
      </c>
      <c r="I106" s="10"/>
      <c r="J106" s="10">
        <v>2</v>
      </c>
      <c r="K106" s="10">
        <v>1</v>
      </c>
      <c r="L106" s="10">
        <v>1</v>
      </c>
      <c r="M106" s="293">
        <v>2</v>
      </c>
      <c r="N106" s="298">
        <f t="shared" si="14"/>
        <v>0.35859414261160716</v>
      </c>
      <c r="O106" s="446" t="str">
        <f t="shared" si="15"/>
        <v/>
      </c>
      <c r="P106" s="68"/>
    </row>
    <row r="107" spans="1:16">
      <c r="A107" s="34" t="s">
        <v>954</v>
      </c>
      <c r="B107" s="161" t="s">
        <v>971</v>
      </c>
      <c r="C107" s="34" t="s">
        <v>182</v>
      </c>
      <c r="D107" s="40" t="s">
        <v>90</v>
      </c>
      <c r="E107" s="237">
        <f>D165</f>
        <v>0.39542276466265769</v>
      </c>
      <c r="F107" s="168">
        <v>1</v>
      </c>
      <c r="G107" s="34" t="s">
        <v>966</v>
      </c>
      <c r="H107" s="249"/>
      <c r="I107" s="10">
        <v>1</v>
      </c>
      <c r="J107" s="66">
        <v>2</v>
      </c>
      <c r="K107" s="10">
        <v>1</v>
      </c>
      <c r="L107" s="10">
        <v>1</v>
      </c>
      <c r="M107" s="293">
        <v>2</v>
      </c>
      <c r="N107" s="298" t="str">
        <f t="shared" si="14"/>
        <v/>
      </c>
      <c r="O107" s="446">
        <f t="shared" si="15"/>
        <v>0.35859414261160716</v>
      </c>
      <c r="P107" s="68"/>
    </row>
    <row r="108" spans="1:16">
      <c r="A108" s="34" t="s">
        <v>954</v>
      </c>
      <c r="B108" s="161" t="s">
        <v>971</v>
      </c>
      <c r="C108" s="34" t="s">
        <v>182</v>
      </c>
      <c r="D108" s="40" t="s">
        <v>88</v>
      </c>
      <c r="E108" s="237">
        <f t="shared" ref="E108:E111" si="16">D166</f>
        <v>0</v>
      </c>
      <c r="F108" s="168">
        <v>1</v>
      </c>
      <c r="G108" s="34" t="s">
        <v>966</v>
      </c>
      <c r="H108" s="249"/>
      <c r="I108" s="10">
        <v>1</v>
      </c>
      <c r="J108" s="66">
        <v>2</v>
      </c>
      <c r="K108" s="10">
        <v>1</v>
      </c>
      <c r="L108" s="10">
        <v>1</v>
      </c>
      <c r="M108" s="293">
        <v>2</v>
      </c>
      <c r="N108" s="298" t="str">
        <f t="shared" si="14"/>
        <v/>
      </c>
      <c r="O108" s="446">
        <f t="shared" si="15"/>
        <v>0.35859414261160716</v>
      </c>
      <c r="P108" s="68"/>
    </row>
    <row r="109" spans="1:16">
      <c r="A109" s="34" t="s">
        <v>954</v>
      </c>
      <c r="B109" s="161" t="s">
        <v>971</v>
      </c>
      <c r="C109" s="34" t="s">
        <v>182</v>
      </c>
      <c r="D109" s="40" t="s">
        <v>87</v>
      </c>
      <c r="E109" s="237">
        <f t="shared" si="16"/>
        <v>0</v>
      </c>
      <c r="F109" s="168">
        <v>1</v>
      </c>
      <c r="G109" s="34" t="s">
        <v>966</v>
      </c>
      <c r="H109" s="249"/>
      <c r="I109" s="10">
        <v>1</v>
      </c>
      <c r="J109" s="66">
        <v>2</v>
      </c>
      <c r="K109" s="10">
        <v>1</v>
      </c>
      <c r="L109" s="10">
        <v>1</v>
      </c>
      <c r="M109" s="293">
        <v>2</v>
      </c>
      <c r="N109" s="298" t="str">
        <f t="shared" si="14"/>
        <v/>
      </c>
      <c r="O109" s="446">
        <f t="shared" si="15"/>
        <v>0.35859414261160716</v>
      </c>
      <c r="P109" s="68"/>
    </row>
    <row r="110" spans="1:16">
      <c r="A110" s="34" t="s">
        <v>954</v>
      </c>
      <c r="B110" s="161" t="s">
        <v>971</v>
      </c>
      <c r="C110" s="34" t="s">
        <v>182</v>
      </c>
      <c r="D110" s="40" t="s">
        <v>85</v>
      </c>
      <c r="E110" s="237">
        <f t="shared" si="16"/>
        <v>0.68011265147296251</v>
      </c>
      <c r="F110" s="168">
        <v>1</v>
      </c>
      <c r="G110" s="34" t="s">
        <v>966</v>
      </c>
      <c r="H110" s="249"/>
      <c r="I110" s="10">
        <v>1</v>
      </c>
      <c r="J110" s="10">
        <v>2</v>
      </c>
      <c r="K110" s="10">
        <v>1</v>
      </c>
      <c r="L110" s="10">
        <v>1</v>
      </c>
      <c r="M110" s="293">
        <v>2</v>
      </c>
      <c r="N110" s="298" t="str">
        <f t="shared" si="14"/>
        <v/>
      </c>
      <c r="O110" s="446">
        <f t="shared" si="15"/>
        <v>0.35859414261160716</v>
      </c>
      <c r="P110" s="68"/>
    </row>
    <row r="111" spans="1:16" ht="15.75" thickBot="1">
      <c r="A111" s="35" t="s">
        <v>954</v>
      </c>
      <c r="B111" s="161" t="s">
        <v>971</v>
      </c>
      <c r="C111" s="35" t="s">
        <v>182</v>
      </c>
      <c r="D111" s="153" t="s">
        <v>86</v>
      </c>
      <c r="E111" s="237">
        <f t="shared" si="16"/>
        <v>0</v>
      </c>
      <c r="F111" s="170">
        <v>1</v>
      </c>
      <c r="G111" s="149" t="s">
        <v>966</v>
      </c>
      <c r="H111" s="248"/>
      <c r="I111" s="10">
        <v>1</v>
      </c>
      <c r="J111" s="10">
        <v>2</v>
      </c>
      <c r="K111" s="10">
        <v>1</v>
      </c>
      <c r="L111" s="10">
        <v>1</v>
      </c>
      <c r="M111" s="293">
        <v>2</v>
      </c>
      <c r="N111" s="298" t="str">
        <f t="shared" si="14"/>
        <v/>
      </c>
      <c r="O111" s="446">
        <f t="shared" si="15"/>
        <v>0.35859414261160716</v>
      </c>
      <c r="P111" s="68"/>
    </row>
    <row r="112" spans="1:16">
      <c r="A112" s="33" t="s">
        <v>971</v>
      </c>
      <c r="B112" s="319" t="str">
        <f>B236</f>
        <v>Dumping</v>
      </c>
      <c r="C112" s="95" t="str">
        <f>C236</f>
        <v>any</v>
      </c>
      <c r="D112" s="319" t="str">
        <f>D236</f>
        <v>any</v>
      </c>
      <c r="E112" s="450">
        <f>E236</f>
        <v>2.7E-4</v>
      </c>
      <c r="F112" s="453">
        <f>F236</f>
        <v>2</v>
      </c>
      <c r="G112" s="33" t="s">
        <v>972</v>
      </c>
      <c r="H112" s="250">
        <v>2</v>
      </c>
      <c r="I112" s="13">
        <v>2</v>
      </c>
      <c r="J112" s="13">
        <v>2</v>
      </c>
      <c r="K112" s="13">
        <v>3</v>
      </c>
      <c r="L112" s="13">
        <v>3</v>
      </c>
      <c r="M112" s="292">
        <v>3</v>
      </c>
      <c r="N112" s="298">
        <f t="shared" ref="N112:N135" si="17">IF( OR( ISBLANK(H112),ISBLANK(J112), ISBLANK(K112), ISBLANK(L112), ISBLANK(M112) ), "", 1.5*SQRT(   EXP(2.21*(H112-1)) + EXP(2.21*(J112-1)) + EXP(2.21*(K112-1)) + EXP(2.21*(L112-1)) + EXP(2.21*M112)   )/100*2.45 )</f>
        <v>1.1278755061256258</v>
      </c>
      <c r="O112" s="446">
        <f t="shared" ref="O112:O135" si="18">IF( OR( ISBLANK(I112),ISBLANK(J112), ISBLANK(K112), ISBLANK(L112), ISBLANK(M112) ), "", 1.5*SQRT( EXP(2.21*(I112-1)) + EXP(2.21*(J112-1)) + EXP(2.21*(K112-1)) + EXP(2.21*(L112-1)) + EXP(2.21*M112)   )/100*2.45 )</f>
        <v>1.1278755061256258</v>
      </c>
      <c r="P112" s="68"/>
    </row>
    <row r="113" spans="1:32">
      <c r="A113" s="34" t="s">
        <v>971</v>
      </c>
      <c r="B113" s="307" t="str">
        <f t="shared" ref="B113:D123" si="19">B237</f>
        <v>Agricultural waste collection</v>
      </c>
      <c r="C113" s="68" t="str">
        <f t="shared" si="19"/>
        <v>any</v>
      </c>
      <c r="D113" s="307" t="str">
        <f t="shared" si="19"/>
        <v>any</v>
      </c>
      <c r="E113" s="451" t="s">
        <v>150</v>
      </c>
      <c r="F113" s="454">
        <f t="shared" ref="F113:F123" si="20">F237</f>
        <v>1</v>
      </c>
      <c r="G113" s="68"/>
      <c r="H113" s="249"/>
      <c r="I113" s="10"/>
      <c r="J113" s="10"/>
      <c r="K113" s="10"/>
      <c r="L113" s="10"/>
      <c r="M113" s="293"/>
      <c r="N113" s="298" t="str">
        <f t="shared" si="17"/>
        <v/>
      </c>
      <c r="O113" s="446" t="str">
        <f t="shared" si="18"/>
        <v/>
      </c>
      <c r="P113" s="68"/>
    </row>
    <row r="114" spans="1:32">
      <c r="A114" s="34" t="s">
        <v>971</v>
      </c>
      <c r="B114" s="307" t="str">
        <f t="shared" si="19"/>
        <v>Agricultural soil (micro)</v>
      </c>
      <c r="C114" s="68" t="str">
        <f t="shared" si="19"/>
        <v>any</v>
      </c>
      <c r="D114" s="307" t="str">
        <f t="shared" si="19"/>
        <v>any</v>
      </c>
      <c r="E114" s="451">
        <f t="shared" ref="E114:E123" si="21">E238</f>
        <v>0.02</v>
      </c>
      <c r="F114" s="454">
        <f t="shared" si="20"/>
        <v>2</v>
      </c>
      <c r="G114" s="68" t="str">
        <f>G238</f>
        <v>Assumption by Kawecki and Nowack (explained on page 38 of the SI)</v>
      </c>
      <c r="H114" s="249">
        <v>2</v>
      </c>
      <c r="I114" s="10">
        <v>2</v>
      </c>
      <c r="J114" s="10">
        <v>2</v>
      </c>
      <c r="K114" s="10">
        <v>1</v>
      </c>
      <c r="L114" s="10">
        <v>1</v>
      </c>
      <c r="M114" s="293">
        <v>3</v>
      </c>
      <c r="N114" s="298">
        <f t="shared" si="17"/>
        <v>1.0248662490928169</v>
      </c>
      <c r="O114" s="446">
        <f t="shared" si="18"/>
        <v>1.0248662490928169</v>
      </c>
      <c r="P114" s="34" t="s">
        <v>973</v>
      </c>
    </row>
    <row r="115" spans="1:32">
      <c r="A115" s="34" t="s">
        <v>971</v>
      </c>
      <c r="B115" s="307" t="str">
        <f t="shared" si="19"/>
        <v>Agricultural soil (macro)</v>
      </c>
      <c r="C115" s="68" t="str">
        <f t="shared" si="19"/>
        <v>any</v>
      </c>
      <c r="D115" s="307" t="str">
        <f t="shared" si="19"/>
        <v>any</v>
      </c>
      <c r="E115" s="451">
        <f t="shared" si="21"/>
        <v>0</v>
      </c>
      <c r="F115" s="454">
        <f t="shared" si="20"/>
        <v>2</v>
      </c>
      <c r="G115" s="68" t="str">
        <f>G239</f>
        <v>Best case scenario</v>
      </c>
      <c r="H115" s="249"/>
      <c r="I115" s="10"/>
      <c r="J115" s="10"/>
      <c r="K115" s="10"/>
      <c r="L115" s="10"/>
      <c r="M115" s="293"/>
      <c r="N115" s="298" t="str">
        <f t="shared" si="17"/>
        <v/>
      </c>
      <c r="O115" s="446" t="str">
        <f t="shared" si="18"/>
        <v/>
      </c>
      <c r="P115" s="68"/>
    </row>
    <row r="116" spans="1:32">
      <c r="A116" s="34" t="s">
        <v>971</v>
      </c>
      <c r="B116" s="307" t="str">
        <f t="shared" si="19"/>
        <v>Agricultural soil (macro)</v>
      </c>
      <c r="C116" s="68" t="str">
        <f t="shared" si="19"/>
        <v>any</v>
      </c>
      <c r="D116" s="307" t="str">
        <f t="shared" si="19"/>
        <v>any</v>
      </c>
      <c r="E116" s="451">
        <f t="shared" si="21"/>
        <v>3.6999999999999998E-2</v>
      </c>
      <c r="F116" s="454">
        <f t="shared" si="20"/>
        <v>2</v>
      </c>
      <c r="G116" s="68" t="str">
        <f>G240</f>
        <v>Based on Agreste. Chiffres-Clés : 61 Hectares En Moyenne Par Exploitation; 2017</v>
      </c>
      <c r="H116" s="249">
        <v>2</v>
      </c>
      <c r="I116" s="10">
        <v>2</v>
      </c>
      <c r="J116" s="10">
        <v>2</v>
      </c>
      <c r="K116" s="10">
        <v>1</v>
      </c>
      <c r="L116" s="10">
        <v>1</v>
      </c>
      <c r="M116" s="293">
        <v>3</v>
      </c>
      <c r="N116" s="298">
        <f t="shared" si="17"/>
        <v>1.0248662490928169</v>
      </c>
      <c r="O116" s="446">
        <f t="shared" si="18"/>
        <v>1.0248662490928169</v>
      </c>
      <c r="P116" s="68"/>
    </row>
    <row r="117" spans="1:32" ht="15.75" thickBot="1">
      <c r="A117" s="149" t="s">
        <v>971</v>
      </c>
      <c r="B117" s="322" t="str">
        <f t="shared" si="19"/>
        <v>Collected organic waste</v>
      </c>
      <c r="C117" s="323" t="str">
        <f t="shared" si="19"/>
        <v>any</v>
      </c>
      <c r="D117" s="322" t="str">
        <f t="shared" si="19"/>
        <v>any</v>
      </c>
      <c r="E117" s="452">
        <f t="shared" si="21"/>
        <v>3.5000000000000003E-2</v>
      </c>
      <c r="F117" s="432">
        <f t="shared" si="20"/>
        <v>2</v>
      </c>
      <c r="G117" s="323" t="str">
        <f>G241</f>
        <v>See calculation in Compost sheet</v>
      </c>
      <c r="H117" s="444">
        <v>1</v>
      </c>
      <c r="I117" s="430">
        <v>2</v>
      </c>
      <c r="J117" s="430">
        <v>3</v>
      </c>
      <c r="K117" s="430">
        <v>3</v>
      </c>
      <c r="L117" s="430">
        <v>3</v>
      </c>
      <c r="M117" s="456">
        <v>2</v>
      </c>
      <c r="N117" s="298">
        <f t="shared" si="17"/>
        <v>0.67101227267249941</v>
      </c>
      <c r="O117" s="446">
        <f t="shared" si="18"/>
        <v>0.67913051197703389</v>
      </c>
      <c r="P117" s="68"/>
    </row>
    <row r="118" spans="1:32">
      <c r="A118" s="95" t="str">
        <f t="shared" ref="A118:A123" si="22">A242</f>
        <v>Agricultural other</v>
      </c>
      <c r="B118" s="319" t="str">
        <f t="shared" si="19"/>
        <v>Dumping</v>
      </c>
      <c r="C118" s="95" t="str">
        <f t="shared" si="19"/>
        <v>any</v>
      </c>
      <c r="D118" s="319" t="str">
        <f t="shared" si="19"/>
        <v>any</v>
      </c>
      <c r="E118" s="450">
        <f t="shared" si="21"/>
        <v>2.7E-4</v>
      </c>
      <c r="F118" s="453">
        <f t="shared" si="20"/>
        <v>2</v>
      </c>
      <c r="G118" s="33" t="s">
        <v>972</v>
      </c>
      <c r="H118" s="250">
        <v>2</v>
      </c>
      <c r="I118" s="13">
        <v>2</v>
      </c>
      <c r="J118" s="13">
        <v>2</v>
      </c>
      <c r="K118" s="13">
        <v>3</v>
      </c>
      <c r="L118" s="13">
        <v>3</v>
      </c>
      <c r="M118" s="292">
        <v>3</v>
      </c>
      <c r="N118" s="298">
        <f t="shared" si="17"/>
        <v>1.1278755061256258</v>
      </c>
      <c r="O118" s="446">
        <f t="shared" si="18"/>
        <v>1.1278755061256258</v>
      </c>
      <c r="P118" s="68"/>
    </row>
    <row r="119" spans="1:32">
      <c r="A119" s="68" t="str">
        <f t="shared" si="22"/>
        <v>Agricultural other</v>
      </c>
      <c r="B119" s="307" t="str">
        <f t="shared" si="19"/>
        <v>Agricultural waste collection</v>
      </c>
      <c r="C119" s="68" t="str">
        <f t="shared" si="19"/>
        <v>any</v>
      </c>
      <c r="D119" s="307" t="str">
        <f t="shared" si="19"/>
        <v>any</v>
      </c>
      <c r="E119" s="451" t="str">
        <f t="shared" si="21"/>
        <v>rest</v>
      </c>
      <c r="F119" s="454">
        <f t="shared" si="20"/>
        <v>1</v>
      </c>
      <c r="G119" s="68"/>
      <c r="H119" s="249"/>
      <c r="I119" s="10"/>
      <c r="J119" s="10"/>
      <c r="K119" s="10"/>
      <c r="L119" s="10"/>
      <c r="M119" s="293"/>
      <c r="N119" s="298" t="str">
        <f t="shared" si="17"/>
        <v/>
      </c>
      <c r="O119" s="446" t="str">
        <f t="shared" si="18"/>
        <v/>
      </c>
      <c r="P119" s="68"/>
    </row>
    <row r="120" spans="1:32">
      <c r="A120" s="68" t="str">
        <f t="shared" si="22"/>
        <v>Agricultural other</v>
      </c>
      <c r="B120" s="307" t="str">
        <f t="shared" si="19"/>
        <v>Agricultural soil (micro)</v>
      </c>
      <c r="C120" s="68" t="str">
        <f t="shared" si="19"/>
        <v>any</v>
      </c>
      <c r="D120" s="307" t="str">
        <f t="shared" si="19"/>
        <v>any</v>
      </c>
      <c r="E120" s="451">
        <f t="shared" si="21"/>
        <v>1E-3</v>
      </c>
      <c r="F120" s="454">
        <f t="shared" si="20"/>
        <v>2</v>
      </c>
      <c r="G120" s="68" t="str">
        <f>G244</f>
        <v>Assumption</v>
      </c>
      <c r="H120" s="249">
        <v>1</v>
      </c>
      <c r="I120" s="10">
        <v>1</v>
      </c>
      <c r="J120" s="10">
        <v>1</v>
      </c>
      <c r="K120" s="10">
        <v>1</v>
      </c>
      <c r="L120" s="10">
        <v>1</v>
      </c>
      <c r="M120" s="293">
        <v>3</v>
      </c>
      <c r="N120" s="298">
        <f t="shared" si="17"/>
        <v>1.0141150152164344</v>
      </c>
      <c r="O120" s="446">
        <f t="shared" si="18"/>
        <v>1.0141150152164344</v>
      </c>
      <c r="P120" s="68"/>
    </row>
    <row r="121" spans="1:32">
      <c r="A121" s="68" t="str">
        <f t="shared" si="22"/>
        <v>Agricultural other</v>
      </c>
      <c r="B121" s="307" t="str">
        <f t="shared" si="19"/>
        <v>Agricultural soil (macro)</v>
      </c>
      <c r="C121" s="68" t="str">
        <f t="shared" si="19"/>
        <v>any</v>
      </c>
      <c r="D121" s="307" t="str">
        <f t="shared" si="19"/>
        <v>any</v>
      </c>
      <c r="E121" s="451">
        <f t="shared" si="21"/>
        <v>0</v>
      </c>
      <c r="F121" s="454">
        <f t="shared" si="20"/>
        <v>2</v>
      </c>
      <c r="G121" s="68" t="str">
        <f>G245</f>
        <v>Best case scenario</v>
      </c>
      <c r="H121" s="249"/>
      <c r="I121" s="10"/>
      <c r="J121" s="10"/>
      <c r="K121" s="10"/>
      <c r="L121" s="10"/>
      <c r="M121" s="293"/>
      <c r="N121" s="298" t="str">
        <f t="shared" si="17"/>
        <v/>
      </c>
      <c r="O121" s="446" t="str">
        <f t="shared" si="18"/>
        <v/>
      </c>
      <c r="P121" s="68"/>
    </row>
    <row r="122" spans="1:32">
      <c r="A122" s="68" t="str">
        <f t="shared" si="22"/>
        <v>Agricultural other</v>
      </c>
      <c r="B122" s="307" t="str">
        <f t="shared" si="19"/>
        <v>Agricultural soil (macro)</v>
      </c>
      <c r="C122" s="68" t="str">
        <f t="shared" si="19"/>
        <v>any</v>
      </c>
      <c r="D122" s="307" t="str">
        <f t="shared" si="19"/>
        <v>any</v>
      </c>
      <c r="E122" s="451">
        <f t="shared" si="21"/>
        <v>3.7999999999999999E-2</v>
      </c>
      <c r="F122" s="454">
        <f t="shared" si="20"/>
        <v>2</v>
      </c>
      <c r="G122" s="68" t="str">
        <f>G246</f>
        <v>Based on Agreste. Chiffres-Clés : 61 Hectares En Moyenne Par Exploitation; 2017</v>
      </c>
      <c r="H122" s="249">
        <v>2</v>
      </c>
      <c r="I122" s="10">
        <v>2</v>
      </c>
      <c r="J122" s="10">
        <v>2</v>
      </c>
      <c r="K122" s="10">
        <v>1</v>
      </c>
      <c r="L122" s="10">
        <v>1</v>
      </c>
      <c r="M122" s="293">
        <v>3</v>
      </c>
      <c r="N122" s="298">
        <f t="shared" si="17"/>
        <v>1.0248662490928169</v>
      </c>
      <c r="O122" s="446">
        <f t="shared" si="18"/>
        <v>1.0248662490928169</v>
      </c>
      <c r="P122" s="68"/>
      <c r="X122" s="223"/>
      <c r="Y122" s="223"/>
      <c r="AA122" s="223"/>
      <c r="AB122" s="223"/>
      <c r="AC122" s="218"/>
      <c r="AD122" s="218"/>
      <c r="AE122" s="223"/>
      <c r="AF122" s="218"/>
    </row>
    <row r="123" spans="1:32" ht="15.75" thickBot="1">
      <c r="A123" s="323" t="str">
        <f t="shared" si="22"/>
        <v>Agricultural other</v>
      </c>
      <c r="B123" s="322" t="str">
        <f t="shared" si="19"/>
        <v>Collected organic waste</v>
      </c>
      <c r="C123" s="323" t="str">
        <f t="shared" si="19"/>
        <v>any</v>
      </c>
      <c r="D123" s="322" t="str">
        <f t="shared" si="19"/>
        <v>any</v>
      </c>
      <c r="E123" s="871">
        <f t="shared" si="21"/>
        <v>3.5000000000000003E-2</v>
      </c>
      <c r="F123" s="432">
        <f t="shared" si="20"/>
        <v>2</v>
      </c>
      <c r="G123" s="323" t="str">
        <f>G247</f>
        <v>See calculation in Compost sheet</v>
      </c>
      <c r="H123" s="444">
        <v>1</v>
      </c>
      <c r="I123" s="430">
        <v>2</v>
      </c>
      <c r="J123" s="430">
        <v>3</v>
      </c>
      <c r="K123" s="430">
        <v>3</v>
      </c>
      <c r="L123" s="430">
        <v>3</v>
      </c>
      <c r="M123" s="456">
        <v>2</v>
      </c>
      <c r="N123" s="298">
        <f t="shared" si="17"/>
        <v>0.67101227267249941</v>
      </c>
      <c r="O123" s="446">
        <f t="shared" si="18"/>
        <v>0.67913051197703389</v>
      </c>
      <c r="P123" s="68"/>
      <c r="X123" s="223"/>
      <c r="Y123" s="223"/>
      <c r="AA123" s="223"/>
      <c r="AB123" s="223"/>
      <c r="AC123" s="218"/>
      <c r="AD123" s="218"/>
      <c r="AE123" s="223"/>
      <c r="AF123" s="218"/>
    </row>
    <row r="124" spans="1:32">
      <c r="A124" s="150" t="s">
        <v>969</v>
      </c>
      <c r="B124" s="95" t="str">
        <f t="shared" ref="B124:D127" si="23">B250</f>
        <v>Agricultural soil (micro)</v>
      </c>
      <c r="C124" s="99" t="str">
        <f t="shared" si="23"/>
        <v>any</v>
      </c>
      <c r="D124" s="319" t="str">
        <f t="shared" si="23"/>
        <v>any</v>
      </c>
      <c r="E124" s="870" t="s">
        <v>150</v>
      </c>
      <c r="F124" s="319">
        <v>2</v>
      </c>
      <c r="G124" s="95" t="str">
        <f>G250</f>
        <v>Assumption</v>
      </c>
      <c r="H124" s="249">
        <v>1</v>
      </c>
      <c r="I124" s="10">
        <v>1</v>
      </c>
      <c r="J124" s="10">
        <v>1</v>
      </c>
      <c r="K124" s="10">
        <v>1</v>
      </c>
      <c r="L124" s="10">
        <v>1</v>
      </c>
      <c r="M124" s="293">
        <v>3</v>
      </c>
      <c r="N124" s="298">
        <f t="shared" si="17"/>
        <v>1.0141150152164344</v>
      </c>
      <c r="O124" s="446">
        <f t="shared" si="18"/>
        <v>1.0141150152164344</v>
      </c>
      <c r="P124" s="68" t="s">
        <v>973</v>
      </c>
      <c r="X124" s="223"/>
      <c r="Y124" s="223"/>
      <c r="AA124" s="223"/>
      <c r="AB124" s="223"/>
      <c r="AC124" s="218"/>
      <c r="AD124" s="218"/>
      <c r="AE124" s="223"/>
      <c r="AF124" s="218"/>
    </row>
    <row r="125" spans="1:32">
      <c r="A125" s="151" t="s">
        <v>969</v>
      </c>
      <c r="B125" s="68" t="str">
        <f t="shared" si="23"/>
        <v>Agricultural soil (macro)</v>
      </c>
      <c r="C125" s="100" t="str">
        <f t="shared" si="23"/>
        <v>any</v>
      </c>
      <c r="D125" s="307" t="str">
        <f t="shared" si="23"/>
        <v>any</v>
      </c>
      <c r="E125" s="451">
        <f>E251/SUM(E250:E253)</f>
        <v>0</v>
      </c>
      <c r="F125" s="307">
        <v>2</v>
      </c>
      <c r="G125" s="68" t="str">
        <f>G251</f>
        <v>Best case scenario</v>
      </c>
      <c r="H125" s="249"/>
      <c r="I125" s="10"/>
      <c r="J125" s="10"/>
      <c r="K125" s="10"/>
      <c r="L125" s="10"/>
      <c r="M125" s="293"/>
      <c r="N125" s="298" t="str">
        <f t="shared" si="17"/>
        <v/>
      </c>
      <c r="O125" s="446" t="str">
        <f t="shared" si="18"/>
        <v/>
      </c>
      <c r="P125" s="68" t="s">
        <v>974</v>
      </c>
      <c r="X125" s="223"/>
      <c r="Y125" s="223"/>
      <c r="AA125" s="223"/>
      <c r="AB125" s="223"/>
      <c r="AC125" s="218"/>
      <c r="AD125" s="218"/>
      <c r="AE125" s="223"/>
      <c r="AF125" s="218"/>
    </row>
    <row r="126" spans="1:32">
      <c r="A126" s="151" t="s">
        <v>969</v>
      </c>
      <c r="B126" s="68" t="str">
        <f t="shared" si="23"/>
        <v>Agricultural soil (macro)</v>
      </c>
      <c r="C126" s="100" t="str">
        <f t="shared" si="23"/>
        <v>any</v>
      </c>
      <c r="D126" s="307" t="str">
        <f t="shared" si="23"/>
        <v>any</v>
      </c>
      <c r="E126" s="451">
        <f>E252/SUM(E250:E253)</f>
        <v>0.51351351351351338</v>
      </c>
      <c r="F126" s="307">
        <v>2</v>
      </c>
      <c r="G126" s="68" t="str">
        <f>G252</f>
        <v>Based on Agreste. Chiffres-Clés : 61 Hectares En Moyenne Par Exploitation; 2017</v>
      </c>
      <c r="H126" s="249">
        <v>2</v>
      </c>
      <c r="I126" s="10">
        <v>2</v>
      </c>
      <c r="J126" s="10">
        <v>2</v>
      </c>
      <c r="K126" s="10">
        <v>1</v>
      </c>
      <c r="L126" s="10">
        <v>1</v>
      </c>
      <c r="M126" s="293">
        <v>3</v>
      </c>
      <c r="N126" s="298">
        <f t="shared" si="17"/>
        <v>1.0248662490928169</v>
      </c>
      <c r="O126" s="446">
        <f t="shared" si="18"/>
        <v>1.0248662490928169</v>
      </c>
      <c r="P126" s="68" t="s">
        <v>974</v>
      </c>
      <c r="X126" s="223"/>
      <c r="Y126" s="223"/>
      <c r="AA126" s="223"/>
      <c r="AB126" s="223"/>
      <c r="AC126" s="218"/>
      <c r="AD126" s="218"/>
      <c r="AE126" s="223"/>
      <c r="AF126" s="218"/>
    </row>
    <row r="127" spans="1:32" ht="15.75" thickBot="1">
      <c r="A127" s="227" t="s">
        <v>969</v>
      </c>
      <c r="B127" s="68" t="str">
        <f t="shared" si="23"/>
        <v>Collected organic waste</v>
      </c>
      <c r="C127" s="326" t="str">
        <f t="shared" si="23"/>
        <v>any</v>
      </c>
      <c r="D127" s="322" t="str">
        <f t="shared" si="23"/>
        <v>any</v>
      </c>
      <c r="E127" s="871">
        <f>E253/SUM(E250:E253)</f>
        <v>0.47297297297297297</v>
      </c>
      <c r="F127" s="322">
        <v>2</v>
      </c>
      <c r="G127" s="72" t="str">
        <f>G253</f>
        <v>See calculation in Compost sheet</v>
      </c>
      <c r="H127" s="444">
        <v>1</v>
      </c>
      <c r="I127" s="430">
        <v>2</v>
      </c>
      <c r="J127" s="430">
        <v>3</v>
      </c>
      <c r="K127" s="430">
        <v>3</v>
      </c>
      <c r="L127" s="430">
        <v>3</v>
      </c>
      <c r="M127" s="456">
        <v>2</v>
      </c>
      <c r="N127" s="298">
        <f t="shared" si="17"/>
        <v>0.67101227267249941</v>
      </c>
      <c r="O127" s="446">
        <f t="shared" si="18"/>
        <v>0.67913051197703389</v>
      </c>
      <c r="P127" s="68" t="s">
        <v>974</v>
      </c>
      <c r="X127" s="223"/>
      <c r="Y127" s="223"/>
      <c r="AA127" s="223"/>
      <c r="AB127" s="223"/>
      <c r="AC127" s="218"/>
      <c r="AD127" s="218"/>
      <c r="AE127" s="223"/>
      <c r="AF127" s="218"/>
    </row>
    <row r="128" spans="1:32">
      <c r="A128" s="161" t="s">
        <v>968</v>
      </c>
      <c r="B128" s="68" t="str">
        <f t="shared" ref="B128:D131" si="24">B238</f>
        <v>Agricultural soil (micro)</v>
      </c>
      <c r="C128" s="99" t="str">
        <f t="shared" si="24"/>
        <v>any</v>
      </c>
      <c r="D128" s="319" t="str">
        <f t="shared" si="24"/>
        <v>any</v>
      </c>
      <c r="E128" s="870" t="s">
        <v>150</v>
      </c>
      <c r="F128" s="453">
        <v>1</v>
      </c>
      <c r="G128" s="77" t="str">
        <f t="shared" ref="F128:G131" si="25">G238</f>
        <v>Assumption by Kawecki and Nowack (explained on page 38 of the SI)</v>
      </c>
      <c r="H128" s="250">
        <v>2</v>
      </c>
      <c r="I128" s="13">
        <v>2</v>
      </c>
      <c r="J128" s="13">
        <v>1</v>
      </c>
      <c r="K128" s="13">
        <v>1</v>
      </c>
      <c r="L128" s="13">
        <v>1</v>
      </c>
      <c r="M128" s="292">
        <v>3</v>
      </c>
      <c r="N128" s="298">
        <f t="shared" si="17"/>
        <v>1.0195048044558224</v>
      </c>
      <c r="O128" s="446">
        <f t="shared" si="18"/>
        <v>1.0195048044558224</v>
      </c>
      <c r="P128" s="68"/>
      <c r="X128" s="223"/>
      <c r="Y128" s="223"/>
      <c r="AA128" s="223"/>
      <c r="AB128" s="223"/>
      <c r="AC128" s="218"/>
      <c r="AD128" s="218"/>
      <c r="AE128" s="223"/>
      <c r="AF128" s="218"/>
    </row>
    <row r="129" spans="1:32">
      <c r="A129" s="161" t="s">
        <v>968</v>
      </c>
      <c r="B129" s="68" t="str">
        <f t="shared" si="24"/>
        <v>Agricultural soil (macro)</v>
      </c>
      <c r="C129" s="100" t="str">
        <f t="shared" si="24"/>
        <v>any</v>
      </c>
      <c r="D129" s="307" t="str">
        <f t="shared" si="24"/>
        <v>any</v>
      </c>
      <c r="E129" s="68">
        <f>E239/SUM(E238:E241)</f>
        <v>0</v>
      </c>
      <c r="F129" s="454">
        <f t="shared" si="25"/>
        <v>2</v>
      </c>
      <c r="G129" s="68" t="str">
        <f t="shared" si="25"/>
        <v>Best case scenario</v>
      </c>
      <c r="H129" s="249"/>
      <c r="I129" s="10"/>
      <c r="J129" s="10"/>
      <c r="K129" s="10"/>
      <c r="L129" s="10"/>
      <c r="M129" s="293"/>
      <c r="N129" s="298" t="str">
        <f t="shared" si="17"/>
        <v/>
      </c>
      <c r="O129" s="446" t="str">
        <f t="shared" si="18"/>
        <v/>
      </c>
      <c r="P129" s="68" t="s">
        <v>974</v>
      </c>
      <c r="X129" s="223"/>
      <c r="Y129" s="223"/>
      <c r="AA129" s="223"/>
      <c r="AB129" s="223"/>
      <c r="AC129" s="218"/>
      <c r="AD129" s="218"/>
      <c r="AE129" s="223"/>
      <c r="AF129" s="218"/>
    </row>
    <row r="130" spans="1:32">
      <c r="A130" s="161" t="s">
        <v>968</v>
      </c>
      <c r="B130" s="68" t="str">
        <f t="shared" si="24"/>
        <v>Agricultural soil (macro)</v>
      </c>
      <c r="C130" s="100" t="str">
        <f t="shared" si="24"/>
        <v>any</v>
      </c>
      <c r="D130" s="307" t="str">
        <f t="shared" si="24"/>
        <v>any</v>
      </c>
      <c r="E130" s="68">
        <f>E240/SUM(E238:E241)</f>
        <v>0.40217391304347827</v>
      </c>
      <c r="F130" s="454">
        <f t="shared" si="25"/>
        <v>2</v>
      </c>
      <c r="G130" s="68" t="str">
        <f t="shared" si="25"/>
        <v>Based on Agreste. Chiffres-Clés : 61 Hectares En Moyenne Par Exploitation; 2017</v>
      </c>
      <c r="H130" s="249">
        <v>2</v>
      </c>
      <c r="I130" s="10">
        <v>2</v>
      </c>
      <c r="J130" s="10">
        <v>2</v>
      </c>
      <c r="K130" s="10">
        <v>1</v>
      </c>
      <c r="L130" s="10">
        <v>1</v>
      </c>
      <c r="M130" s="293">
        <v>3</v>
      </c>
      <c r="N130" s="298">
        <f t="shared" si="17"/>
        <v>1.0248662490928169</v>
      </c>
      <c r="O130" s="446">
        <f t="shared" si="18"/>
        <v>1.0248662490928169</v>
      </c>
      <c r="P130" s="68" t="s">
        <v>974</v>
      </c>
      <c r="X130" s="223"/>
      <c r="Y130" s="223"/>
      <c r="AA130" s="223"/>
      <c r="AB130" s="223"/>
      <c r="AC130" s="218"/>
      <c r="AD130" s="218"/>
      <c r="AE130" s="223"/>
      <c r="AF130" s="218"/>
    </row>
    <row r="131" spans="1:32" ht="15.75" thickBot="1">
      <c r="A131" s="161" t="s">
        <v>968</v>
      </c>
      <c r="B131" s="323" t="str">
        <f t="shared" si="24"/>
        <v>Collected organic waste</v>
      </c>
      <c r="C131" s="326" t="str">
        <f t="shared" si="24"/>
        <v>any</v>
      </c>
      <c r="D131" s="322" t="str">
        <f t="shared" si="24"/>
        <v>any</v>
      </c>
      <c r="E131" s="323">
        <f>E241/SUM(E238:E241)</f>
        <v>0.38043478260869568</v>
      </c>
      <c r="F131" s="432">
        <f t="shared" si="25"/>
        <v>2</v>
      </c>
      <c r="G131" s="323" t="str">
        <f t="shared" si="25"/>
        <v>See calculation in Compost sheet</v>
      </c>
      <c r="H131" s="444">
        <v>1</v>
      </c>
      <c r="I131" s="430">
        <v>2</v>
      </c>
      <c r="J131" s="430">
        <v>3</v>
      </c>
      <c r="K131" s="430">
        <v>3</v>
      </c>
      <c r="L131" s="430">
        <v>3</v>
      </c>
      <c r="M131" s="456">
        <v>2</v>
      </c>
      <c r="N131" s="300">
        <f t="shared" si="17"/>
        <v>0.67101227267249941</v>
      </c>
      <c r="O131" s="446">
        <f t="shared" si="18"/>
        <v>0.67913051197703389</v>
      </c>
      <c r="P131" s="68" t="s">
        <v>974</v>
      </c>
      <c r="X131" s="223"/>
      <c r="Y131" s="223"/>
      <c r="AA131" s="223"/>
      <c r="AB131" s="223"/>
      <c r="AC131" s="218"/>
      <c r="AD131" s="218"/>
      <c r="AE131" s="223"/>
      <c r="AF131" s="218"/>
    </row>
    <row r="132" spans="1:32">
      <c r="A132" s="150" t="s">
        <v>964</v>
      </c>
      <c r="B132" s="95" t="str">
        <f t="shared" ref="B132:D133" si="26">B248</f>
        <v>Dumping</v>
      </c>
      <c r="C132" s="99" t="str">
        <f t="shared" si="26"/>
        <v>any</v>
      </c>
      <c r="D132" s="319" t="str">
        <f t="shared" si="26"/>
        <v>any</v>
      </c>
      <c r="E132" s="95">
        <f>E248/SUM(E249,E248)</f>
        <v>2.9157667386609074E-4</v>
      </c>
      <c r="F132" s="319">
        <v>2</v>
      </c>
      <c r="G132" s="33" t="s">
        <v>972</v>
      </c>
      <c r="H132" s="250">
        <v>2</v>
      </c>
      <c r="I132" s="13">
        <v>2</v>
      </c>
      <c r="J132" s="13">
        <v>1</v>
      </c>
      <c r="K132" s="13">
        <v>3</v>
      </c>
      <c r="L132" s="13">
        <v>3</v>
      </c>
      <c r="M132" s="292">
        <v>3</v>
      </c>
      <c r="N132" s="297">
        <f t="shared" si="17"/>
        <v>1.123005955058592</v>
      </c>
      <c r="O132" s="446">
        <f t="shared" si="18"/>
        <v>1.123005955058592</v>
      </c>
      <c r="P132" s="68" t="s">
        <v>974</v>
      </c>
      <c r="X132" s="223"/>
      <c r="Y132" s="223"/>
      <c r="AA132" s="223"/>
      <c r="AB132" s="223"/>
      <c r="AC132" s="218"/>
      <c r="AD132" s="218"/>
      <c r="AE132" s="223"/>
      <c r="AF132" s="218"/>
    </row>
    <row r="133" spans="1:32" ht="15.75" thickBot="1">
      <c r="A133" s="227" t="s">
        <v>964</v>
      </c>
      <c r="B133" s="68" t="str">
        <f t="shared" si="26"/>
        <v>Agricultural waste collection</v>
      </c>
      <c r="C133" s="326" t="str">
        <f t="shared" si="26"/>
        <v>any</v>
      </c>
      <c r="D133" s="322" t="str">
        <f t="shared" si="26"/>
        <v>any</v>
      </c>
      <c r="E133" s="323" t="s">
        <v>150</v>
      </c>
      <c r="F133" s="322">
        <v>1</v>
      </c>
      <c r="G133" s="323"/>
      <c r="H133" s="248"/>
      <c r="I133" s="15"/>
      <c r="J133" s="15"/>
      <c r="K133" s="15"/>
      <c r="L133" s="15"/>
      <c r="M133" s="296"/>
      <c r="N133" s="300" t="str">
        <f t="shared" si="17"/>
        <v/>
      </c>
      <c r="O133" s="446" t="str">
        <f t="shared" si="18"/>
        <v/>
      </c>
      <c r="P133" s="68"/>
      <c r="X133" s="223"/>
      <c r="Y133" s="223"/>
      <c r="AA133" s="223"/>
      <c r="AB133" s="223"/>
      <c r="AC133" s="218"/>
      <c r="AD133" s="218"/>
      <c r="AE133" s="223"/>
      <c r="AF133" s="218"/>
    </row>
    <row r="134" spans="1:32">
      <c r="A134" s="161" t="s">
        <v>970</v>
      </c>
      <c r="B134" s="68" t="str">
        <f t="shared" ref="B134:D135" si="27">B236</f>
        <v>Dumping</v>
      </c>
      <c r="C134" s="99" t="str">
        <f t="shared" si="27"/>
        <v>any</v>
      </c>
      <c r="D134" s="319" t="str">
        <f t="shared" si="27"/>
        <v>any</v>
      </c>
      <c r="E134" s="95">
        <f>E236/(E236+E237)</f>
        <v>2.9735682819383261E-4</v>
      </c>
      <c r="F134" s="319">
        <v>2</v>
      </c>
      <c r="G134" s="33" t="s">
        <v>972</v>
      </c>
      <c r="H134" s="250">
        <v>2</v>
      </c>
      <c r="I134" s="13">
        <v>2</v>
      </c>
      <c r="J134" s="13">
        <v>1</v>
      </c>
      <c r="K134" s="13">
        <v>3</v>
      </c>
      <c r="L134" s="13">
        <v>3</v>
      </c>
      <c r="M134" s="292">
        <v>3</v>
      </c>
      <c r="N134" s="297">
        <f t="shared" si="17"/>
        <v>1.123005955058592</v>
      </c>
      <c r="O134" s="446">
        <f t="shared" si="18"/>
        <v>1.123005955058592</v>
      </c>
      <c r="P134" s="68" t="s">
        <v>974</v>
      </c>
      <c r="X134" s="223"/>
      <c r="Y134" s="223"/>
      <c r="AA134" s="223"/>
      <c r="AB134" s="223"/>
      <c r="AC134" s="218"/>
      <c r="AD134" s="218"/>
      <c r="AE134" s="223"/>
      <c r="AF134" s="218"/>
    </row>
    <row r="135" spans="1:32" ht="15.75" thickBot="1">
      <c r="A135" s="7" t="s">
        <v>970</v>
      </c>
      <c r="B135" s="323" t="str">
        <f t="shared" si="27"/>
        <v>Agricultural waste collection</v>
      </c>
      <c r="C135" s="326" t="str">
        <f t="shared" si="27"/>
        <v>any</v>
      </c>
      <c r="D135" s="322" t="str">
        <f t="shared" si="27"/>
        <v>any</v>
      </c>
      <c r="E135" s="323" t="s">
        <v>150</v>
      </c>
      <c r="F135" s="322">
        <v>1</v>
      </c>
      <c r="G135" s="323"/>
      <c r="H135" s="248"/>
      <c r="I135" s="15"/>
      <c r="J135" s="15"/>
      <c r="K135" s="15"/>
      <c r="L135" s="15"/>
      <c r="M135" s="296"/>
      <c r="N135" s="300" t="str">
        <f t="shared" si="17"/>
        <v/>
      </c>
      <c r="O135" s="446" t="str">
        <f t="shared" si="18"/>
        <v/>
      </c>
      <c r="P135" s="68"/>
      <c r="X135" s="223"/>
      <c r="Y135" s="223"/>
      <c r="AA135" s="223"/>
      <c r="AB135" s="223"/>
      <c r="AC135" s="218"/>
      <c r="AD135" s="218"/>
      <c r="AE135" s="223"/>
      <c r="AF135" s="218"/>
    </row>
    <row r="136" spans="1:32">
      <c r="A136" s="95" t="s">
        <v>144</v>
      </c>
      <c r="B136" s="99" t="s">
        <v>248</v>
      </c>
      <c r="C136" s="319" t="s">
        <v>139</v>
      </c>
      <c r="D136" s="34" t="s">
        <v>139</v>
      </c>
      <c r="E136" s="668" t="s">
        <v>150</v>
      </c>
      <c r="F136" s="672">
        <v>1</v>
      </c>
      <c r="G136" s="99"/>
      <c r="H136" s="250"/>
      <c r="I136" s="13"/>
      <c r="J136" s="13"/>
      <c r="K136" s="13"/>
      <c r="L136" s="13"/>
      <c r="M136" s="292"/>
      <c r="N136" s="297" t="s">
        <v>249</v>
      </c>
      <c r="O136" s="446" t="s">
        <v>249</v>
      </c>
      <c r="P136" s="34" t="s">
        <v>250</v>
      </c>
      <c r="X136" s="223"/>
      <c r="Y136" s="223"/>
      <c r="AA136" s="223"/>
      <c r="AB136" s="223"/>
      <c r="AC136" s="218"/>
      <c r="AD136" s="218"/>
      <c r="AE136" s="223"/>
      <c r="AF136" s="218"/>
    </row>
    <row r="137" spans="1:32">
      <c r="A137" s="68" t="s">
        <v>144</v>
      </c>
      <c r="B137" s="63" t="s">
        <v>251</v>
      </c>
      <c r="C137" s="40" t="s">
        <v>139</v>
      </c>
      <c r="D137" s="34" t="s">
        <v>139</v>
      </c>
      <c r="E137" s="669">
        <f>(1-0.004)*0.02/100</f>
        <v>1.9919999999999999E-4</v>
      </c>
      <c r="F137" s="673">
        <v>2</v>
      </c>
      <c r="G137" s="647" t="s">
        <v>252</v>
      </c>
      <c r="H137" s="15">
        <v>2</v>
      </c>
      <c r="I137" s="15">
        <v>1</v>
      </c>
      <c r="J137" s="15">
        <v>2</v>
      </c>
      <c r="K137" s="15">
        <v>3</v>
      </c>
      <c r="L137" s="15">
        <v>3</v>
      </c>
      <c r="M137" s="15">
        <v>1</v>
      </c>
      <c r="N137" s="298">
        <v>0.60108474454521421</v>
      </c>
      <c r="O137" s="446">
        <v>0.60108474454521421</v>
      </c>
      <c r="P137" s="34"/>
    </row>
    <row r="138" spans="1:32">
      <c r="A138" s="68" t="s">
        <v>144</v>
      </c>
      <c r="B138" s="63" t="s">
        <v>251</v>
      </c>
      <c r="C138" s="40" t="s">
        <v>139</v>
      </c>
      <c r="D138" s="34" t="s">
        <v>139</v>
      </c>
      <c r="E138" s="669">
        <f>(1-0.004)*0.06/100</f>
        <v>5.976E-4</v>
      </c>
      <c r="F138" s="673">
        <v>2</v>
      </c>
      <c r="G138" s="647" t="s">
        <v>252</v>
      </c>
      <c r="H138" s="71">
        <v>2</v>
      </c>
      <c r="I138" s="71">
        <v>1</v>
      </c>
      <c r="J138" s="71">
        <v>2</v>
      </c>
      <c r="K138" s="71">
        <v>3</v>
      </c>
      <c r="L138" s="71">
        <v>3</v>
      </c>
      <c r="M138" s="71">
        <v>1</v>
      </c>
      <c r="N138" s="298">
        <v>0.60108474454521421</v>
      </c>
      <c r="O138" s="446">
        <v>0.60108474454521421</v>
      </c>
      <c r="P138" s="34"/>
    </row>
    <row r="139" spans="1:32">
      <c r="A139" s="68" t="s">
        <v>144</v>
      </c>
      <c r="B139" s="100" t="s">
        <v>184</v>
      </c>
      <c r="C139" s="40" t="s">
        <v>139</v>
      </c>
      <c r="D139" s="34" t="s">
        <v>139</v>
      </c>
      <c r="E139" s="670">
        <v>0</v>
      </c>
      <c r="F139" s="674">
        <v>1</v>
      </c>
      <c r="G139" s="100" t="s">
        <v>253</v>
      </c>
      <c r="H139" s="249"/>
      <c r="I139" s="10"/>
      <c r="J139" s="10"/>
      <c r="K139" s="10"/>
      <c r="L139" s="10"/>
      <c r="M139" s="293"/>
      <c r="N139" s="298" t="s">
        <v>249</v>
      </c>
      <c r="O139" s="446" t="s">
        <v>249</v>
      </c>
      <c r="P139" s="34"/>
    </row>
    <row r="140" spans="1:32" ht="15.75" thickBot="1">
      <c r="A140" s="68" t="s">
        <v>144</v>
      </c>
      <c r="B140" s="63" t="s">
        <v>254</v>
      </c>
      <c r="C140" s="40" t="s">
        <v>139</v>
      </c>
      <c r="D140" s="34" t="s">
        <v>139</v>
      </c>
      <c r="E140" s="669">
        <f>0.004*0.02/100</f>
        <v>8.0000000000000007E-7</v>
      </c>
      <c r="F140" s="673">
        <v>2</v>
      </c>
      <c r="G140" s="647" t="s">
        <v>252</v>
      </c>
      <c r="H140" s="15">
        <v>2</v>
      </c>
      <c r="I140" s="15">
        <v>1</v>
      </c>
      <c r="J140" s="15">
        <v>2</v>
      </c>
      <c r="K140" s="15">
        <v>3</v>
      </c>
      <c r="L140" s="15">
        <v>3</v>
      </c>
      <c r="M140" s="15">
        <v>1</v>
      </c>
      <c r="N140" s="298">
        <v>0.60108474454521421</v>
      </c>
      <c r="O140" s="446">
        <v>0.60108474454521421</v>
      </c>
      <c r="P140" s="34"/>
    </row>
    <row r="141" spans="1:32">
      <c r="A141" s="68" t="s">
        <v>144</v>
      </c>
      <c r="B141" s="63" t="s">
        <v>254</v>
      </c>
      <c r="C141" s="40" t="s">
        <v>139</v>
      </c>
      <c r="D141" s="34" t="s">
        <v>139</v>
      </c>
      <c r="E141" s="669">
        <f>0.004*0.06/100</f>
        <v>2.3999999999999999E-6</v>
      </c>
      <c r="F141" s="673">
        <v>2</v>
      </c>
      <c r="G141" s="647" t="s">
        <v>252</v>
      </c>
      <c r="H141" s="13">
        <v>2</v>
      </c>
      <c r="I141" s="13">
        <v>1</v>
      </c>
      <c r="J141" s="13">
        <v>2</v>
      </c>
      <c r="K141" s="13">
        <v>3</v>
      </c>
      <c r="L141" s="13">
        <v>3</v>
      </c>
      <c r="M141" s="13">
        <v>1</v>
      </c>
      <c r="N141" s="298">
        <v>0.60108474454521421</v>
      </c>
      <c r="O141" s="446">
        <v>0.60108474454521421</v>
      </c>
      <c r="P141" s="34"/>
    </row>
    <row r="142" spans="1:32" ht="15.75" thickBot="1">
      <c r="A142" s="72" t="s">
        <v>144</v>
      </c>
      <c r="B142" s="651" t="s">
        <v>179</v>
      </c>
      <c r="C142" s="40" t="s">
        <v>139</v>
      </c>
      <c r="D142" s="34" t="s">
        <v>139</v>
      </c>
      <c r="E142" s="671">
        <v>0.1</v>
      </c>
      <c r="F142" s="675">
        <v>1</v>
      </c>
      <c r="G142" s="326" t="s">
        <v>255</v>
      </c>
      <c r="H142" s="248">
        <v>2</v>
      </c>
      <c r="I142" s="15">
        <v>2</v>
      </c>
      <c r="J142" s="15">
        <v>2</v>
      </c>
      <c r="K142" s="15">
        <v>3</v>
      </c>
      <c r="L142" s="15">
        <v>1</v>
      </c>
      <c r="M142" s="296">
        <v>1</v>
      </c>
      <c r="N142" s="300">
        <v>0.38795788889711302</v>
      </c>
      <c r="O142" s="446">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92">
        <v>4</v>
      </c>
      <c r="N143" s="297">
        <v>1.0141150152164344</v>
      </c>
      <c r="O143" s="446">
        <v>1.0195048044558224</v>
      </c>
      <c r="P143" s="34"/>
    </row>
    <row r="144" spans="1:32">
      <c r="A144" s="151" t="s">
        <v>165</v>
      </c>
      <c r="B144" s="34" t="s">
        <v>184</v>
      </c>
      <c r="C144" s="40" t="s">
        <v>139</v>
      </c>
      <c r="D144" s="34" t="s">
        <v>139</v>
      </c>
      <c r="E144" s="240">
        <v>0</v>
      </c>
      <c r="F144" s="232">
        <v>1</v>
      </c>
      <c r="G144" s="40"/>
      <c r="H144" s="249"/>
      <c r="I144" s="10"/>
      <c r="J144" s="10"/>
      <c r="K144" s="10"/>
      <c r="L144" s="10"/>
      <c r="M144" s="293"/>
      <c r="N144" s="298" t="s">
        <v>249</v>
      </c>
      <c r="O144" s="446" t="s">
        <v>249</v>
      </c>
      <c r="P144" s="34"/>
    </row>
    <row r="145" spans="1:24">
      <c r="A145" s="151" t="s">
        <v>165</v>
      </c>
      <c r="B145" s="34" t="s">
        <v>179</v>
      </c>
      <c r="C145" s="40" t="s">
        <v>139</v>
      </c>
      <c r="D145" s="34" t="s">
        <v>139</v>
      </c>
      <c r="E145" s="240" t="s">
        <v>150</v>
      </c>
      <c r="F145" s="232">
        <v>1</v>
      </c>
      <c r="G145" s="40"/>
      <c r="H145" s="249"/>
      <c r="I145" s="10"/>
      <c r="J145" s="10"/>
      <c r="K145" s="10"/>
      <c r="L145" s="10"/>
      <c r="M145" s="293"/>
      <c r="N145" s="298" t="s">
        <v>249</v>
      </c>
      <c r="O145" s="446"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3">
        <v>2</v>
      </c>
      <c r="N146" s="298">
        <v>0.48935255543384243</v>
      </c>
      <c r="O146" s="446"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3">
        <v>2</v>
      </c>
      <c r="N147" s="298">
        <v>0.48935255543384243</v>
      </c>
      <c r="O147" s="446"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3">
        <v>2</v>
      </c>
      <c r="N148" s="298">
        <v>0.48935255543384243</v>
      </c>
      <c r="O148" s="446" t="s">
        <v>249</v>
      </c>
      <c r="P148" s="34"/>
    </row>
    <row r="149" spans="1:24" ht="15.75" thickBot="1">
      <c r="A149" s="152" t="s">
        <v>165</v>
      </c>
      <c r="B149" s="35" t="s">
        <v>144</v>
      </c>
      <c r="C149" s="41" t="s">
        <v>139</v>
      </c>
      <c r="D149" s="35" t="s">
        <v>139</v>
      </c>
      <c r="E149" s="570">
        <v>0.2</v>
      </c>
      <c r="F149" s="233">
        <v>1</v>
      </c>
      <c r="G149" s="41" t="s">
        <v>279</v>
      </c>
      <c r="H149" s="252">
        <v>2</v>
      </c>
      <c r="I149" s="14">
        <v>2</v>
      </c>
      <c r="J149" s="14">
        <v>2</v>
      </c>
      <c r="K149" s="14">
        <v>3</v>
      </c>
      <c r="L149" s="14">
        <v>1</v>
      </c>
      <c r="M149" s="294">
        <v>2</v>
      </c>
      <c r="N149" s="299">
        <v>0.48935255543384243</v>
      </c>
      <c r="O149" s="447" t="s">
        <v>249</v>
      </c>
      <c r="P149" s="35" t="s">
        <v>280</v>
      </c>
    </row>
    <row r="151" spans="1:24" s="221" customFormat="1" ht="26.25">
      <c r="A151" s="469" t="s">
        <v>21</v>
      </c>
    </row>
    <row r="152" spans="1:24">
      <c r="B152" s="222"/>
    </row>
    <row r="153" spans="1:24">
      <c r="A153" s="311" t="s">
        <v>975</v>
      </c>
      <c r="B153" s="311" t="s">
        <v>976</v>
      </c>
      <c r="C153" s="311" t="s">
        <v>104</v>
      </c>
      <c r="D153" s="311" t="s">
        <v>977</v>
      </c>
      <c r="E153" s="507" t="s">
        <v>978</v>
      </c>
    </row>
    <row r="154" spans="1:24">
      <c r="A154" s="475" t="s">
        <v>979</v>
      </c>
      <c r="B154" s="477">
        <v>80</v>
      </c>
      <c r="C154" s="508" t="s">
        <v>980</v>
      </c>
      <c r="D154" t="s">
        <v>981</v>
      </c>
      <c r="E154" t="s">
        <v>982</v>
      </c>
    </row>
    <row r="155" spans="1:24">
      <c r="A155" s="475" t="s">
        <v>983</v>
      </c>
      <c r="B155" s="477">
        <v>80</v>
      </c>
      <c r="C155" s="508" t="s">
        <v>980</v>
      </c>
      <c r="D155" t="s">
        <v>981</v>
      </c>
      <c r="E155" t="s">
        <v>982</v>
      </c>
    </row>
    <row r="156" spans="1:24">
      <c r="A156" s="475" t="s">
        <v>984</v>
      </c>
      <c r="B156" s="485">
        <f>45/12</f>
        <v>3.75</v>
      </c>
      <c r="C156" s="508" t="s">
        <v>980</v>
      </c>
      <c r="D156" t="s">
        <v>981</v>
      </c>
      <c r="E156" t="s">
        <v>982</v>
      </c>
    </row>
    <row r="157" spans="1:24">
      <c r="A157" s="475" t="s">
        <v>985</v>
      </c>
      <c r="B157" s="485">
        <f>45/12</f>
        <v>3.75</v>
      </c>
      <c r="C157" s="508" t="s">
        <v>980</v>
      </c>
      <c r="D157" t="s">
        <v>981</v>
      </c>
      <c r="E157" t="s">
        <v>982</v>
      </c>
    </row>
    <row r="159" spans="1:24" ht="26.25">
      <c r="A159" s="469" t="s">
        <v>986</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3" t="s">
        <v>987</v>
      </c>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spans="1:27">
      <c r="L161" s="223"/>
    </row>
    <row r="162" spans="1:27">
      <c r="B162" s="217"/>
      <c r="C162" s="217"/>
      <c r="K162" t="s">
        <v>988</v>
      </c>
      <c r="L162" s="223"/>
    </row>
    <row r="163" spans="1:27">
      <c r="J163" s="222" t="s">
        <v>989</v>
      </c>
      <c r="K163" s="468">
        <f>D200</f>
        <v>707810</v>
      </c>
      <c r="L163" s="223"/>
      <c r="N163" s="223"/>
      <c r="Q163" s="217"/>
    </row>
    <row r="164" spans="1:27">
      <c r="A164" s="483" t="s">
        <v>585</v>
      </c>
      <c r="B164" s="481" t="s">
        <v>990</v>
      </c>
      <c r="C164" s="481" t="s">
        <v>991</v>
      </c>
      <c r="D164" s="481" t="s">
        <v>992</v>
      </c>
      <c r="E164" s="481" t="s">
        <v>993</v>
      </c>
      <c r="F164" s="481" t="s">
        <v>994</v>
      </c>
      <c r="G164" s="481" t="s">
        <v>995</v>
      </c>
      <c r="H164" s="481" t="s">
        <v>996</v>
      </c>
      <c r="L164" s="223"/>
      <c r="M164" t="s">
        <v>47</v>
      </c>
      <c r="N164" t="s">
        <v>997</v>
      </c>
      <c r="O164" t="s">
        <v>998</v>
      </c>
    </row>
    <row r="165" spans="1:27">
      <c r="A165" s="482" t="s">
        <v>90</v>
      </c>
      <c r="B165" s="471">
        <f>R170+T170+V170+X170</f>
        <v>56385.258999999998</v>
      </c>
      <c r="C165" s="471">
        <f>B165/1000</f>
        <v>56.385258999999998</v>
      </c>
      <c r="D165" s="471">
        <f>$R170/$B165</f>
        <v>0.39542276466265769</v>
      </c>
      <c r="E165" s="471">
        <f>$T170/$B165</f>
        <v>0.18076469241721493</v>
      </c>
      <c r="F165" s="471">
        <f>$V170/$B165</f>
        <v>0.32338771379945241</v>
      </c>
      <c r="G165" s="471">
        <f>$X170/$B165</f>
        <v>0.10042482912067498</v>
      </c>
      <c r="H165" s="488">
        <f>B165/B171</f>
        <v>8.1385971394878576E-2</v>
      </c>
      <c r="I165" s="489">
        <f>SUM(D165:G165)</f>
        <v>1</v>
      </c>
      <c r="K165" t="s">
        <v>999</v>
      </c>
      <c r="L165" s="223" t="s">
        <v>1000</v>
      </c>
      <c r="N165" s="223" t="s">
        <v>1001</v>
      </c>
      <c r="P165" s="224"/>
      <c r="Q165" s="224"/>
      <c r="R165" s="224" t="s">
        <v>1002</v>
      </c>
      <c r="S165" s="224"/>
      <c r="T165" s="224" t="s">
        <v>1003</v>
      </c>
      <c r="U165" s="224"/>
      <c r="V165" s="224" t="s">
        <v>1004</v>
      </c>
      <c r="W165" s="224"/>
      <c r="X165" s="224" t="s">
        <v>1005</v>
      </c>
    </row>
    <row r="166" spans="1:27">
      <c r="A166" s="482" t="s">
        <v>88</v>
      </c>
      <c r="B166" s="484">
        <f>R171+T171+V171+X171</f>
        <v>3950.7650000000003</v>
      </c>
      <c r="C166" s="471">
        <f>B166/1000</f>
        <v>3.9507650000000005</v>
      </c>
      <c r="D166" s="471">
        <f>$R171/$B166</f>
        <v>0</v>
      </c>
      <c r="E166" s="471">
        <f>$T171/$B166</f>
        <v>0</v>
      </c>
      <c r="F166" s="471">
        <f>$V171/$B166</f>
        <v>1</v>
      </c>
      <c r="G166" s="471">
        <f>$X171/$B166</f>
        <v>0</v>
      </c>
      <c r="H166" s="488">
        <f>B166/B171</f>
        <v>5.702498365359774E-3</v>
      </c>
      <c r="I166" s="489">
        <f>SUM(D166:G166)</f>
        <v>1</v>
      </c>
      <c r="K166" s="466">
        <f>L166/(L166+L168)</f>
        <v>0.79746835443037967</v>
      </c>
      <c r="L166" s="467">
        <v>0.63</v>
      </c>
      <c r="M166" t="s">
        <v>1006</v>
      </c>
      <c r="N166" s="217">
        <f>$K$163*L166</f>
        <v>445920.3</v>
      </c>
      <c r="O166" s="384">
        <f>N166/K163</f>
        <v>0.63</v>
      </c>
      <c r="P166" s="224"/>
      <c r="Q166" s="486"/>
      <c r="R166" s="486">
        <f>O166</f>
        <v>0.63</v>
      </c>
      <c r="S166" s="486"/>
      <c r="T166" s="486">
        <f>O172</f>
        <v>0.06</v>
      </c>
      <c r="U166" s="486"/>
      <c r="V166" s="486">
        <f>O176+O174+O170</f>
        <v>0.12880787216908493</v>
      </c>
      <c r="W166" s="486"/>
      <c r="X166" s="486">
        <f>L168</f>
        <v>0.16</v>
      </c>
    </row>
    <row r="167" spans="1:27">
      <c r="A167" s="482" t="s">
        <v>87</v>
      </c>
      <c r="B167" s="471">
        <f>R172+T172+V172+X172</f>
        <v>3950.7650000000003</v>
      </c>
      <c r="C167" s="471">
        <f>B167/1000</f>
        <v>3.9507650000000005</v>
      </c>
      <c r="D167" s="471">
        <f>$R172/$B167</f>
        <v>0</v>
      </c>
      <c r="E167" s="471">
        <f>$T172/$B167</f>
        <v>0</v>
      </c>
      <c r="F167" s="471">
        <f>$V172/$B167</f>
        <v>1</v>
      </c>
      <c r="G167" s="471">
        <f>$X172/$B167</f>
        <v>0</v>
      </c>
      <c r="H167" s="488">
        <f>B167/B171</f>
        <v>5.702498365359774E-3</v>
      </c>
      <c r="I167" s="489">
        <f>SUM(D167:G167)</f>
        <v>1</v>
      </c>
      <c r="K167" s="466"/>
      <c r="L167" s="223" t="s">
        <v>1007</v>
      </c>
      <c r="N167" t="s">
        <v>1008</v>
      </c>
      <c r="O167" s="384"/>
      <c r="P167" s="224" t="s">
        <v>1009</v>
      </c>
      <c r="Q167" s="224"/>
      <c r="R167" s="488">
        <f>N166</f>
        <v>445920.3</v>
      </c>
      <c r="S167" s="488"/>
      <c r="T167" s="488">
        <f>N172</f>
        <v>42468.6</v>
      </c>
      <c r="U167" s="488"/>
      <c r="V167" s="488">
        <f>N170+N174+N176</f>
        <v>91171.5</v>
      </c>
      <c r="W167" s="488"/>
      <c r="X167" s="488">
        <f>N168</f>
        <v>113249.60000000001</v>
      </c>
    </row>
    <row r="168" spans="1:27">
      <c r="A168" s="482" t="s">
        <v>85</v>
      </c>
      <c r="B168" s="484">
        <f>R173+T173+V173+X173</f>
        <v>622873.70200000005</v>
      </c>
      <c r="C168" s="471">
        <f>B168/1000</f>
        <v>622.87370200000009</v>
      </c>
      <c r="D168" s="471">
        <f>$R173/$B168</f>
        <v>0.68011265147296251</v>
      </c>
      <c r="E168" s="471">
        <f>$T173/$B168</f>
        <v>4.9090838001055938E-2</v>
      </c>
      <c r="F168" s="471">
        <f>$V173/$B168</f>
        <v>9.8069487929673418E-2</v>
      </c>
      <c r="G168" s="471">
        <f>$X173/$B168</f>
        <v>0.17272702259630796</v>
      </c>
      <c r="H168" s="488">
        <f>B168/B171</f>
        <v>0.8990502516552088</v>
      </c>
      <c r="I168" s="489">
        <f>SUM(D168:G168)</f>
        <v>0.99999999999999978</v>
      </c>
      <c r="K168" s="466">
        <f>L168/(L166+L168)</f>
        <v>0.20253164556962025</v>
      </c>
      <c r="L168" s="467">
        <v>0.16</v>
      </c>
      <c r="M168" t="s">
        <v>1010</v>
      </c>
      <c r="N168" s="217">
        <f>$K$163*L168</f>
        <v>113249.60000000001</v>
      </c>
      <c r="O168" s="384">
        <f>N168/K163</f>
        <v>0.16</v>
      </c>
      <c r="P168" s="224"/>
      <c r="Q168" s="224"/>
      <c r="R168" s="224"/>
      <c r="S168" s="224"/>
      <c r="T168" s="224"/>
      <c r="U168" s="224"/>
      <c r="V168" s="224"/>
      <c r="W168" s="224"/>
      <c r="X168" s="224"/>
    </row>
    <row r="169" spans="1:27">
      <c r="A169" s="482" t="s">
        <v>86</v>
      </c>
      <c r="B169" s="471">
        <f>R174+T174+V174+X174</f>
        <v>5649.509</v>
      </c>
      <c r="C169" s="471">
        <f>B169/1000</f>
        <v>5.6495090000000001</v>
      </c>
      <c r="D169" s="471">
        <f>$R174/$B169</f>
        <v>0</v>
      </c>
      <c r="E169" s="471">
        <f>$T174/$B169</f>
        <v>0.3006887855210072</v>
      </c>
      <c r="F169" s="471">
        <f>$V174/$B169</f>
        <v>0.6993112144789928</v>
      </c>
      <c r="G169" s="471">
        <f>$X174/$B169</f>
        <v>0</v>
      </c>
      <c r="H169" s="488">
        <f>B169/B171</f>
        <v>8.1544500464050193E-3</v>
      </c>
      <c r="I169" s="489">
        <f>SUM(D169:G169)</f>
        <v>1</v>
      </c>
      <c r="L169" s="223" t="s">
        <v>1011</v>
      </c>
      <c r="N169" t="s">
        <v>1011</v>
      </c>
      <c r="O169" s="384"/>
      <c r="P169" s="224" t="s">
        <v>1012</v>
      </c>
      <c r="Q169" s="224" t="s">
        <v>1013</v>
      </c>
      <c r="R169" s="224" t="s">
        <v>1006</v>
      </c>
      <c r="S169" s="224" t="s">
        <v>1013</v>
      </c>
      <c r="T169" s="224" t="s">
        <v>1014</v>
      </c>
      <c r="U169" s="224" t="s">
        <v>1015</v>
      </c>
      <c r="V169" s="224" t="s">
        <v>127</v>
      </c>
      <c r="W169" s="224" t="s">
        <v>1013</v>
      </c>
      <c r="X169" s="224" t="s">
        <v>1010</v>
      </c>
    </row>
    <row r="170" spans="1:27">
      <c r="H170" s="489">
        <f>SUM(H165:H169)</f>
        <v>0.99999566982721189</v>
      </c>
      <c r="L170" s="467">
        <v>0.11</v>
      </c>
      <c r="M170" t="s">
        <v>127</v>
      </c>
      <c r="N170" s="217">
        <f>$K$163*L170</f>
        <v>77859.100000000006</v>
      </c>
      <c r="O170" s="384">
        <f>N170/K163</f>
        <v>0.11000000000000001</v>
      </c>
      <c r="P170" s="224" t="s">
        <v>90</v>
      </c>
      <c r="Q170" s="486">
        <v>0.05</v>
      </c>
      <c r="R170" s="488">
        <f>Q170*R$167</f>
        <v>22296.014999999999</v>
      </c>
      <c r="S170" s="486">
        <v>0.24</v>
      </c>
      <c r="T170" s="488">
        <f>S170*T$167</f>
        <v>10192.464</v>
      </c>
      <c r="U170" s="486">
        <v>0.2</v>
      </c>
      <c r="V170" s="488">
        <f>U170*V$167</f>
        <v>18234.3</v>
      </c>
      <c r="W170" s="486">
        <v>0.05</v>
      </c>
      <c r="X170" s="488">
        <f>W170*X$167</f>
        <v>5662.4800000000005</v>
      </c>
      <c r="AA170" s="223"/>
    </row>
    <row r="171" spans="1:27">
      <c r="B171" s="489">
        <f>SUM(R176:X176)</f>
        <v>692812.99999999988</v>
      </c>
      <c r="C171" s="217"/>
      <c r="L171" s="223" t="s">
        <v>1016</v>
      </c>
      <c r="N171" s="223" t="s">
        <v>1016</v>
      </c>
      <c r="O171" s="384"/>
      <c r="P171" s="224" t="s">
        <v>88</v>
      </c>
      <c r="Q171" s="486"/>
      <c r="R171" s="488">
        <f>Q171*R$167</f>
        <v>0</v>
      </c>
      <c r="S171" s="486"/>
      <c r="T171" s="488">
        <f>S171*T$167</f>
        <v>0</v>
      </c>
      <c r="U171" s="486">
        <f>U174</f>
        <v>4.3333333333333335E-2</v>
      </c>
      <c r="V171" s="488">
        <f>U171*V$167</f>
        <v>3950.7650000000003</v>
      </c>
      <c r="W171" s="486"/>
      <c r="X171" s="488">
        <f>W171*X$167</f>
        <v>0</v>
      </c>
    </row>
    <row r="172" spans="1:27">
      <c r="L172" s="467">
        <v>0.06</v>
      </c>
      <c r="M172" t="s">
        <v>1014</v>
      </c>
      <c r="N172" s="217">
        <f>$K$163*L172</f>
        <v>42468.6</v>
      </c>
      <c r="O172" s="384">
        <f>N172/K163</f>
        <v>0.06</v>
      </c>
      <c r="P172" s="224" t="s">
        <v>87</v>
      </c>
      <c r="Q172" s="486"/>
      <c r="R172" s="488">
        <f>Q172*R$167</f>
        <v>0</v>
      </c>
      <c r="S172" s="486"/>
      <c r="T172" s="488">
        <f>S172*T$167</f>
        <v>0</v>
      </c>
      <c r="U172" s="486">
        <f>U171</f>
        <v>4.3333333333333335E-2</v>
      </c>
      <c r="V172" s="488">
        <f>U172*V$167</f>
        <v>3950.7650000000003</v>
      </c>
      <c r="W172" s="486"/>
      <c r="X172" s="488">
        <f>W172*X$167</f>
        <v>0</v>
      </c>
    </row>
    <row r="173" spans="1:27">
      <c r="L173" s="223" t="s">
        <v>1017</v>
      </c>
      <c r="N173" t="s">
        <v>1017</v>
      </c>
      <c r="O173" s="384"/>
      <c r="P173" s="224" t="s">
        <v>85</v>
      </c>
      <c r="Q173" s="486">
        <v>0.95</v>
      </c>
      <c r="R173" s="488">
        <f>Q173*R$167</f>
        <v>423624.28499999997</v>
      </c>
      <c r="S173" s="486">
        <v>0.72</v>
      </c>
      <c r="T173" s="488">
        <f>S173*T$167</f>
        <v>30577.391999999996</v>
      </c>
      <c r="U173" s="486">
        <v>0.67</v>
      </c>
      <c r="V173" s="488">
        <f>U173*V$167</f>
        <v>61084.905000000006</v>
      </c>
      <c r="W173" s="486">
        <v>0.95</v>
      </c>
      <c r="X173" s="488">
        <f>W173*X$167</f>
        <v>107587.12</v>
      </c>
    </row>
    <row r="174" spans="1:27">
      <c r="L174" s="467">
        <v>0.01</v>
      </c>
      <c r="M174" t="s">
        <v>127</v>
      </c>
      <c r="N174" s="217">
        <f>$K$163*L174</f>
        <v>7078.1</v>
      </c>
      <c r="O174" s="384">
        <f>N174/K163</f>
        <v>0.01</v>
      </c>
      <c r="P174" s="224" t="s">
        <v>86</v>
      </c>
      <c r="Q174" s="486"/>
      <c r="R174" s="488">
        <f>Q174*R$167</f>
        <v>0</v>
      </c>
      <c r="S174" s="486">
        <v>0.04</v>
      </c>
      <c r="T174" s="488">
        <f>S174*T$167</f>
        <v>1698.7439999999999</v>
      </c>
      <c r="U174" s="486">
        <f>(1-U170-U173)/3</f>
        <v>4.3333333333333335E-2</v>
      </c>
      <c r="V174" s="488">
        <f>U174*V$167</f>
        <v>3950.7650000000003</v>
      </c>
      <c r="W174" s="486"/>
      <c r="X174" s="488">
        <f>W174*X$167</f>
        <v>0</v>
      </c>
    </row>
    <row r="175" spans="1:27">
      <c r="L175" s="223" t="s">
        <v>127</v>
      </c>
      <c r="N175" s="4" t="s">
        <v>127</v>
      </c>
      <c r="O175" s="384"/>
      <c r="P175" s="224"/>
      <c r="Q175" s="486"/>
      <c r="R175" s="224"/>
      <c r="S175" s="486"/>
      <c r="T175" s="224"/>
      <c r="U175" s="486" t="s">
        <v>1018</v>
      </c>
      <c r="V175" s="224"/>
      <c r="W175" s="486"/>
      <c r="X175" s="224"/>
    </row>
    <row r="176" spans="1:27">
      <c r="L176" s="467">
        <f>1-L166-L168-L170-L172-L174</f>
        <v>2.9999999999999992E-2</v>
      </c>
      <c r="M176" t="s">
        <v>127</v>
      </c>
      <c r="N176" s="217">
        <f>$K$163*L176-(B232*1000)</f>
        <v>6234.2999999999956</v>
      </c>
      <c r="O176" s="384">
        <f>N176/K163</f>
        <v>8.8078721690849175E-3</v>
      </c>
      <c r="Q176" s="384">
        <f t="shared" ref="Q176:X176" si="28">SUM(Q170:Q174)</f>
        <v>1</v>
      </c>
      <c r="R176" s="217">
        <f t="shared" si="28"/>
        <v>445920.3</v>
      </c>
      <c r="S176" s="384">
        <f t="shared" si="28"/>
        <v>1</v>
      </c>
      <c r="T176" s="217">
        <f t="shared" si="28"/>
        <v>42468.6</v>
      </c>
      <c r="U176" s="384">
        <f t="shared" si="28"/>
        <v>1</v>
      </c>
      <c r="V176" s="217">
        <f t="shared" si="28"/>
        <v>91171.5</v>
      </c>
      <c r="W176" s="384">
        <f t="shared" si="28"/>
        <v>1</v>
      </c>
      <c r="X176" s="217">
        <f t="shared" si="28"/>
        <v>113249.59999999999</v>
      </c>
      <c r="Y176" s="217">
        <f>SUM(R176,T176,V176,X176)</f>
        <v>692809.99999999988</v>
      </c>
    </row>
    <row r="177" spans="1:24">
      <c r="L177" s="223"/>
      <c r="N177" s="489">
        <f>SUM(N166:N176)</f>
        <v>692810</v>
      </c>
    </row>
    <row r="178" spans="1:24">
      <c r="A178" s="473" t="s">
        <v>1019</v>
      </c>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80" spans="1:24">
      <c r="Q180" t="s">
        <v>1020</v>
      </c>
    </row>
    <row r="181" spans="1:24">
      <c r="K181" t="s">
        <v>988</v>
      </c>
    </row>
    <row r="182" spans="1:24">
      <c r="A182" s="483" t="s">
        <v>585</v>
      </c>
      <c r="B182" s="481" t="s">
        <v>990</v>
      </c>
      <c r="C182" s="481" t="s">
        <v>991</v>
      </c>
      <c r="D182" s="481" t="s">
        <v>992</v>
      </c>
      <c r="E182" s="481" t="s">
        <v>993</v>
      </c>
      <c r="F182" s="481" t="s">
        <v>994</v>
      </c>
      <c r="G182" s="481" t="s">
        <v>995</v>
      </c>
      <c r="H182" s="481" t="s">
        <v>996</v>
      </c>
      <c r="J182" s="222" t="s">
        <v>1021</v>
      </c>
      <c r="K182" s="468">
        <f>D200*C222</f>
        <v>23782.415999999997</v>
      </c>
      <c r="L182" s="218"/>
      <c r="M182" t="s">
        <v>47</v>
      </c>
      <c r="N182" t="s">
        <v>997</v>
      </c>
      <c r="O182" t="s">
        <v>998</v>
      </c>
    </row>
    <row r="183" spans="1:24">
      <c r="A183" s="482" t="s">
        <v>90</v>
      </c>
      <c r="B183" s="471">
        <f>R188+T188+V188+X188</f>
        <v>2336.215468776636</v>
      </c>
      <c r="C183" s="471">
        <f>B183/1000</f>
        <v>2.3362154687766359</v>
      </c>
      <c r="D183" s="471">
        <f>$R188/$B183</f>
        <v>0.27195768865502412</v>
      </c>
      <c r="E183" s="471">
        <f>$T188/$B183</f>
        <v>0.43977123896795367</v>
      </c>
      <c r="F183" s="471">
        <f>$V188/$B183</f>
        <v>0.2192024530360637</v>
      </c>
      <c r="G183" s="471">
        <f>$X188/$B183</f>
        <v>6.9068619340958509E-2</v>
      </c>
      <c r="H183" s="488">
        <f>B183/B189</f>
        <v>0.10257547963172402</v>
      </c>
      <c r="I183" s="489">
        <f>SUM(D183:G183)</f>
        <v>1</v>
      </c>
      <c r="L183" t="s">
        <v>1022</v>
      </c>
      <c r="M183" s="218" t="s">
        <v>1006</v>
      </c>
      <c r="N183" t="s">
        <v>1006</v>
      </c>
      <c r="P183" s="224"/>
      <c r="Q183" s="224"/>
      <c r="R183" s="224" t="s">
        <v>1002</v>
      </c>
      <c r="S183" s="224"/>
      <c r="T183" s="224" t="s">
        <v>1003</v>
      </c>
      <c r="U183" s="224"/>
      <c r="V183" s="224" t="s">
        <v>1004</v>
      </c>
      <c r="W183" s="224"/>
      <c r="X183" s="224" t="s">
        <v>1005</v>
      </c>
    </row>
    <row r="184" spans="1:24">
      <c r="A184" s="482" t="s">
        <v>88</v>
      </c>
      <c r="B184" s="484">
        <f>R189+T189+V189+X189</f>
        <v>110.95590167493783</v>
      </c>
      <c r="C184" s="471">
        <f>B184/1000</f>
        <v>0.11095590167493784</v>
      </c>
      <c r="D184" s="471">
        <f>$R189/$B184</f>
        <v>0</v>
      </c>
      <c r="E184" s="471">
        <f>$T189/$B184</f>
        <v>0</v>
      </c>
      <c r="F184" s="471">
        <f>$V189/$B184</f>
        <v>1</v>
      </c>
      <c r="G184" s="471">
        <f>$X189/$B184</f>
        <v>0</v>
      </c>
      <c r="H184" s="488">
        <f>B184/B189</f>
        <v>4.8717059639353504E-3</v>
      </c>
      <c r="I184" s="489">
        <f>SUM(D184:G184)</f>
        <v>1</v>
      </c>
      <c r="L184" s="467">
        <f>C215</f>
        <v>0.67</v>
      </c>
      <c r="M184" s="223">
        <f>L184*K166</f>
        <v>0.53430379746835444</v>
      </c>
      <c r="N184" s="217">
        <f>M184*K182</f>
        <v>12707.035181772151</v>
      </c>
      <c r="O184" s="384">
        <f>N184/K182</f>
        <v>0.53430379746835444</v>
      </c>
      <c r="P184" s="224"/>
      <c r="Q184" s="224"/>
      <c r="R184" s="486">
        <f>O184</f>
        <v>0.53430379746835444</v>
      </c>
      <c r="S184" s="486"/>
      <c r="T184" s="486">
        <f>O190</f>
        <v>0.18</v>
      </c>
      <c r="U184" s="486"/>
      <c r="V184" s="486">
        <f>O188</f>
        <v>0.1076644529253538</v>
      </c>
      <c r="W184" s="486"/>
      <c r="X184" s="486">
        <f>O186</f>
        <v>0.13569620253164558</v>
      </c>
    </row>
    <row r="185" spans="1:24">
      <c r="A185" s="482" t="s">
        <v>87</v>
      </c>
      <c r="B185" s="471">
        <f>R190+T190+V190+X190</f>
        <v>110.95590167493783</v>
      </c>
      <c r="C185" s="471">
        <f>B185/1000</f>
        <v>0.11095590167493784</v>
      </c>
      <c r="D185" s="471">
        <f>$R190/$B185</f>
        <v>0</v>
      </c>
      <c r="E185" s="471">
        <f>$T190/$B185</f>
        <v>0</v>
      </c>
      <c r="F185" s="471">
        <f>$V190/$B185</f>
        <v>1</v>
      </c>
      <c r="G185" s="471">
        <f>$X190/$B185</f>
        <v>0</v>
      </c>
      <c r="H185" s="488">
        <f>B185/B189</f>
        <v>4.8717059639353504E-3</v>
      </c>
      <c r="I185" s="489">
        <f>SUM(D185:G185)</f>
        <v>1</v>
      </c>
      <c r="M185" s="223" t="s">
        <v>1010</v>
      </c>
      <c r="N185" t="s">
        <v>1008</v>
      </c>
      <c r="O185" s="384"/>
      <c r="P185" s="224" t="s">
        <v>1009</v>
      </c>
      <c r="Q185" s="224"/>
      <c r="R185" s="488">
        <f>R184*$K$182</f>
        <v>12707.035181772151</v>
      </c>
      <c r="S185" s="224"/>
      <c r="T185" s="488">
        <f>T184*$K$182</f>
        <v>4280.8348799999994</v>
      </c>
      <c r="U185" s="224"/>
      <c r="V185" s="488">
        <f>V184*$K$182</f>
        <v>2560.5208078831806</v>
      </c>
      <c r="W185" s="224"/>
      <c r="X185" s="488">
        <f>X184*$K$182</f>
        <v>3227.1835382278477</v>
      </c>
    </row>
    <row r="186" spans="1:24">
      <c r="A186" s="482" t="s">
        <v>85</v>
      </c>
      <c r="B186" s="484">
        <f>R191+T191+V191+X191</f>
        <v>19935.257838881731</v>
      </c>
      <c r="C186" s="471">
        <f>B186/1000</f>
        <v>19.935257838881732</v>
      </c>
      <c r="D186" s="471">
        <f>$R191/$B186</f>
        <v>0.60554438373698527</v>
      </c>
      <c r="E186" s="471">
        <f>$T191/$B186</f>
        <v>0.15461054672633698</v>
      </c>
      <c r="F186" s="471">
        <f>$V191/$B186</f>
        <v>8.6056019698713113E-2</v>
      </c>
      <c r="G186" s="471">
        <f>$X191/$B186</f>
        <v>0.15378904983796449</v>
      </c>
      <c r="H186" s="488">
        <f>B186/B189</f>
        <v>0.87529111151557404</v>
      </c>
      <c r="I186" s="489">
        <f>SUM(D186:G186)</f>
        <v>0.99999999999999989</v>
      </c>
      <c r="K186" s="217"/>
      <c r="M186" s="223">
        <f>L184*K168</f>
        <v>0.13569620253164558</v>
      </c>
      <c r="N186" s="217">
        <f>M186*K182</f>
        <v>3227.1835382278477</v>
      </c>
      <c r="O186" s="384">
        <f>N186/K182</f>
        <v>0.13569620253164558</v>
      </c>
      <c r="P186" s="224"/>
      <c r="Q186" s="224"/>
      <c r="R186" s="488"/>
      <c r="S186" s="224"/>
      <c r="T186" s="488"/>
      <c r="U186" s="224"/>
      <c r="V186" s="488"/>
      <c r="W186" s="224"/>
      <c r="X186" s="488"/>
    </row>
    <row r="187" spans="1:24" ht="60">
      <c r="A187" s="482" t="s">
        <v>86</v>
      </c>
      <c r="B187" s="471">
        <f>R192+T192+V192+X192</f>
        <v>282.18929687493784</v>
      </c>
      <c r="C187" s="471">
        <f>B187/1000</f>
        <v>0.28218929687493782</v>
      </c>
      <c r="D187" s="471">
        <f>$R192/$B187</f>
        <v>0</v>
      </c>
      <c r="E187" s="471">
        <f>$T192/$B187</f>
        <v>0.60680329515080123</v>
      </c>
      <c r="F187" s="471">
        <f>$V192/$B187</f>
        <v>0.39319670484919866</v>
      </c>
      <c r="G187" s="471">
        <f>$X192/$B187</f>
        <v>0</v>
      </c>
      <c r="H187" s="488">
        <f>B187/B189</f>
        <v>1.2389996924831247E-2</v>
      </c>
      <c r="I187" s="489">
        <f>SUM(D187:G187)</f>
        <v>0.99999999999999989</v>
      </c>
      <c r="K187" s="217"/>
      <c r="L187" t="s">
        <v>127</v>
      </c>
      <c r="N187" s="4" t="s">
        <v>1023</v>
      </c>
      <c r="O187" s="384"/>
      <c r="P187" s="224" t="s">
        <v>1012</v>
      </c>
      <c r="Q187" s="224" t="s">
        <v>1013</v>
      </c>
      <c r="R187" s="488" t="s">
        <v>1006</v>
      </c>
      <c r="S187" s="224" t="s">
        <v>1013</v>
      </c>
      <c r="T187" s="488" t="s">
        <v>1014</v>
      </c>
      <c r="U187" s="224" t="s">
        <v>1015</v>
      </c>
      <c r="V187" s="488" t="s">
        <v>127</v>
      </c>
      <c r="W187" s="224" t="s">
        <v>1013</v>
      </c>
      <c r="X187" s="488" t="s">
        <v>1010</v>
      </c>
    </row>
    <row r="188" spans="1:24">
      <c r="H188" s="489">
        <f>SUM(H183:H187)</f>
        <v>1</v>
      </c>
      <c r="K188" s="217"/>
      <c r="L188" s="467">
        <f>C216</f>
        <v>0.15</v>
      </c>
      <c r="N188" s="217">
        <f>L188*K182-(C232*1000)</f>
        <v>2560.5208078831806</v>
      </c>
      <c r="O188" s="384">
        <f>N188/K182</f>
        <v>0.1076644529253538</v>
      </c>
      <c r="P188" s="224" t="s">
        <v>90</v>
      </c>
      <c r="Q188" s="486">
        <v>0.05</v>
      </c>
      <c r="R188" s="488">
        <f>Q188*R$185</f>
        <v>635.35175908860765</v>
      </c>
      <c r="S188" s="486">
        <v>0.24</v>
      </c>
      <c r="T188" s="488">
        <f>S188*T$185</f>
        <v>1027.4003711999999</v>
      </c>
      <c r="U188" s="486">
        <v>0.2</v>
      </c>
      <c r="V188" s="488">
        <f>U188*V$185</f>
        <v>512.1041615766361</v>
      </c>
      <c r="W188" s="486">
        <v>0.05</v>
      </c>
      <c r="X188" s="488">
        <f>W188*X$185</f>
        <v>161.35917691139241</v>
      </c>
    </row>
    <row r="189" spans="1:24">
      <c r="B189" s="489">
        <f>SUM(B183:B187)</f>
        <v>22775.574407883181</v>
      </c>
      <c r="K189" s="217"/>
      <c r="L189" s="218" t="s">
        <v>1024</v>
      </c>
      <c r="N189" t="s">
        <v>1014</v>
      </c>
      <c r="O189" s="384"/>
      <c r="P189" s="224" t="s">
        <v>88</v>
      </c>
      <c r="Q189" s="486"/>
      <c r="R189" s="488">
        <f>Q189*R$185</f>
        <v>0</v>
      </c>
      <c r="S189" s="486"/>
      <c r="T189" s="488">
        <f>S189*T$185</f>
        <v>0</v>
      </c>
      <c r="U189" s="486">
        <f>U192</f>
        <v>4.3333333333333335E-2</v>
      </c>
      <c r="V189" s="488">
        <f>U189*V$185</f>
        <v>110.95590167493783</v>
      </c>
      <c r="W189" s="486"/>
      <c r="X189" s="488">
        <f>W189*X$185</f>
        <v>0</v>
      </c>
    </row>
    <row r="190" spans="1:24">
      <c r="K190" s="217"/>
      <c r="L190" s="467">
        <f>C217</f>
        <v>0.18</v>
      </c>
      <c r="N190" s="217">
        <f>L190*K182</f>
        <v>4280.8348799999994</v>
      </c>
      <c r="O190" s="384">
        <f>N190/K182</f>
        <v>0.18</v>
      </c>
      <c r="P190" s="224" t="s">
        <v>87</v>
      </c>
      <c r="Q190" s="486"/>
      <c r="R190" s="488">
        <f>Q190*R$185</f>
        <v>0</v>
      </c>
      <c r="S190" s="486"/>
      <c r="T190" s="488">
        <f>S190*T$185</f>
        <v>0</v>
      </c>
      <c r="U190" s="486">
        <f>U189</f>
        <v>4.3333333333333335E-2</v>
      </c>
      <c r="V190" s="488">
        <f>U190*V$185</f>
        <v>110.95590167493783</v>
      </c>
      <c r="W190" s="486"/>
      <c r="X190" s="488">
        <f>W190*X$185</f>
        <v>0</v>
      </c>
    </row>
    <row r="191" spans="1:24">
      <c r="K191" s="217"/>
      <c r="N191" s="489">
        <f>SUM(N184:N190)</f>
        <v>22775.574407883178</v>
      </c>
      <c r="P191" s="224" t="s">
        <v>85</v>
      </c>
      <c r="Q191" s="486">
        <v>0.95</v>
      </c>
      <c r="R191" s="488">
        <f>Q191*R$185</f>
        <v>12071.683422683544</v>
      </c>
      <c r="S191" s="486">
        <v>0.72</v>
      </c>
      <c r="T191" s="488">
        <f>S191*T$185</f>
        <v>3082.2011135999996</v>
      </c>
      <c r="U191" s="486">
        <v>0.67</v>
      </c>
      <c r="V191" s="488">
        <f>U191*V$185</f>
        <v>1715.5489412817312</v>
      </c>
      <c r="W191" s="486">
        <v>0.95</v>
      </c>
      <c r="X191" s="488">
        <f>W191*X$185</f>
        <v>3065.824361316455</v>
      </c>
    </row>
    <row r="192" spans="1:24">
      <c r="P192" s="224" t="s">
        <v>86</v>
      </c>
      <c r="Q192" s="486"/>
      <c r="R192" s="488">
        <f>Q192*R$185</f>
        <v>0</v>
      </c>
      <c r="S192" s="486">
        <v>0.04</v>
      </c>
      <c r="T192" s="488">
        <f>S192*T$185</f>
        <v>171.23339519999999</v>
      </c>
      <c r="U192" s="486">
        <f>(1-U188-U191)/3</f>
        <v>4.3333333333333335E-2</v>
      </c>
      <c r="V192" s="488">
        <f>U192*V$185</f>
        <v>110.95590167493783</v>
      </c>
      <c r="W192" s="486"/>
      <c r="X192" s="488">
        <f>W192*X$185</f>
        <v>0</v>
      </c>
    </row>
    <row r="193" spans="1:25">
      <c r="P193" s="224"/>
      <c r="Q193" s="486"/>
      <c r="R193" s="488"/>
      <c r="S193" s="486"/>
      <c r="T193" s="488"/>
      <c r="U193" s="486" t="s">
        <v>1018</v>
      </c>
      <c r="V193" s="488"/>
      <c r="W193" s="486"/>
      <c r="X193" s="488"/>
    </row>
    <row r="194" spans="1:25">
      <c r="P194" s="224"/>
      <c r="Q194" s="486">
        <f t="shared" ref="Q194:X194" si="29">SUM(Q188:Q192)</f>
        <v>1</v>
      </c>
      <c r="R194" s="488">
        <f t="shared" si="29"/>
        <v>12707.035181772151</v>
      </c>
      <c r="S194" s="486">
        <f t="shared" si="29"/>
        <v>1</v>
      </c>
      <c r="T194" s="488">
        <f t="shared" si="29"/>
        <v>4280.8348799999994</v>
      </c>
      <c r="U194" s="486">
        <f t="shared" si="29"/>
        <v>1</v>
      </c>
      <c r="V194" s="488">
        <f t="shared" si="29"/>
        <v>2560.5208078831806</v>
      </c>
      <c r="W194" s="486">
        <f t="shared" si="29"/>
        <v>1</v>
      </c>
      <c r="X194" s="488">
        <f t="shared" si="29"/>
        <v>3227.1835382278473</v>
      </c>
      <c r="Y194" s="217">
        <f>R194+T194+V194+X194</f>
        <v>22775.574407883181</v>
      </c>
    </row>
    <row r="195" spans="1:25">
      <c r="R195" s="384"/>
    </row>
    <row r="197" spans="1:25">
      <c r="A197" s="473" t="s">
        <v>1025</v>
      </c>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spans="1:25">
      <c r="A198" t="s">
        <v>526</v>
      </c>
    </row>
    <row r="199" spans="1:25">
      <c r="A199" s="311" t="s">
        <v>1026</v>
      </c>
      <c r="B199" s="311" t="s">
        <v>1027</v>
      </c>
      <c r="C199" s="311" t="s">
        <v>101</v>
      </c>
      <c r="D199" s="311" t="s">
        <v>1028</v>
      </c>
      <c r="E199" s="311" t="s">
        <v>104</v>
      </c>
    </row>
    <row r="200" spans="1:25">
      <c r="A200" s="475" t="s">
        <v>182</v>
      </c>
      <c r="B200" s="224" t="s">
        <v>1029</v>
      </c>
      <c r="C200" s="224">
        <v>2018</v>
      </c>
      <c r="D200" s="224">
        <v>707810</v>
      </c>
      <c r="E200" s="224" t="s">
        <v>1030</v>
      </c>
    </row>
    <row r="201" spans="1:25">
      <c r="A201" s="475" t="s">
        <v>182</v>
      </c>
      <c r="B201" s="224" t="s">
        <v>1031</v>
      </c>
      <c r="C201" s="224">
        <v>2018</v>
      </c>
      <c r="D201" s="224">
        <v>310960</v>
      </c>
      <c r="E201" s="224" t="s">
        <v>1030</v>
      </c>
    </row>
    <row r="202" spans="1:25">
      <c r="A202" s="475" t="s">
        <v>182</v>
      </c>
      <c r="B202" s="224" t="s">
        <v>1032</v>
      </c>
      <c r="C202" s="224">
        <v>2018</v>
      </c>
      <c r="D202" s="224">
        <v>396850</v>
      </c>
      <c r="E202" s="224" t="s">
        <v>1030</v>
      </c>
    </row>
    <row r="203" spans="1:25">
      <c r="A203" s="475" t="s">
        <v>182</v>
      </c>
      <c r="B203" s="224" t="s">
        <v>1029</v>
      </c>
      <c r="C203" s="224">
        <v>2019</v>
      </c>
      <c r="D203" s="224">
        <v>710500</v>
      </c>
      <c r="E203" s="224" t="s">
        <v>1030</v>
      </c>
    </row>
    <row r="204" spans="1:25">
      <c r="A204" s="475" t="s">
        <v>182</v>
      </c>
      <c r="B204" s="224" t="s">
        <v>1031</v>
      </c>
      <c r="C204" s="224">
        <v>2019</v>
      </c>
      <c r="D204" s="224">
        <v>324500</v>
      </c>
      <c r="E204" s="224" t="s">
        <v>1030</v>
      </c>
    </row>
    <row r="205" spans="1:25">
      <c r="A205" s="475" t="s">
        <v>182</v>
      </c>
      <c r="B205" s="224" t="s">
        <v>1032</v>
      </c>
      <c r="C205" s="224">
        <v>2019</v>
      </c>
      <c r="D205" s="224">
        <v>397000</v>
      </c>
      <c r="E205" s="224" t="s">
        <v>1030</v>
      </c>
    </row>
    <row r="207" spans="1:25">
      <c r="A207" t="s">
        <v>1033</v>
      </c>
    </row>
    <row r="208" spans="1:25">
      <c r="A208" s="474" t="s">
        <v>47</v>
      </c>
      <c r="B208" s="474" t="s">
        <v>1026</v>
      </c>
      <c r="C208" s="474" t="s">
        <v>1034</v>
      </c>
      <c r="D208" s="474" t="s">
        <v>104</v>
      </c>
    </row>
    <row r="209" spans="1:4">
      <c r="A209" s="475" t="s">
        <v>1035</v>
      </c>
      <c r="B209" s="477" t="s">
        <v>182</v>
      </c>
      <c r="C209" s="486">
        <v>0.63</v>
      </c>
      <c r="D209" s="224" t="s">
        <v>1036</v>
      </c>
    </row>
    <row r="210" spans="1:4">
      <c r="A210" s="475" t="s">
        <v>1010</v>
      </c>
      <c r="B210" s="477" t="s">
        <v>182</v>
      </c>
      <c r="C210" s="486">
        <v>0.16</v>
      </c>
      <c r="D210" s="224" t="s">
        <v>1036</v>
      </c>
    </row>
    <row r="211" spans="1:4">
      <c r="A211" s="475" t="s">
        <v>1011</v>
      </c>
      <c r="B211" s="477" t="s">
        <v>182</v>
      </c>
      <c r="C211" s="486">
        <v>0.11</v>
      </c>
      <c r="D211" s="224" t="s">
        <v>1036</v>
      </c>
    </row>
    <row r="212" spans="1:4">
      <c r="A212" s="475" t="s">
        <v>1016</v>
      </c>
      <c r="B212" s="477" t="s">
        <v>182</v>
      </c>
      <c r="C212" s="486">
        <v>0.06</v>
      </c>
      <c r="D212" s="224" t="s">
        <v>1036</v>
      </c>
    </row>
    <row r="213" spans="1:4">
      <c r="A213" s="475" t="s">
        <v>1017</v>
      </c>
      <c r="B213" s="477" t="s">
        <v>182</v>
      </c>
      <c r="C213" s="486">
        <v>0.01</v>
      </c>
      <c r="D213" s="224" t="s">
        <v>1036</v>
      </c>
    </row>
    <row r="214" spans="1:4">
      <c r="A214" s="475" t="s">
        <v>127</v>
      </c>
      <c r="B214" s="477" t="s">
        <v>182</v>
      </c>
      <c r="C214" s="487">
        <f>1-SUM(C209:C213)</f>
        <v>3.0000000000000027E-2</v>
      </c>
      <c r="D214" s="224" t="s">
        <v>1036</v>
      </c>
    </row>
    <row r="215" spans="1:4">
      <c r="A215" s="475" t="s">
        <v>1022</v>
      </c>
      <c r="B215" s="477" t="s">
        <v>180</v>
      </c>
      <c r="C215" s="486">
        <v>0.67</v>
      </c>
      <c r="D215" s="224" t="s">
        <v>1037</v>
      </c>
    </row>
    <row r="216" spans="1:4">
      <c r="A216" s="475" t="s">
        <v>127</v>
      </c>
      <c r="B216" s="477" t="s">
        <v>180</v>
      </c>
      <c r="C216" s="486">
        <v>0.15</v>
      </c>
      <c r="D216" s="224" t="s">
        <v>1037</v>
      </c>
    </row>
    <row r="217" spans="1:4">
      <c r="A217" s="475" t="s">
        <v>1014</v>
      </c>
      <c r="B217" s="477" t="s">
        <v>180</v>
      </c>
      <c r="C217" s="486">
        <v>0.18</v>
      </c>
      <c r="D217" s="224" t="s">
        <v>1037</v>
      </c>
    </row>
    <row r="219" spans="1:4">
      <c r="A219" t="s">
        <v>1038</v>
      </c>
    </row>
    <row r="220" spans="1:4">
      <c r="A220" s="311" t="s">
        <v>1039</v>
      </c>
      <c r="B220" s="311" t="s">
        <v>101</v>
      </c>
      <c r="C220" s="476" t="s">
        <v>1028</v>
      </c>
      <c r="D220" s="311" t="s">
        <v>104</v>
      </c>
    </row>
    <row r="221" spans="1:4">
      <c r="A221" s="475" t="s">
        <v>1040</v>
      </c>
      <c r="B221" s="477">
        <v>2022</v>
      </c>
      <c r="C221" s="479">
        <f>84/1947</f>
        <v>4.3143297380585519E-2</v>
      </c>
      <c r="D221" s="477" t="s">
        <v>1041</v>
      </c>
    </row>
    <row r="222" spans="1:4">
      <c r="A222" s="475" t="s">
        <v>1042</v>
      </c>
      <c r="B222" s="477">
        <v>2022</v>
      </c>
      <c r="C222" s="478">
        <f>84/2500</f>
        <v>3.3599999999999998E-2</v>
      </c>
      <c r="D222" s="477" t="s">
        <v>1041</v>
      </c>
    </row>
    <row r="223" spans="1:4">
      <c r="A223" s="475" t="s">
        <v>1043</v>
      </c>
      <c r="B223" s="477">
        <v>2022</v>
      </c>
      <c r="C223" s="478">
        <f>1947/53300</f>
        <v>3.652908067542214E-2</v>
      </c>
      <c r="D223" s="477" t="s">
        <v>1041</v>
      </c>
    </row>
    <row r="224" spans="1:4">
      <c r="A224" s="475" t="s">
        <v>1044</v>
      </c>
      <c r="B224" s="477">
        <v>2022</v>
      </c>
      <c r="C224" s="480">
        <f>Intentionally_produced_MPs!D64/Intentionally_produced_MPs!D63</f>
        <v>6.7122772807787931E-2</v>
      </c>
      <c r="D224" s="613" t="s">
        <v>1045</v>
      </c>
    </row>
    <row r="226" spans="1:16">
      <c r="A226" t="s">
        <v>1046</v>
      </c>
    </row>
    <row r="227" spans="1:16">
      <c r="A227" s="311" t="s">
        <v>100</v>
      </c>
      <c r="B227" s="311" t="s">
        <v>1047</v>
      </c>
      <c r="C227" s="311" t="s">
        <v>1048</v>
      </c>
    </row>
    <row r="228" spans="1:16">
      <c r="A228" s="475" t="str">
        <f>Intentionally_produced_MPs!A32</f>
        <v>Controlled release fertilizer</v>
      </c>
      <c r="B228" s="477">
        <f>(Intentionally_produced_MPs!E32)/1000</f>
        <v>10</v>
      </c>
      <c r="C228" s="477">
        <f>(Intentionally_produced_MPs!E72)/1000</f>
        <v>0.67122772807787934</v>
      </c>
    </row>
    <row r="229" spans="1:16">
      <c r="A229" s="475" t="str">
        <f>Intentionally_produced_MPs!A33</f>
        <v>Fertilizer additives</v>
      </c>
      <c r="B229" s="477">
        <f>(Intentionally_produced_MPs!E33)/1000</f>
        <v>4</v>
      </c>
      <c r="C229" s="477">
        <f>(Intentionally_produced_MPs!E73)/1000</f>
        <v>0.26849109123115172</v>
      </c>
    </row>
    <row r="230" spans="1:16">
      <c r="A230" s="475" t="str">
        <f>Intentionally_produced_MPs!A34</f>
        <v>Plant protection products</v>
      </c>
      <c r="B230" s="477">
        <f>(Intentionally_produced_MPs!E34)/1000</f>
        <v>0.5</v>
      </c>
      <c r="C230" s="477">
        <f>(Intentionally_produced_MPs!E74)/1000</f>
        <v>3.3561386403893965E-2</v>
      </c>
    </row>
    <row r="231" spans="1:16">
      <c r="A231" s="475" t="str">
        <f>Intentionally_produced_MPs!A35</f>
        <v>Seed coating</v>
      </c>
      <c r="B231" s="477">
        <f>(Intentionally_produced_MPs!E35)/1000</f>
        <v>0.5</v>
      </c>
      <c r="C231" s="477">
        <f>(Intentionally_produced_MPs!E75)/1000</f>
        <v>3.3561386403893965E-2</v>
      </c>
    </row>
    <row r="232" spans="1:16">
      <c r="A232" s="311" t="s">
        <v>1049</v>
      </c>
      <c r="B232" s="311">
        <f>SUM(B228:B231)</f>
        <v>15</v>
      </c>
      <c r="C232" s="311">
        <f>SUM(C228:C231)</f>
        <v>1.006841592116819</v>
      </c>
    </row>
    <row r="234" spans="1:16" ht="15.75" thickBot="1">
      <c r="A234" s="473" t="s">
        <v>1050</v>
      </c>
      <c r="B234" s="472"/>
      <c r="C234" s="472"/>
      <c r="D234" s="472"/>
      <c r="E234" s="472"/>
      <c r="F234" s="472"/>
      <c r="G234" s="472"/>
      <c r="H234" s="472"/>
      <c r="I234" s="472"/>
      <c r="J234" s="472"/>
      <c r="K234" s="472"/>
      <c r="L234" s="472"/>
      <c r="M234" s="472"/>
      <c r="N234" s="472"/>
      <c r="O234" s="472"/>
      <c r="P234" s="472"/>
    </row>
    <row r="235" spans="1:16" ht="15.7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75" thickBot="1">
      <c r="A236" s="150" t="s">
        <v>1051</v>
      </c>
      <c r="B236" s="150" t="s">
        <v>204</v>
      </c>
      <c r="C236" s="150" t="s">
        <v>139</v>
      </c>
      <c r="D236" s="150" t="s">
        <v>139</v>
      </c>
      <c r="E236" s="662">
        <v>2.7E-4</v>
      </c>
      <c r="F236" s="347">
        <v>2</v>
      </c>
      <c r="G236" s="150"/>
      <c r="H236" s="250">
        <v>1</v>
      </c>
      <c r="I236" s="13"/>
      <c r="J236" s="13">
        <v>1</v>
      </c>
      <c r="K236" s="13">
        <v>3</v>
      </c>
      <c r="L236" s="13">
        <v>3</v>
      </c>
      <c r="M236" s="317">
        <v>3</v>
      </c>
      <c r="N236" s="405">
        <v>1.1181151966036349</v>
      </c>
      <c r="O236" t="s">
        <v>249</v>
      </c>
      <c r="P236" s="33"/>
    </row>
    <row r="237" spans="1:16" ht="15.75" thickBot="1">
      <c r="A237" s="151" t="s">
        <v>1051</v>
      </c>
      <c r="B237" s="151" t="s">
        <v>165</v>
      </c>
      <c r="C237" s="151" t="s">
        <v>139</v>
      </c>
      <c r="D237" s="151" t="s">
        <v>139</v>
      </c>
      <c r="E237" s="663">
        <f>1-E236-E238-E239-E240-E241</f>
        <v>0.90772999999999993</v>
      </c>
      <c r="F237" s="171">
        <v>1</v>
      </c>
      <c r="G237" s="151"/>
      <c r="H237" s="249"/>
      <c r="I237" s="10"/>
      <c r="J237" s="10"/>
      <c r="K237" s="10"/>
      <c r="L237" s="10"/>
      <c r="M237" s="318"/>
      <c r="N237" s="405" t="s">
        <v>249</v>
      </c>
      <c r="O237" s="350" t="s">
        <v>249</v>
      </c>
      <c r="P237" s="34"/>
    </row>
    <row r="238" spans="1:16" ht="15.75" thickBot="1">
      <c r="A238" s="151" t="s">
        <v>1051</v>
      </c>
      <c r="B238" s="151" t="s">
        <v>155</v>
      </c>
      <c r="C238" s="151" t="s">
        <v>139</v>
      </c>
      <c r="D238" s="151" t="s">
        <v>139</v>
      </c>
      <c r="E238" s="664">
        <v>0.02</v>
      </c>
      <c r="F238" s="171">
        <v>2</v>
      </c>
      <c r="G238" s="151" t="s">
        <v>1052</v>
      </c>
      <c r="H238" s="249">
        <v>1</v>
      </c>
      <c r="I238" s="10"/>
      <c r="J238" s="10">
        <v>1</v>
      </c>
      <c r="K238" s="10">
        <v>1</v>
      </c>
      <c r="L238" s="10">
        <v>1</v>
      </c>
      <c r="M238" s="318">
        <v>3</v>
      </c>
      <c r="N238" s="405">
        <v>1.0141150152164344</v>
      </c>
      <c r="O238" s="350" t="s">
        <v>249</v>
      </c>
      <c r="P238" s="34" t="s">
        <v>973</v>
      </c>
    </row>
    <row r="239" spans="1:16" ht="15.75" thickBot="1">
      <c r="A239" s="151" t="s">
        <v>1051</v>
      </c>
      <c r="B239" s="151" t="s">
        <v>146</v>
      </c>
      <c r="C239" s="151" t="s">
        <v>139</v>
      </c>
      <c r="D239" s="151" t="s">
        <v>139</v>
      </c>
      <c r="E239" s="664">
        <v>0</v>
      </c>
      <c r="F239" s="171">
        <v>2</v>
      </c>
      <c r="G239" s="151" t="s">
        <v>147</v>
      </c>
      <c r="H239" s="249"/>
      <c r="I239" s="10"/>
      <c r="J239" s="10"/>
      <c r="K239" s="10"/>
      <c r="L239" s="10"/>
      <c r="M239" s="318"/>
      <c r="N239" s="405" t="s">
        <v>249</v>
      </c>
      <c r="O239" s="350" t="s">
        <v>249</v>
      </c>
      <c r="P239" s="34"/>
    </row>
    <row r="240" spans="1:16" ht="15.75" thickBot="1">
      <c r="A240" s="151" t="s">
        <v>1051</v>
      </c>
      <c r="B240" s="151" t="s">
        <v>146</v>
      </c>
      <c r="C240" s="151" t="s">
        <v>139</v>
      </c>
      <c r="D240" s="151" t="s">
        <v>139</v>
      </c>
      <c r="E240" s="664">
        <v>3.6999999999999998E-2</v>
      </c>
      <c r="F240" s="171">
        <v>2</v>
      </c>
      <c r="G240" s="151" t="s">
        <v>148</v>
      </c>
      <c r="H240" s="249">
        <v>1</v>
      </c>
      <c r="I240" s="10"/>
      <c r="J240" s="10">
        <v>1</v>
      </c>
      <c r="K240" s="10">
        <v>1</v>
      </c>
      <c r="L240" s="10">
        <v>1</v>
      </c>
      <c r="M240" s="318">
        <v>3</v>
      </c>
      <c r="N240" s="405">
        <v>1.0141150152164344</v>
      </c>
      <c r="O240" s="350" t="s">
        <v>249</v>
      </c>
      <c r="P240" s="34"/>
    </row>
    <row r="241" spans="1:16" ht="15.75" thickBot="1">
      <c r="A241" s="340" t="s">
        <v>1051</v>
      </c>
      <c r="B241" s="340" t="s">
        <v>167</v>
      </c>
      <c r="C241" s="340" t="s">
        <v>139</v>
      </c>
      <c r="D241" s="340" t="s">
        <v>139</v>
      </c>
      <c r="E241" s="665">
        <v>3.5000000000000003E-2</v>
      </c>
      <c r="F241" s="348">
        <v>2</v>
      </c>
      <c r="G241" s="340" t="s">
        <v>199</v>
      </c>
      <c r="H241" s="344">
        <v>1</v>
      </c>
      <c r="I241" s="345"/>
      <c r="J241" s="345">
        <v>3</v>
      </c>
      <c r="K241" s="345">
        <v>3</v>
      </c>
      <c r="L241" s="345">
        <v>3</v>
      </c>
      <c r="M241" s="349">
        <v>2</v>
      </c>
      <c r="N241" s="405">
        <v>0.67101227267249941</v>
      </c>
      <c r="O241" s="350" t="s">
        <v>249</v>
      </c>
      <c r="P241" s="341"/>
    </row>
    <row r="242" spans="1:16" ht="15.75" thickBot="1">
      <c r="A242" s="230" t="s">
        <v>967</v>
      </c>
      <c r="B242" s="60" t="s">
        <v>204</v>
      </c>
      <c r="C242" s="161" t="s">
        <v>139</v>
      </c>
      <c r="D242" s="60" t="s">
        <v>139</v>
      </c>
      <c r="E242" s="571">
        <v>2.7E-4</v>
      </c>
      <c r="F242" s="234">
        <v>2</v>
      </c>
      <c r="G242" s="161" t="s">
        <v>205</v>
      </c>
      <c r="H242" s="251">
        <v>1</v>
      </c>
      <c r="I242" s="66"/>
      <c r="J242" s="66">
        <v>1</v>
      </c>
      <c r="K242" s="66">
        <v>3</v>
      </c>
      <c r="L242" s="66">
        <v>3</v>
      </c>
      <c r="M242" s="295">
        <v>3</v>
      </c>
      <c r="N242" s="405">
        <v>1.1181151966036349</v>
      </c>
      <c r="O242" s="350" t="s">
        <v>249</v>
      </c>
      <c r="P242" s="60"/>
    </row>
    <row r="243" spans="1:16" ht="15.75" thickBot="1">
      <c r="A243" s="151" t="s">
        <v>967</v>
      </c>
      <c r="B243" s="34" t="s">
        <v>165</v>
      </c>
      <c r="C243" s="40" t="s">
        <v>139</v>
      </c>
      <c r="D243" s="34" t="s">
        <v>139</v>
      </c>
      <c r="E243" s="240" t="s">
        <v>150</v>
      </c>
      <c r="F243" s="232">
        <v>1</v>
      </c>
      <c r="G243" s="40"/>
      <c r="H243" s="249"/>
      <c r="I243" s="10"/>
      <c r="J243" s="10"/>
      <c r="K243" s="10"/>
      <c r="L243" s="10"/>
      <c r="M243" s="293"/>
      <c r="N243" s="405" t="s">
        <v>249</v>
      </c>
      <c r="O243" s="350" t="s">
        <v>249</v>
      </c>
      <c r="P243" s="34"/>
    </row>
    <row r="244" spans="1:16" ht="15.75" thickBot="1">
      <c r="A244" s="151" t="s">
        <v>967</v>
      </c>
      <c r="B244" s="34" t="s">
        <v>155</v>
      </c>
      <c r="C244" s="40" t="s">
        <v>139</v>
      </c>
      <c r="D244" s="34" t="s">
        <v>139</v>
      </c>
      <c r="E244" s="240">
        <v>1E-3</v>
      </c>
      <c r="F244" s="232">
        <v>2</v>
      </c>
      <c r="G244" s="40" t="s">
        <v>157</v>
      </c>
      <c r="H244" s="249">
        <v>1</v>
      </c>
      <c r="I244" s="10"/>
      <c r="J244" s="10">
        <v>1</v>
      </c>
      <c r="K244" s="10">
        <v>1</v>
      </c>
      <c r="L244" s="10">
        <v>1</v>
      </c>
      <c r="M244" s="293">
        <v>3</v>
      </c>
      <c r="N244" s="405">
        <v>1.0141150152164344</v>
      </c>
      <c r="O244" s="350" t="s">
        <v>249</v>
      </c>
      <c r="P244" s="34"/>
    </row>
    <row r="245" spans="1:16" ht="15.75" thickBot="1">
      <c r="A245" s="151" t="s">
        <v>967</v>
      </c>
      <c r="B245" s="34" t="s">
        <v>146</v>
      </c>
      <c r="C245" s="40" t="s">
        <v>139</v>
      </c>
      <c r="D245" s="34" t="s">
        <v>139</v>
      </c>
      <c r="E245" s="240">
        <v>0</v>
      </c>
      <c r="F245" s="232">
        <v>2</v>
      </c>
      <c r="G245" s="40" t="s">
        <v>147</v>
      </c>
      <c r="H245" s="249"/>
      <c r="I245" s="10"/>
      <c r="J245" s="10"/>
      <c r="K245" s="10"/>
      <c r="L245" s="10"/>
      <c r="M245" s="293"/>
      <c r="N245" s="405" t="s">
        <v>249</v>
      </c>
      <c r="O245" s="350" t="s">
        <v>249</v>
      </c>
      <c r="P245" s="34"/>
    </row>
    <row r="246" spans="1:16" ht="15.75" thickBot="1">
      <c r="A246" s="227" t="s">
        <v>967</v>
      </c>
      <c r="B246" s="149" t="s">
        <v>146</v>
      </c>
      <c r="C246" s="153" t="s">
        <v>139</v>
      </c>
      <c r="D246" s="149" t="s">
        <v>139</v>
      </c>
      <c r="E246" s="572">
        <v>3.7999999999999999E-2</v>
      </c>
      <c r="F246" s="235">
        <v>2</v>
      </c>
      <c r="G246" s="153" t="s">
        <v>148</v>
      </c>
      <c r="H246" s="248">
        <v>1</v>
      </c>
      <c r="I246" s="15"/>
      <c r="J246" s="15">
        <v>1</v>
      </c>
      <c r="K246" s="15">
        <v>1</v>
      </c>
      <c r="L246" s="15">
        <v>1</v>
      </c>
      <c r="M246" s="296">
        <v>3</v>
      </c>
      <c r="N246" s="405">
        <v>1.0141150152164344</v>
      </c>
      <c r="O246" s="350" t="s">
        <v>249</v>
      </c>
      <c r="P246" s="149"/>
    </row>
    <row r="247" spans="1:16" ht="15.75" thickBot="1">
      <c r="A247" s="340" t="s">
        <v>967</v>
      </c>
      <c r="B247" s="341" t="s">
        <v>167</v>
      </c>
      <c r="C247" s="342" t="s">
        <v>139</v>
      </c>
      <c r="D247" s="341" t="s">
        <v>139</v>
      </c>
      <c r="E247" s="665">
        <v>3.5000000000000003E-2</v>
      </c>
      <c r="F247" s="343">
        <v>2</v>
      </c>
      <c r="G247" s="340" t="s">
        <v>199</v>
      </c>
      <c r="H247" s="344">
        <v>1</v>
      </c>
      <c r="I247" s="345"/>
      <c r="J247" s="345">
        <v>3</v>
      </c>
      <c r="K247" s="345">
        <v>3</v>
      </c>
      <c r="L247" s="345">
        <v>3</v>
      </c>
      <c r="M247" s="349">
        <v>2</v>
      </c>
      <c r="N247" s="405">
        <v>0.67101227267249941</v>
      </c>
      <c r="O247" s="350" t="s">
        <v>249</v>
      </c>
      <c r="P247" s="341"/>
    </row>
    <row r="248" spans="1:16" ht="15.75" thickBot="1">
      <c r="A248" s="150" t="s">
        <v>1053</v>
      </c>
      <c r="B248" s="33" t="s">
        <v>204</v>
      </c>
      <c r="C248" s="39" t="s">
        <v>139</v>
      </c>
      <c r="D248" s="33" t="s">
        <v>139</v>
      </c>
      <c r="E248" s="239">
        <v>2.7E-4</v>
      </c>
      <c r="F248" s="231">
        <v>2</v>
      </c>
      <c r="G248" s="39" t="s">
        <v>205</v>
      </c>
      <c r="H248" s="250">
        <v>1</v>
      </c>
      <c r="I248" s="13"/>
      <c r="J248" s="13">
        <v>1</v>
      </c>
      <c r="K248" s="13">
        <v>3</v>
      </c>
      <c r="L248" s="13">
        <v>3</v>
      </c>
      <c r="M248" s="317">
        <v>3</v>
      </c>
      <c r="N248" s="405">
        <v>1.1181151966036349</v>
      </c>
      <c r="O248" s="350" t="s">
        <v>249</v>
      </c>
      <c r="P248" s="33"/>
    </row>
    <row r="249" spans="1:16" ht="15.75" thickBot="1">
      <c r="A249" s="151" t="s">
        <v>1053</v>
      </c>
      <c r="B249" s="34" t="s">
        <v>165</v>
      </c>
      <c r="C249" s="40" t="s">
        <v>139</v>
      </c>
      <c r="D249" s="34" t="s">
        <v>139</v>
      </c>
      <c r="E249" s="666">
        <f>1-SUM(E250:E253,E248)</f>
        <v>0.92572999999999994</v>
      </c>
      <c r="F249" s="232">
        <v>1</v>
      </c>
      <c r="G249" s="40"/>
      <c r="H249" s="249"/>
      <c r="I249" s="10"/>
      <c r="J249" s="10"/>
      <c r="K249" s="10"/>
      <c r="L249" s="10"/>
      <c r="M249" s="318"/>
      <c r="N249" s="405" t="s">
        <v>249</v>
      </c>
      <c r="O249" s="350" t="s">
        <v>249</v>
      </c>
      <c r="P249" s="34"/>
    </row>
    <row r="250" spans="1:16" ht="15.75" thickBot="1">
      <c r="A250" s="151" t="s">
        <v>1053</v>
      </c>
      <c r="B250" s="34" t="s">
        <v>155</v>
      </c>
      <c r="C250" s="40" t="s">
        <v>139</v>
      </c>
      <c r="D250" s="34" t="s">
        <v>139</v>
      </c>
      <c r="E250" s="240">
        <v>1E-3</v>
      </c>
      <c r="F250" s="232">
        <v>2</v>
      </c>
      <c r="G250" s="40" t="s">
        <v>157</v>
      </c>
      <c r="H250" s="249">
        <v>1</v>
      </c>
      <c r="I250" s="10"/>
      <c r="J250" s="10">
        <v>1</v>
      </c>
      <c r="K250" s="10">
        <v>1</v>
      </c>
      <c r="L250" s="10">
        <v>1</v>
      </c>
      <c r="M250" s="318">
        <v>3</v>
      </c>
      <c r="N250" s="405">
        <v>1.0141150152164344</v>
      </c>
      <c r="O250" s="350" t="s">
        <v>249</v>
      </c>
      <c r="P250" s="34"/>
    </row>
    <row r="251" spans="1:16" ht="15.75" thickBot="1">
      <c r="A251" s="151" t="s">
        <v>1053</v>
      </c>
      <c r="B251" s="34" t="s">
        <v>146</v>
      </c>
      <c r="C251" s="40" t="s">
        <v>139</v>
      </c>
      <c r="D251" s="34" t="s">
        <v>139</v>
      </c>
      <c r="E251" s="240">
        <v>0</v>
      </c>
      <c r="F251" s="232">
        <v>2</v>
      </c>
      <c r="G251" s="40" t="s">
        <v>147</v>
      </c>
      <c r="H251" s="249"/>
      <c r="I251" s="10"/>
      <c r="J251" s="10"/>
      <c r="K251" s="10"/>
      <c r="L251" s="10"/>
      <c r="M251" s="318"/>
      <c r="N251" s="405" t="s">
        <v>249</v>
      </c>
      <c r="O251" s="350" t="s">
        <v>249</v>
      </c>
      <c r="P251" s="34"/>
    </row>
    <row r="252" spans="1:16" ht="15.75" thickBot="1">
      <c r="A252" s="151" t="s">
        <v>1053</v>
      </c>
      <c r="B252" s="34" t="s">
        <v>146</v>
      </c>
      <c r="C252" s="40" t="s">
        <v>139</v>
      </c>
      <c r="D252" s="34" t="s">
        <v>139</v>
      </c>
      <c r="E252" s="240">
        <v>3.7999999999999999E-2</v>
      </c>
      <c r="F252" s="232">
        <v>2</v>
      </c>
      <c r="G252" s="40" t="s">
        <v>148</v>
      </c>
      <c r="H252" s="249">
        <v>1</v>
      </c>
      <c r="I252" s="10"/>
      <c r="J252" s="10">
        <v>1</v>
      </c>
      <c r="K252" s="10">
        <v>1</v>
      </c>
      <c r="L252" s="10">
        <v>1</v>
      </c>
      <c r="M252" s="318">
        <v>3</v>
      </c>
      <c r="N252" s="405">
        <v>1.0141150152164344</v>
      </c>
      <c r="O252" s="350" t="s">
        <v>249</v>
      </c>
      <c r="P252" s="34"/>
    </row>
    <row r="253" spans="1:16" ht="15.75" thickBot="1">
      <c r="A253" s="340" t="s">
        <v>1053</v>
      </c>
      <c r="B253" s="341" t="s">
        <v>167</v>
      </c>
      <c r="C253" s="342" t="s">
        <v>139</v>
      </c>
      <c r="D253" s="341" t="s">
        <v>139</v>
      </c>
      <c r="E253" s="665">
        <v>3.5000000000000003E-2</v>
      </c>
      <c r="F253" s="343">
        <v>2</v>
      </c>
      <c r="G253" s="340" t="s">
        <v>199</v>
      </c>
      <c r="H253" s="344">
        <v>1</v>
      </c>
      <c r="I253" s="345"/>
      <c r="J253" s="345">
        <v>3</v>
      </c>
      <c r="K253" s="345">
        <v>3</v>
      </c>
      <c r="L253" s="345">
        <v>3</v>
      </c>
      <c r="M253" s="349">
        <v>2</v>
      </c>
      <c r="N253" s="405">
        <v>0.67101227267249941</v>
      </c>
      <c r="O253" s="350" t="s">
        <v>249</v>
      </c>
      <c r="P253" s="341"/>
    </row>
    <row r="376" spans="16:17" ht="18.75">
      <c r="P376" s="461"/>
      <c r="Q376" s="462"/>
    </row>
    <row r="377" spans="16:17">
      <c r="P377" s="463"/>
      <c r="Q377" s="464"/>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96" priority="40" operator="equal">
      <formula>1</formula>
    </cfRule>
    <cfRule type="cellIs" dxfId="95" priority="41" operator="equal">
      <formula>0</formula>
    </cfRule>
    <cfRule type="containsText" dxfId="94" priority="42" operator="containsText" text="rest">
      <formula>NOT(ISERROR(SEARCH("rest",E235)))</formula>
    </cfRule>
  </conditionalFormatting>
  <conditionalFormatting sqref="G9:K18">
    <cfRule type="cellIs" dxfId="93"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92"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91"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90"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89"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88" priority="1">
      <formula>LEN(TRIM(H52))=0</formula>
    </cfRule>
  </conditionalFormatting>
  <conditionalFormatting sqref="H236:O253">
    <cfRule type="containsBlanks" dxfId="87"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86"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85"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84" priority="79" operator="containsText" text="Actual TC">
      <formula>NOT(ISERROR(SEARCH("Actual TC",P114)))</formula>
    </cfRule>
  </conditionalFormatting>
  <conditionalFormatting sqref="P118:P149">
    <cfRule type="containsText" dxfId="83" priority="50" operator="containsText" text="Actual TC">
      <formula>NOT(ISERROR(SEARCH("Actual TC",P118)))</formula>
    </cfRule>
  </conditionalFormatting>
  <conditionalFormatting sqref="P236:P253">
    <cfRule type="containsText" dxfId="82"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1" zoomScale="85" zoomScaleNormal="85" workbookViewId="0">
      <selection activeCell="C146" sqref="C146"/>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137" t="s">
        <v>799</v>
      </c>
      <c r="B1" s="1137"/>
      <c r="C1" s="1137"/>
      <c r="D1" s="1137"/>
      <c r="E1" s="1137"/>
      <c r="F1" s="1137"/>
      <c r="G1" s="1137"/>
      <c r="H1" s="1137"/>
      <c r="I1" s="1137"/>
      <c r="J1" s="1137"/>
      <c r="K1" s="1137"/>
      <c r="L1" s="1137"/>
      <c r="M1" s="1137"/>
      <c r="N1" s="1137"/>
      <c r="O1" s="1137"/>
      <c r="P1" s="1137"/>
      <c r="Q1" s="1137"/>
      <c r="R1" s="1137"/>
      <c r="S1" s="1137"/>
      <c r="T1" s="1137"/>
      <c r="U1" s="1137"/>
      <c r="V1" s="1137"/>
      <c r="W1" s="1137"/>
      <c r="X1" s="1137"/>
      <c r="Y1" s="1137"/>
      <c r="Z1" s="1137"/>
      <c r="AA1" s="1137"/>
      <c r="AB1" s="1137"/>
      <c r="AC1" s="1137"/>
      <c r="AD1" s="1137"/>
      <c r="AE1" s="1137"/>
      <c r="AF1" s="1137"/>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138" t="s">
        <v>123</v>
      </c>
      <c r="S2" s="1138"/>
      <c r="T2" s="1138"/>
      <c r="U2" s="1125" t="s">
        <v>104</v>
      </c>
      <c r="V2" s="1125"/>
      <c r="W2" s="1125"/>
      <c r="X2" s="1125"/>
      <c r="Y2" s="1125"/>
      <c r="Z2" s="1125"/>
      <c r="AA2" s="1125"/>
      <c r="AB2" s="1125"/>
      <c r="AC2" s="1125"/>
      <c r="AD2" s="1125"/>
      <c r="AE2" s="1125"/>
      <c r="AF2" s="1125"/>
    </row>
    <row r="3" spans="1:32" s="7" customFormat="1">
      <c r="A3" s="143" t="s">
        <v>1054</v>
      </c>
      <c r="B3" s="9" t="s">
        <v>884</v>
      </c>
      <c r="C3" s="9" t="s">
        <v>884</v>
      </c>
      <c r="D3" s="188">
        <v>0</v>
      </c>
      <c r="E3" s="370">
        <f>126.1+72.95+42.1+11.6+9.34+1.01+0.046+7.02</f>
        <v>270.16599999999994</v>
      </c>
      <c r="F3" s="188">
        <v>0</v>
      </c>
      <c r="G3" s="188">
        <v>0</v>
      </c>
      <c r="H3" s="188">
        <v>0</v>
      </c>
      <c r="I3" s="188">
        <v>0</v>
      </c>
      <c r="J3" s="188">
        <v>0</v>
      </c>
      <c r="K3" s="188">
        <v>0</v>
      </c>
      <c r="L3" s="188">
        <v>440.07</v>
      </c>
      <c r="M3" s="188">
        <v>0</v>
      </c>
      <c r="N3" s="370">
        <v>1.1299999999999999</v>
      </c>
      <c r="O3" s="188">
        <v>0</v>
      </c>
      <c r="P3" s="370">
        <v>0</v>
      </c>
      <c r="Q3" s="371">
        <f>0.7+0.1+0.485+1.33</f>
        <v>2.6150000000000002</v>
      </c>
      <c r="R3" s="1221" t="s">
        <v>1055</v>
      </c>
      <c r="S3" s="1221"/>
      <c r="T3" s="1221"/>
      <c r="U3" s="1222" t="s">
        <v>1056</v>
      </c>
      <c r="V3" s="1223"/>
      <c r="W3" s="1222" t="s">
        <v>1057</v>
      </c>
      <c r="X3" s="1224"/>
      <c r="Y3" s="1224"/>
      <c r="Z3" s="1224"/>
      <c r="AA3" s="1224"/>
      <c r="AB3" s="1224"/>
      <c r="AC3" s="1224"/>
      <c r="AD3" s="1224"/>
      <c r="AE3" s="1224"/>
      <c r="AF3" s="1223"/>
    </row>
    <row r="4" spans="1:32" s="7" customFormat="1">
      <c r="A4" s="143" t="s">
        <v>227</v>
      </c>
      <c r="B4" s="9" t="s">
        <v>884</v>
      </c>
      <c r="C4" s="9" t="s">
        <v>884</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221" t="s">
        <v>1055</v>
      </c>
      <c r="S4" s="1221"/>
      <c r="T4" s="1221"/>
      <c r="U4" s="1225" t="s">
        <v>1058</v>
      </c>
      <c r="V4" s="1220"/>
      <c r="W4" s="1222" t="s">
        <v>1057</v>
      </c>
      <c r="X4" s="1224"/>
      <c r="Y4" s="1224"/>
      <c r="Z4" s="1224"/>
      <c r="AA4" s="1224"/>
      <c r="AB4" s="1224"/>
      <c r="AC4" s="1224"/>
      <c r="AD4" s="1224"/>
      <c r="AE4" s="1224"/>
      <c r="AF4" s="1223"/>
    </row>
    <row r="5" spans="1:32" s="7" customFormat="1">
      <c r="A5" s="143" t="s">
        <v>156</v>
      </c>
      <c r="B5" s="9" t="s">
        <v>884</v>
      </c>
      <c r="C5" s="9" t="s">
        <v>884</v>
      </c>
      <c r="D5" s="188">
        <v>1</v>
      </c>
      <c r="E5" s="188">
        <v>1</v>
      </c>
      <c r="F5" s="188">
        <v>1</v>
      </c>
      <c r="G5" s="188">
        <v>0</v>
      </c>
      <c r="H5" s="188">
        <v>0</v>
      </c>
      <c r="I5" s="188">
        <v>1</v>
      </c>
      <c r="J5" s="188">
        <v>0</v>
      </c>
      <c r="K5" s="188">
        <v>0</v>
      </c>
      <c r="L5" s="188">
        <v>1</v>
      </c>
      <c r="M5" s="188">
        <v>0</v>
      </c>
      <c r="N5" s="188">
        <v>1</v>
      </c>
      <c r="O5" s="188">
        <v>0</v>
      </c>
      <c r="P5" s="188">
        <v>1</v>
      </c>
      <c r="Q5" s="188">
        <v>3</v>
      </c>
      <c r="R5" s="1221" t="s">
        <v>1059</v>
      </c>
      <c r="S5" s="1221"/>
      <c r="T5" s="1221"/>
      <c r="U5" s="1219" t="s">
        <v>1060</v>
      </c>
      <c r="V5" s="1220"/>
      <c r="W5" s="1222"/>
      <c r="X5" s="1224"/>
      <c r="Y5" s="1224"/>
      <c r="Z5" s="1224"/>
      <c r="AA5" s="1224"/>
      <c r="AB5" s="1224"/>
      <c r="AC5" s="1224"/>
      <c r="AD5" s="1224"/>
      <c r="AE5" s="1224"/>
      <c r="AF5" s="1223"/>
    </row>
    <row r="6" spans="1:32" s="7" customFormat="1">
      <c r="A6" s="143" t="s">
        <v>159</v>
      </c>
      <c r="B6" s="9" t="s">
        <v>884</v>
      </c>
      <c r="C6" s="9" t="s">
        <v>884</v>
      </c>
      <c r="D6" s="188">
        <v>0</v>
      </c>
      <c r="E6" s="188">
        <v>1</v>
      </c>
      <c r="F6" s="188">
        <v>0</v>
      </c>
      <c r="G6" s="188">
        <v>0</v>
      </c>
      <c r="H6" s="188">
        <v>0</v>
      </c>
      <c r="I6" s="188">
        <v>0</v>
      </c>
      <c r="J6" s="188">
        <v>0</v>
      </c>
      <c r="K6" s="188">
        <v>0</v>
      </c>
      <c r="L6" s="188">
        <v>0</v>
      </c>
      <c r="M6" s="188">
        <v>0</v>
      </c>
      <c r="N6" s="188">
        <v>0</v>
      </c>
      <c r="O6" s="188">
        <v>0</v>
      </c>
      <c r="P6" s="188">
        <v>0</v>
      </c>
      <c r="Q6" s="188">
        <v>0</v>
      </c>
      <c r="R6" s="1221" t="s">
        <v>1059</v>
      </c>
      <c r="S6" s="1221"/>
      <c r="T6" s="1221"/>
      <c r="U6" s="1219" t="s">
        <v>1060</v>
      </c>
      <c r="V6" s="1220"/>
      <c r="W6" s="1222"/>
      <c r="X6" s="1224"/>
      <c r="Y6" s="1224"/>
      <c r="Z6" s="1224"/>
      <c r="AA6" s="1224"/>
      <c r="AB6" s="1224"/>
      <c r="AC6" s="1224"/>
      <c r="AD6" s="1224"/>
      <c r="AE6" s="1224"/>
      <c r="AF6" s="1223"/>
    </row>
    <row r="7" spans="1:32" s="7" customFormat="1">
      <c r="A7" s="143" t="s">
        <v>160</v>
      </c>
      <c r="B7" s="9" t="s">
        <v>884</v>
      </c>
      <c r="C7" s="9" t="s">
        <v>884</v>
      </c>
      <c r="D7" s="188">
        <v>1</v>
      </c>
      <c r="E7" s="188">
        <v>1</v>
      </c>
      <c r="F7" s="188">
        <v>0</v>
      </c>
      <c r="G7" s="188">
        <v>0</v>
      </c>
      <c r="H7" s="188">
        <v>0</v>
      </c>
      <c r="I7" s="188">
        <v>1</v>
      </c>
      <c r="J7" s="188">
        <v>1</v>
      </c>
      <c r="K7" s="188">
        <v>0</v>
      </c>
      <c r="L7" s="188">
        <v>1</v>
      </c>
      <c r="M7" s="188">
        <v>0</v>
      </c>
      <c r="N7" s="188">
        <v>1</v>
      </c>
      <c r="O7" s="188">
        <v>0</v>
      </c>
      <c r="P7" s="188">
        <v>1</v>
      </c>
      <c r="Q7" s="188">
        <v>1</v>
      </c>
      <c r="R7" s="1221" t="s">
        <v>1059</v>
      </c>
      <c r="S7" s="1221"/>
      <c r="T7" s="1221"/>
      <c r="U7" s="1219" t="s">
        <v>1060</v>
      </c>
      <c r="V7" s="1220"/>
      <c r="W7" s="1222"/>
      <c r="X7" s="1224"/>
      <c r="Y7" s="1224"/>
      <c r="Z7" s="1224"/>
      <c r="AA7" s="1224"/>
      <c r="AB7" s="1224"/>
      <c r="AC7" s="1224"/>
      <c r="AD7" s="1224"/>
      <c r="AE7" s="1224"/>
      <c r="AF7" s="1223"/>
    </row>
    <row r="8" spans="1:32" s="7" customFormat="1">
      <c r="A8" s="143" t="s">
        <v>161</v>
      </c>
      <c r="B8" s="9" t="s">
        <v>884</v>
      </c>
      <c r="C8" s="9" t="s">
        <v>884</v>
      </c>
      <c r="D8" s="188">
        <v>1</v>
      </c>
      <c r="E8" s="188">
        <v>1</v>
      </c>
      <c r="F8" s="188">
        <v>0</v>
      </c>
      <c r="G8" s="188">
        <v>0</v>
      </c>
      <c r="H8" s="188">
        <v>0</v>
      </c>
      <c r="I8" s="188">
        <v>1</v>
      </c>
      <c r="J8" s="188">
        <v>1</v>
      </c>
      <c r="K8" s="188">
        <v>0</v>
      </c>
      <c r="L8" s="188">
        <v>1</v>
      </c>
      <c r="M8" s="188">
        <v>0</v>
      </c>
      <c r="N8" s="188">
        <v>1</v>
      </c>
      <c r="O8" s="188">
        <v>0</v>
      </c>
      <c r="P8" s="188">
        <v>1</v>
      </c>
      <c r="Q8" s="188">
        <v>1</v>
      </c>
      <c r="R8" s="1221" t="s">
        <v>1059</v>
      </c>
      <c r="S8" s="1221"/>
      <c r="T8" s="1221"/>
      <c r="U8" s="1219" t="s">
        <v>1060</v>
      </c>
      <c r="V8" s="1220"/>
      <c r="W8" s="1222"/>
      <c r="X8" s="1224"/>
      <c r="Y8" s="1224"/>
      <c r="Z8" s="1224"/>
      <c r="AA8" s="1224"/>
      <c r="AB8" s="1224"/>
      <c r="AC8" s="1224"/>
      <c r="AD8" s="1224"/>
      <c r="AE8" s="1224"/>
      <c r="AF8" s="1223"/>
    </row>
    <row r="9" spans="1:32" s="7" customFormat="1">
      <c r="A9" s="143" t="s">
        <v>314</v>
      </c>
      <c r="B9" s="9" t="s">
        <v>884</v>
      </c>
      <c r="C9" s="9" t="s">
        <v>884</v>
      </c>
      <c r="D9" s="188">
        <v>0</v>
      </c>
      <c r="E9" s="188">
        <v>0</v>
      </c>
      <c r="F9" s="188">
        <v>0</v>
      </c>
      <c r="G9" s="188">
        <v>0</v>
      </c>
      <c r="H9" s="188">
        <v>0</v>
      </c>
      <c r="I9" s="188">
        <v>0</v>
      </c>
      <c r="J9" s="188">
        <v>0</v>
      </c>
      <c r="K9" s="188">
        <v>0</v>
      </c>
      <c r="L9" s="188">
        <v>0</v>
      </c>
      <c r="M9" s="188">
        <v>0</v>
      </c>
      <c r="N9" s="188">
        <v>0</v>
      </c>
      <c r="O9" s="188">
        <v>0</v>
      </c>
      <c r="P9" s="188">
        <v>0</v>
      </c>
      <c r="Q9" s="188">
        <v>1</v>
      </c>
      <c r="R9" s="1221" t="s">
        <v>1059</v>
      </c>
      <c r="S9" s="1221"/>
      <c r="T9" s="1221"/>
      <c r="U9" s="1219" t="s">
        <v>1060</v>
      </c>
      <c r="V9" s="1220"/>
      <c r="W9" s="1222"/>
      <c r="X9" s="1224"/>
      <c r="Y9" s="1224"/>
      <c r="Z9" s="1224"/>
      <c r="AA9" s="1224"/>
      <c r="AB9" s="1224"/>
      <c r="AC9" s="1224"/>
      <c r="AD9" s="1224"/>
      <c r="AE9" s="1224"/>
      <c r="AF9" s="1223"/>
    </row>
    <row r="10" spans="1:32" s="7" customFormat="1">
      <c r="A10" s="143" t="s">
        <v>338</v>
      </c>
      <c r="B10" s="9" t="s">
        <v>884</v>
      </c>
      <c r="C10" s="9" t="s">
        <v>884</v>
      </c>
      <c r="D10" s="188">
        <v>0</v>
      </c>
      <c r="E10" s="188">
        <v>0</v>
      </c>
      <c r="F10" s="188">
        <v>0</v>
      </c>
      <c r="G10" s="188">
        <v>0</v>
      </c>
      <c r="H10" s="188">
        <v>0</v>
      </c>
      <c r="I10" s="188">
        <v>0</v>
      </c>
      <c r="J10" s="188">
        <v>0</v>
      </c>
      <c r="K10" s="188">
        <v>0</v>
      </c>
      <c r="L10" s="188">
        <v>0</v>
      </c>
      <c r="M10" s="188">
        <v>0</v>
      </c>
      <c r="N10" s="188">
        <v>0</v>
      </c>
      <c r="O10" s="188">
        <v>0</v>
      </c>
      <c r="P10" s="188">
        <v>0</v>
      </c>
      <c r="Q10" s="188">
        <v>1</v>
      </c>
      <c r="R10" s="1221" t="s">
        <v>1059</v>
      </c>
      <c r="S10" s="1221"/>
      <c r="T10" s="1221"/>
      <c r="U10" s="1219" t="s">
        <v>1060</v>
      </c>
      <c r="V10" s="1220"/>
      <c r="W10" s="1222"/>
      <c r="X10" s="1224"/>
      <c r="Y10" s="1224"/>
      <c r="Z10" s="1224"/>
      <c r="AA10" s="1224"/>
      <c r="AB10" s="1224"/>
      <c r="AC10" s="1224"/>
      <c r="AD10" s="1224"/>
      <c r="AE10" s="1224"/>
      <c r="AF10" s="1223"/>
    </row>
    <row r="11" spans="1:32" s="7" customFormat="1">
      <c r="A11" s="143" t="s">
        <v>268</v>
      </c>
      <c r="B11" s="9" t="s">
        <v>884</v>
      </c>
      <c r="C11" s="9" t="s">
        <v>884</v>
      </c>
      <c r="D11" s="188">
        <v>0</v>
      </c>
      <c r="E11" s="188">
        <v>0</v>
      </c>
      <c r="F11" s="188">
        <v>0</v>
      </c>
      <c r="G11" s="188">
        <v>0</v>
      </c>
      <c r="H11" s="188">
        <v>0</v>
      </c>
      <c r="I11" s="188">
        <v>0</v>
      </c>
      <c r="J11" s="188">
        <v>0</v>
      </c>
      <c r="K11" s="188">
        <v>0</v>
      </c>
      <c r="L11" s="188">
        <v>0</v>
      </c>
      <c r="M11" s="188">
        <v>0</v>
      </c>
      <c r="N11" s="188">
        <v>0</v>
      </c>
      <c r="O11" s="188">
        <v>0</v>
      </c>
      <c r="P11" s="188">
        <v>0</v>
      </c>
      <c r="Q11" s="188">
        <v>1</v>
      </c>
      <c r="R11" s="1221" t="s">
        <v>1059</v>
      </c>
      <c r="S11" s="1221"/>
      <c r="T11" s="1221"/>
      <c r="U11" s="1219" t="s">
        <v>1060</v>
      </c>
      <c r="V11" s="1220"/>
      <c r="W11" s="1222"/>
      <c r="X11" s="1224"/>
      <c r="Y11" s="1224"/>
      <c r="Z11" s="1224"/>
      <c r="AA11" s="1224"/>
      <c r="AB11" s="1224"/>
      <c r="AC11" s="1224"/>
      <c r="AD11" s="1224"/>
      <c r="AE11" s="1224"/>
      <c r="AF11" s="1223"/>
    </row>
    <row r="12" spans="1:32" s="7" customFormat="1">
      <c r="A12" s="143" t="s">
        <v>362</v>
      </c>
      <c r="B12" s="9" t="s">
        <v>884</v>
      </c>
      <c r="C12" s="9" t="s">
        <v>884</v>
      </c>
      <c r="D12" s="188">
        <v>0</v>
      </c>
      <c r="E12" s="188">
        <v>0</v>
      </c>
      <c r="F12" s="188">
        <v>0</v>
      </c>
      <c r="G12" s="188">
        <v>0</v>
      </c>
      <c r="H12" s="188">
        <v>0</v>
      </c>
      <c r="I12" s="188">
        <v>0</v>
      </c>
      <c r="J12" s="188">
        <v>0</v>
      </c>
      <c r="K12" s="188">
        <v>0</v>
      </c>
      <c r="L12" s="188">
        <v>0</v>
      </c>
      <c r="M12" s="188">
        <v>0</v>
      </c>
      <c r="N12" s="188">
        <v>0</v>
      </c>
      <c r="O12" s="188">
        <v>0</v>
      </c>
      <c r="P12" s="188">
        <v>0</v>
      </c>
      <c r="Q12" s="188">
        <v>1</v>
      </c>
      <c r="R12" s="1221" t="s">
        <v>1059</v>
      </c>
      <c r="S12" s="1221"/>
      <c r="T12" s="1221"/>
      <c r="U12" s="1219" t="s">
        <v>1060</v>
      </c>
      <c r="V12" s="1220"/>
      <c r="W12" s="1222"/>
      <c r="X12" s="1224"/>
      <c r="Y12" s="1224"/>
      <c r="Z12" s="1224"/>
      <c r="AA12" s="1224"/>
      <c r="AB12" s="1224"/>
      <c r="AC12" s="1224"/>
      <c r="AD12" s="1224"/>
      <c r="AE12" s="1224"/>
      <c r="AF12" s="1223"/>
    </row>
    <row r="13" spans="1:32" s="7" customFormat="1">
      <c r="A13" s="143" t="s">
        <v>309</v>
      </c>
      <c r="B13" s="9" t="s">
        <v>884</v>
      </c>
      <c r="C13" s="9" t="s">
        <v>884</v>
      </c>
      <c r="D13" s="188">
        <v>0</v>
      </c>
      <c r="E13" s="188">
        <v>0</v>
      </c>
      <c r="F13" s="188">
        <v>0</v>
      </c>
      <c r="G13" s="188">
        <v>0</v>
      </c>
      <c r="H13" s="188">
        <v>0</v>
      </c>
      <c r="I13" s="188">
        <v>0</v>
      </c>
      <c r="J13" s="188">
        <v>0</v>
      </c>
      <c r="K13" s="188">
        <v>1</v>
      </c>
      <c r="L13" s="188">
        <v>0</v>
      </c>
      <c r="M13" s="188">
        <v>0</v>
      </c>
      <c r="N13" s="188">
        <v>0</v>
      </c>
      <c r="O13" s="188">
        <v>0</v>
      </c>
      <c r="P13" s="188">
        <v>0</v>
      </c>
      <c r="Q13" s="188">
        <v>0</v>
      </c>
      <c r="R13" s="1221" t="s">
        <v>1059</v>
      </c>
      <c r="S13" s="1221"/>
      <c r="T13" s="1221"/>
      <c r="U13" s="1219" t="s">
        <v>1060</v>
      </c>
      <c r="V13" s="1220"/>
      <c r="W13" s="1222"/>
      <c r="X13" s="1224"/>
      <c r="Y13" s="1224"/>
      <c r="Z13" s="1224"/>
      <c r="AA13" s="1224"/>
      <c r="AB13" s="1224"/>
      <c r="AC13" s="1224"/>
      <c r="AD13" s="1224"/>
      <c r="AE13" s="1224"/>
      <c r="AF13" s="1223"/>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125" t="s">
        <v>123</v>
      </c>
      <c r="S15" s="1125"/>
      <c r="T15" s="1125"/>
      <c r="U15" s="1125"/>
      <c r="V15" s="1125"/>
      <c r="W15" s="1125"/>
      <c r="X15" s="1125"/>
      <c r="Y15" s="1125"/>
      <c r="Z15" s="1125"/>
      <c r="AA15" s="1125"/>
      <c r="AB15" s="1125"/>
      <c r="AC15" s="1125"/>
      <c r="AD15" s="1125"/>
      <c r="AE15" s="1125"/>
      <c r="AF15" s="1125"/>
    </row>
    <row r="16" spans="1:32">
      <c r="A16" s="142" t="s">
        <v>1054</v>
      </c>
      <c r="B16" s="117" t="s">
        <v>884</v>
      </c>
      <c r="C16" s="117" t="s">
        <v>884</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132" t="s">
        <v>1061</v>
      </c>
      <c r="S16" s="1132"/>
      <c r="T16" s="1132"/>
      <c r="U16" s="1132"/>
      <c r="V16" s="1132"/>
      <c r="W16" s="1132"/>
      <c r="X16" s="1132"/>
      <c r="Y16" s="1132"/>
      <c r="Z16" s="1132"/>
      <c r="AA16" s="1132"/>
      <c r="AB16" s="1132"/>
      <c r="AC16" s="1132"/>
      <c r="AD16" s="1132"/>
      <c r="AE16" s="1132"/>
      <c r="AF16" s="1132"/>
    </row>
    <row r="17" spans="1:32">
      <c r="A17" s="142" t="s">
        <v>227</v>
      </c>
      <c r="B17" s="117" t="s">
        <v>884</v>
      </c>
      <c r="C17" s="117" t="s">
        <v>884</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132" t="s">
        <v>1061</v>
      </c>
      <c r="S17" s="1132"/>
      <c r="T17" s="1132"/>
      <c r="U17" s="1132"/>
      <c r="V17" s="1132"/>
      <c r="W17" s="1132"/>
      <c r="X17" s="1132"/>
      <c r="Y17" s="1132"/>
      <c r="Z17" s="1132"/>
      <c r="AA17" s="1132"/>
      <c r="AB17" s="1132"/>
      <c r="AC17" s="1132"/>
      <c r="AD17" s="1132"/>
      <c r="AE17" s="1132"/>
      <c r="AF17" s="1132"/>
    </row>
    <row r="18" spans="1:32">
      <c r="A18" s="142" t="s">
        <v>156</v>
      </c>
      <c r="B18" s="117" t="s">
        <v>884</v>
      </c>
      <c r="C18" s="117" t="s">
        <v>884</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132" t="s">
        <v>1061</v>
      </c>
      <c r="S18" s="1132"/>
      <c r="T18" s="1132"/>
      <c r="U18" s="1132"/>
      <c r="V18" s="1132"/>
      <c r="W18" s="1132"/>
      <c r="X18" s="1132"/>
      <c r="Y18" s="1132"/>
      <c r="Z18" s="1132"/>
      <c r="AA18" s="1132"/>
      <c r="AB18" s="1132"/>
      <c r="AC18" s="1132"/>
      <c r="AD18" s="1132"/>
      <c r="AE18" s="1132"/>
      <c r="AF18" s="1132"/>
    </row>
    <row r="19" spans="1:32">
      <c r="A19" s="142" t="s">
        <v>159</v>
      </c>
      <c r="B19" s="117" t="s">
        <v>884</v>
      </c>
      <c r="C19" s="117" t="s">
        <v>884</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132" t="s">
        <v>1061</v>
      </c>
      <c r="S19" s="1132"/>
      <c r="T19" s="1132"/>
      <c r="U19" s="1132"/>
      <c r="V19" s="1132"/>
      <c r="W19" s="1132"/>
      <c r="X19" s="1132"/>
      <c r="Y19" s="1132"/>
      <c r="Z19" s="1132"/>
      <c r="AA19" s="1132"/>
      <c r="AB19" s="1132"/>
      <c r="AC19" s="1132"/>
      <c r="AD19" s="1132"/>
      <c r="AE19" s="1132"/>
      <c r="AF19" s="1132"/>
    </row>
    <row r="20" spans="1:32">
      <c r="A20" s="142" t="s">
        <v>160</v>
      </c>
      <c r="B20" s="117" t="s">
        <v>884</v>
      </c>
      <c r="C20" s="117" t="s">
        <v>884</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132" t="s">
        <v>1061</v>
      </c>
      <c r="S20" s="1132"/>
      <c r="T20" s="1132"/>
      <c r="U20" s="1132"/>
      <c r="V20" s="1132"/>
      <c r="W20" s="1132"/>
      <c r="X20" s="1132"/>
      <c r="Y20" s="1132"/>
      <c r="Z20" s="1132"/>
      <c r="AA20" s="1132"/>
      <c r="AB20" s="1132"/>
      <c r="AC20" s="1132"/>
      <c r="AD20" s="1132"/>
      <c r="AE20" s="1132"/>
      <c r="AF20" s="1132"/>
    </row>
    <row r="21" spans="1:32">
      <c r="A21" s="142" t="s">
        <v>161</v>
      </c>
      <c r="B21" s="117" t="s">
        <v>884</v>
      </c>
      <c r="C21" s="117" t="s">
        <v>884</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132" t="s">
        <v>1061</v>
      </c>
      <c r="S21" s="1132"/>
      <c r="T21" s="1132"/>
      <c r="U21" s="1132"/>
      <c r="V21" s="1132"/>
      <c r="W21" s="1132"/>
      <c r="X21" s="1132"/>
      <c r="Y21" s="1132"/>
      <c r="Z21" s="1132"/>
      <c r="AA21" s="1132"/>
      <c r="AB21" s="1132"/>
      <c r="AC21" s="1132"/>
      <c r="AD21" s="1132"/>
      <c r="AE21" s="1132"/>
      <c r="AF21" s="1132"/>
    </row>
    <row r="22" spans="1:32">
      <c r="A22" s="142" t="s">
        <v>314</v>
      </c>
      <c r="B22" s="117" t="s">
        <v>884</v>
      </c>
      <c r="C22" s="117" t="s">
        <v>884</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132" t="s">
        <v>1061</v>
      </c>
      <c r="S22" s="1132"/>
      <c r="T22" s="1132"/>
      <c r="U22" s="1132"/>
      <c r="V22" s="1132"/>
      <c r="W22" s="1132"/>
      <c r="X22" s="1132"/>
      <c r="Y22" s="1132"/>
      <c r="Z22" s="1132"/>
      <c r="AA22" s="1132"/>
      <c r="AB22" s="1132"/>
      <c r="AC22" s="1132"/>
      <c r="AD22" s="1132"/>
      <c r="AE22" s="1132"/>
      <c r="AF22" s="1132"/>
    </row>
    <row r="23" spans="1:32">
      <c r="A23" s="142" t="s">
        <v>338</v>
      </c>
      <c r="B23" s="117" t="s">
        <v>884</v>
      </c>
      <c r="C23" s="117" t="s">
        <v>884</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132" t="s">
        <v>1061</v>
      </c>
      <c r="S23" s="1132"/>
      <c r="T23" s="1132"/>
      <c r="U23" s="1132"/>
      <c r="V23" s="1132"/>
      <c r="W23" s="1132"/>
      <c r="X23" s="1132"/>
      <c r="Y23" s="1132"/>
      <c r="Z23" s="1132"/>
      <c r="AA23" s="1132"/>
      <c r="AB23" s="1132"/>
      <c r="AC23" s="1132"/>
      <c r="AD23" s="1132"/>
      <c r="AE23" s="1132"/>
      <c r="AF23" s="1132"/>
    </row>
    <row r="24" spans="1:32">
      <c r="A24" s="142" t="s">
        <v>268</v>
      </c>
      <c r="B24" s="117" t="s">
        <v>884</v>
      </c>
      <c r="C24" s="117" t="s">
        <v>884</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132" t="s">
        <v>1061</v>
      </c>
      <c r="S24" s="1132"/>
      <c r="T24" s="1132"/>
      <c r="U24" s="1132"/>
      <c r="V24" s="1132"/>
      <c r="W24" s="1132"/>
      <c r="X24" s="1132"/>
      <c r="Y24" s="1132"/>
      <c r="Z24" s="1132"/>
      <c r="AA24" s="1132"/>
      <c r="AB24" s="1132"/>
      <c r="AC24" s="1132"/>
      <c r="AD24" s="1132"/>
      <c r="AE24" s="1132"/>
      <c r="AF24" s="1132"/>
    </row>
    <row r="25" spans="1:32">
      <c r="A25" s="142" t="s">
        <v>362</v>
      </c>
      <c r="B25" s="117" t="s">
        <v>884</v>
      </c>
      <c r="C25" s="117" t="s">
        <v>884</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132" t="s">
        <v>1061</v>
      </c>
      <c r="S25" s="1132"/>
      <c r="T25" s="1132"/>
      <c r="U25" s="1132"/>
      <c r="V25" s="1132"/>
      <c r="W25" s="1132"/>
      <c r="X25" s="1132"/>
      <c r="Y25" s="1132"/>
      <c r="Z25" s="1132"/>
      <c r="AA25" s="1132"/>
      <c r="AB25" s="1132"/>
      <c r="AC25" s="1132"/>
      <c r="AD25" s="1132"/>
      <c r="AE25" s="1132"/>
      <c r="AF25" s="1132"/>
    </row>
    <row r="26" spans="1:32">
      <c r="A26" s="142" t="s">
        <v>309</v>
      </c>
      <c r="B26" s="117" t="s">
        <v>884</v>
      </c>
      <c r="C26" s="117" t="s">
        <v>884</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132" t="s">
        <v>1061</v>
      </c>
      <c r="S26" s="1132"/>
      <c r="T26" s="1132"/>
      <c r="U26" s="1132"/>
      <c r="V26" s="1132"/>
      <c r="W26" s="1132"/>
      <c r="X26" s="1132"/>
      <c r="Y26" s="1132"/>
      <c r="Z26" s="1132"/>
      <c r="AA26" s="1132"/>
      <c r="AB26" s="1132"/>
      <c r="AC26" s="1132"/>
      <c r="AD26" s="1132"/>
      <c r="AE26" s="1132"/>
      <c r="AF26" s="1132"/>
    </row>
    <row r="28" spans="1:32" ht="30" customHeight="1">
      <c r="A28" s="1137" t="s">
        <v>785</v>
      </c>
      <c r="B28" s="1137"/>
      <c r="C28" s="1137"/>
      <c r="D28" s="1137"/>
      <c r="E28" s="1137"/>
      <c r="F28" s="1137"/>
      <c r="G28" s="1137"/>
      <c r="H28" s="1137"/>
      <c r="I28" s="1137"/>
      <c r="J28" s="1137"/>
      <c r="K28" s="1137"/>
      <c r="L28" s="1137"/>
      <c r="M28" s="1137"/>
      <c r="N28" s="1137"/>
      <c r="O28" s="1137"/>
      <c r="P28" s="1137"/>
      <c r="Q28" s="1137"/>
      <c r="R28" s="1137"/>
      <c r="S28" s="1137"/>
      <c r="T28" s="1137"/>
      <c r="U28" s="1137"/>
      <c r="V28" s="1137"/>
      <c r="W28" s="1137"/>
      <c r="X28" s="1137"/>
      <c r="Y28" s="1137"/>
      <c r="Z28" s="1137"/>
      <c r="AA28" s="1137"/>
      <c r="AB28" s="1137"/>
      <c r="AC28" s="1137"/>
      <c r="AD28" s="1137"/>
      <c r="AE28" s="1137"/>
      <c r="AF28" s="1137"/>
    </row>
    <row r="29" spans="1:32" ht="30" customHeight="1">
      <c r="A29" s="139" t="s">
        <v>100</v>
      </c>
      <c r="B29" s="139" t="s">
        <v>101</v>
      </c>
      <c r="C29" s="139" t="s">
        <v>131</v>
      </c>
      <c r="D29" s="139" t="s">
        <v>1062</v>
      </c>
      <c r="E29" s="139" t="s">
        <v>1063</v>
      </c>
      <c r="F29" s="139" t="s">
        <v>1064</v>
      </c>
      <c r="G29" s="1143" t="s">
        <v>104</v>
      </c>
      <c r="H29" s="1144"/>
      <c r="I29" s="1144"/>
      <c r="J29" s="1144"/>
      <c r="K29" s="1144"/>
      <c r="L29" s="1145"/>
      <c r="M29" s="1125" t="s">
        <v>896</v>
      </c>
      <c r="N29" s="1125"/>
      <c r="O29" s="1125"/>
      <c r="P29" s="1125"/>
      <c r="Q29" s="1125"/>
      <c r="R29" s="1125" t="s">
        <v>123</v>
      </c>
      <c r="S29" s="1125"/>
      <c r="T29" s="1125"/>
      <c r="U29" s="1125"/>
      <c r="V29" s="1125"/>
      <c r="W29" s="1125"/>
      <c r="X29" s="1125"/>
      <c r="Y29" s="1125"/>
      <c r="Z29" s="1125"/>
      <c r="AA29" s="1125"/>
      <c r="AB29" s="1125"/>
      <c r="AC29" s="1125"/>
      <c r="AD29" s="1125"/>
      <c r="AE29" s="1125"/>
      <c r="AF29" s="1125"/>
    </row>
    <row r="30" spans="1:32">
      <c r="A30" s="142" t="s">
        <v>1054</v>
      </c>
      <c r="B30" s="117">
        <v>2020</v>
      </c>
      <c r="C30" s="117" t="s">
        <v>182</v>
      </c>
      <c r="D30" s="130">
        <v>4000</v>
      </c>
      <c r="E30" s="130">
        <v>8700</v>
      </c>
      <c r="F30" s="130">
        <v>13400</v>
      </c>
      <c r="G30" s="1132" t="s">
        <v>1065</v>
      </c>
      <c r="H30" s="1132"/>
      <c r="I30" s="1132"/>
      <c r="J30" s="1174" t="s">
        <v>1066</v>
      </c>
      <c r="K30" s="1174"/>
      <c r="L30" s="1174"/>
      <c r="M30" s="1132" t="s">
        <v>1067</v>
      </c>
      <c r="N30" s="1132"/>
      <c r="O30" s="1132"/>
      <c r="P30" s="1132"/>
      <c r="Q30" s="1132"/>
      <c r="R30" s="1132"/>
      <c r="S30" s="1132"/>
      <c r="T30" s="1132"/>
      <c r="U30" s="1132"/>
      <c r="V30" s="1132"/>
      <c r="W30" s="1132"/>
      <c r="X30" s="1132"/>
      <c r="Y30" s="1132"/>
      <c r="Z30" s="1132"/>
      <c r="AA30" s="1132"/>
      <c r="AB30" s="1132"/>
      <c r="AC30" s="1132"/>
      <c r="AD30" s="1132"/>
      <c r="AE30" s="1132"/>
      <c r="AF30" s="1132"/>
    </row>
    <row r="31" spans="1:32">
      <c r="A31" s="142" t="s">
        <v>227</v>
      </c>
      <c r="B31" s="117">
        <v>2020</v>
      </c>
      <c r="C31" s="117" t="s">
        <v>182</v>
      </c>
      <c r="D31" s="130">
        <v>11200</v>
      </c>
      <c r="E31" s="130">
        <v>16900</v>
      </c>
      <c r="F31" s="130">
        <v>22800</v>
      </c>
      <c r="G31" s="1132" t="s">
        <v>1068</v>
      </c>
      <c r="H31" s="1132"/>
      <c r="I31" s="1132"/>
      <c r="J31" s="1174" t="s">
        <v>1066</v>
      </c>
      <c r="K31" s="1174"/>
      <c r="L31" s="1174"/>
      <c r="M31" s="1132" t="s">
        <v>1067</v>
      </c>
      <c r="N31" s="1132"/>
      <c r="O31" s="1132"/>
      <c r="P31" s="1132"/>
      <c r="Q31" s="1132"/>
      <c r="R31" s="1132"/>
      <c r="S31" s="1132"/>
      <c r="T31" s="1132"/>
      <c r="U31" s="1132"/>
      <c r="V31" s="1132"/>
      <c r="W31" s="1132"/>
      <c r="X31" s="1132"/>
      <c r="Y31" s="1132"/>
      <c r="Z31" s="1132"/>
      <c r="AA31" s="1132"/>
      <c r="AB31" s="1132"/>
      <c r="AC31" s="1132"/>
      <c r="AD31" s="1132"/>
      <c r="AE31" s="1132"/>
      <c r="AF31" s="1132"/>
    </row>
    <row r="32" spans="1:32">
      <c r="A32" s="142" t="s">
        <v>156</v>
      </c>
      <c r="B32" s="117">
        <v>2020</v>
      </c>
      <c r="C32" s="117" t="s">
        <v>182</v>
      </c>
      <c r="D32" s="130">
        <v>1000</v>
      </c>
      <c r="E32" s="130">
        <v>10000</v>
      </c>
      <c r="F32" s="130">
        <v>17000</v>
      </c>
      <c r="G32" s="1132" t="s">
        <v>1069</v>
      </c>
      <c r="H32" s="1132"/>
      <c r="I32" s="1132"/>
      <c r="J32" s="1174" t="s">
        <v>1066</v>
      </c>
      <c r="K32" s="1174"/>
      <c r="L32" s="1174"/>
      <c r="M32" s="1132" t="s">
        <v>1070</v>
      </c>
      <c r="N32" s="1132"/>
      <c r="O32" s="1132"/>
      <c r="P32" s="1132"/>
      <c r="Q32" s="1132"/>
      <c r="R32" s="1132"/>
      <c r="S32" s="1132"/>
      <c r="T32" s="1132"/>
      <c r="U32" s="1132"/>
      <c r="V32" s="1132"/>
      <c r="W32" s="1132"/>
      <c r="X32" s="1132"/>
      <c r="Y32" s="1132"/>
      <c r="Z32" s="1132"/>
      <c r="AA32" s="1132"/>
      <c r="AB32" s="1132"/>
      <c r="AC32" s="1132"/>
      <c r="AD32" s="1132"/>
      <c r="AE32" s="1132"/>
      <c r="AF32" s="1132"/>
    </row>
    <row r="33" spans="1:32">
      <c r="A33" s="142" t="s">
        <v>159</v>
      </c>
      <c r="B33" s="117">
        <v>2020</v>
      </c>
      <c r="C33" s="117" t="s">
        <v>182</v>
      </c>
      <c r="D33" s="130">
        <v>2000</v>
      </c>
      <c r="E33" s="130">
        <v>4000</v>
      </c>
      <c r="F33" s="130">
        <v>6000</v>
      </c>
      <c r="G33" s="1132" t="s">
        <v>1071</v>
      </c>
      <c r="H33" s="1132"/>
      <c r="I33" s="1132"/>
      <c r="J33" s="1174" t="s">
        <v>1066</v>
      </c>
      <c r="K33" s="1174"/>
      <c r="L33" s="1174"/>
      <c r="M33" s="1132" t="s">
        <v>1070</v>
      </c>
      <c r="N33" s="1132"/>
      <c r="O33" s="1132"/>
      <c r="P33" s="1132"/>
      <c r="Q33" s="1132"/>
      <c r="R33" s="1132"/>
      <c r="S33" s="1132"/>
      <c r="T33" s="1132"/>
      <c r="U33" s="1132"/>
      <c r="V33" s="1132"/>
      <c r="W33" s="1132"/>
      <c r="X33" s="1132"/>
      <c r="Y33" s="1132"/>
      <c r="Z33" s="1132"/>
      <c r="AA33" s="1132"/>
      <c r="AB33" s="1132"/>
      <c r="AC33" s="1132"/>
      <c r="AD33" s="1132"/>
      <c r="AE33" s="1132"/>
      <c r="AF33" s="1132"/>
    </row>
    <row r="34" spans="1:32">
      <c r="A34" s="142" t="s">
        <v>160</v>
      </c>
      <c r="B34" s="117">
        <v>2020</v>
      </c>
      <c r="C34" s="117" t="s">
        <v>182</v>
      </c>
      <c r="D34" s="130">
        <v>100</v>
      </c>
      <c r="E34" s="130">
        <v>500</v>
      </c>
      <c r="F34" s="130">
        <v>700</v>
      </c>
      <c r="G34" s="1132" t="s">
        <v>1072</v>
      </c>
      <c r="H34" s="1132"/>
      <c r="I34" s="1132"/>
      <c r="J34" s="1174" t="s">
        <v>1066</v>
      </c>
      <c r="K34" s="1174"/>
      <c r="L34" s="1174"/>
      <c r="M34" s="1132" t="s">
        <v>1070</v>
      </c>
      <c r="N34" s="1132"/>
      <c r="O34" s="1132"/>
      <c r="P34" s="1132"/>
      <c r="Q34" s="1132"/>
      <c r="R34" s="1132"/>
      <c r="S34" s="1132"/>
      <c r="T34" s="1132"/>
      <c r="U34" s="1132"/>
      <c r="V34" s="1132"/>
      <c r="W34" s="1132"/>
      <c r="X34" s="1132"/>
      <c r="Y34" s="1132"/>
      <c r="Z34" s="1132"/>
      <c r="AA34" s="1132"/>
      <c r="AB34" s="1132"/>
      <c r="AC34" s="1132"/>
      <c r="AD34" s="1132"/>
      <c r="AE34" s="1132"/>
      <c r="AF34" s="1132"/>
    </row>
    <row r="35" spans="1:32">
      <c r="A35" s="142" t="s">
        <v>161</v>
      </c>
      <c r="B35" s="117">
        <v>2020</v>
      </c>
      <c r="C35" s="117" t="s">
        <v>182</v>
      </c>
      <c r="D35" s="130">
        <v>250</v>
      </c>
      <c r="E35" s="130">
        <v>500</v>
      </c>
      <c r="F35" s="130">
        <v>1000</v>
      </c>
      <c r="G35" s="1132" t="s">
        <v>1073</v>
      </c>
      <c r="H35" s="1132"/>
      <c r="I35" s="1132"/>
      <c r="J35" s="1174" t="s">
        <v>1066</v>
      </c>
      <c r="K35" s="1174"/>
      <c r="L35" s="1174"/>
      <c r="M35" s="1132" t="s">
        <v>1070</v>
      </c>
      <c r="N35" s="1132"/>
      <c r="O35" s="1132"/>
      <c r="P35" s="1132"/>
      <c r="Q35" s="1132"/>
      <c r="R35" s="1132"/>
      <c r="S35" s="1132"/>
      <c r="T35" s="1132"/>
      <c r="U35" s="1132"/>
      <c r="V35" s="1132"/>
      <c r="W35" s="1132"/>
      <c r="X35" s="1132"/>
      <c r="Y35" s="1132"/>
      <c r="Z35" s="1132"/>
      <c r="AA35" s="1132"/>
      <c r="AB35" s="1132"/>
      <c r="AC35" s="1132"/>
      <c r="AD35" s="1132"/>
      <c r="AE35" s="1132"/>
      <c r="AF35" s="1132"/>
    </row>
    <row r="36" spans="1:32">
      <c r="A36" s="142" t="s">
        <v>314</v>
      </c>
      <c r="B36" s="117">
        <v>2020</v>
      </c>
      <c r="C36" s="117" t="s">
        <v>182</v>
      </c>
      <c r="D36" s="130">
        <f>E36/2</f>
        <v>52.502499999999998</v>
      </c>
      <c r="E36" s="130">
        <f>100+5+0.005</f>
        <v>105.005</v>
      </c>
      <c r="F36" s="130">
        <f>E36*2</f>
        <v>210.01</v>
      </c>
      <c r="G36" s="1226" t="s">
        <v>1074</v>
      </c>
      <c r="H36" s="1226"/>
      <c r="I36" s="1226"/>
      <c r="J36" s="1174" t="s">
        <v>1066</v>
      </c>
      <c r="K36" s="1174"/>
      <c r="L36" s="1174"/>
      <c r="M36" s="1132" t="s">
        <v>1075</v>
      </c>
      <c r="N36" s="1132"/>
      <c r="O36" s="1132"/>
      <c r="P36" s="1132"/>
      <c r="Q36" s="1132"/>
      <c r="R36" s="1132"/>
      <c r="S36" s="1132"/>
      <c r="T36" s="1132"/>
      <c r="U36" s="1132"/>
      <c r="V36" s="1132"/>
      <c r="W36" s="1132"/>
      <c r="X36" s="1132"/>
      <c r="Y36" s="1132"/>
      <c r="Z36" s="1132"/>
      <c r="AA36" s="1132"/>
      <c r="AB36" s="1132"/>
      <c r="AC36" s="1132"/>
      <c r="AD36" s="1132"/>
      <c r="AE36" s="1132"/>
      <c r="AF36" s="1132"/>
    </row>
    <row r="37" spans="1:32">
      <c r="A37" s="142" t="s">
        <v>338</v>
      </c>
      <c r="B37" s="117">
        <v>2020</v>
      </c>
      <c r="C37" s="117" t="s">
        <v>182</v>
      </c>
      <c r="D37" s="130">
        <v>800</v>
      </c>
      <c r="E37" s="130">
        <f>1600+700</f>
        <v>2300</v>
      </c>
      <c r="F37" s="130">
        <v>3700</v>
      </c>
      <c r="G37" s="1226" t="s">
        <v>1076</v>
      </c>
      <c r="H37" s="1226"/>
      <c r="I37" s="1226"/>
      <c r="J37" s="1174" t="s">
        <v>1066</v>
      </c>
      <c r="K37" s="1174"/>
      <c r="L37" s="1174"/>
      <c r="M37" s="1132" t="s">
        <v>1075</v>
      </c>
      <c r="N37" s="1132"/>
      <c r="O37" s="1132"/>
      <c r="P37" s="1132"/>
      <c r="Q37" s="1132"/>
      <c r="R37" s="1132"/>
      <c r="S37" s="1132"/>
      <c r="T37" s="1132"/>
      <c r="U37" s="1132"/>
      <c r="V37" s="1132"/>
      <c r="W37" s="1132"/>
      <c r="X37" s="1132"/>
      <c r="Y37" s="1132"/>
      <c r="Z37" s="1132"/>
      <c r="AA37" s="1132"/>
      <c r="AB37" s="1132"/>
      <c r="AC37" s="1132"/>
      <c r="AD37" s="1132"/>
      <c r="AE37" s="1132"/>
      <c r="AF37" s="1132"/>
    </row>
    <row r="38" spans="1:32">
      <c r="A38" s="142" t="s">
        <v>268</v>
      </c>
      <c r="B38" s="117">
        <v>2020</v>
      </c>
      <c r="C38" s="117" t="s">
        <v>182</v>
      </c>
      <c r="D38" s="130">
        <f>D37</f>
        <v>800</v>
      </c>
      <c r="E38" s="130">
        <f>E37</f>
        <v>2300</v>
      </c>
      <c r="F38" s="130">
        <f>F37</f>
        <v>3700</v>
      </c>
      <c r="G38" s="1229" t="s">
        <v>1077</v>
      </c>
      <c r="H38" s="1229"/>
      <c r="I38" s="1229"/>
      <c r="J38" s="1174" t="s">
        <v>1066</v>
      </c>
      <c r="K38" s="1174"/>
      <c r="L38" s="1174"/>
      <c r="M38" s="1132" t="s">
        <v>1075</v>
      </c>
      <c r="N38" s="1132"/>
      <c r="O38" s="1132"/>
      <c r="P38" s="1132"/>
      <c r="Q38" s="1132"/>
      <c r="R38" s="1132"/>
      <c r="S38" s="1132"/>
      <c r="T38" s="1132"/>
      <c r="U38" s="1132"/>
      <c r="V38" s="1132"/>
      <c r="W38" s="1132"/>
      <c r="X38" s="1132"/>
      <c r="Y38" s="1132"/>
      <c r="Z38" s="1132"/>
      <c r="AA38" s="1132"/>
      <c r="AB38" s="1132"/>
      <c r="AC38" s="1132"/>
      <c r="AD38" s="1132"/>
      <c r="AE38" s="1132"/>
      <c r="AF38" s="1132"/>
    </row>
    <row r="39" spans="1:32">
      <c r="A39" s="142" t="s">
        <v>362</v>
      </c>
      <c r="B39" s="117">
        <v>2020</v>
      </c>
      <c r="C39" s="117" t="s">
        <v>182</v>
      </c>
      <c r="D39" s="130">
        <f>E39/2</f>
        <v>897.5</v>
      </c>
      <c r="E39" s="130">
        <v>1795</v>
      </c>
      <c r="F39" s="130">
        <f>E39*2</f>
        <v>3590</v>
      </c>
      <c r="G39" s="1132" t="s">
        <v>1078</v>
      </c>
      <c r="H39" s="1132"/>
      <c r="I39" s="1132"/>
      <c r="J39" s="1174" t="s">
        <v>1066</v>
      </c>
      <c r="K39" s="1174"/>
      <c r="L39" s="1174"/>
      <c r="M39" s="1132" t="s">
        <v>1079</v>
      </c>
      <c r="N39" s="1132"/>
      <c r="O39" s="1132"/>
      <c r="P39" s="1132"/>
      <c r="Q39" s="1132"/>
      <c r="R39" s="1132"/>
      <c r="S39" s="1132"/>
      <c r="T39" s="1132"/>
      <c r="U39" s="1132"/>
      <c r="V39" s="1132"/>
      <c r="W39" s="1132"/>
      <c r="X39" s="1132"/>
      <c r="Y39" s="1132"/>
      <c r="Z39" s="1132"/>
      <c r="AA39" s="1132"/>
      <c r="AB39" s="1132"/>
      <c r="AC39" s="1132"/>
      <c r="AD39" s="1132"/>
      <c r="AE39" s="1132"/>
      <c r="AF39" s="1132"/>
    </row>
    <row r="40" spans="1:32">
      <c r="A40" s="142" t="s">
        <v>309</v>
      </c>
      <c r="B40" s="117">
        <v>2020</v>
      </c>
      <c r="C40" s="117" t="s">
        <v>182</v>
      </c>
      <c r="D40" s="374">
        <v>46000</v>
      </c>
      <c r="E40" s="374">
        <f>AVERAGE(D40,F40)</f>
        <v>115500</v>
      </c>
      <c r="F40" s="374">
        <v>185000</v>
      </c>
      <c r="G40" s="1229" t="s">
        <v>1080</v>
      </c>
      <c r="H40" s="1229"/>
      <c r="I40" s="1229"/>
      <c r="J40" s="1174" t="s">
        <v>1066</v>
      </c>
      <c r="K40" s="1174"/>
      <c r="L40" s="1174"/>
      <c r="M40" s="1132" t="s">
        <v>1081</v>
      </c>
      <c r="N40" s="1132"/>
      <c r="O40" s="1132"/>
      <c r="P40" s="1132"/>
      <c r="Q40" s="1132"/>
      <c r="R40" s="1132"/>
      <c r="S40" s="1132"/>
      <c r="T40" s="1132"/>
      <c r="U40" s="1132"/>
      <c r="V40" s="1132"/>
      <c r="W40" s="1132"/>
      <c r="X40" s="1132"/>
      <c r="Y40" s="1132"/>
      <c r="Z40" s="1132"/>
      <c r="AA40" s="1132"/>
      <c r="AB40" s="1132"/>
      <c r="AC40" s="1132"/>
      <c r="AD40" s="1132"/>
      <c r="AE40" s="1132"/>
      <c r="AF40" s="1132"/>
    </row>
    <row r="41" spans="1:32">
      <c r="A41" s="138" t="s">
        <v>1082</v>
      </c>
      <c r="B41" s="127">
        <v>2020</v>
      </c>
      <c r="C41" s="127" t="s">
        <v>182</v>
      </c>
      <c r="D41" s="137">
        <f>SUM(D30:D40)</f>
        <v>67100.002500000002</v>
      </c>
      <c r="E41" s="137">
        <f>SUM(E30:E40)</f>
        <v>162600.005</v>
      </c>
      <c r="F41" s="137">
        <f>SUM(F30:F40)</f>
        <v>257100.01</v>
      </c>
      <c r="G41" s="1198"/>
      <c r="H41" s="1198"/>
      <c r="I41" s="1198"/>
      <c r="J41" s="1132"/>
      <c r="K41" s="1132"/>
      <c r="L41" s="1132"/>
      <c r="M41" s="1132"/>
      <c r="N41" s="1132"/>
      <c r="O41" s="1132"/>
      <c r="P41" s="1132"/>
      <c r="Q41" s="1132"/>
      <c r="R41" s="1198"/>
      <c r="S41" s="1198"/>
      <c r="T41" s="1198"/>
      <c r="U41" s="1198"/>
      <c r="V41" s="1198"/>
      <c r="W41" s="1198"/>
      <c r="X41" s="1198"/>
      <c r="Y41" s="1198"/>
      <c r="Z41" s="1198"/>
      <c r="AA41" s="1198"/>
      <c r="AB41" s="1198"/>
      <c r="AC41" s="1198"/>
      <c r="AD41" s="1198"/>
      <c r="AE41" s="1198"/>
      <c r="AF41" s="1198"/>
    </row>
    <row r="43" spans="1:32" ht="30" customHeight="1">
      <c r="A43" s="140" t="s">
        <v>100</v>
      </c>
      <c r="B43" s="140" t="s">
        <v>101</v>
      </c>
      <c r="C43" s="140" t="s">
        <v>131</v>
      </c>
      <c r="D43" s="189" t="s">
        <v>1083</v>
      </c>
      <c r="E43" s="189" t="s">
        <v>1084</v>
      </c>
      <c r="F43" s="189" t="s">
        <v>1085</v>
      </c>
      <c r="G43" s="189" t="s">
        <v>1086</v>
      </c>
      <c r="H43" s="189" t="s">
        <v>1087</v>
      </c>
      <c r="I43" s="189" t="s">
        <v>1088</v>
      </c>
      <c r="J43" s="189" t="s">
        <v>1089</v>
      </c>
      <c r="K43" s="189" t="s">
        <v>1090</v>
      </c>
      <c r="L43" s="189" t="s">
        <v>1091</v>
      </c>
      <c r="M43" s="189" t="s">
        <v>1092</v>
      </c>
      <c r="N43" s="189" t="s">
        <v>1093</v>
      </c>
      <c r="O43" s="189" t="s">
        <v>1094</v>
      </c>
      <c r="P43" s="189" t="s">
        <v>1095</v>
      </c>
      <c r="Q43" s="189" t="s">
        <v>1096</v>
      </c>
      <c r="R43" s="1125" t="s">
        <v>123</v>
      </c>
      <c r="S43" s="1125"/>
      <c r="T43" s="1125"/>
      <c r="U43" s="1125"/>
      <c r="V43" s="1125"/>
      <c r="W43" s="1125"/>
      <c r="X43" s="1125"/>
      <c r="Y43" s="1125"/>
      <c r="Z43" s="1125"/>
      <c r="AA43" s="1125"/>
      <c r="AB43" s="1125"/>
      <c r="AC43" s="1125"/>
      <c r="AD43" s="1125"/>
      <c r="AE43" s="1125"/>
      <c r="AF43" s="1125"/>
    </row>
    <row r="44" spans="1:32">
      <c r="A44" s="142" t="s">
        <v>1054</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132"/>
      <c r="S44" s="1132"/>
      <c r="T44" s="1132"/>
      <c r="U44" s="1132"/>
      <c r="V44" s="1132"/>
      <c r="W44" s="1132"/>
      <c r="X44" s="1132"/>
      <c r="Y44" s="1132"/>
      <c r="Z44" s="1132"/>
      <c r="AA44" s="1132"/>
      <c r="AB44" s="1132"/>
      <c r="AC44" s="1132"/>
      <c r="AD44" s="1132"/>
      <c r="AE44" s="1132"/>
      <c r="AF44" s="1132"/>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132"/>
      <c r="S45" s="1132"/>
      <c r="T45" s="1132"/>
      <c r="U45" s="1132"/>
      <c r="V45" s="1132"/>
      <c r="W45" s="1132"/>
      <c r="X45" s="1132"/>
      <c r="Y45" s="1132"/>
      <c r="Z45" s="1132"/>
      <c r="AA45" s="1132"/>
      <c r="AB45" s="1132"/>
      <c r="AC45" s="1132"/>
      <c r="AD45" s="1132"/>
      <c r="AE45" s="1132"/>
      <c r="AF45" s="1132"/>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132"/>
      <c r="S46" s="1132"/>
      <c r="T46" s="1132"/>
      <c r="U46" s="1132"/>
      <c r="V46" s="1132"/>
      <c r="W46" s="1132"/>
      <c r="X46" s="1132"/>
      <c r="Y46" s="1132"/>
      <c r="Z46" s="1132"/>
      <c r="AA46" s="1132"/>
      <c r="AB46" s="1132"/>
      <c r="AC46" s="1132"/>
      <c r="AD46" s="1132"/>
      <c r="AE46" s="1132"/>
      <c r="AF46" s="1132"/>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132"/>
      <c r="S47" s="1132"/>
      <c r="T47" s="1132"/>
      <c r="U47" s="1132"/>
      <c r="V47" s="1132"/>
      <c r="W47" s="1132"/>
      <c r="X47" s="1132"/>
      <c r="Y47" s="1132"/>
      <c r="Z47" s="1132"/>
      <c r="AA47" s="1132"/>
      <c r="AB47" s="1132"/>
      <c r="AC47" s="1132"/>
      <c r="AD47" s="1132"/>
      <c r="AE47" s="1132"/>
      <c r="AF47" s="1132"/>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132"/>
      <c r="S48" s="1132"/>
      <c r="T48" s="1132"/>
      <c r="U48" s="1132"/>
      <c r="V48" s="1132"/>
      <c r="W48" s="1132"/>
      <c r="X48" s="1132"/>
      <c r="Y48" s="1132"/>
      <c r="Z48" s="1132"/>
      <c r="AA48" s="1132"/>
      <c r="AB48" s="1132"/>
      <c r="AC48" s="1132"/>
      <c r="AD48" s="1132"/>
      <c r="AE48" s="1132"/>
      <c r="AF48" s="1132"/>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132"/>
      <c r="S49" s="1132"/>
      <c r="T49" s="1132"/>
      <c r="U49" s="1132"/>
      <c r="V49" s="1132"/>
      <c r="W49" s="1132"/>
      <c r="X49" s="1132"/>
      <c r="Y49" s="1132"/>
      <c r="Z49" s="1132"/>
      <c r="AA49" s="1132"/>
      <c r="AB49" s="1132"/>
      <c r="AC49" s="1132"/>
      <c r="AD49" s="1132"/>
      <c r="AE49" s="1132"/>
      <c r="AF49" s="1132"/>
    </row>
    <row r="50" spans="1:32">
      <c r="A50" s="142" t="s">
        <v>314</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132"/>
      <c r="S50" s="1132"/>
      <c r="T50" s="1132"/>
      <c r="U50" s="1132"/>
      <c r="V50" s="1132"/>
      <c r="W50" s="1132"/>
      <c r="X50" s="1132"/>
      <c r="Y50" s="1132"/>
      <c r="Z50" s="1132"/>
      <c r="AA50" s="1132"/>
      <c r="AB50" s="1132"/>
      <c r="AC50" s="1132"/>
      <c r="AD50" s="1132"/>
      <c r="AE50" s="1132"/>
      <c r="AF50" s="1132"/>
    </row>
    <row r="51" spans="1:32">
      <c r="A51" s="142" t="s">
        <v>338</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132"/>
      <c r="S51" s="1132"/>
      <c r="T51" s="1132"/>
      <c r="U51" s="1132"/>
      <c r="V51" s="1132"/>
      <c r="W51" s="1132"/>
      <c r="X51" s="1132"/>
      <c r="Y51" s="1132"/>
      <c r="Z51" s="1132"/>
      <c r="AA51" s="1132"/>
      <c r="AB51" s="1132"/>
      <c r="AC51" s="1132"/>
      <c r="AD51" s="1132"/>
      <c r="AE51" s="1132"/>
      <c r="AF51" s="1132"/>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132"/>
      <c r="S52" s="1132"/>
      <c r="T52" s="1132"/>
      <c r="U52" s="1132"/>
      <c r="V52" s="1132"/>
      <c r="W52" s="1132"/>
      <c r="X52" s="1132"/>
      <c r="Y52" s="1132"/>
      <c r="Z52" s="1132"/>
      <c r="AA52" s="1132"/>
      <c r="AB52" s="1132"/>
      <c r="AC52" s="1132"/>
      <c r="AD52" s="1132"/>
      <c r="AE52" s="1132"/>
      <c r="AF52" s="1132"/>
    </row>
    <row r="53" spans="1:32">
      <c r="A53" s="142" t="s">
        <v>362</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132"/>
      <c r="S53" s="1132"/>
      <c r="T53" s="1132"/>
      <c r="U53" s="1132"/>
      <c r="V53" s="1132"/>
      <c r="W53" s="1132"/>
      <c r="X53" s="1132"/>
      <c r="Y53" s="1132"/>
      <c r="Z53" s="1132"/>
      <c r="AA53" s="1132"/>
      <c r="AB53" s="1132"/>
      <c r="AC53" s="1132"/>
      <c r="AD53" s="1132"/>
      <c r="AE53" s="1132"/>
      <c r="AF53" s="1132"/>
    </row>
    <row r="54" spans="1:32">
      <c r="A54" s="142" t="s">
        <v>309</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132"/>
      <c r="S54" s="1132"/>
      <c r="T54" s="1132"/>
      <c r="U54" s="1132"/>
      <c r="V54" s="1132"/>
      <c r="W54" s="1132"/>
      <c r="X54" s="1132"/>
      <c r="Y54" s="1132"/>
      <c r="Z54" s="1132"/>
      <c r="AA54" s="1132"/>
      <c r="AB54" s="1132"/>
      <c r="AC54" s="1132"/>
      <c r="AD54" s="1132"/>
      <c r="AE54" s="1132"/>
      <c r="AF54" s="1132"/>
    </row>
    <row r="55" spans="1:32">
      <c r="A55" s="138" t="s">
        <v>1082</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132"/>
      <c r="S55" s="1132"/>
      <c r="T55" s="1132"/>
      <c r="U55" s="1132"/>
      <c r="V55" s="1132"/>
      <c r="W55" s="1132"/>
      <c r="X55" s="1132"/>
      <c r="Y55" s="1132"/>
      <c r="Z55" s="1132"/>
      <c r="AA55" s="1132"/>
      <c r="AB55" s="1132"/>
      <c r="AC55" s="1132"/>
      <c r="AD55" s="1132"/>
      <c r="AE55" s="1132"/>
      <c r="AF55" s="1132"/>
    </row>
    <row r="56" spans="1:32" ht="30" customHeight="1">
      <c r="A56" s="140" t="s">
        <v>100</v>
      </c>
      <c r="B56" s="140" t="s">
        <v>101</v>
      </c>
      <c r="C56" s="140" t="s">
        <v>131</v>
      </c>
      <c r="D56" s="189" t="s">
        <v>902</v>
      </c>
      <c r="E56" s="189" t="s">
        <v>903</v>
      </c>
      <c r="F56" s="189" t="s">
        <v>904</v>
      </c>
      <c r="G56" s="189" t="s">
        <v>905</v>
      </c>
      <c r="H56" s="189" t="s">
        <v>906</v>
      </c>
      <c r="I56" s="189" t="s">
        <v>907</v>
      </c>
      <c r="J56" s="189" t="s">
        <v>908</v>
      </c>
      <c r="K56" s="189" t="s">
        <v>1097</v>
      </c>
      <c r="L56" s="189" t="s">
        <v>1098</v>
      </c>
      <c r="M56" s="189" t="s">
        <v>1099</v>
      </c>
      <c r="N56" s="189" t="s">
        <v>909</v>
      </c>
      <c r="O56" s="189" t="s">
        <v>1100</v>
      </c>
      <c r="P56" s="189" t="s">
        <v>1101</v>
      </c>
      <c r="Q56" s="189" t="s">
        <v>1102</v>
      </c>
      <c r="R56" s="1125" t="s">
        <v>123</v>
      </c>
      <c r="S56" s="1125"/>
      <c r="T56" s="1125"/>
      <c r="U56" s="1125"/>
      <c r="V56" s="1125"/>
      <c r="W56" s="1125"/>
      <c r="X56" s="1125"/>
      <c r="Y56" s="1125"/>
      <c r="Z56" s="1125"/>
      <c r="AA56" s="1125"/>
      <c r="AB56" s="1125"/>
      <c r="AC56" s="1125"/>
      <c r="AD56" s="1125"/>
      <c r="AE56" s="1125"/>
      <c r="AF56" s="1125"/>
    </row>
    <row r="57" spans="1:32">
      <c r="A57" s="138" t="s">
        <v>1103</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132" t="s">
        <v>1104</v>
      </c>
      <c r="S57" s="1132"/>
      <c r="T57" s="1132"/>
      <c r="U57" s="1132"/>
      <c r="V57" s="1132"/>
      <c r="W57" s="1132"/>
      <c r="X57" s="1132"/>
      <c r="Y57" s="1132"/>
      <c r="Z57" s="1132"/>
      <c r="AA57" s="1132"/>
      <c r="AB57" s="1132"/>
      <c r="AC57" s="1132"/>
      <c r="AD57" s="1132"/>
      <c r="AE57" s="1132"/>
      <c r="AF57" s="1132"/>
    </row>
    <row r="59" spans="1:32" s="193" customFormat="1" ht="30" customHeight="1">
      <c r="A59" s="1123" t="s">
        <v>1105</v>
      </c>
      <c r="B59" s="1124"/>
      <c r="C59" s="1124"/>
      <c r="D59" s="1124"/>
      <c r="E59" s="1124"/>
      <c r="F59" s="1124"/>
      <c r="G59" s="1124"/>
      <c r="H59" s="1124"/>
      <c r="I59" s="1124"/>
      <c r="J59" s="1124"/>
      <c r="K59" s="1124"/>
      <c r="L59" s="1124"/>
      <c r="M59" s="1124"/>
      <c r="N59" s="1124"/>
      <c r="O59" s="1124"/>
      <c r="P59" s="1124"/>
      <c r="Q59" s="1124"/>
      <c r="R59" s="1124"/>
      <c r="S59" s="1124"/>
      <c r="T59" s="1124"/>
      <c r="U59" s="1124"/>
      <c r="V59" s="1124"/>
      <c r="W59" s="1124"/>
      <c r="X59" s="1124"/>
      <c r="Y59" s="1124"/>
      <c r="Z59" s="1124"/>
      <c r="AA59" s="1124"/>
      <c r="AB59" s="1124"/>
      <c r="AC59" s="1124"/>
      <c r="AD59" s="1124"/>
      <c r="AE59" s="1124"/>
      <c r="AF59" s="1124"/>
    </row>
    <row r="60" spans="1:32" ht="30" customHeight="1">
      <c r="A60" s="140" t="s">
        <v>1106</v>
      </c>
      <c r="B60" s="140" t="s">
        <v>101</v>
      </c>
      <c r="C60" s="140" t="s">
        <v>131</v>
      </c>
      <c r="D60" s="140" t="s">
        <v>1028</v>
      </c>
      <c r="E60" s="140" t="s">
        <v>1107</v>
      </c>
      <c r="F60" s="1129" t="s">
        <v>104</v>
      </c>
      <c r="G60" s="1130"/>
      <c r="H60" s="1130"/>
      <c r="I60" s="1146"/>
      <c r="J60" s="1125" t="s">
        <v>1108</v>
      </c>
      <c r="K60" s="1125"/>
    </row>
    <row r="61" spans="1:32">
      <c r="A61" s="1199" t="s">
        <v>1109</v>
      </c>
      <c r="B61" s="1202">
        <v>2020</v>
      </c>
      <c r="C61" s="117" t="s">
        <v>182</v>
      </c>
      <c r="D61" s="117">
        <v>447485231</v>
      </c>
      <c r="E61" s="1202" t="s">
        <v>1110</v>
      </c>
      <c r="F61" s="1207" t="s">
        <v>1111</v>
      </c>
      <c r="G61" s="1208"/>
      <c r="H61" s="1208"/>
      <c r="I61" s="1209"/>
      <c r="J61" s="1201">
        <f>D62/D61</f>
        <v>3.8900915145510133E-2</v>
      </c>
      <c r="K61" s="1201"/>
    </row>
    <row r="62" spans="1:32">
      <c r="A62" s="1200"/>
      <c r="B62" s="1203"/>
      <c r="C62" s="117" t="s">
        <v>180</v>
      </c>
      <c r="D62" s="117">
        <v>17407585</v>
      </c>
      <c r="E62" s="1203"/>
      <c r="F62" s="1210"/>
      <c r="G62" s="1211"/>
      <c r="H62" s="1211"/>
      <c r="I62" s="1212"/>
      <c r="J62" s="1201"/>
      <c r="K62" s="1201"/>
    </row>
    <row r="63" spans="1:32">
      <c r="A63" s="1199" t="s">
        <v>1112</v>
      </c>
      <c r="B63" s="1202">
        <v>2022</v>
      </c>
      <c r="C63" s="117" t="s">
        <v>182</v>
      </c>
      <c r="D63" s="117">
        <v>537.44799999999998</v>
      </c>
      <c r="E63" s="1202" t="s">
        <v>1113</v>
      </c>
      <c r="F63" s="1207" t="s">
        <v>1045</v>
      </c>
      <c r="G63" s="1208"/>
      <c r="H63" s="1208"/>
      <c r="I63" s="1209"/>
      <c r="J63" s="1201">
        <f>D64/D63</f>
        <v>6.7122772807787931E-2</v>
      </c>
      <c r="K63" s="1201"/>
    </row>
    <row r="64" spans="1:32">
      <c r="A64" s="1200"/>
      <c r="B64" s="1203"/>
      <c r="C64" s="117" t="s">
        <v>180</v>
      </c>
      <c r="D64" s="117">
        <v>36.075000000000003</v>
      </c>
      <c r="E64" s="1203"/>
      <c r="F64" s="1210"/>
      <c r="G64" s="1211"/>
      <c r="H64" s="1211"/>
      <c r="I64" s="1212"/>
      <c r="J64" s="1201"/>
      <c r="K64" s="1201"/>
    </row>
    <row r="65" spans="1:32">
      <c r="A65" s="1199" t="s">
        <v>1114</v>
      </c>
      <c r="B65" s="1202">
        <v>2019</v>
      </c>
      <c r="C65" s="117" t="s">
        <v>182</v>
      </c>
      <c r="D65" s="117">
        <v>72.855500000000006</v>
      </c>
      <c r="E65" s="1202" t="s">
        <v>1113</v>
      </c>
      <c r="F65" s="1213" t="s">
        <v>1115</v>
      </c>
      <c r="G65" s="1214"/>
      <c r="H65" s="1214"/>
      <c r="I65" s="1215"/>
      <c r="J65" s="1201">
        <f>D66/D65</f>
        <v>0.12239432849956419</v>
      </c>
      <c r="K65" s="1201"/>
    </row>
    <row r="66" spans="1:32">
      <c r="A66" s="1200"/>
      <c r="B66" s="1203"/>
      <c r="C66" s="117" t="s">
        <v>180</v>
      </c>
      <c r="D66" s="117">
        <v>8.9170999999999996</v>
      </c>
      <c r="E66" s="1203"/>
      <c r="F66" s="1216"/>
      <c r="G66" s="1217"/>
      <c r="H66" s="1217"/>
      <c r="I66" s="1218"/>
      <c r="J66" s="1201"/>
      <c r="K66" s="1201"/>
    </row>
    <row r="67" spans="1:32">
      <c r="T67" s="194"/>
      <c r="AA67" s="25"/>
    </row>
    <row r="68" spans="1:32" ht="30" customHeight="1">
      <c r="A68" s="1137" t="s">
        <v>767</v>
      </c>
      <c r="B68" s="1137"/>
      <c r="C68" s="1137"/>
      <c r="D68" s="1137"/>
      <c r="E68" s="1137"/>
      <c r="F68" s="1137"/>
      <c r="G68" s="1137"/>
      <c r="H68" s="1137"/>
      <c r="I68" s="1137"/>
      <c r="J68" s="1137"/>
      <c r="K68" s="1137"/>
      <c r="L68" s="1137"/>
      <c r="M68" s="1137"/>
      <c r="N68" s="1137"/>
      <c r="O68" s="1137"/>
      <c r="P68" s="1137"/>
      <c r="Q68" s="1137"/>
      <c r="R68" s="1137"/>
      <c r="S68" s="1137"/>
      <c r="T68" s="1137"/>
      <c r="U68" s="1137"/>
      <c r="V68" s="1137"/>
      <c r="W68" s="1137"/>
      <c r="X68" s="1137"/>
      <c r="Y68" s="1137"/>
      <c r="Z68" s="1137"/>
      <c r="AA68" s="1137"/>
      <c r="AB68" s="1137"/>
      <c r="AC68" s="1137"/>
      <c r="AD68" s="1137"/>
      <c r="AE68" s="1137"/>
      <c r="AF68" s="1137"/>
    </row>
    <row r="69" spans="1:32" ht="30" customHeight="1">
      <c r="A69" s="139" t="s">
        <v>100</v>
      </c>
      <c r="B69" s="139" t="s">
        <v>101</v>
      </c>
      <c r="C69" s="139" t="s">
        <v>131</v>
      </c>
      <c r="D69" s="139" t="s">
        <v>1062</v>
      </c>
      <c r="E69" s="139" t="s">
        <v>1063</v>
      </c>
      <c r="F69" s="139" t="s">
        <v>1064</v>
      </c>
      <c r="G69" s="1143" t="s">
        <v>104</v>
      </c>
      <c r="H69" s="1144"/>
      <c r="I69" s="1144"/>
      <c r="J69" s="1144"/>
      <c r="K69" s="1144"/>
      <c r="L69" s="1145"/>
      <c r="M69" s="1125" t="s">
        <v>896</v>
      </c>
      <c r="N69" s="1125"/>
      <c r="O69" s="1125"/>
      <c r="P69" s="1125"/>
      <c r="Q69" s="1125"/>
      <c r="R69" s="1125" t="s">
        <v>123</v>
      </c>
      <c r="S69" s="1125"/>
      <c r="T69" s="1125"/>
      <c r="U69" s="1125"/>
      <c r="V69" s="1125"/>
      <c r="W69" s="1125"/>
      <c r="X69" s="1125"/>
      <c r="Y69" s="1125"/>
      <c r="Z69" s="1125"/>
      <c r="AA69" s="1125"/>
      <c r="AB69" s="1125"/>
      <c r="AC69" s="1125"/>
      <c r="AD69" s="1125"/>
      <c r="AE69" s="1125"/>
      <c r="AF69" s="1125"/>
    </row>
    <row r="70" spans="1:32">
      <c r="A70" s="142" t="s">
        <v>1054</v>
      </c>
      <c r="B70" s="117">
        <v>2020</v>
      </c>
      <c r="C70" s="126" t="s">
        <v>180</v>
      </c>
      <c r="D70" s="185">
        <f t="shared" ref="D70:F71" si="24">D30*POP_coef_2020</f>
        <v>155.60366058204053</v>
      </c>
      <c r="E70" s="185">
        <f t="shared" si="24"/>
        <v>338.43796176593816</v>
      </c>
      <c r="F70" s="185">
        <f t="shared" si="24"/>
        <v>521.27226294983575</v>
      </c>
      <c r="G70" s="1204" t="s">
        <v>1116</v>
      </c>
      <c r="H70" s="1205"/>
      <c r="I70" s="1205"/>
      <c r="J70" s="1205"/>
      <c r="K70" s="1205"/>
      <c r="L70" s="1206"/>
      <c r="M70" s="1132" t="s">
        <v>1067</v>
      </c>
      <c r="N70" s="1132"/>
      <c r="O70" s="1132"/>
      <c r="P70" s="1132"/>
      <c r="Q70" s="1132"/>
      <c r="R70" s="1132"/>
      <c r="S70" s="1132"/>
      <c r="T70" s="1132"/>
      <c r="U70" s="1132"/>
      <c r="V70" s="1132"/>
      <c r="W70" s="1132"/>
      <c r="X70" s="1132"/>
      <c r="Y70" s="1132"/>
      <c r="Z70" s="1132"/>
      <c r="AA70" s="1132"/>
      <c r="AB70" s="1132"/>
      <c r="AC70" s="1132"/>
      <c r="AD70" s="1132"/>
      <c r="AE70" s="1132"/>
      <c r="AF70" s="1132"/>
    </row>
    <row r="71" spans="1:32">
      <c r="A71" s="142" t="s">
        <v>227</v>
      </c>
      <c r="B71" s="117">
        <v>2020</v>
      </c>
      <c r="C71" s="126" t="s">
        <v>180</v>
      </c>
      <c r="D71" s="185">
        <f t="shared" si="24"/>
        <v>435.69024962971349</v>
      </c>
      <c r="E71" s="185">
        <f t="shared" si="24"/>
        <v>657.4254659591212</v>
      </c>
      <c r="F71" s="185">
        <f t="shared" si="24"/>
        <v>886.94086531763105</v>
      </c>
      <c r="G71" s="1204" t="s">
        <v>1116</v>
      </c>
      <c r="H71" s="1205"/>
      <c r="I71" s="1205"/>
      <c r="J71" s="1205"/>
      <c r="K71" s="1205"/>
      <c r="L71" s="1206"/>
      <c r="M71" s="1132" t="s">
        <v>1067</v>
      </c>
      <c r="N71" s="1132"/>
      <c r="O71" s="1132"/>
      <c r="P71" s="1132"/>
      <c r="Q71" s="1132"/>
      <c r="R71" s="1132"/>
      <c r="S71" s="1132"/>
      <c r="T71" s="1132"/>
      <c r="U71" s="1132"/>
      <c r="V71" s="1132"/>
      <c r="W71" s="1132"/>
      <c r="X71" s="1132"/>
      <c r="Y71" s="1132"/>
      <c r="Z71" s="1132"/>
      <c r="AA71" s="1132"/>
      <c r="AB71" s="1132"/>
      <c r="AC71" s="1132"/>
      <c r="AD71" s="1132"/>
      <c r="AE71" s="1132"/>
      <c r="AF71" s="1132"/>
    </row>
    <row r="72" spans="1:32" ht="14.45" customHeight="1">
      <c r="A72" s="142" t="s">
        <v>156</v>
      </c>
      <c r="B72" s="117">
        <v>2020</v>
      </c>
      <c r="C72" s="126" t="s">
        <v>180</v>
      </c>
      <c r="D72" s="185">
        <f t="shared" ref="D72:F75" si="25">D32*Aggr_2021</f>
        <v>67.122772807787925</v>
      </c>
      <c r="E72" s="185">
        <f t="shared" si="25"/>
        <v>671.22772807787931</v>
      </c>
      <c r="F72" s="185">
        <f t="shared" si="25"/>
        <v>1141.0871377323949</v>
      </c>
      <c r="G72" s="1204" t="s">
        <v>1117</v>
      </c>
      <c r="H72" s="1205"/>
      <c r="I72" s="1205"/>
      <c r="J72" s="1205"/>
      <c r="K72" s="1205"/>
      <c r="L72" s="1206"/>
      <c r="M72" s="1132" t="s">
        <v>1070</v>
      </c>
      <c r="N72" s="1132"/>
      <c r="O72" s="1132"/>
      <c r="P72" s="1132"/>
      <c r="Q72" s="1132"/>
      <c r="R72" s="1132"/>
      <c r="S72" s="1132"/>
      <c r="T72" s="1132"/>
      <c r="U72" s="1132"/>
      <c r="V72" s="1132"/>
      <c r="W72" s="1132"/>
      <c r="X72" s="1132"/>
      <c r="Y72" s="1132"/>
      <c r="Z72" s="1132"/>
      <c r="AA72" s="1132"/>
      <c r="AB72" s="1132"/>
      <c r="AC72" s="1132"/>
      <c r="AD72" s="1132"/>
      <c r="AE72" s="1132"/>
      <c r="AF72" s="1132"/>
    </row>
    <row r="73" spans="1:32">
      <c r="A73" s="142" t="s">
        <v>159</v>
      </c>
      <c r="B73" s="117">
        <v>2020</v>
      </c>
      <c r="C73" s="126" t="s">
        <v>180</v>
      </c>
      <c r="D73" s="185">
        <f t="shared" si="25"/>
        <v>134.24554561557585</v>
      </c>
      <c r="E73" s="185">
        <f t="shared" si="25"/>
        <v>268.4910912311517</v>
      </c>
      <c r="F73" s="185">
        <f t="shared" si="25"/>
        <v>402.73663684672761</v>
      </c>
      <c r="G73" s="1204" t="s">
        <v>1117</v>
      </c>
      <c r="H73" s="1205"/>
      <c r="I73" s="1205"/>
      <c r="J73" s="1205"/>
      <c r="K73" s="1205"/>
      <c r="L73" s="1206"/>
      <c r="M73" s="1132" t="s">
        <v>1070</v>
      </c>
      <c r="N73" s="1132"/>
      <c r="O73" s="1132"/>
      <c r="P73" s="1132"/>
      <c r="Q73" s="1132"/>
      <c r="R73" s="1132"/>
      <c r="S73" s="1132"/>
      <c r="T73" s="1132"/>
      <c r="U73" s="1132"/>
      <c r="V73" s="1132"/>
      <c r="W73" s="1132"/>
      <c r="X73" s="1132"/>
      <c r="Y73" s="1132"/>
      <c r="Z73" s="1132"/>
      <c r="AA73" s="1132"/>
      <c r="AB73" s="1132"/>
      <c r="AC73" s="1132"/>
      <c r="AD73" s="1132"/>
      <c r="AE73" s="1132"/>
      <c r="AF73" s="1132"/>
    </row>
    <row r="74" spans="1:32">
      <c r="A74" s="142" t="s">
        <v>160</v>
      </c>
      <c r="B74" s="117">
        <v>2020</v>
      </c>
      <c r="C74" s="126" t="s">
        <v>180</v>
      </c>
      <c r="D74" s="185">
        <f t="shared" si="25"/>
        <v>6.7122772807787934</v>
      </c>
      <c r="E74" s="185">
        <f t="shared" si="25"/>
        <v>33.561386403893962</v>
      </c>
      <c r="F74" s="185">
        <f t="shared" si="25"/>
        <v>46.985940965451555</v>
      </c>
      <c r="G74" s="1204" t="s">
        <v>1117</v>
      </c>
      <c r="H74" s="1205"/>
      <c r="I74" s="1205"/>
      <c r="J74" s="1205"/>
      <c r="K74" s="1205"/>
      <c r="L74" s="1206"/>
      <c r="M74" s="1132" t="s">
        <v>1070</v>
      </c>
      <c r="N74" s="1132"/>
      <c r="O74" s="1132"/>
      <c r="P74" s="1132"/>
      <c r="Q74" s="1132"/>
      <c r="R74" s="1132"/>
      <c r="S74" s="1132"/>
      <c r="T74" s="1132"/>
      <c r="U74" s="1132"/>
      <c r="V74" s="1132"/>
      <c r="W74" s="1132"/>
      <c r="X74" s="1132"/>
      <c r="Y74" s="1132"/>
      <c r="Z74" s="1132"/>
      <c r="AA74" s="1132"/>
      <c r="AB74" s="1132"/>
      <c r="AC74" s="1132"/>
      <c r="AD74" s="1132"/>
      <c r="AE74" s="1132"/>
      <c r="AF74" s="1132"/>
    </row>
    <row r="75" spans="1:32">
      <c r="A75" s="142" t="s">
        <v>161</v>
      </c>
      <c r="B75" s="117">
        <v>2020</v>
      </c>
      <c r="C75" s="126" t="s">
        <v>180</v>
      </c>
      <c r="D75" s="185">
        <f t="shared" si="25"/>
        <v>16.780693201946981</v>
      </c>
      <c r="E75" s="185">
        <f t="shared" si="25"/>
        <v>33.561386403893962</v>
      </c>
      <c r="F75" s="185">
        <f t="shared" si="25"/>
        <v>67.122772807787925</v>
      </c>
      <c r="G75" s="1204" t="s">
        <v>1117</v>
      </c>
      <c r="H75" s="1205"/>
      <c r="I75" s="1205"/>
      <c r="J75" s="1205"/>
      <c r="K75" s="1205"/>
      <c r="L75" s="1206"/>
      <c r="M75" s="1132" t="s">
        <v>1070</v>
      </c>
      <c r="N75" s="1132"/>
      <c r="O75" s="1132"/>
      <c r="P75" s="1132"/>
      <c r="Q75" s="1132"/>
      <c r="R75" s="1132"/>
      <c r="S75" s="1132"/>
      <c r="T75" s="1132"/>
      <c r="U75" s="1132"/>
      <c r="V75" s="1132"/>
      <c r="W75" s="1132"/>
      <c r="X75" s="1132"/>
      <c r="Y75" s="1132"/>
      <c r="Z75" s="1132"/>
      <c r="AA75" s="1132"/>
      <c r="AB75" s="1132"/>
      <c r="AC75" s="1132"/>
      <c r="AD75" s="1132"/>
      <c r="AE75" s="1132"/>
      <c r="AF75" s="1132"/>
    </row>
    <row r="76" spans="1:32">
      <c r="A76" s="142" t="s">
        <v>314</v>
      </c>
      <c r="B76" s="117">
        <v>2020</v>
      </c>
      <c r="C76" s="126" t="s">
        <v>180</v>
      </c>
      <c r="D76" s="185">
        <f t="shared" ref="D76:F78" si="26">D36*POP_coef_2020</f>
        <v>2.0423952974271455</v>
      </c>
      <c r="E76" s="185">
        <f t="shared" si="26"/>
        <v>4.0847905948542911</v>
      </c>
      <c r="F76" s="185">
        <f t="shared" si="26"/>
        <v>8.1695811897085822</v>
      </c>
      <c r="G76" s="1204" t="s">
        <v>1116</v>
      </c>
      <c r="H76" s="1205"/>
      <c r="I76" s="1205"/>
      <c r="J76" s="1205"/>
      <c r="K76" s="1205"/>
      <c r="L76" s="1206"/>
      <c r="M76" s="1132" t="s">
        <v>1075</v>
      </c>
      <c r="N76" s="1132"/>
      <c r="O76" s="1132"/>
      <c r="P76" s="1132"/>
      <c r="Q76" s="1132"/>
      <c r="R76" s="1132"/>
      <c r="S76" s="1132"/>
      <c r="T76" s="1132"/>
      <c r="U76" s="1132"/>
      <c r="V76" s="1132"/>
      <c r="W76" s="1132"/>
      <c r="X76" s="1132"/>
      <c r="Y76" s="1132"/>
      <c r="Z76" s="1132"/>
      <c r="AA76" s="1132"/>
      <c r="AB76" s="1132"/>
      <c r="AC76" s="1132"/>
      <c r="AD76" s="1132"/>
      <c r="AE76" s="1132"/>
      <c r="AF76" s="1132"/>
    </row>
    <row r="77" spans="1:32">
      <c r="A77" s="142" t="s">
        <v>338</v>
      </c>
      <c r="B77" s="117">
        <v>2020</v>
      </c>
      <c r="C77" s="126" t="s">
        <v>180</v>
      </c>
      <c r="D77" s="185">
        <f t="shared" si="26"/>
        <v>31.120732116408107</v>
      </c>
      <c r="E77" s="185">
        <f t="shared" si="26"/>
        <v>89.472104834673303</v>
      </c>
      <c r="F77" s="185">
        <f t="shared" si="26"/>
        <v>143.93338603838748</v>
      </c>
      <c r="G77" s="1204" t="s">
        <v>1116</v>
      </c>
      <c r="H77" s="1205"/>
      <c r="I77" s="1205"/>
      <c r="J77" s="1205"/>
      <c r="K77" s="1205"/>
      <c r="L77" s="1206"/>
      <c r="M77" s="1132" t="s">
        <v>1075</v>
      </c>
      <c r="N77" s="1132"/>
      <c r="O77" s="1132"/>
      <c r="P77" s="1132"/>
      <c r="Q77" s="1132"/>
      <c r="R77" s="1132"/>
      <c r="S77" s="1132"/>
      <c r="T77" s="1132"/>
      <c r="U77" s="1132"/>
      <c r="V77" s="1132"/>
      <c r="W77" s="1132"/>
      <c r="X77" s="1132"/>
      <c r="Y77" s="1132"/>
      <c r="Z77" s="1132"/>
      <c r="AA77" s="1132"/>
      <c r="AB77" s="1132"/>
      <c r="AC77" s="1132"/>
      <c r="AD77" s="1132"/>
      <c r="AE77" s="1132"/>
      <c r="AF77" s="1132"/>
    </row>
    <row r="78" spans="1:32">
      <c r="A78" s="142" t="s">
        <v>268</v>
      </c>
      <c r="B78" s="117">
        <v>2020</v>
      </c>
      <c r="C78" s="126" t="s">
        <v>180</v>
      </c>
      <c r="D78" s="185">
        <f t="shared" si="26"/>
        <v>31.120732116408107</v>
      </c>
      <c r="E78" s="185">
        <f t="shared" si="26"/>
        <v>89.472104834673303</v>
      </c>
      <c r="F78" s="185">
        <f t="shared" si="26"/>
        <v>143.93338603838748</v>
      </c>
      <c r="G78" s="1204" t="s">
        <v>1116</v>
      </c>
      <c r="H78" s="1205"/>
      <c r="I78" s="1205"/>
      <c r="J78" s="1205"/>
      <c r="K78" s="1205"/>
      <c r="L78" s="1206"/>
      <c r="M78" s="1132" t="s">
        <v>1075</v>
      </c>
      <c r="N78" s="1132"/>
      <c r="O78" s="1132"/>
      <c r="P78" s="1132"/>
      <c r="Q78" s="1132"/>
      <c r="R78" s="1132"/>
      <c r="S78" s="1132"/>
      <c r="T78" s="1132"/>
      <c r="U78" s="1132"/>
      <c r="V78" s="1132"/>
      <c r="W78" s="1132"/>
      <c r="X78" s="1132"/>
      <c r="Y78" s="1132"/>
      <c r="Z78" s="1132"/>
      <c r="AA78" s="1132"/>
      <c r="AB78" s="1132"/>
      <c r="AC78" s="1132"/>
      <c r="AD78" s="1132"/>
      <c r="AE78" s="1132"/>
      <c r="AF78" s="1132"/>
    </row>
    <row r="79" spans="1:32">
      <c r="A79" s="142" t="s">
        <v>362</v>
      </c>
      <c r="B79" s="117">
        <v>2020</v>
      </c>
      <c r="C79" s="126" t="s">
        <v>180</v>
      </c>
      <c r="D79" s="185">
        <f>D39*OIL_GAS_2020</f>
        <v>109.84890982835886</v>
      </c>
      <c r="E79" s="185">
        <f>E39*OIL_GAS_2020</f>
        <v>219.69781965671771</v>
      </c>
      <c r="F79" s="185">
        <f>F39*OIL_GAS_2020</f>
        <v>439.39563931343542</v>
      </c>
      <c r="G79" s="1204" t="s">
        <v>1116</v>
      </c>
      <c r="H79" s="1205"/>
      <c r="I79" s="1205"/>
      <c r="J79" s="1205"/>
      <c r="K79" s="1205"/>
      <c r="L79" s="1206"/>
      <c r="M79" s="1132" t="s">
        <v>1079</v>
      </c>
      <c r="N79" s="1132"/>
      <c r="O79" s="1132"/>
      <c r="P79" s="1132"/>
      <c r="Q79" s="1132"/>
      <c r="R79" s="1132"/>
      <c r="S79" s="1132"/>
      <c r="T79" s="1132"/>
      <c r="U79" s="1132"/>
      <c r="V79" s="1132"/>
      <c r="W79" s="1132"/>
      <c r="X79" s="1132"/>
      <c r="Y79" s="1132"/>
      <c r="Z79" s="1132"/>
      <c r="AA79" s="1132"/>
      <c r="AB79" s="1132"/>
      <c r="AC79" s="1132"/>
      <c r="AD79" s="1132"/>
      <c r="AE79" s="1132"/>
      <c r="AF79" s="1132"/>
    </row>
    <row r="80" spans="1:32">
      <c r="A80" s="142" t="s">
        <v>309</v>
      </c>
      <c r="B80" s="117">
        <v>2020</v>
      </c>
      <c r="C80" s="126" t="s">
        <v>180</v>
      </c>
      <c r="D80" s="185"/>
      <c r="E80" s="377">
        <v>12105</v>
      </c>
      <c r="F80" s="185"/>
      <c r="G80" s="1194" t="s">
        <v>1118</v>
      </c>
      <c r="H80" s="1194"/>
      <c r="I80" s="1194"/>
      <c r="J80" s="1194"/>
      <c r="K80" s="1194"/>
      <c r="L80" s="1194"/>
      <c r="M80" s="1194" t="s">
        <v>1081</v>
      </c>
      <c r="N80" s="1194"/>
      <c r="O80" s="1194"/>
      <c r="P80" s="1194"/>
      <c r="Q80" s="1194"/>
      <c r="R80" s="1132"/>
      <c r="S80" s="1132"/>
      <c r="T80" s="1132"/>
      <c r="U80" s="1132"/>
      <c r="V80" s="1132"/>
      <c r="W80" s="1132"/>
      <c r="X80" s="1132"/>
      <c r="Y80" s="1132"/>
      <c r="Z80" s="1132"/>
      <c r="AA80" s="1132"/>
      <c r="AB80" s="1132"/>
      <c r="AC80" s="1132"/>
      <c r="AD80" s="1132"/>
      <c r="AE80" s="1132"/>
      <c r="AF80" s="1132"/>
    </row>
    <row r="81" spans="1:32">
      <c r="A81" s="138" t="s">
        <v>1082</v>
      </c>
      <c r="B81" s="127">
        <v>2020</v>
      </c>
      <c r="C81" s="129" t="s">
        <v>180</v>
      </c>
      <c r="D81" s="184">
        <f>SUM(D70:D80)</f>
        <v>990.28796847644583</v>
      </c>
      <c r="E81" s="184">
        <f>SUM(E70:E80)</f>
        <v>14510.431839762798</v>
      </c>
      <c r="F81" s="184">
        <f>SUM(F70:F80)</f>
        <v>3801.5776091997477</v>
      </c>
      <c r="G81" s="1174"/>
      <c r="H81" s="1174"/>
      <c r="I81" s="1174"/>
      <c r="J81" s="1174"/>
      <c r="K81" s="1174"/>
      <c r="L81" s="1174"/>
      <c r="M81" s="1132"/>
      <c r="N81" s="1132"/>
      <c r="O81" s="1132"/>
      <c r="P81" s="1132"/>
      <c r="Q81" s="1132"/>
      <c r="R81" s="1132"/>
      <c r="S81" s="1132"/>
      <c r="T81" s="1132"/>
      <c r="U81" s="1132"/>
      <c r="V81" s="1132"/>
      <c r="W81" s="1132"/>
      <c r="X81" s="1132"/>
      <c r="Y81" s="1132"/>
      <c r="Z81" s="1132"/>
      <c r="AA81" s="1132"/>
      <c r="AB81" s="1132"/>
      <c r="AC81" s="1132"/>
      <c r="AD81" s="1132"/>
      <c r="AE81" s="1132"/>
      <c r="AF81" s="1132"/>
    </row>
    <row r="82" spans="1:32">
      <c r="A82" s="873"/>
      <c r="B82" s="25"/>
      <c r="C82" s="25"/>
      <c r="D82" s="375"/>
      <c r="E82" s="375"/>
      <c r="F82" s="375"/>
      <c r="G82" s="376"/>
      <c r="H82" s="376"/>
      <c r="I82" s="376"/>
      <c r="J82" s="376"/>
      <c r="K82" s="376"/>
      <c r="L82" s="376"/>
    </row>
    <row r="83" spans="1:32">
      <c r="A83"/>
      <c r="B83" s="25"/>
      <c r="C83" s="25"/>
      <c r="D83" s="375"/>
      <c r="E83"/>
      <c r="F83"/>
      <c r="G83"/>
      <c r="H83"/>
      <c r="I83"/>
      <c r="J83"/>
      <c r="K83"/>
      <c r="L83" s="376"/>
    </row>
    <row r="84" spans="1:32" s="378" customFormat="1">
      <c r="A84" s="436"/>
      <c r="B84" s="26" t="s">
        <v>101</v>
      </c>
      <c r="C84" s="26" t="s">
        <v>131</v>
      </c>
      <c r="D84" s="375" t="s">
        <v>1119</v>
      </c>
      <c r="E84" s="436"/>
      <c r="F84" s="436"/>
      <c r="G84" s="872" t="s">
        <v>104</v>
      </c>
      <c r="H84" s="380"/>
      <c r="I84" s="380"/>
      <c r="J84" s="380"/>
      <c r="K84" s="380"/>
      <c r="L84" s="381"/>
    </row>
    <row r="85" spans="1:32" s="378" customFormat="1">
      <c r="A85" s="143" t="s">
        <v>309</v>
      </c>
      <c r="B85" s="7">
        <v>2016</v>
      </c>
      <c r="C85" s="7" t="s">
        <v>180</v>
      </c>
      <c r="D85" s="7">
        <v>18000</v>
      </c>
      <c r="E85" s="436"/>
      <c r="F85" s="436"/>
      <c r="G85" s="436" t="s">
        <v>1118</v>
      </c>
      <c r="H85" s="380"/>
      <c r="I85" s="380"/>
      <c r="J85" s="380"/>
      <c r="K85" s="380"/>
      <c r="L85" s="381"/>
    </row>
    <row r="86" spans="1:32" s="378" customFormat="1">
      <c r="A86" s="143" t="s">
        <v>309</v>
      </c>
      <c r="B86" s="7">
        <v>2019</v>
      </c>
      <c r="C86" s="7" t="s">
        <v>180</v>
      </c>
      <c r="D86" s="7">
        <v>11400</v>
      </c>
      <c r="E86" s="436"/>
      <c r="F86" s="436"/>
      <c r="G86" s="436" t="s">
        <v>1118</v>
      </c>
      <c r="H86" s="380"/>
      <c r="I86" s="380"/>
      <c r="J86" s="380"/>
      <c r="K86" s="380"/>
      <c r="L86" s="381"/>
    </row>
    <row r="87" spans="1:32" s="378" customFormat="1">
      <c r="A87" s="143" t="s">
        <v>309</v>
      </c>
      <c r="B87" s="7">
        <v>2020</v>
      </c>
      <c r="C87" s="7" t="s">
        <v>180</v>
      </c>
      <c r="D87" s="7">
        <v>12105</v>
      </c>
      <c r="E87" s="436"/>
      <c r="F87" s="436"/>
      <c r="G87" s="436" t="s">
        <v>1118</v>
      </c>
      <c r="H87" s="380"/>
      <c r="I87" s="380"/>
      <c r="J87" s="380"/>
      <c r="K87" s="380"/>
      <c r="L87" s="381"/>
    </row>
    <row r="88" spans="1:32" s="378" customFormat="1">
      <c r="A88" s="143" t="s">
        <v>309</v>
      </c>
      <c r="B88" s="7">
        <v>2021</v>
      </c>
      <c r="C88" s="7" t="s">
        <v>180</v>
      </c>
      <c r="D88" s="7">
        <v>10331</v>
      </c>
      <c r="E88" s="436"/>
      <c r="F88" s="436"/>
      <c r="G88" s="436" t="s">
        <v>1118</v>
      </c>
      <c r="H88" s="380"/>
      <c r="I88" s="380"/>
      <c r="J88" s="380"/>
      <c r="K88" s="380"/>
      <c r="L88" s="381"/>
    </row>
    <row r="89" spans="1:32" s="378" customFormat="1">
      <c r="A89" s="143" t="s">
        <v>309</v>
      </c>
      <c r="B89" s="7">
        <v>2030</v>
      </c>
      <c r="C89" s="7" t="s">
        <v>180</v>
      </c>
      <c r="D89" s="7">
        <v>100</v>
      </c>
      <c r="E89" s="436"/>
      <c r="F89" s="436"/>
      <c r="G89" s="436" t="s">
        <v>1120</v>
      </c>
      <c r="H89" s="380"/>
      <c r="I89" s="380"/>
      <c r="J89" s="380"/>
      <c r="K89" s="380"/>
      <c r="L89" s="381"/>
    </row>
    <row r="90" spans="1:32" s="378" customFormat="1">
      <c r="A90" s="143" t="s">
        <v>309</v>
      </c>
      <c r="B90" s="7">
        <v>2040</v>
      </c>
      <c r="C90" s="7" t="s">
        <v>180</v>
      </c>
      <c r="D90" s="7">
        <v>0</v>
      </c>
      <c r="E90" s="436"/>
      <c r="F90" s="436"/>
      <c r="G90" s="436" t="s">
        <v>1121</v>
      </c>
      <c r="H90" s="380"/>
      <c r="I90" s="380"/>
      <c r="J90" s="380"/>
      <c r="K90" s="380"/>
      <c r="L90" s="381"/>
    </row>
    <row r="91" spans="1:32">
      <c r="E91"/>
      <c r="F91"/>
      <c r="G91"/>
      <c r="H91"/>
      <c r="I91"/>
      <c r="J91"/>
      <c r="K91"/>
    </row>
    <row r="92" spans="1:32" ht="30" customHeight="1">
      <c r="A92" s="140" t="s">
        <v>100</v>
      </c>
      <c r="B92" s="140" t="s">
        <v>101</v>
      </c>
      <c r="C92" s="140" t="s">
        <v>131</v>
      </c>
      <c r="D92" s="189" t="s">
        <v>1083</v>
      </c>
      <c r="E92" s="189" t="s">
        <v>1084</v>
      </c>
      <c r="F92" s="189" t="s">
        <v>1085</v>
      </c>
      <c r="G92" s="189" t="s">
        <v>1086</v>
      </c>
      <c r="H92" s="189" t="s">
        <v>1087</v>
      </c>
      <c r="I92" s="189" t="s">
        <v>1088</v>
      </c>
      <c r="J92" s="189" t="s">
        <v>1089</v>
      </c>
      <c r="K92" s="189" t="s">
        <v>1090</v>
      </c>
      <c r="L92" s="189" t="s">
        <v>1091</v>
      </c>
      <c r="M92" s="189" t="s">
        <v>1092</v>
      </c>
      <c r="N92" s="189" t="s">
        <v>1093</v>
      </c>
      <c r="O92" s="189" t="s">
        <v>1094</v>
      </c>
      <c r="P92" s="189" t="s">
        <v>1095</v>
      </c>
      <c r="Q92" s="189" t="s">
        <v>1096</v>
      </c>
      <c r="R92" s="1125" t="s">
        <v>123</v>
      </c>
      <c r="S92" s="1125"/>
      <c r="T92" s="1125"/>
      <c r="U92" s="1125"/>
      <c r="V92" s="1125"/>
      <c r="W92" s="1125"/>
      <c r="X92" s="1125"/>
      <c r="Y92" s="1125"/>
      <c r="Z92" s="1125"/>
      <c r="AA92" s="1125"/>
      <c r="AB92" s="1125"/>
      <c r="AC92" s="1125"/>
      <c r="AD92" s="1125"/>
      <c r="AE92" s="1125"/>
      <c r="AF92" s="1125"/>
    </row>
    <row r="93" spans="1:32">
      <c r="A93" s="142" t="s">
        <v>1054</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132"/>
      <c r="S93" s="1132"/>
      <c r="T93" s="1132"/>
      <c r="U93" s="1132"/>
      <c r="V93" s="1132"/>
      <c r="W93" s="1132"/>
      <c r="X93" s="1132"/>
      <c r="Y93" s="1132"/>
      <c r="Z93" s="1132"/>
      <c r="AA93" s="1132"/>
      <c r="AB93" s="1132"/>
      <c r="AC93" s="1132"/>
      <c r="AD93" s="1132"/>
      <c r="AE93" s="1132"/>
      <c r="AF93" s="1132"/>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132"/>
      <c r="S94" s="1132"/>
      <c r="T94" s="1132"/>
      <c r="U94" s="1132"/>
      <c r="V94" s="1132"/>
      <c r="W94" s="1132"/>
      <c r="X94" s="1132"/>
      <c r="Y94" s="1132"/>
      <c r="Z94" s="1132"/>
      <c r="AA94" s="1132"/>
      <c r="AB94" s="1132"/>
      <c r="AC94" s="1132"/>
      <c r="AD94" s="1132"/>
      <c r="AE94" s="1132"/>
      <c r="AF94" s="1132"/>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132"/>
      <c r="S95" s="1132"/>
      <c r="T95" s="1132"/>
      <c r="U95" s="1132"/>
      <c r="V95" s="1132"/>
      <c r="W95" s="1132"/>
      <c r="X95" s="1132"/>
      <c r="Y95" s="1132"/>
      <c r="Z95" s="1132"/>
      <c r="AA95" s="1132"/>
      <c r="AB95" s="1132"/>
      <c r="AC95" s="1132"/>
      <c r="AD95" s="1132"/>
      <c r="AE95" s="1132"/>
      <c r="AF95" s="1132"/>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132"/>
      <c r="S96" s="1132"/>
      <c r="T96" s="1132"/>
      <c r="U96" s="1132"/>
      <c r="V96" s="1132"/>
      <c r="W96" s="1132"/>
      <c r="X96" s="1132"/>
      <c r="Y96" s="1132"/>
      <c r="Z96" s="1132"/>
      <c r="AA96" s="1132"/>
      <c r="AB96" s="1132"/>
      <c r="AC96" s="1132"/>
      <c r="AD96" s="1132"/>
      <c r="AE96" s="1132"/>
      <c r="AF96" s="1132"/>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132"/>
      <c r="S97" s="1132"/>
      <c r="T97" s="1132"/>
      <c r="U97" s="1132"/>
      <c r="V97" s="1132"/>
      <c r="W97" s="1132"/>
      <c r="X97" s="1132"/>
      <c r="Y97" s="1132"/>
      <c r="Z97" s="1132"/>
      <c r="AA97" s="1132"/>
      <c r="AB97" s="1132"/>
      <c r="AC97" s="1132"/>
      <c r="AD97" s="1132"/>
      <c r="AE97" s="1132"/>
      <c r="AF97" s="1132"/>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132"/>
      <c r="S98" s="1132"/>
      <c r="T98" s="1132"/>
      <c r="U98" s="1132"/>
      <c r="V98" s="1132"/>
      <c r="W98" s="1132"/>
      <c r="X98" s="1132"/>
      <c r="Y98" s="1132"/>
      <c r="Z98" s="1132"/>
      <c r="AA98" s="1132"/>
      <c r="AB98" s="1132"/>
      <c r="AC98" s="1132"/>
      <c r="AD98" s="1132"/>
      <c r="AE98" s="1132"/>
      <c r="AF98" s="1132"/>
    </row>
    <row r="99" spans="1:32">
      <c r="A99" s="142" t="s">
        <v>314</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132"/>
      <c r="S99" s="1132"/>
      <c r="T99" s="1132"/>
      <c r="U99" s="1132"/>
      <c r="V99" s="1132"/>
      <c r="W99" s="1132"/>
      <c r="X99" s="1132"/>
      <c r="Y99" s="1132"/>
      <c r="Z99" s="1132"/>
      <c r="AA99" s="1132"/>
      <c r="AB99" s="1132"/>
      <c r="AC99" s="1132"/>
      <c r="AD99" s="1132"/>
      <c r="AE99" s="1132"/>
      <c r="AF99" s="1132"/>
    </row>
    <row r="100" spans="1:32">
      <c r="A100" s="142" t="s">
        <v>338</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132"/>
      <c r="S100" s="1132"/>
      <c r="T100" s="1132"/>
      <c r="U100" s="1132"/>
      <c r="V100" s="1132"/>
      <c r="W100" s="1132"/>
      <c r="X100" s="1132"/>
      <c r="Y100" s="1132"/>
      <c r="Z100" s="1132"/>
      <c r="AA100" s="1132"/>
      <c r="AB100" s="1132"/>
      <c r="AC100" s="1132"/>
      <c r="AD100" s="1132"/>
      <c r="AE100" s="1132"/>
      <c r="AF100" s="1132"/>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132"/>
      <c r="S101" s="1132"/>
      <c r="T101" s="1132"/>
      <c r="U101" s="1132"/>
      <c r="V101" s="1132"/>
      <c r="W101" s="1132"/>
      <c r="X101" s="1132"/>
      <c r="Y101" s="1132"/>
      <c r="Z101" s="1132"/>
      <c r="AA101" s="1132"/>
      <c r="AB101" s="1132"/>
      <c r="AC101" s="1132"/>
      <c r="AD101" s="1132"/>
      <c r="AE101" s="1132"/>
      <c r="AF101" s="1132"/>
    </row>
    <row r="102" spans="1:32">
      <c r="A102" s="142" t="s">
        <v>362</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132"/>
      <c r="S102" s="1132"/>
      <c r="T102" s="1132"/>
      <c r="U102" s="1132"/>
      <c r="V102" s="1132"/>
      <c r="W102" s="1132"/>
      <c r="X102" s="1132"/>
      <c r="Y102" s="1132"/>
      <c r="Z102" s="1132"/>
      <c r="AA102" s="1132"/>
      <c r="AB102" s="1132"/>
      <c r="AC102" s="1132"/>
      <c r="AD102" s="1132"/>
      <c r="AE102" s="1132"/>
      <c r="AF102" s="1132"/>
    </row>
    <row r="103" spans="1:32">
      <c r="A103" s="142" t="s">
        <v>309</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132"/>
      <c r="S103" s="1132"/>
      <c r="T103" s="1132"/>
      <c r="U103" s="1132"/>
      <c r="V103" s="1132"/>
      <c r="W103" s="1132"/>
      <c r="X103" s="1132"/>
      <c r="Y103" s="1132"/>
      <c r="Z103" s="1132"/>
      <c r="AA103" s="1132"/>
      <c r="AB103" s="1132"/>
      <c r="AC103" s="1132"/>
      <c r="AD103" s="1132"/>
      <c r="AE103" s="1132"/>
      <c r="AF103" s="1132"/>
    </row>
    <row r="104" spans="1:32">
      <c r="A104" s="138" t="s">
        <v>1082</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198"/>
      <c r="S104" s="1198"/>
      <c r="T104" s="1198"/>
      <c r="U104" s="1198"/>
      <c r="V104" s="1198"/>
      <c r="W104" s="1198"/>
      <c r="X104" s="1198"/>
      <c r="Y104" s="1198"/>
      <c r="Z104" s="1198"/>
      <c r="AA104" s="1198"/>
      <c r="AB104" s="1198"/>
      <c r="AC104" s="1198"/>
      <c r="AD104" s="1198"/>
      <c r="AE104" s="1198"/>
      <c r="AF104" s="1198"/>
    </row>
    <row r="105" spans="1:32" ht="30" customHeight="1">
      <c r="A105" s="140" t="s">
        <v>100</v>
      </c>
      <c r="B105" s="140" t="s">
        <v>101</v>
      </c>
      <c r="C105" s="140" t="s">
        <v>131</v>
      </c>
      <c r="D105" s="189" t="s">
        <v>902</v>
      </c>
      <c r="E105" s="189" t="s">
        <v>903</v>
      </c>
      <c r="F105" s="189" t="s">
        <v>904</v>
      </c>
      <c r="G105" s="189" t="s">
        <v>905</v>
      </c>
      <c r="H105" s="189" t="s">
        <v>906</v>
      </c>
      <c r="I105" s="189" t="s">
        <v>907</v>
      </c>
      <c r="J105" s="189" t="s">
        <v>908</v>
      </c>
      <c r="K105" s="189" t="s">
        <v>1097</v>
      </c>
      <c r="L105" s="189" t="s">
        <v>1098</v>
      </c>
      <c r="M105" s="189" t="s">
        <v>1099</v>
      </c>
      <c r="N105" s="189" t="s">
        <v>909</v>
      </c>
      <c r="O105" s="189" t="s">
        <v>1100</v>
      </c>
      <c r="P105" s="189" t="s">
        <v>1101</v>
      </c>
      <c r="Q105" s="189" t="s">
        <v>1102</v>
      </c>
      <c r="R105" s="1125" t="s">
        <v>123</v>
      </c>
      <c r="S105" s="1125"/>
      <c r="T105" s="1125"/>
      <c r="U105" s="1125"/>
      <c r="V105" s="1125"/>
      <c r="W105" s="1125"/>
      <c r="X105" s="1125"/>
      <c r="Y105" s="1125"/>
      <c r="Z105" s="1125"/>
      <c r="AA105" s="1125"/>
      <c r="AB105" s="1125"/>
      <c r="AC105" s="1125"/>
      <c r="AD105" s="1125"/>
      <c r="AE105" s="1125"/>
      <c r="AF105" s="1125"/>
    </row>
    <row r="106" spans="1:32">
      <c r="A106" s="138" t="s">
        <v>1103</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132" t="s">
        <v>1122</v>
      </c>
      <c r="S106" s="1132"/>
      <c r="T106" s="1132"/>
      <c r="U106" s="1132"/>
      <c r="V106" s="1132"/>
      <c r="W106" s="1132"/>
      <c r="X106" s="1132"/>
      <c r="Y106" s="1132"/>
      <c r="Z106" s="1132"/>
      <c r="AA106" s="1132"/>
      <c r="AB106" s="1132"/>
      <c r="AC106" s="1132"/>
      <c r="AD106" s="1132"/>
      <c r="AE106" s="1132"/>
      <c r="AF106" s="1132"/>
    </row>
    <row r="107" spans="1:32" s="378" customFormat="1">
      <c r="A107" s="199" t="s">
        <v>1103</v>
      </c>
      <c r="B107" s="7">
        <v>2016</v>
      </c>
      <c r="C107" s="7"/>
      <c r="D107" s="874"/>
      <c r="E107" s="874"/>
      <c r="F107" s="874"/>
      <c r="G107" s="874"/>
      <c r="H107" s="874"/>
      <c r="I107" s="874"/>
      <c r="J107" s="874"/>
      <c r="K107" s="7">
        <v>18</v>
      </c>
      <c r="L107" s="874"/>
      <c r="M107" s="874"/>
      <c r="N107" s="874"/>
      <c r="O107" s="379"/>
      <c r="P107" s="379"/>
      <c r="Q107" s="379"/>
    </row>
    <row r="108" spans="1:32" s="378" customFormat="1">
      <c r="A108" s="199" t="s">
        <v>1103</v>
      </c>
      <c r="B108" s="7">
        <v>2019</v>
      </c>
      <c r="C108" s="7"/>
      <c r="D108" s="874"/>
      <c r="E108" s="874"/>
      <c r="F108" s="874"/>
      <c r="G108" s="874"/>
      <c r="H108" s="874"/>
      <c r="I108" s="874"/>
      <c r="J108" s="874"/>
      <c r="K108" s="7">
        <v>11.4</v>
      </c>
      <c r="L108" s="874"/>
      <c r="M108" s="874"/>
      <c r="N108" s="874"/>
      <c r="O108" s="379"/>
      <c r="P108" s="379"/>
      <c r="Q108" s="379"/>
    </row>
    <row r="109" spans="1:32" s="378" customFormat="1">
      <c r="A109" s="199" t="s">
        <v>1103</v>
      </c>
      <c r="B109" s="7">
        <v>2021</v>
      </c>
      <c r="C109" s="7"/>
      <c r="D109" s="874"/>
      <c r="E109" s="874"/>
      <c r="F109" s="874"/>
      <c r="G109" s="874"/>
      <c r="H109" s="874"/>
      <c r="I109" s="874"/>
      <c r="J109" s="874"/>
      <c r="K109" s="7">
        <v>10.331</v>
      </c>
      <c r="L109" s="874"/>
      <c r="M109" s="874"/>
      <c r="N109" s="874"/>
      <c r="O109" s="379"/>
      <c r="P109" s="379"/>
      <c r="Q109" s="379"/>
    </row>
    <row r="111" spans="1:32" ht="30" customHeight="1">
      <c r="A111" s="1137" t="s">
        <v>15</v>
      </c>
      <c r="B111" s="1137"/>
      <c r="C111" s="1137"/>
      <c r="D111" s="1137"/>
      <c r="E111" s="1137"/>
      <c r="F111" s="1137"/>
      <c r="G111" s="1137"/>
      <c r="H111" s="1137"/>
      <c r="I111" s="1137"/>
      <c r="J111" s="1137"/>
      <c r="K111" s="1137"/>
      <c r="L111" s="1137"/>
      <c r="M111" s="1137"/>
      <c r="N111" s="1137"/>
      <c r="O111" s="1137"/>
      <c r="P111" s="1137"/>
      <c r="Q111" s="1137"/>
      <c r="R111" s="1137"/>
      <c r="S111" s="1137"/>
      <c r="T111" s="1137"/>
      <c r="U111" s="1137"/>
      <c r="V111" s="1137"/>
      <c r="W111" s="1137"/>
      <c r="X111" s="1137"/>
      <c r="Y111" s="1137"/>
      <c r="Z111" s="1137"/>
      <c r="AA111" s="1137"/>
      <c r="AB111" s="1137"/>
      <c r="AC111" s="1137"/>
      <c r="AD111" s="1137"/>
      <c r="AE111" s="1137"/>
      <c r="AF111" s="1137"/>
    </row>
    <row r="112" spans="1:32" s="25" customFormat="1" ht="30" customHeight="1">
      <c r="A112" s="140" t="s">
        <v>129</v>
      </c>
      <c r="B112" s="1143" t="s">
        <v>130</v>
      </c>
      <c r="C112" s="1145"/>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1103</v>
      </c>
      <c r="B113" s="1153" t="s">
        <v>1054</v>
      </c>
      <c r="C113" s="1153"/>
      <c r="D113" s="117" t="s">
        <v>920</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1103</v>
      </c>
      <c r="B114" s="1153" t="s">
        <v>227</v>
      </c>
      <c r="C114" s="1153"/>
      <c r="D114" s="117" t="s">
        <v>920</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1103</v>
      </c>
      <c r="B115" s="1153" t="s">
        <v>156</v>
      </c>
      <c r="C115" s="1153"/>
      <c r="D115" s="117" t="s">
        <v>920</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1103</v>
      </c>
      <c r="B116" s="1153" t="s">
        <v>159</v>
      </c>
      <c r="C116" s="1153"/>
      <c r="D116" s="117" t="s">
        <v>920</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1103</v>
      </c>
      <c r="B117" s="1153" t="s">
        <v>160</v>
      </c>
      <c r="C117" s="1153"/>
      <c r="D117" s="117" t="s">
        <v>920</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1103</v>
      </c>
      <c r="B118" s="1153" t="s">
        <v>161</v>
      </c>
      <c r="C118" s="1153"/>
      <c r="D118" s="117" t="s">
        <v>920</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1103</v>
      </c>
      <c r="B119" s="1153" t="s">
        <v>314</v>
      </c>
      <c r="C119" s="1153"/>
      <c r="D119" s="117" t="s">
        <v>920</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1103</v>
      </c>
      <c r="B120" s="1153" t="s">
        <v>338</v>
      </c>
      <c r="C120" s="1153"/>
      <c r="D120" s="117" t="s">
        <v>920</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1103</v>
      </c>
      <c r="B121" s="1153" t="s">
        <v>268</v>
      </c>
      <c r="C121" s="1153"/>
      <c r="D121" s="117" t="s">
        <v>920</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1103</v>
      </c>
      <c r="B122" s="1153" t="s">
        <v>362</v>
      </c>
      <c r="C122" s="1153"/>
      <c r="D122" s="117" t="s">
        <v>920</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1103</v>
      </c>
      <c r="B123" s="1153" t="s">
        <v>309</v>
      </c>
      <c r="C123" s="1153"/>
      <c r="D123" s="117" t="s">
        <v>920</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196" t="s">
        <v>914</v>
      </c>
      <c r="B124" s="1197"/>
      <c r="C124" s="1197"/>
      <c r="D124" s="1197"/>
      <c r="E124" s="1197"/>
      <c r="F124" s="1197"/>
      <c r="G124" s="1197"/>
      <c r="H124" s="1197"/>
      <c r="I124" s="1197"/>
      <c r="J124" s="1197"/>
      <c r="K124" s="1197"/>
      <c r="L124" s="1197"/>
      <c r="M124" s="1197"/>
      <c r="N124" s="1197"/>
      <c r="O124" s="1197"/>
      <c r="P124" s="1197"/>
      <c r="Q124" s="1197"/>
      <c r="R124" s="1197"/>
      <c r="S124" s="1197"/>
      <c r="T124" s="1197"/>
      <c r="U124" s="1197"/>
      <c r="V124" s="1197"/>
      <c r="W124" s="1197"/>
      <c r="X124" s="1197"/>
      <c r="Y124" s="1197"/>
      <c r="Z124" s="1197"/>
      <c r="AA124" s="1197"/>
      <c r="AB124" s="1197"/>
      <c r="AC124" s="1197"/>
      <c r="AD124" s="1197"/>
      <c r="AE124" s="1197"/>
      <c r="AF124" s="1197"/>
    </row>
    <row r="125" spans="1:32" ht="15" customHeight="1">
      <c r="A125" s="140" t="s">
        <v>129</v>
      </c>
      <c r="B125" s="1129" t="s">
        <v>1103</v>
      </c>
      <c r="C125" s="1146"/>
      <c r="D125" s="1129" t="s">
        <v>1103</v>
      </c>
      <c r="E125" s="1146"/>
      <c r="F125" s="1129" t="s">
        <v>1103</v>
      </c>
      <c r="G125" s="1146"/>
      <c r="H125" s="1129" t="s">
        <v>1103</v>
      </c>
      <c r="I125" s="1146"/>
      <c r="J125" s="1129" t="s">
        <v>1103</v>
      </c>
      <c r="K125" s="1146"/>
      <c r="L125" s="1129" t="s">
        <v>1103</v>
      </c>
      <c r="M125" s="1146"/>
      <c r="N125" s="1129" t="s">
        <v>1103</v>
      </c>
      <c r="O125" s="1146"/>
      <c r="P125" s="1129" t="s">
        <v>1103</v>
      </c>
      <c r="Q125" s="1146"/>
      <c r="R125" s="1129" t="s">
        <v>1103</v>
      </c>
      <c r="S125" s="1146"/>
      <c r="T125" s="1129" t="s">
        <v>1103</v>
      </c>
      <c r="U125" s="1146"/>
      <c r="V125" s="1129" t="s">
        <v>1103</v>
      </c>
      <c r="W125" s="1146"/>
      <c r="X125" s="140"/>
      <c r="Y125" s="140"/>
      <c r="Z125" s="140"/>
      <c r="AA125" s="140"/>
      <c r="AB125" s="140"/>
      <c r="AC125" s="140"/>
      <c r="AD125" s="140"/>
      <c r="AE125" s="140"/>
      <c r="AF125" s="140"/>
    </row>
    <row r="126" spans="1:32" ht="15" customHeight="1">
      <c r="A126" s="140" t="s">
        <v>130</v>
      </c>
      <c r="B126" s="1125" t="s">
        <v>354</v>
      </c>
      <c r="C126" s="1125"/>
      <c r="D126" s="1125" t="s">
        <v>227</v>
      </c>
      <c r="E126" s="1125"/>
      <c r="F126" s="1125" t="s">
        <v>156</v>
      </c>
      <c r="G126" s="1125"/>
      <c r="H126" s="1125" t="s">
        <v>159</v>
      </c>
      <c r="I126" s="1125"/>
      <c r="J126" s="1125" t="s">
        <v>160</v>
      </c>
      <c r="K126" s="1125"/>
      <c r="L126" s="1125" t="s">
        <v>161</v>
      </c>
      <c r="M126" s="1125"/>
      <c r="N126" s="1125" t="s">
        <v>314</v>
      </c>
      <c r="O126" s="1125"/>
      <c r="P126" s="1125" t="s">
        <v>338</v>
      </c>
      <c r="Q126" s="1125"/>
      <c r="R126" s="1125" t="s">
        <v>268</v>
      </c>
      <c r="S126" s="1125"/>
      <c r="T126" s="1125" t="s">
        <v>362</v>
      </c>
      <c r="U126" s="1125"/>
      <c r="V126" s="1125" t="s">
        <v>309</v>
      </c>
      <c r="W126" s="1125"/>
      <c r="X126" s="1125" t="s">
        <v>123</v>
      </c>
      <c r="Y126" s="1125"/>
      <c r="Z126" s="1125"/>
      <c r="AA126" s="1125"/>
      <c r="AB126" s="1125"/>
      <c r="AC126" s="1125"/>
      <c r="AD126" s="1125"/>
      <c r="AE126" s="1125"/>
      <c r="AF126" s="1125"/>
    </row>
    <row r="127" spans="1:32">
      <c r="A127" s="142" t="s">
        <v>85</v>
      </c>
      <c r="B127" s="1195">
        <f>E113</f>
        <v>0</v>
      </c>
      <c r="C127" s="1195"/>
      <c r="D127" s="1195">
        <f>E114</f>
        <v>0</v>
      </c>
      <c r="E127" s="1195"/>
      <c r="F127" s="1195">
        <f>E115</f>
        <v>0.88888888888888895</v>
      </c>
      <c r="G127" s="1195"/>
      <c r="H127" s="1195">
        <f>E116</f>
        <v>0</v>
      </c>
      <c r="I127" s="1195"/>
      <c r="J127" s="1195">
        <f>E117</f>
        <v>5.5555555555555546E-2</v>
      </c>
      <c r="K127" s="1195"/>
      <c r="L127" s="1195">
        <f>E118</f>
        <v>5.5555555555555546E-2</v>
      </c>
      <c r="M127" s="1195"/>
      <c r="N127" s="1195">
        <f>E119</f>
        <v>0</v>
      </c>
      <c r="O127" s="1195"/>
      <c r="P127" s="1195">
        <f>E120</f>
        <v>0</v>
      </c>
      <c r="Q127" s="1195"/>
      <c r="R127" s="1195">
        <f>E121</f>
        <v>0</v>
      </c>
      <c r="S127" s="1195"/>
      <c r="T127" s="1195">
        <f>E122</f>
        <v>0</v>
      </c>
      <c r="U127" s="1195"/>
      <c r="V127" s="1195">
        <f>E123</f>
        <v>0</v>
      </c>
      <c r="W127" s="1195"/>
      <c r="X127" s="1132" t="s">
        <v>1123</v>
      </c>
      <c r="Y127" s="1132"/>
      <c r="Z127" s="1132"/>
      <c r="AA127" s="1132"/>
      <c r="AB127" s="1132"/>
      <c r="AC127" s="1132"/>
      <c r="AD127" s="1132"/>
      <c r="AE127" s="1132"/>
      <c r="AF127" s="1132"/>
    </row>
    <row r="128" spans="1:32">
      <c r="A128" s="142" t="s">
        <v>86</v>
      </c>
      <c r="B128" s="1195">
        <f>F113</f>
        <v>0.27128102999855674</v>
      </c>
      <c r="C128" s="1195"/>
      <c r="D128" s="1195">
        <f>F114</f>
        <v>0</v>
      </c>
      <c r="E128" s="1195"/>
      <c r="F128" s="1195">
        <f>F115</f>
        <v>0.14218906731735478</v>
      </c>
      <c r="G128" s="1195"/>
      <c r="H128" s="1195">
        <f>F116</f>
        <v>0.56875626926941902</v>
      </c>
      <c r="I128" s="1195"/>
      <c r="J128" s="1195">
        <f>F117</f>
        <v>8.8868167073346722E-3</v>
      </c>
      <c r="K128" s="1195"/>
      <c r="L128" s="1195">
        <f>F118</f>
        <v>8.8868167073346722E-3</v>
      </c>
      <c r="M128" s="1195"/>
      <c r="N128" s="1195">
        <f>F119</f>
        <v>0</v>
      </c>
      <c r="O128" s="1195"/>
      <c r="P128" s="1195">
        <f>F120</f>
        <v>0</v>
      </c>
      <c r="Q128" s="1195"/>
      <c r="R128" s="1195">
        <f>F121</f>
        <v>0</v>
      </c>
      <c r="S128" s="1195"/>
      <c r="T128" s="1195">
        <f>F122</f>
        <v>0</v>
      </c>
      <c r="U128" s="1195"/>
      <c r="V128" s="1195">
        <f>F123</f>
        <v>0</v>
      </c>
      <c r="W128" s="1195"/>
      <c r="X128" s="1132" t="s">
        <v>1123</v>
      </c>
      <c r="Y128" s="1132"/>
      <c r="Z128" s="1132"/>
      <c r="AA128" s="1132"/>
      <c r="AB128" s="1132"/>
      <c r="AC128" s="1132"/>
      <c r="AD128" s="1132"/>
      <c r="AE128" s="1132"/>
      <c r="AF128" s="1132"/>
    </row>
    <row r="129" spans="1:32">
      <c r="A129" s="142" t="s">
        <v>87</v>
      </c>
      <c r="B129" s="1195">
        <f>G113</f>
        <v>0</v>
      </c>
      <c r="C129" s="1195"/>
      <c r="D129" s="1195">
        <f>G114</f>
        <v>0</v>
      </c>
      <c r="E129" s="1195"/>
      <c r="F129" s="1195">
        <f>G115</f>
        <v>1</v>
      </c>
      <c r="G129" s="1195"/>
      <c r="H129" s="1195">
        <f>G116</f>
        <v>0</v>
      </c>
      <c r="I129" s="1195"/>
      <c r="J129" s="1195">
        <f>G117</f>
        <v>0</v>
      </c>
      <c r="K129" s="1195"/>
      <c r="L129" s="1195">
        <f>G118</f>
        <v>0</v>
      </c>
      <c r="M129" s="1195"/>
      <c r="N129" s="1195">
        <f>G119</f>
        <v>0</v>
      </c>
      <c r="O129" s="1195"/>
      <c r="P129" s="1195">
        <f>G120</f>
        <v>0</v>
      </c>
      <c r="Q129" s="1195"/>
      <c r="R129" s="1195">
        <f>G121</f>
        <v>0</v>
      </c>
      <c r="S129" s="1195"/>
      <c r="T129" s="1195">
        <f>G122</f>
        <v>0</v>
      </c>
      <c r="U129" s="1195"/>
      <c r="V129" s="1195">
        <f>G123</f>
        <v>0</v>
      </c>
      <c r="W129" s="1195"/>
      <c r="X129" s="1132" t="s">
        <v>1123</v>
      </c>
      <c r="Y129" s="1132"/>
      <c r="Z129" s="1132"/>
      <c r="AA129" s="1132"/>
      <c r="AB129" s="1132"/>
      <c r="AC129" s="1132"/>
      <c r="AD129" s="1132"/>
      <c r="AE129" s="1132"/>
      <c r="AF129" s="1132"/>
    </row>
    <row r="130" spans="1:32">
      <c r="A130" s="142" t="s">
        <v>88</v>
      </c>
      <c r="B130" s="1195">
        <f>H113</f>
        <v>0</v>
      </c>
      <c r="C130" s="1195"/>
      <c r="D130" s="1195">
        <f>H114</f>
        <v>0</v>
      </c>
      <c r="E130" s="1195"/>
      <c r="F130" s="1195">
        <f>H115</f>
        <v>0</v>
      </c>
      <c r="G130" s="1195"/>
      <c r="H130" s="1195">
        <f>H116</f>
        <v>0</v>
      </c>
      <c r="I130" s="1195"/>
      <c r="J130" s="1195">
        <f>H117</f>
        <v>0</v>
      </c>
      <c r="K130" s="1195"/>
      <c r="L130" s="1195">
        <f>H118</f>
        <v>0</v>
      </c>
      <c r="M130" s="1195"/>
      <c r="N130" s="1195">
        <f>H119</f>
        <v>0</v>
      </c>
      <c r="O130" s="1195"/>
      <c r="P130" s="1195">
        <f>H120</f>
        <v>0</v>
      </c>
      <c r="Q130" s="1195"/>
      <c r="R130" s="1195">
        <f>H121</f>
        <v>0</v>
      </c>
      <c r="S130" s="1195"/>
      <c r="T130" s="1195">
        <f>H122</f>
        <v>0</v>
      </c>
      <c r="U130" s="1195"/>
      <c r="V130" s="1195">
        <f>H123</f>
        <v>0</v>
      </c>
      <c r="W130" s="1195"/>
      <c r="X130" s="1132" t="s">
        <v>1123</v>
      </c>
      <c r="Y130" s="1132"/>
      <c r="Z130" s="1132"/>
      <c r="AA130" s="1132"/>
      <c r="AB130" s="1132"/>
      <c r="AC130" s="1132"/>
      <c r="AD130" s="1132"/>
      <c r="AE130" s="1132"/>
      <c r="AF130" s="1132"/>
    </row>
    <row r="131" spans="1:32">
      <c r="A131" s="142" t="s">
        <v>89</v>
      </c>
      <c r="B131" s="1195">
        <f>I113</f>
        <v>0</v>
      </c>
      <c r="C131" s="1195"/>
      <c r="D131" s="1195">
        <f>I114</f>
        <v>0</v>
      </c>
      <c r="E131" s="1195"/>
      <c r="F131" s="1195">
        <f>I115</f>
        <v>0</v>
      </c>
      <c r="G131" s="1195"/>
      <c r="H131" s="1195">
        <f>I116</f>
        <v>0</v>
      </c>
      <c r="I131" s="1195"/>
      <c r="J131" s="1195">
        <f>I117</f>
        <v>0</v>
      </c>
      <c r="K131" s="1195"/>
      <c r="L131" s="1195">
        <f>I118</f>
        <v>0</v>
      </c>
      <c r="M131" s="1195"/>
      <c r="N131" s="1195">
        <f>I119</f>
        <v>0</v>
      </c>
      <c r="O131" s="1195"/>
      <c r="P131" s="1195">
        <f>I120</f>
        <v>0</v>
      </c>
      <c r="Q131" s="1195"/>
      <c r="R131" s="1195">
        <f>I121</f>
        <v>0</v>
      </c>
      <c r="S131" s="1195"/>
      <c r="T131" s="1195">
        <f>I122</f>
        <v>0</v>
      </c>
      <c r="U131" s="1195"/>
      <c r="V131" s="1195">
        <f>I123</f>
        <v>0</v>
      </c>
      <c r="W131" s="1195"/>
      <c r="X131" s="1132" t="s">
        <v>1123</v>
      </c>
      <c r="Y131" s="1132"/>
      <c r="Z131" s="1132"/>
      <c r="AA131" s="1132"/>
      <c r="AB131" s="1132"/>
      <c r="AC131" s="1132"/>
      <c r="AD131" s="1132"/>
      <c r="AE131" s="1132"/>
      <c r="AF131" s="1132"/>
    </row>
    <row r="132" spans="1:32">
      <c r="A132" s="142" t="s">
        <v>90</v>
      </c>
      <c r="B132" s="1195">
        <f>J113</f>
        <v>0</v>
      </c>
      <c r="C132" s="1195"/>
      <c r="D132" s="1195">
        <f>J114</f>
        <v>0</v>
      </c>
      <c r="E132" s="1195"/>
      <c r="F132" s="1195">
        <f>J115</f>
        <v>0.88888888888888895</v>
      </c>
      <c r="G132" s="1195"/>
      <c r="H132" s="1195">
        <f>J116</f>
        <v>0</v>
      </c>
      <c r="I132" s="1195"/>
      <c r="J132" s="1195">
        <f>J117</f>
        <v>5.5555555555555546E-2</v>
      </c>
      <c r="K132" s="1195"/>
      <c r="L132" s="1195">
        <f>J118</f>
        <v>5.5555555555555546E-2</v>
      </c>
      <c r="M132" s="1195"/>
      <c r="N132" s="1195">
        <f>J119</f>
        <v>0</v>
      </c>
      <c r="O132" s="1195"/>
      <c r="P132" s="1195">
        <f>J120</f>
        <v>0</v>
      </c>
      <c r="Q132" s="1195"/>
      <c r="R132" s="1195">
        <f>J121</f>
        <v>0</v>
      </c>
      <c r="S132" s="1195"/>
      <c r="T132" s="1195">
        <f>J122</f>
        <v>0</v>
      </c>
      <c r="U132" s="1195"/>
      <c r="V132" s="1195">
        <f>J123</f>
        <v>0</v>
      </c>
      <c r="W132" s="1195"/>
      <c r="X132" s="1132" t="s">
        <v>1123</v>
      </c>
      <c r="Y132" s="1132"/>
      <c r="Z132" s="1132"/>
      <c r="AA132" s="1132"/>
      <c r="AB132" s="1132"/>
      <c r="AC132" s="1132"/>
      <c r="AD132" s="1132"/>
      <c r="AE132" s="1132"/>
      <c r="AF132" s="1132"/>
    </row>
    <row r="133" spans="1:32">
      <c r="A133" s="142" t="s">
        <v>91</v>
      </c>
      <c r="B133" s="1195">
        <f>K113</f>
        <v>0</v>
      </c>
      <c r="C133" s="1195"/>
      <c r="D133" s="1195">
        <f>K114</f>
        <v>0.68888053925336512</v>
      </c>
      <c r="E133" s="1195"/>
      <c r="F133" s="1195">
        <f>K115</f>
        <v>0</v>
      </c>
      <c r="G133" s="1195"/>
      <c r="H133" s="1195">
        <f>K116</f>
        <v>0</v>
      </c>
      <c r="I133" s="1195"/>
      <c r="J133" s="1195">
        <f>K117</f>
        <v>0.1555597303733175</v>
      </c>
      <c r="K133" s="1195"/>
      <c r="L133" s="1195">
        <f>K118</f>
        <v>0.1555597303733175</v>
      </c>
      <c r="M133" s="1195"/>
      <c r="N133" s="1195">
        <f>K119</f>
        <v>0</v>
      </c>
      <c r="O133" s="1195"/>
      <c r="P133" s="1195">
        <f>K120</f>
        <v>0</v>
      </c>
      <c r="Q133" s="1195"/>
      <c r="R133" s="1195">
        <f>K121</f>
        <v>0</v>
      </c>
      <c r="S133" s="1195"/>
      <c r="T133" s="1195">
        <f>K122</f>
        <v>0</v>
      </c>
      <c r="U133" s="1195"/>
      <c r="V133" s="1195">
        <f>K123</f>
        <v>0</v>
      </c>
      <c r="W133" s="1195"/>
      <c r="X133" s="1132" t="s">
        <v>1123</v>
      </c>
      <c r="Y133" s="1132"/>
      <c r="Z133" s="1132"/>
      <c r="AA133" s="1132"/>
      <c r="AB133" s="1132"/>
      <c r="AC133" s="1132"/>
      <c r="AD133" s="1132"/>
      <c r="AE133" s="1132"/>
      <c r="AF133" s="1132"/>
    </row>
    <row r="134" spans="1:32">
      <c r="A134" s="142" t="s">
        <v>92</v>
      </c>
      <c r="B134" s="1195">
        <f>L113</f>
        <v>0</v>
      </c>
      <c r="C134" s="1195"/>
      <c r="D134" s="1195">
        <f>L114</f>
        <v>0</v>
      </c>
      <c r="E134" s="1195"/>
      <c r="F134" s="1195">
        <f>L115</f>
        <v>0</v>
      </c>
      <c r="G134" s="1195"/>
      <c r="H134" s="1195">
        <f>L116</f>
        <v>0</v>
      </c>
      <c r="I134" s="1195"/>
      <c r="J134" s="1195">
        <f>L117</f>
        <v>0</v>
      </c>
      <c r="K134" s="1195"/>
      <c r="L134" s="1195">
        <f>L118</f>
        <v>0</v>
      </c>
      <c r="M134" s="1195"/>
      <c r="N134" s="1195">
        <f>L119</f>
        <v>0</v>
      </c>
      <c r="O134" s="1195"/>
      <c r="P134" s="1195">
        <f>L120</f>
        <v>0</v>
      </c>
      <c r="Q134" s="1195"/>
      <c r="R134" s="1195">
        <f>L121</f>
        <v>0</v>
      </c>
      <c r="S134" s="1195"/>
      <c r="T134" s="1195">
        <f>L122</f>
        <v>0</v>
      </c>
      <c r="U134" s="1195"/>
      <c r="V134" s="1195">
        <f>L123</f>
        <v>1</v>
      </c>
      <c r="W134" s="1195"/>
      <c r="X134" s="1132" t="s">
        <v>1123</v>
      </c>
      <c r="Y134" s="1132"/>
      <c r="Z134" s="1132"/>
      <c r="AA134" s="1132"/>
      <c r="AB134" s="1132"/>
      <c r="AC134" s="1132"/>
      <c r="AD134" s="1132"/>
      <c r="AE134" s="1132"/>
      <c r="AF134" s="1132"/>
    </row>
    <row r="135" spans="1:32">
      <c r="A135" s="142" t="s">
        <v>93</v>
      </c>
      <c r="B135" s="1195">
        <f>M113</f>
        <v>0.23555374262145426</v>
      </c>
      <c r="C135" s="1195"/>
      <c r="D135" s="1195">
        <f>M114</f>
        <v>0.67917586906964822</v>
      </c>
      <c r="E135" s="1195"/>
      <c r="F135" s="1195">
        <f>M115</f>
        <v>7.5795900719019996E-2</v>
      </c>
      <c r="G135" s="1195"/>
      <c r="H135" s="1195">
        <f>M116</f>
        <v>0</v>
      </c>
      <c r="I135" s="1195"/>
      <c r="J135" s="1195">
        <f>M117</f>
        <v>4.7372437949387489E-3</v>
      </c>
      <c r="K135" s="1195"/>
      <c r="L135" s="1195">
        <f>M118</f>
        <v>4.7372437949387489E-3</v>
      </c>
      <c r="M135" s="1195"/>
      <c r="N135" s="1195">
        <f>M119</f>
        <v>0</v>
      </c>
      <c r="O135" s="1195"/>
      <c r="P135" s="1195">
        <f>M120</f>
        <v>0</v>
      </c>
      <c r="Q135" s="1195"/>
      <c r="R135" s="1195">
        <f>M121</f>
        <v>0</v>
      </c>
      <c r="S135" s="1195"/>
      <c r="T135" s="1195">
        <f>M122</f>
        <v>0</v>
      </c>
      <c r="U135" s="1195"/>
      <c r="V135" s="1195">
        <f>M123</f>
        <v>0</v>
      </c>
      <c r="W135" s="1195"/>
      <c r="X135" s="1132" t="s">
        <v>1123</v>
      </c>
      <c r="Y135" s="1132"/>
      <c r="Z135" s="1132"/>
      <c r="AA135" s="1132"/>
      <c r="AB135" s="1132"/>
      <c r="AC135" s="1132"/>
      <c r="AD135" s="1132"/>
      <c r="AE135" s="1132"/>
      <c r="AF135" s="1132"/>
    </row>
    <row r="136" spans="1:32">
      <c r="A136" s="142" t="s">
        <v>94</v>
      </c>
      <c r="B136" s="1195">
        <f>N113</f>
        <v>0</v>
      </c>
      <c r="C136" s="1195"/>
      <c r="D136" s="1195">
        <f>N114</f>
        <v>0</v>
      </c>
      <c r="E136" s="1195"/>
      <c r="F136" s="1195">
        <f>N115</f>
        <v>0</v>
      </c>
      <c r="G136" s="1195"/>
      <c r="H136" s="1195">
        <f>N116</f>
        <v>0</v>
      </c>
      <c r="I136" s="1195"/>
      <c r="J136" s="1195">
        <f>N117</f>
        <v>0</v>
      </c>
      <c r="K136" s="1195"/>
      <c r="L136" s="1195">
        <f>N118</f>
        <v>0</v>
      </c>
      <c r="M136" s="1195"/>
      <c r="N136" s="1195">
        <f>N119</f>
        <v>0</v>
      </c>
      <c r="O136" s="1195"/>
      <c r="P136" s="1195">
        <f>N120</f>
        <v>0</v>
      </c>
      <c r="Q136" s="1195"/>
      <c r="R136" s="1195">
        <f>N121</f>
        <v>0</v>
      </c>
      <c r="S136" s="1195"/>
      <c r="T136" s="1195">
        <f>N122</f>
        <v>0</v>
      </c>
      <c r="U136" s="1195"/>
      <c r="V136" s="1195">
        <f>N123</f>
        <v>0</v>
      </c>
      <c r="W136" s="1195"/>
      <c r="X136" s="1132" t="s">
        <v>1123</v>
      </c>
      <c r="Y136" s="1132"/>
      <c r="Z136" s="1132"/>
      <c r="AA136" s="1132"/>
      <c r="AB136" s="1132"/>
      <c r="AC136" s="1132"/>
      <c r="AD136" s="1132"/>
      <c r="AE136" s="1132"/>
      <c r="AF136" s="1132"/>
    </row>
    <row r="137" spans="1:32">
      <c r="A137" s="142" t="s">
        <v>95</v>
      </c>
      <c r="B137" s="1195">
        <f>O113</f>
        <v>5.6605334263949885E-3</v>
      </c>
      <c r="C137" s="1195"/>
      <c r="D137" s="1195">
        <f>O114</f>
        <v>0.19632840585737768</v>
      </c>
      <c r="E137" s="1195"/>
      <c r="F137" s="1195">
        <f>O115</f>
        <v>0.70934316508109096</v>
      </c>
      <c r="G137" s="1195"/>
      <c r="H137" s="1195">
        <f>O116</f>
        <v>0</v>
      </c>
      <c r="I137" s="1195"/>
      <c r="J137" s="1195">
        <f>O117</f>
        <v>4.4333947817568178E-2</v>
      </c>
      <c r="K137" s="1195"/>
      <c r="L137" s="1195">
        <f>O118</f>
        <v>4.4333947817568178E-2</v>
      </c>
      <c r="M137" s="1195"/>
      <c r="N137" s="1195">
        <f>O119</f>
        <v>0</v>
      </c>
      <c r="O137" s="1195"/>
      <c r="P137" s="1195">
        <f>O120</f>
        <v>0</v>
      </c>
      <c r="Q137" s="1195"/>
      <c r="R137" s="1195">
        <f>O121</f>
        <v>0</v>
      </c>
      <c r="S137" s="1195"/>
      <c r="T137" s="1195">
        <f>O122</f>
        <v>0</v>
      </c>
      <c r="U137" s="1195"/>
      <c r="V137" s="1195">
        <f>O123</f>
        <v>0</v>
      </c>
      <c r="W137" s="1195"/>
      <c r="X137" s="1132" t="s">
        <v>1123</v>
      </c>
      <c r="Y137" s="1132"/>
      <c r="Z137" s="1132"/>
      <c r="AA137" s="1132"/>
      <c r="AB137" s="1132"/>
      <c r="AC137" s="1132"/>
      <c r="AD137" s="1132"/>
      <c r="AE137" s="1132"/>
      <c r="AF137" s="1132"/>
    </row>
    <row r="138" spans="1:32">
      <c r="A138" s="142" t="s">
        <v>96</v>
      </c>
      <c r="B138" s="1195">
        <f>P113</f>
        <v>0</v>
      </c>
      <c r="C138" s="1195"/>
      <c r="D138" s="1195">
        <f>P114</f>
        <v>0</v>
      </c>
      <c r="E138" s="1195"/>
      <c r="F138" s="1195">
        <f>P115</f>
        <v>0</v>
      </c>
      <c r="G138" s="1195"/>
      <c r="H138" s="1195">
        <f>P116</f>
        <v>0</v>
      </c>
      <c r="I138" s="1195"/>
      <c r="J138" s="1195">
        <f>P117</f>
        <v>0</v>
      </c>
      <c r="K138" s="1195"/>
      <c r="L138" s="1195">
        <f>P118</f>
        <v>0</v>
      </c>
      <c r="M138" s="1195"/>
      <c r="N138" s="1195">
        <f>P119</f>
        <v>0</v>
      </c>
      <c r="O138" s="1195"/>
      <c r="P138" s="1195">
        <f>P120</f>
        <v>0</v>
      </c>
      <c r="Q138" s="1195"/>
      <c r="R138" s="1195">
        <f>P121</f>
        <v>0</v>
      </c>
      <c r="S138" s="1195"/>
      <c r="T138" s="1195">
        <f>P122</f>
        <v>0</v>
      </c>
      <c r="U138" s="1195"/>
      <c r="V138" s="1195">
        <f>P123</f>
        <v>0</v>
      </c>
      <c r="W138" s="1195"/>
      <c r="X138" s="1132" t="s">
        <v>1123</v>
      </c>
      <c r="Y138" s="1132"/>
      <c r="Z138" s="1132"/>
      <c r="AA138" s="1132"/>
      <c r="AB138" s="1132"/>
      <c r="AC138" s="1132"/>
      <c r="AD138" s="1132"/>
      <c r="AE138" s="1132"/>
      <c r="AF138" s="1132"/>
    </row>
    <row r="139" spans="1:32">
      <c r="A139" s="142" t="s">
        <v>97</v>
      </c>
      <c r="B139" s="1195">
        <f>Q113</f>
        <v>0</v>
      </c>
      <c r="C139" s="1195"/>
      <c r="D139" s="1195">
        <f>Q114</f>
        <v>0.19744605585646305</v>
      </c>
      <c r="E139" s="1195"/>
      <c r="F139" s="1195">
        <f>Q115</f>
        <v>0.71338128368314402</v>
      </c>
      <c r="G139" s="1195"/>
      <c r="H139" s="1195">
        <f>Q116</f>
        <v>0</v>
      </c>
      <c r="I139" s="1195"/>
      <c r="J139" s="1195">
        <f>Q117</f>
        <v>4.4586330230196494E-2</v>
      </c>
      <c r="K139" s="1195"/>
      <c r="L139" s="1195">
        <f>Q118</f>
        <v>4.4586330230196494E-2</v>
      </c>
      <c r="M139" s="1195"/>
      <c r="N139" s="1195">
        <f>Q119</f>
        <v>0</v>
      </c>
      <c r="O139" s="1195"/>
      <c r="P139" s="1195">
        <f>Q120</f>
        <v>0</v>
      </c>
      <c r="Q139" s="1195"/>
      <c r="R139" s="1195">
        <f>Q121</f>
        <v>0</v>
      </c>
      <c r="S139" s="1195"/>
      <c r="T139" s="1195">
        <f>Q122</f>
        <v>0</v>
      </c>
      <c r="U139" s="1195"/>
      <c r="V139" s="1195">
        <f>Q123</f>
        <v>0</v>
      </c>
      <c r="W139" s="1195"/>
      <c r="X139" s="1132" t="s">
        <v>1123</v>
      </c>
      <c r="Y139" s="1132"/>
      <c r="Z139" s="1132"/>
      <c r="AA139" s="1132"/>
      <c r="AB139" s="1132"/>
      <c r="AC139" s="1132"/>
      <c r="AD139" s="1132"/>
      <c r="AE139" s="1132"/>
      <c r="AF139" s="1132"/>
    </row>
    <row r="140" spans="1:32">
      <c r="A140" s="142" t="s">
        <v>127</v>
      </c>
      <c r="B140" s="1195">
        <f>R113</f>
        <v>2.0189518931614638E-3</v>
      </c>
      <c r="C140" s="1195"/>
      <c r="D140" s="1195">
        <f>R114</f>
        <v>3.7824092334929553E-4</v>
      </c>
      <c r="E140" s="1195"/>
      <c r="F140" s="1195">
        <f>R115</f>
        <v>0.3279842619534431</v>
      </c>
      <c r="G140" s="1195"/>
      <c r="H140" s="1195">
        <f>R116</f>
        <v>0</v>
      </c>
      <c r="I140" s="1195"/>
      <c r="J140" s="1195">
        <f>R117</f>
        <v>6.8330054573633985E-3</v>
      </c>
      <c r="K140" s="1195"/>
      <c r="L140" s="1195">
        <f>R118</f>
        <v>6.8330054573633985E-3</v>
      </c>
      <c r="M140" s="1195"/>
      <c r="N140" s="1195">
        <f>R119</f>
        <v>6.6532165485482164E-3</v>
      </c>
      <c r="O140" s="1195"/>
      <c r="P140" s="1195">
        <f>R120</f>
        <v>0.14573018486415787</v>
      </c>
      <c r="Q140" s="1195"/>
      <c r="R140" s="1195">
        <f>R121</f>
        <v>0.14573018486415787</v>
      </c>
      <c r="S140" s="1195"/>
      <c r="T140" s="1195">
        <f>R122</f>
        <v>0.3578389480384554</v>
      </c>
      <c r="U140" s="1195"/>
      <c r="V140" s="1195">
        <f>R123</f>
        <v>0</v>
      </c>
      <c r="W140" s="1195"/>
      <c r="X140" s="1132" t="s">
        <v>1123</v>
      </c>
      <c r="Y140" s="1132"/>
      <c r="Z140" s="1132"/>
      <c r="AA140" s="1132"/>
      <c r="AB140" s="1132"/>
      <c r="AC140" s="1132"/>
      <c r="AD140" s="1132"/>
      <c r="AE140" s="1132"/>
      <c r="AF140" s="1132"/>
    </row>
    <row r="141" spans="1:32">
      <c r="A141" s="875"/>
      <c r="B141" s="876"/>
      <c r="C141" s="876"/>
      <c r="D141" s="876"/>
      <c r="E141" s="876"/>
      <c r="F141" s="876"/>
      <c r="G141" s="876"/>
      <c r="H141" s="876"/>
      <c r="I141" s="876"/>
      <c r="J141" s="876"/>
      <c r="K141" s="876"/>
      <c r="L141" s="876"/>
      <c r="M141" s="876"/>
      <c r="N141" s="876"/>
      <c r="O141" s="876"/>
      <c r="P141" s="876"/>
      <c r="Q141" s="876"/>
      <c r="R141" s="876"/>
      <c r="S141" s="876"/>
      <c r="T141" s="876"/>
      <c r="U141" s="876"/>
      <c r="V141" s="876"/>
      <c r="W141" s="876"/>
    </row>
    <row r="142" spans="1:32" customFormat="1">
      <c r="H142" s="6"/>
      <c r="I142" s="6"/>
      <c r="J142" s="6"/>
      <c r="K142" s="6"/>
      <c r="L142" s="6"/>
      <c r="M142" s="6"/>
      <c r="N142" s="6"/>
      <c r="O142" s="6"/>
    </row>
    <row r="143" spans="1:32" customFormat="1" ht="15.75" thickBot="1">
      <c r="A143" s="409" t="s">
        <v>2009</v>
      </c>
      <c r="B143" s="221"/>
      <c r="C143" s="221"/>
      <c r="D143" s="221"/>
      <c r="E143" s="221"/>
      <c r="F143" s="221"/>
      <c r="G143" s="221"/>
      <c r="H143" s="861"/>
      <c r="I143" s="861"/>
      <c r="J143" s="861"/>
      <c r="K143" s="861"/>
      <c r="L143" s="861"/>
      <c r="M143" s="861"/>
      <c r="N143" s="861"/>
      <c r="O143" s="861"/>
      <c r="P143" s="221"/>
    </row>
    <row r="144" spans="1:32" ht="15.7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75" thickBot="1">
      <c r="A145" s="227" t="s">
        <v>309</v>
      </c>
      <c r="B145" s="227" t="s">
        <v>311</v>
      </c>
      <c r="C145" s="6" t="s">
        <v>139</v>
      </c>
      <c r="D145" s="6" t="s">
        <v>139</v>
      </c>
      <c r="E145" s="6" t="s">
        <v>150</v>
      </c>
      <c r="F145" s="6">
        <v>1</v>
      </c>
      <c r="G145" s="161"/>
      <c r="H145" s="251"/>
      <c r="I145" s="66"/>
      <c r="J145" s="66"/>
      <c r="K145" s="66"/>
      <c r="L145" s="66"/>
      <c r="M145" s="295"/>
      <c r="N145" s="405" t="str">
        <f t="shared" ref="N145:N146" si="51">IF( OR( ISBLANK(H145),ISBLANK(J145), ISBLANK(K145), ISBLANK(L145), ISBLANK(M145) ), "", 1.5*SQRT(   EXP(2.21*(H145-1)) + EXP(2.21*(J145-1)) + EXP(2.21*(K145-1)) + EXP(2.21*(L145-1)) + EXP(2.21*M145)   )/100*2.45 )</f>
        <v/>
      </c>
      <c r="O145" s="350" t="str">
        <f t="shared" ref="O145:O146" si="52">IF( OR( ISBLANK(I145),ISBLANK(J145), ISBLANK(K145), ISBLANK(L145), ISBLANK(M145) ), "", 1.5*SQRT( EXP(2.21*(I145-1)) + EXP(2.21*(J145-1)) + EXP(2.21*(K145-1)) + EXP(2.21*(L145-1)) + EXP(2.21*M145)   )/100*2.45 )</f>
        <v/>
      </c>
      <c r="P145" s="60"/>
    </row>
    <row r="146" spans="1:16" ht="15.75" thickBot="1">
      <c r="A146" s="227" t="s">
        <v>309</v>
      </c>
      <c r="B146" s="227" t="s">
        <v>312</v>
      </c>
      <c r="C146" s="6" t="s">
        <v>139</v>
      </c>
      <c r="D146" s="6" t="s">
        <v>139</v>
      </c>
      <c r="E146" s="581">
        <v>0.11</v>
      </c>
      <c r="F146" s="6">
        <v>2</v>
      </c>
      <c r="G146" s="40" t="s">
        <v>313</v>
      </c>
      <c r="H146" s="249">
        <v>2</v>
      </c>
      <c r="I146" s="10">
        <v>2</v>
      </c>
      <c r="J146" s="10">
        <v>1</v>
      </c>
      <c r="K146" s="10">
        <v>1</v>
      </c>
      <c r="L146" s="10">
        <v>1</v>
      </c>
      <c r="M146" s="293">
        <v>1</v>
      </c>
      <c r="N146" s="405">
        <f t="shared" si="51"/>
        <v>0.16933510251023262</v>
      </c>
      <c r="O146" s="350">
        <f t="shared" si="52"/>
        <v>0.16933510251023262</v>
      </c>
      <c r="P146" s="34"/>
    </row>
    <row r="147" spans="1:16" ht="15.75" thickBot="1">
      <c r="A147" s="227" t="s">
        <v>312</v>
      </c>
      <c r="B147" s="60" t="s">
        <v>232</v>
      </c>
      <c r="C147" s="6" t="s">
        <v>139</v>
      </c>
      <c r="D147" s="6" t="s">
        <v>139</v>
      </c>
      <c r="E147" s="581">
        <v>0.08</v>
      </c>
      <c r="F147" s="6">
        <v>1</v>
      </c>
      <c r="G147" s="161" t="s">
        <v>353</v>
      </c>
      <c r="H147" s="251">
        <v>2</v>
      </c>
      <c r="I147" s="66">
        <v>2</v>
      </c>
      <c r="J147" s="66">
        <v>1</v>
      </c>
      <c r="K147" s="66">
        <v>1</v>
      </c>
      <c r="L147" s="66">
        <v>1</v>
      </c>
      <c r="M147" s="295">
        <v>1</v>
      </c>
      <c r="N147" s="405">
        <f t="shared" ref="N147:N148" si="53">IF( OR( ISBLANK(H147),ISBLANK(J147), ISBLANK(K147), ISBLANK(L147), ISBLANK(M147) ), "", 1.5*SQRT(   EXP(2.21*(H147-1)) + EXP(2.21*(J147-1)) + EXP(2.21*(K147-1)) + EXP(2.21*(L147-1)) + EXP(2.21*M147)   )/100*2.45 )</f>
        <v>0.16933510251023262</v>
      </c>
      <c r="O147" s="350">
        <f t="shared" ref="O147:O150" si="54">IF( OR( ISBLANK(I147),ISBLANK(J147), ISBLANK(K147), ISBLANK(L147), ISBLANK(M147) ), "", 1.5*SQRT( EXP(2.21*(I147-1)) + EXP(2.21*(J147-1)) + EXP(2.21*(K147-1)) + EXP(2.21*(L147-1)) + EXP(2.21*M147)   )/100*2.45 )</f>
        <v>0.16933510251023262</v>
      </c>
      <c r="P147" s="60"/>
    </row>
    <row r="148" spans="1:16" ht="15.75" thickBot="1">
      <c r="A148" s="227" t="s">
        <v>312</v>
      </c>
      <c r="B148" s="34" t="s">
        <v>251</v>
      </c>
      <c r="C148" s="6" t="s">
        <v>139</v>
      </c>
      <c r="D148" s="6" t="s">
        <v>139</v>
      </c>
      <c r="E148" s="581">
        <v>0.52</v>
      </c>
      <c r="F148" s="6">
        <v>1</v>
      </c>
      <c r="G148" s="40" t="s">
        <v>353</v>
      </c>
      <c r="H148" s="249">
        <v>2</v>
      </c>
      <c r="I148" s="10">
        <v>2</v>
      </c>
      <c r="J148" s="10">
        <v>1</v>
      </c>
      <c r="K148" s="10">
        <v>1</v>
      </c>
      <c r="L148" s="10">
        <v>1</v>
      </c>
      <c r="M148" s="293">
        <v>1</v>
      </c>
      <c r="N148" s="405">
        <f t="shared" si="53"/>
        <v>0.16933510251023262</v>
      </c>
      <c r="O148" s="350">
        <f t="shared" si="54"/>
        <v>0.16933510251023262</v>
      </c>
      <c r="P148" s="34"/>
    </row>
    <row r="149" spans="1:16" ht="15.75" thickBot="1">
      <c r="A149" s="227" t="s">
        <v>312</v>
      </c>
      <c r="B149" s="7" t="s">
        <v>334</v>
      </c>
      <c r="C149" s="6" t="s">
        <v>139</v>
      </c>
      <c r="D149" s="6" t="s">
        <v>139</v>
      </c>
      <c r="E149" s="581">
        <v>0.4</v>
      </c>
      <c r="F149" s="6">
        <v>1</v>
      </c>
      <c r="G149" s="40" t="s">
        <v>353</v>
      </c>
      <c r="H149" s="249">
        <v>2</v>
      </c>
      <c r="I149" s="10">
        <v>2</v>
      </c>
      <c r="J149" s="10">
        <v>1</v>
      </c>
      <c r="K149" s="10">
        <v>1</v>
      </c>
      <c r="L149" s="10">
        <v>1</v>
      </c>
      <c r="M149" s="293">
        <v>1</v>
      </c>
      <c r="N149" s="405">
        <f t="shared" ref="N149:N150" si="55">IF( OR( ISBLANK(H149),ISBLANK(J149), ISBLANK(K149), ISBLANK(L149), ISBLANK(M149) ), "", 1.5*SQRT(   EXP(2.21*(H149-1)) + EXP(2.21*(J149-1)) + EXP(2.21*(K149-1)) + EXP(2.21*(L149-1)) + EXP(2.21*M149)   )/100*2.45 )</f>
        <v>0.16933510251023262</v>
      </c>
      <c r="O149" s="350">
        <f t="shared" si="54"/>
        <v>0.16933510251023262</v>
      </c>
      <c r="P149" s="34"/>
    </row>
    <row r="150" spans="1:16">
      <c r="A150" s="227" t="s">
        <v>311</v>
      </c>
      <c r="B150" s="7" t="s">
        <v>334</v>
      </c>
      <c r="C150" s="6" t="s">
        <v>139</v>
      </c>
      <c r="D150" s="6" t="s">
        <v>139</v>
      </c>
      <c r="E150" s="6">
        <v>1</v>
      </c>
      <c r="F150" s="6">
        <v>1</v>
      </c>
      <c r="H150" s="249"/>
      <c r="I150" s="10"/>
      <c r="J150" s="10"/>
      <c r="K150" s="10"/>
      <c r="L150" s="10"/>
      <c r="M150" s="293"/>
      <c r="N150" s="405" t="str">
        <f t="shared" si="55"/>
        <v/>
      </c>
      <c r="O150" s="350" t="str">
        <f t="shared" si="54"/>
        <v/>
      </c>
      <c r="P150" s="34"/>
    </row>
    <row r="151" spans="1:16">
      <c r="A151" s="227"/>
      <c r="B151" s="227"/>
    </row>
    <row r="152" spans="1:16">
      <c r="A152" s="1227" t="s">
        <v>986</v>
      </c>
      <c r="B152" s="1228"/>
      <c r="C152" s="1228"/>
      <c r="D152" s="1228"/>
      <c r="E152" s="1228"/>
      <c r="F152" s="1228"/>
      <c r="G152" s="1228"/>
      <c r="H152" s="1228"/>
      <c r="I152" s="1228"/>
      <c r="J152" s="1228"/>
      <c r="K152" s="1228"/>
      <c r="L152" s="1228"/>
      <c r="M152" s="1228"/>
      <c r="N152" s="1228"/>
      <c r="O152" s="1228"/>
      <c r="P152" s="1228"/>
    </row>
    <row r="153" spans="1:16">
      <c r="A153" s="1228"/>
      <c r="B153" s="1228"/>
      <c r="C153" s="1228"/>
      <c r="D153" s="1228"/>
      <c r="E153" s="1228"/>
      <c r="F153" s="1228"/>
      <c r="G153" s="1228"/>
      <c r="H153" s="1228"/>
      <c r="I153" s="1228"/>
      <c r="J153" s="1228"/>
      <c r="K153" s="1228"/>
      <c r="L153" s="1228"/>
      <c r="M153" s="1228"/>
      <c r="N153" s="1228"/>
      <c r="O153" s="1228"/>
      <c r="P153" s="1228"/>
    </row>
    <row r="154" spans="1:16">
      <c r="D154" s="6" t="s">
        <v>1124</v>
      </c>
      <c r="E154" s="6">
        <f>948/90312</f>
        <v>1.0496943927717247E-2</v>
      </c>
      <c r="F154" s="6" t="s">
        <v>1125</v>
      </c>
    </row>
    <row r="155" spans="1:16">
      <c r="A155" s="6" t="s">
        <v>1126</v>
      </c>
      <c r="D155" s="6" t="s">
        <v>1124</v>
      </c>
      <c r="E155" s="6">
        <v>1.0999999999999999E-2</v>
      </c>
      <c r="F155" s="6" t="s">
        <v>302</v>
      </c>
    </row>
    <row r="156" spans="1:16">
      <c r="A156" s="367" t="s">
        <v>1127</v>
      </c>
      <c r="D156" s="6" t="s">
        <v>1128</v>
      </c>
      <c r="E156" s="6">
        <f>10*E155</f>
        <v>0.10999999999999999</v>
      </c>
    </row>
    <row r="158" spans="1:16">
      <c r="D158" s="6">
        <f>0.15/0.11</f>
        <v>1.3636363636363635</v>
      </c>
    </row>
  </sheetData>
  <mergeCells count="394">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R17:AF17"/>
    <mergeCell ref="R23:AF23"/>
    <mergeCell ref="R24:AF24"/>
    <mergeCell ref="R25:AF25"/>
    <mergeCell ref="A28:AF28"/>
    <mergeCell ref="R18:AF18"/>
    <mergeCell ref="R19:AF19"/>
    <mergeCell ref="R29:AF29"/>
    <mergeCell ref="R30:AF30"/>
    <mergeCell ref="R26:AF26"/>
    <mergeCell ref="M29:Q29"/>
    <mergeCell ref="M30:Q30"/>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A1:AF1"/>
    <mergeCell ref="U3:V3"/>
    <mergeCell ref="W3:AF3"/>
    <mergeCell ref="U4:V4"/>
    <mergeCell ref="W4:AF4"/>
    <mergeCell ref="U5:V5"/>
    <mergeCell ref="W5:AF5"/>
    <mergeCell ref="U6:V6"/>
    <mergeCell ref="W6:AF6"/>
    <mergeCell ref="U9:V9"/>
    <mergeCell ref="U10:V10"/>
    <mergeCell ref="R2:T2"/>
    <mergeCell ref="R3:T3"/>
    <mergeCell ref="R10:T10"/>
    <mergeCell ref="R11:T11"/>
    <mergeCell ref="R12:T12"/>
    <mergeCell ref="R13:T13"/>
    <mergeCell ref="R4:T4"/>
    <mergeCell ref="R5:T5"/>
    <mergeCell ref="R6:T6"/>
    <mergeCell ref="R7:T7"/>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G81:L81"/>
    <mergeCell ref="G79:L79"/>
    <mergeCell ref="G80:L80"/>
    <mergeCell ref="G77:L77"/>
    <mergeCell ref="G78:L78"/>
    <mergeCell ref="G75:L75"/>
    <mergeCell ref="G76:L76"/>
    <mergeCell ref="G72:L72"/>
    <mergeCell ref="G73:L73"/>
    <mergeCell ref="R81:AF81"/>
    <mergeCell ref="R71:AF71"/>
    <mergeCell ref="R72:AF72"/>
    <mergeCell ref="R74:AF74"/>
    <mergeCell ref="R75:AF75"/>
    <mergeCell ref="R76:AF76"/>
    <mergeCell ref="R77:AF77"/>
    <mergeCell ref="M71:Q71"/>
    <mergeCell ref="R92:AF92"/>
    <mergeCell ref="R73:AF73"/>
    <mergeCell ref="R78:AF78"/>
    <mergeCell ref="R69:AF69"/>
    <mergeCell ref="R70:AF70"/>
    <mergeCell ref="A61:A62"/>
    <mergeCell ref="A63:A64"/>
    <mergeCell ref="A65:A66"/>
    <mergeCell ref="J65:K66"/>
    <mergeCell ref="B61:B62"/>
    <mergeCell ref="B63:B64"/>
    <mergeCell ref="B65:B66"/>
    <mergeCell ref="E61:E62"/>
    <mergeCell ref="E63:E64"/>
    <mergeCell ref="G69:L69"/>
    <mergeCell ref="G70:L70"/>
    <mergeCell ref="R101:AF101"/>
    <mergeCell ref="R102:AF102"/>
    <mergeCell ref="R93:AF93"/>
    <mergeCell ref="R94:AF94"/>
    <mergeCell ref="R95:AF95"/>
    <mergeCell ref="R96:AF96"/>
    <mergeCell ref="R97:AF97"/>
    <mergeCell ref="R103:AF103"/>
    <mergeCell ref="R104:AF104"/>
    <mergeCell ref="R98:AF98"/>
    <mergeCell ref="R99:AF99"/>
    <mergeCell ref="R100:AF100"/>
    <mergeCell ref="B112:C112"/>
    <mergeCell ref="B113:C113"/>
    <mergeCell ref="A111:AF111"/>
    <mergeCell ref="R105:AF105"/>
    <mergeCell ref="R106:AF106"/>
    <mergeCell ref="B119:C119"/>
    <mergeCell ref="B120:C120"/>
    <mergeCell ref="B121:C121"/>
    <mergeCell ref="B122:C122"/>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39:C139"/>
    <mergeCell ref="B130:C130"/>
    <mergeCell ref="B131:C131"/>
    <mergeCell ref="B132:C132"/>
    <mergeCell ref="B133:C133"/>
    <mergeCell ref="B134:C134"/>
    <mergeCell ref="B126:C126"/>
    <mergeCell ref="B127:C127"/>
    <mergeCell ref="B128:C128"/>
    <mergeCell ref="B129:C129"/>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D139:E139"/>
    <mergeCell ref="F139:G139"/>
    <mergeCell ref="H139:I139"/>
    <mergeCell ref="D140:E140"/>
    <mergeCell ref="F140:G140"/>
    <mergeCell ref="H140:I140"/>
    <mergeCell ref="D137:E137"/>
    <mergeCell ref="F137:G137"/>
    <mergeCell ref="H137:I137"/>
    <mergeCell ref="D138:E138"/>
    <mergeCell ref="F138:G138"/>
    <mergeCell ref="H138:I138"/>
    <mergeCell ref="L128:M128"/>
    <mergeCell ref="N128:O128"/>
    <mergeCell ref="P128:Q128"/>
    <mergeCell ref="R128:S128"/>
    <mergeCell ref="J129:K129"/>
    <mergeCell ref="L129:M129"/>
    <mergeCell ref="N129:O129"/>
    <mergeCell ref="P129:Q129"/>
    <mergeCell ref="R129:S129"/>
    <mergeCell ref="J128:K128"/>
    <mergeCell ref="J132:K132"/>
    <mergeCell ref="L132:M132"/>
    <mergeCell ref="N132:O132"/>
    <mergeCell ref="P132:Q132"/>
    <mergeCell ref="R132:S132"/>
    <mergeCell ref="J131:K131"/>
    <mergeCell ref="L131:M131"/>
    <mergeCell ref="N131:O131"/>
    <mergeCell ref="P131:Q131"/>
    <mergeCell ref="R131:S131"/>
    <mergeCell ref="J134:K134"/>
    <mergeCell ref="L134:M134"/>
    <mergeCell ref="N134:O134"/>
    <mergeCell ref="P134:Q134"/>
    <mergeCell ref="R134:S134"/>
    <mergeCell ref="J133:K133"/>
    <mergeCell ref="L133:M133"/>
    <mergeCell ref="N133:O133"/>
    <mergeCell ref="P133:Q133"/>
    <mergeCell ref="R133:S133"/>
    <mergeCell ref="J136:K136"/>
    <mergeCell ref="L136:M136"/>
    <mergeCell ref="N136:O136"/>
    <mergeCell ref="P136:Q136"/>
    <mergeCell ref="R136:S136"/>
    <mergeCell ref="J135:K135"/>
    <mergeCell ref="L135:M135"/>
    <mergeCell ref="N135:O135"/>
    <mergeCell ref="P135:Q135"/>
    <mergeCell ref="R135:S135"/>
    <mergeCell ref="J138:K138"/>
    <mergeCell ref="L138:M138"/>
    <mergeCell ref="N138:O138"/>
    <mergeCell ref="P138:Q138"/>
    <mergeCell ref="R138:S138"/>
    <mergeCell ref="J137:K137"/>
    <mergeCell ref="L137:M137"/>
    <mergeCell ref="N137:O137"/>
    <mergeCell ref="P137:Q137"/>
    <mergeCell ref="R137:S137"/>
    <mergeCell ref="J140:K140"/>
    <mergeCell ref="L140:M140"/>
    <mergeCell ref="N140:O140"/>
    <mergeCell ref="P140:Q140"/>
    <mergeCell ref="R140:S140"/>
    <mergeCell ref="J139:K139"/>
    <mergeCell ref="L139:M139"/>
    <mergeCell ref="N139:O139"/>
    <mergeCell ref="P139:Q139"/>
    <mergeCell ref="R139:S139"/>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81"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80"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79" priority="25" operator="containsText" text="Actual TC">
      <formula>NOT(ISERROR(SEARCH("Actual TC",P142)))</formula>
    </cfRule>
  </conditionalFormatting>
  <conditionalFormatting sqref="P145:P150">
    <cfRule type="containsText" dxfId="78"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137" t="s">
        <v>799</v>
      </c>
      <c r="B1" s="1137"/>
      <c r="C1" s="1137"/>
      <c r="D1" s="1137"/>
      <c r="E1" s="1137"/>
      <c r="F1" s="1137"/>
      <c r="G1" s="1137"/>
      <c r="H1" s="1137"/>
      <c r="I1" s="1137"/>
      <c r="J1" s="1137"/>
      <c r="K1" s="1137"/>
      <c r="L1" s="1137"/>
      <c r="M1" s="1137"/>
      <c r="N1" s="1137"/>
      <c r="O1" s="1137"/>
      <c r="P1" s="1137"/>
      <c r="Q1" s="1137"/>
      <c r="R1" s="1137"/>
    </row>
    <row r="2" spans="1:40" ht="15" customHeight="1">
      <c r="A2" s="1125" t="s">
        <v>100</v>
      </c>
      <c r="B2" s="1245" t="s">
        <v>101</v>
      </c>
      <c r="C2" s="1245" t="s">
        <v>131</v>
      </c>
      <c r="D2" s="1245" t="s">
        <v>102</v>
      </c>
      <c r="E2" s="181" t="s">
        <v>1129</v>
      </c>
      <c r="F2" s="181" t="s">
        <v>1130</v>
      </c>
      <c r="G2" s="1245" t="s">
        <v>1049</v>
      </c>
      <c r="H2" s="1245" t="s">
        <v>800</v>
      </c>
      <c r="I2" s="1170" t="s">
        <v>104</v>
      </c>
      <c r="J2" s="1170"/>
      <c r="K2" s="1170"/>
      <c r="L2" s="1170"/>
      <c r="M2" s="1170"/>
      <c r="N2" s="1170"/>
      <c r="O2" s="1170"/>
    </row>
    <row r="3" spans="1:40" ht="15" customHeight="1">
      <c r="A3" s="1125"/>
      <c r="B3" s="1138"/>
      <c r="C3" s="1138"/>
      <c r="D3" s="1138"/>
      <c r="E3" s="181" t="s">
        <v>1131</v>
      </c>
      <c r="F3" s="181" t="s">
        <v>1131</v>
      </c>
      <c r="G3" s="1138"/>
      <c r="H3" s="1138"/>
      <c r="I3" s="1170"/>
      <c r="J3" s="1170"/>
      <c r="K3" s="1170"/>
      <c r="L3" s="1170"/>
      <c r="M3" s="1170"/>
      <c r="N3" s="1170"/>
      <c r="O3" s="1170"/>
    </row>
    <row r="4" spans="1:40">
      <c r="A4" s="142" t="s">
        <v>39</v>
      </c>
      <c r="B4" s="117" t="s">
        <v>884</v>
      </c>
      <c r="C4" s="117" t="s">
        <v>884</v>
      </c>
      <c r="D4" s="9" t="s">
        <v>85</v>
      </c>
      <c r="E4" s="116">
        <v>2885.0686350860101</v>
      </c>
      <c r="F4" s="116">
        <v>2909.4280502461302</v>
      </c>
      <c r="G4" s="116">
        <f t="shared" ref="G4:G11" si="0">SUM(E4:F4)</f>
        <v>5794.4966853321403</v>
      </c>
      <c r="H4" s="128">
        <f t="shared" ref="H4:H11" si="1">G4/$G$12</f>
        <v>0.32347542902537302</v>
      </c>
      <c r="I4" s="1174" t="s">
        <v>1132</v>
      </c>
      <c r="J4" s="1174"/>
      <c r="K4" s="1174"/>
      <c r="L4" s="1174"/>
      <c r="M4" s="1174"/>
      <c r="N4" s="1174"/>
      <c r="O4" s="1174"/>
    </row>
    <row r="5" spans="1:40">
      <c r="A5" s="142" t="s">
        <v>39</v>
      </c>
      <c r="B5" s="117" t="s">
        <v>884</v>
      </c>
      <c r="C5" s="117" t="s">
        <v>884</v>
      </c>
      <c r="D5" s="9" t="s">
        <v>86</v>
      </c>
      <c r="E5" s="116">
        <v>2233.3084179234902</v>
      </c>
      <c r="F5" s="116">
        <v>1065.7029273794899</v>
      </c>
      <c r="G5" s="116">
        <f t="shared" si="0"/>
        <v>3299.0113453029799</v>
      </c>
      <c r="H5" s="128">
        <f t="shared" si="1"/>
        <v>0.18416597130563128</v>
      </c>
      <c r="I5" s="1174" t="s">
        <v>1133</v>
      </c>
      <c r="J5" s="1174"/>
      <c r="K5" s="1174"/>
      <c r="L5" s="1174"/>
      <c r="M5" s="1174"/>
      <c r="N5" s="1174"/>
      <c r="O5" s="1174"/>
    </row>
    <row r="6" spans="1:40">
      <c r="A6" s="142" t="s">
        <v>39</v>
      </c>
      <c r="B6" s="117" t="s">
        <v>884</v>
      </c>
      <c r="C6" s="117" t="s">
        <v>884</v>
      </c>
      <c r="D6" s="9" t="s">
        <v>87</v>
      </c>
      <c r="E6" s="116">
        <v>1851.11319573223</v>
      </c>
      <c r="F6" s="116">
        <v>1924.8758026412299</v>
      </c>
      <c r="G6" s="116">
        <f t="shared" si="0"/>
        <v>3775.9889983734602</v>
      </c>
      <c r="H6" s="128">
        <f t="shared" si="1"/>
        <v>0.21079305547552157</v>
      </c>
      <c r="I6" s="1174" t="s">
        <v>1133</v>
      </c>
      <c r="J6" s="1174"/>
      <c r="K6" s="1174"/>
      <c r="L6" s="1174"/>
      <c r="M6" s="1174"/>
      <c r="N6" s="1174"/>
      <c r="O6" s="1174"/>
    </row>
    <row r="7" spans="1:40">
      <c r="A7" s="142" t="s">
        <v>39</v>
      </c>
      <c r="B7" s="117" t="s">
        <v>884</v>
      </c>
      <c r="C7" s="117" t="s">
        <v>884</v>
      </c>
      <c r="D7" s="9" t="s">
        <v>88</v>
      </c>
      <c r="E7" s="116">
        <v>345.54532634631101</v>
      </c>
      <c r="F7" s="116">
        <v>329.843858813324</v>
      </c>
      <c r="G7" s="116">
        <f t="shared" si="0"/>
        <v>675.38918515963496</v>
      </c>
      <c r="H7" s="128">
        <f t="shared" si="1"/>
        <v>3.7703327535183018E-2</v>
      </c>
      <c r="I7" s="1174" t="s">
        <v>1133</v>
      </c>
      <c r="J7" s="1174"/>
      <c r="K7" s="1174"/>
      <c r="L7" s="1174"/>
      <c r="M7" s="1174"/>
      <c r="N7" s="1174"/>
      <c r="O7" s="1174"/>
    </row>
    <row r="8" spans="1:40">
      <c r="A8" s="142" t="s">
        <v>39</v>
      </c>
      <c r="B8" s="117" t="s">
        <v>884</v>
      </c>
      <c r="C8" s="117" t="s">
        <v>884</v>
      </c>
      <c r="D8" s="9" t="s">
        <v>89</v>
      </c>
      <c r="E8" s="116">
        <v>123.549106802057</v>
      </c>
      <c r="F8" s="116">
        <v>117.935075468761</v>
      </c>
      <c r="G8" s="116">
        <f t="shared" si="0"/>
        <v>241.484182270818</v>
      </c>
      <c r="H8" s="128">
        <f t="shared" si="1"/>
        <v>1.3480756604905492E-2</v>
      </c>
      <c r="I8" s="1174" t="s">
        <v>1133</v>
      </c>
      <c r="J8" s="1174"/>
      <c r="K8" s="1174"/>
      <c r="L8" s="1174"/>
      <c r="M8" s="1174"/>
      <c r="N8" s="1174"/>
      <c r="O8" s="1174"/>
    </row>
    <row r="9" spans="1:40">
      <c r="A9" s="142" t="s">
        <v>39</v>
      </c>
      <c r="B9" s="117" t="s">
        <v>884</v>
      </c>
      <c r="C9" s="117" t="s">
        <v>884</v>
      </c>
      <c r="D9" s="9" t="s">
        <v>90</v>
      </c>
      <c r="E9" s="116">
        <v>196.41778061564401</v>
      </c>
      <c r="F9" s="116">
        <v>188.361759836734</v>
      </c>
      <c r="G9" s="116">
        <f t="shared" si="0"/>
        <v>384.779540452378</v>
      </c>
      <c r="H9" s="128">
        <f t="shared" si="1"/>
        <v>2.148016189966712E-2</v>
      </c>
      <c r="I9" s="1174" t="s">
        <v>1133</v>
      </c>
      <c r="J9" s="1174"/>
      <c r="K9" s="1174"/>
      <c r="L9" s="1174"/>
      <c r="M9" s="1174"/>
      <c r="N9" s="1174"/>
      <c r="O9" s="1174"/>
    </row>
    <row r="10" spans="1:40">
      <c r="A10" s="142" t="s">
        <v>39</v>
      </c>
      <c r="B10" s="117" t="s">
        <v>884</v>
      </c>
      <c r="C10" s="117" t="s">
        <v>884</v>
      </c>
      <c r="D10" s="9" t="s">
        <v>91</v>
      </c>
      <c r="E10" s="116">
        <v>1778.68411129328</v>
      </c>
      <c r="F10" s="116">
        <v>1508.5460067608601</v>
      </c>
      <c r="G10" s="116">
        <f t="shared" si="0"/>
        <v>3287.2301180541399</v>
      </c>
      <c r="H10" s="128">
        <f t="shared" si="1"/>
        <v>0.18350828906924124</v>
      </c>
      <c r="I10" s="1174" t="s">
        <v>1133</v>
      </c>
      <c r="J10" s="1174"/>
      <c r="K10" s="1174"/>
      <c r="L10" s="1174"/>
      <c r="M10" s="1174"/>
      <c r="N10" s="1174"/>
      <c r="O10" s="1174"/>
    </row>
    <row r="11" spans="1:40">
      <c r="A11" s="142" t="s">
        <v>39</v>
      </c>
      <c r="B11" s="117" t="s">
        <v>884</v>
      </c>
      <c r="C11" s="117" t="s">
        <v>884</v>
      </c>
      <c r="D11" s="9" t="s">
        <v>98</v>
      </c>
      <c r="E11" s="116">
        <v>201.416771483639</v>
      </c>
      <c r="F11" s="116">
        <v>253.45458432209401</v>
      </c>
      <c r="G11" s="116">
        <f t="shared" si="0"/>
        <v>454.871355805733</v>
      </c>
      <c r="H11" s="128">
        <f t="shared" si="1"/>
        <v>2.5393009084477291E-2</v>
      </c>
      <c r="I11" s="1174" t="s">
        <v>1133</v>
      </c>
      <c r="J11" s="1174"/>
      <c r="K11" s="1174"/>
      <c r="L11" s="1174"/>
      <c r="M11" s="1174"/>
      <c r="N11" s="1174"/>
      <c r="O11" s="1174"/>
    </row>
    <row r="12" spans="1:40">
      <c r="A12" s="142" t="s">
        <v>39</v>
      </c>
      <c r="B12" s="117" t="s">
        <v>884</v>
      </c>
      <c r="C12" s="117" t="s">
        <v>884</v>
      </c>
      <c r="D12" s="9" t="s">
        <v>1049</v>
      </c>
      <c r="E12" s="132">
        <f>SUM(E4:E11)</f>
        <v>9615.1033452826632</v>
      </c>
      <c r="F12" s="132">
        <f>SUM(F4:F11)</f>
        <v>8298.1480654686238</v>
      </c>
      <c r="G12" s="132">
        <f t="shared" ref="G12:H12" si="2">SUM(G4:G11)</f>
        <v>17913.251410751283</v>
      </c>
      <c r="H12" s="133">
        <f t="shared" si="2"/>
        <v>1</v>
      </c>
      <c r="I12" s="1174"/>
      <c r="J12" s="1174"/>
      <c r="K12" s="1174"/>
      <c r="L12" s="1174"/>
      <c r="M12" s="1174"/>
      <c r="N12" s="1174"/>
      <c r="O12" s="1174"/>
    </row>
    <row r="13" spans="1:40">
      <c r="B13" s="25"/>
      <c r="C13" s="134"/>
      <c r="D13" s="134"/>
      <c r="E13" s="134"/>
      <c r="F13" s="135"/>
    </row>
    <row r="14" spans="1:40" s="131" customFormat="1" ht="30" customHeight="1">
      <c r="A14" s="1137" t="s">
        <v>767</v>
      </c>
      <c r="B14" s="1137"/>
      <c r="C14" s="1137"/>
      <c r="D14" s="1137"/>
      <c r="E14" s="1137"/>
      <c r="F14" s="1137"/>
      <c r="G14" s="1137"/>
      <c r="H14" s="1137"/>
      <c r="I14" s="1137"/>
      <c r="J14" s="1137"/>
      <c r="K14" s="1137"/>
      <c r="L14" s="1137"/>
      <c r="M14" s="1137"/>
      <c r="N14" s="1137"/>
      <c r="O14" s="1137"/>
      <c r="P14" s="1137"/>
      <c r="Q14" s="1137"/>
      <c r="R14" s="1137"/>
      <c r="U14" s="382" t="s">
        <v>767</v>
      </c>
      <c r="V14" s="382"/>
      <c r="W14" s="382"/>
      <c r="X14" s="382"/>
      <c r="Y14" s="382"/>
      <c r="Z14" s="382"/>
      <c r="AA14" s="382"/>
      <c r="AB14" s="382"/>
      <c r="AC14" s="382"/>
      <c r="AD14"/>
      <c r="AE14"/>
      <c r="AF14" s="382" t="s">
        <v>1134</v>
      </c>
      <c r="AG14" s="382"/>
      <c r="AH14" s="382"/>
      <c r="AI14" s="382"/>
      <c r="AJ14" s="382"/>
      <c r="AK14" s="382"/>
      <c r="AL14" s="382"/>
      <c r="AM14" s="382"/>
      <c r="AN14" s="382"/>
    </row>
    <row r="15" spans="1:40" ht="30" customHeight="1">
      <c r="A15" s="140" t="s">
        <v>100</v>
      </c>
      <c r="B15" s="140" t="s">
        <v>101</v>
      </c>
      <c r="C15" s="140" t="s">
        <v>131</v>
      </c>
      <c r="D15" s="140" t="s">
        <v>102</v>
      </c>
      <c r="E15" s="140" t="s">
        <v>894</v>
      </c>
      <c r="F15" s="1125" t="s">
        <v>104</v>
      </c>
      <c r="G15" s="1125"/>
      <c r="H15" s="1125"/>
      <c r="I15" s="1125"/>
      <c r="U15" s="140" t="s">
        <v>100</v>
      </c>
      <c r="V15" s="140" t="s">
        <v>101</v>
      </c>
      <c r="W15" s="140" t="s">
        <v>131</v>
      </c>
      <c r="X15" s="140" t="s">
        <v>102</v>
      </c>
      <c r="Y15" s="140" t="s">
        <v>894</v>
      </c>
      <c r="Z15" s="1125" t="s">
        <v>104</v>
      </c>
      <c r="AA15" s="1125"/>
      <c r="AB15" s="1125"/>
      <c r="AC15" s="1125"/>
      <c r="AF15" s="140" t="s">
        <v>100</v>
      </c>
      <c r="AG15" s="140" t="s">
        <v>101</v>
      </c>
      <c r="AH15" s="140" t="s">
        <v>131</v>
      </c>
      <c r="AI15" s="140" t="s">
        <v>102</v>
      </c>
      <c r="AJ15" s="140" t="s">
        <v>894</v>
      </c>
      <c r="AK15" s="1125" t="s">
        <v>104</v>
      </c>
      <c r="AL15" s="1125"/>
      <c r="AM15" s="1125"/>
      <c r="AN15" s="1125"/>
    </row>
    <row r="16" spans="1:40">
      <c r="A16" s="143" t="s">
        <v>39</v>
      </c>
      <c r="B16" s="117">
        <v>2020</v>
      </c>
      <c r="C16" s="117" t="s">
        <v>180</v>
      </c>
      <c r="D16" s="117" t="s">
        <v>955</v>
      </c>
      <c r="E16" s="130">
        <v>554</v>
      </c>
      <c r="F16" s="1230" t="s">
        <v>1135</v>
      </c>
      <c r="G16" s="1230"/>
      <c r="H16" s="1230"/>
      <c r="I16" s="1230"/>
      <c r="U16" s="143" t="s">
        <v>39</v>
      </c>
      <c r="V16" s="117">
        <v>2021</v>
      </c>
      <c r="W16" s="117" t="s">
        <v>180</v>
      </c>
      <c r="X16" s="117" t="s">
        <v>955</v>
      </c>
      <c r="Y16" s="130">
        <f>545828/1000</f>
        <v>545.82799999999997</v>
      </c>
      <c r="Z16" s="1230" t="s">
        <v>1135</v>
      </c>
      <c r="AA16" s="1230"/>
      <c r="AB16" s="1230"/>
      <c r="AC16" s="1230"/>
      <c r="AF16" s="143" t="s">
        <v>39</v>
      </c>
      <c r="AG16" s="117">
        <v>2021</v>
      </c>
      <c r="AH16" s="117" t="s">
        <v>182</v>
      </c>
      <c r="AI16" s="117" t="s">
        <v>955</v>
      </c>
      <c r="AJ16" s="130">
        <f>16051604/1000</f>
        <v>16051.603999999999</v>
      </c>
      <c r="AK16" s="1230" t="s">
        <v>1135</v>
      </c>
      <c r="AL16" s="1230"/>
      <c r="AM16" s="1230"/>
      <c r="AN16" s="1230"/>
    </row>
    <row r="17" spans="1:40">
      <c r="U17" s="143" t="s">
        <v>39</v>
      </c>
      <c r="V17" s="6">
        <v>2020</v>
      </c>
      <c r="W17" s="117" t="s">
        <v>180</v>
      </c>
      <c r="X17" s="117" t="s">
        <v>955</v>
      </c>
      <c r="Y17" s="117">
        <f>554000/1000</f>
        <v>554</v>
      </c>
      <c r="Z17" s="1230" t="s">
        <v>1135</v>
      </c>
      <c r="AA17" s="1230"/>
      <c r="AB17" s="1230"/>
      <c r="AC17" s="1230"/>
      <c r="AF17" s="143" t="s">
        <v>39</v>
      </c>
      <c r="AG17" s="6">
        <v>2020</v>
      </c>
      <c r="AH17" s="117" t="s">
        <v>182</v>
      </c>
      <c r="AI17" s="117" t="s">
        <v>955</v>
      </c>
      <c r="AJ17" s="117">
        <f>15453665/1000</f>
        <v>15453.665000000001</v>
      </c>
      <c r="AK17" s="1230" t="s">
        <v>1135</v>
      </c>
      <c r="AL17" s="1230"/>
      <c r="AM17" s="1230"/>
      <c r="AN17" s="1230"/>
    </row>
    <row r="18" spans="1:40" ht="30" customHeight="1">
      <c r="A18" s="140" t="s">
        <v>100</v>
      </c>
      <c r="B18" s="140" t="s">
        <v>101</v>
      </c>
      <c r="C18" s="140" t="s">
        <v>131</v>
      </c>
      <c r="D18" s="140" t="s">
        <v>102</v>
      </c>
      <c r="E18" s="140" t="s">
        <v>894</v>
      </c>
      <c r="F18" s="1125" t="s">
        <v>104</v>
      </c>
      <c r="G18" s="1125"/>
      <c r="H18" s="1125"/>
      <c r="I18" s="1125"/>
      <c r="U18" s="143" t="s">
        <v>39</v>
      </c>
      <c r="V18" s="117">
        <v>2019</v>
      </c>
      <c r="W18" s="117" t="s">
        <v>180</v>
      </c>
      <c r="X18" s="117" t="s">
        <v>955</v>
      </c>
      <c r="Y18" s="117">
        <v>523</v>
      </c>
      <c r="Z18" s="1230" t="s">
        <v>1135</v>
      </c>
      <c r="AA18" s="1230"/>
      <c r="AB18" s="1230"/>
      <c r="AC18" s="1230"/>
      <c r="AF18" s="143" t="s">
        <v>39</v>
      </c>
      <c r="AG18" s="117">
        <v>2019</v>
      </c>
      <c r="AH18" s="117" t="s">
        <v>182</v>
      </c>
      <c r="AI18" s="117" t="s">
        <v>955</v>
      </c>
      <c r="AJ18" s="117">
        <f>15262788/1000</f>
        <v>15262.788</v>
      </c>
      <c r="AK18" s="1230" t="s">
        <v>1135</v>
      </c>
      <c r="AL18" s="1230"/>
      <c r="AM18" s="1230"/>
      <c r="AN18" s="1230"/>
    </row>
    <row r="19" spans="1:40">
      <c r="A19" s="143" t="s">
        <v>39</v>
      </c>
      <c r="B19" s="117">
        <v>2020</v>
      </c>
      <c r="C19" s="117" t="s">
        <v>180</v>
      </c>
      <c r="D19" s="9" t="s">
        <v>85</v>
      </c>
      <c r="E19" s="136">
        <f t="shared" ref="E19:E26" si="3">H4*$E$16</f>
        <v>179.20538768005665</v>
      </c>
      <c r="F19" s="1132" t="s">
        <v>1136</v>
      </c>
      <c r="G19" s="1132"/>
      <c r="H19" s="1132"/>
      <c r="I19" s="1132"/>
      <c r="U19" s="143" t="s">
        <v>39</v>
      </c>
      <c r="V19" s="6">
        <v>2018</v>
      </c>
      <c r="W19" s="117" t="s">
        <v>180</v>
      </c>
      <c r="X19" s="117" t="s">
        <v>955</v>
      </c>
      <c r="Y19" s="117">
        <v>523</v>
      </c>
      <c r="Z19" s="1230" t="s">
        <v>1135</v>
      </c>
      <c r="AA19" s="1230"/>
      <c r="AB19" s="1230"/>
      <c r="AC19" s="1230"/>
      <c r="AF19" s="143" t="s">
        <v>39</v>
      </c>
      <c r="AG19" s="6">
        <v>2018</v>
      </c>
      <c r="AH19" s="117" t="s">
        <v>182</v>
      </c>
      <c r="AI19" s="117" t="s">
        <v>955</v>
      </c>
      <c r="AJ19" s="117">
        <f>14817435/1000</f>
        <v>14817.434999999999</v>
      </c>
      <c r="AK19" s="1230" t="s">
        <v>1135</v>
      </c>
      <c r="AL19" s="1230"/>
      <c r="AM19" s="1230"/>
      <c r="AN19" s="1230"/>
    </row>
    <row r="20" spans="1:40">
      <c r="A20" s="143" t="s">
        <v>39</v>
      </c>
      <c r="B20" s="117">
        <v>2020</v>
      </c>
      <c r="C20" s="117" t="s">
        <v>180</v>
      </c>
      <c r="D20" s="9" t="s">
        <v>86</v>
      </c>
      <c r="E20" s="136">
        <f t="shared" si="3"/>
        <v>102.02794810331973</v>
      </c>
      <c r="F20" s="1132" t="s">
        <v>1136</v>
      </c>
      <c r="G20" s="1132"/>
      <c r="H20" s="1132"/>
      <c r="I20" s="1132"/>
      <c r="U20" s="143" t="s">
        <v>39</v>
      </c>
      <c r="V20" s="117">
        <v>2017</v>
      </c>
      <c r="W20" s="117" t="s">
        <v>180</v>
      </c>
      <c r="X20" s="117" t="s">
        <v>955</v>
      </c>
      <c r="Y20" s="117">
        <v>512</v>
      </c>
      <c r="Z20" s="1230" t="s">
        <v>1135</v>
      </c>
      <c r="AA20" s="1230"/>
      <c r="AB20" s="1230"/>
      <c r="AC20" s="1230"/>
      <c r="AF20" s="143" t="s">
        <v>39</v>
      </c>
      <c r="AG20" s="117">
        <v>2017</v>
      </c>
      <c r="AH20" s="117" t="s">
        <v>182</v>
      </c>
      <c r="AI20" s="117" t="s">
        <v>955</v>
      </c>
      <c r="AJ20" s="117">
        <f>14551775/1000</f>
        <v>14551.775</v>
      </c>
      <c r="AK20" s="1230" t="s">
        <v>1135</v>
      </c>
      <c r="AL20" s="1230"/>
      <c r="AM20" s="1230"/>
      <c r="AN20" s="1230"/>
    </row>
    <row r="21" spans="1:40">
      <c r="A21" s="143" t="s">
        <v>39</v>
      </c>
      <c r="B21" s="117">
        <v>2020</v>
      </c>
      <c r="C21" s="117" t="s">
        <v>180</v>
      </c>
      <c r="D21" s="9" t="s">
        <v>87</v>
      </c>
      <c r="E21" s="136">
        <f t="shared" si="3"/>
        <v>116.77935273343896</v>
      </c>
      <c r="F21" s="1132" t="s">
        <v>1136</v>
      </c>
      <c r="G21" s="1132"/>
      <c r="H21" s="1132"/>
      <c r="I21" s="1132"/>
      <c r="U21"/>
      <c r="V21"/>
      <c r="W21"/>
      <c r="X21"/>
      <c r="Y21"/>
      <c r="Z21" s="1194"/>
      <c r="AA21" s="1194"/>
      <c r="AB21" s="1194"/>
      <c r="AC21" s="1194"/>
      <c r="AF21"/>
      <c r="AG21"/>
      <c r="AH21"/>
      <c r="AI21"/>
      <c r="AJ21"/>
      <c r="AK21" s="1194"/>
      <c r="AL21" s="1194"/>
      <c r="AM21" s="1194"/>
      <c r="AN21" s="1194"/>
    </row>
    <row r="22" spans="1:40">
      <c r="A22" s="143" t="s">
        <v>39</v>
      </c>
      <c r="B22" s="117">
        <v>2020</v>
      </c>
      <c r="C22" s="117" t="s">
        <v>180</v>
      </c>
      <c r="D22" s="9" t="s">
        <v>88</v>
      </c>
      <c r="E22" s="136">
        <f t="shared" si="3"/>
        <v>20.887643454491393</v>
      </c>
      <c r="F22" s="1132" t="s">
        <v>1136</v>
      </c>
      <c r="G22" s="1132"/>
      <c r="H22" s="1132"/>
      <c r="I22" s="1132"/>
      <c r="U22" s="140" t="s">
        <v>100</v>
      </c>
      <c r="V22" s="140" t="s">
        <v>101</v>
      </c>
      <c r="W22" s="140" t="s">
        <v>131</v>
      </c>
      <c r="X22" s="140" t="s">
        <v>102</v>
      </c>
      <c r="Y22" s="140" t="s">
        <v>894</v>
      </c>
      <c r="Z22" s="140" t="s">
        <v>104</v>
      </c>
      <c r="AA22" s="140"/>
      <c r="AB22" s="140"/>
      <c r="AC22" s="140"/>
      <c r="AF22" s="140" t="s">
        <v>100</v>
      </c>
      <c r="AG22" s="140" t="s">
        <v>101</v>
      </c>
      <c r="AH22" s="140" t="s">
        <v>131</v>
      </c>
      <c r="AI22" s="140" t="s">
        <v>102</v>
      </c>
      <c r="AJ22" s="140" t="s">
        <v>894</v>
      </c>
      <c r="AK22" s="140" t="s">
        <v>104</v>
      </c>
      <c r="AL22" s="140"/>
      <c r="AM22" s="140"/>
      <c r="AN22" s="140"/>
    </row>
    <row r="23" spans="1:40">
      <c r="A23" s="143" t="s">
        <v>39</v>
      </c>
      <c r="B23" s="117">
        <v>2020</v>
      </c>
      <c r="C23" s="117" t="s">
        <v>180</v>
      </c>
      <c r="D23" s="9" t="s">
        <v>89</v>
      </c>
      <c r="E23" s="136">
        <f t="shared" si="3"/>
        <v>7.4683391591176429</v>
      </c>
      <c r="F23" s="1132" t="s">
        <v>1136</v>
      </c>
      <c r="G23" s="1132"/>
      <c r="H23" s="1132"/>
      <c r="I23" s="1132"/>
      <c r="U23" s="143" t="s">
        <v>39</v>
      </c>
      <c r="V23" s="117">
        <v>2021</v>
      </c>
      <c r="W23" s="117" t="s">
        <v>180</v>
      </c>
      <c r="X23" s="9" t="s">
        <v>85</v>
      </c>
      <c r="Y23" s="136">
        <f>Y16*H4</f>
        <v>176.5619464740613</v>
      </c>
      <c r="Z23" s="117" t="s">
        <v>1136</v>
      </c>
      <c r="AA23" s="117"/>
      <c r="AB23" s="117"/>
      <c r="AC23" s="117"/>
      <c r="AF23" s="143" t="s">
        <v>39</v>
      </c>
      <c r="AG23" s="117">
        <v>2021</v>
      </c>
      <c r="AH23" s="117" t="s">
        <v>182</v>
      </c>
      <c r="AI23" s="9" t="s">
        <v>85</v>
      </c>
      <c r="AJ23" s="136">
        <f>AJ16*H4</f>
        <v>5192.2994904453935</v>
      </c>
      <c r="AK23" s="117" t="s">
        <v>1136</v>
      </c>
      <c r="AL23" s="117"/>
      <c r="AM23" s="117"/>
      <c r="AN23" s="117"/>
    </row>
    <row r="24" spans="1:40">
      <c r="A24" s="143" t="s">
        <v>39</v>
      </c>
      <c r="B24" s="117">
        <v>2020</v>
      </c>
      <c r="C24" s="117" t="s">
        <v>180</v>
      </c>
      <c r="D24" s="9" t="s">
        <v>90</v>
      </c>
      <c r="E24" s="136">
        <f t="shared" si="3"/>
        <v>11.900009692415585</v>
      </c>
      <c r="F24" s="1132" t="s">
        <v>1136</v>
      </c>
      <c r="G24" s="1132"/>
      <c r="H24" s="1132"/>
      <c r="I24" s="1132"/>
      <c r="U24" s="143" t="s">
        <v>39</v>
      </c>
      <c r="V24" s="117">
        <v>2021</v>
      </c>
      <c r="W24" s="117" t="s">
        <v>180</v>
      </c>
      <c r="X24" s="9" t="s">
        <v>86</v>
      </c>
      <c r="Y24" s="136">
        <f>Y16*H5</f>
        <v>100.52294378581011</v>
      </c>
      <c r="Z24" s="117" t="s">
        <v>1136</v>
      </c>
      <c r="AA24" s="117"/>
      <c r="AB24" s="117"/>
      <c r="AC24" s="117"/>
      <c r="AF24" s="143" t="s">
        <v>39</v>
      </c>
      <c r="AG24" s="117">
        <v>2021</v>
      </c>
      <c r="AH24" s="117" t="s">
        <v>182</v>
      </c>
      <c r="AI24" s="9" t="s">
        <v>86</v>
      </c>
      <c r="AJ24" s="136">
        <f>AJ16*H5</f>
        <v>2956.1592416733561</v>
      </c>
      <c r="AK24" s="117" t="s">
        <v>1136</v>
      </c>
      <c r="AL24" s="117"/>
      <c r="AM24" s="117"/>
      <c r="AN24" s="117"/>
    </row>
    <row r="25" spans="1:40">
      <c r="A25" s="143" t="s">
        <v>39</v>
      </c>
      <c r="B25" s="117">
        <v>2020</v>
      </c>
      <c r="C25" s="117" t="s">
        <v>180</v>
      </c>
      <c r="D25" s="9" t="s">
        <v>91</v>
      </c>
      <c r="E25" s="136">
        <f t="shared" si="3"/>
        <v>101.66359214435965</v>
      </c>
      <c r="F25" s="1132" t="s">
        <v>1136</v>
      </c>
      <c r="G25" s="1132"/>
      <c r="H25" s="1132"/>
      <c r="I25" s="1132"/>
      <c r="U25" s="143" t="s">
        <v>39</v>
      </c>
      <c r="V25" s="117">
        <v>2021</v>
      </c>
      <c r="W25" s="117" t="s">
        <v>180</v>
      </c>
      <c r="X25" s="9" t="s">
        <v>87</v>
      </c>
      <c r="Y25" s="136">
        <f>Y16*H6</f>
        <v>115.05675188409299</v>
      </c>
      <c r="Z25" s="117" t="s">
        <v>1136</v>
      </c>
      <c r="AA25" s="117"/>
      <c r="AB25" s="117"/>
      <c r="AC25" s="117"/>
      <c r="AF25" s="143" t="s">
        <v>39</v>
      </c>
      <c r="AG25" s="117">
        <v>2021</v>
      </c>
      <c r="AH25" s="117" t="s">
        <v>182</v>
      </c>
      <c r="AI25" s="9" t="s">
        <v>87</v>
      </c>
      <c r="AJ25" s="136">
        <f>AJ16*H6</f>
        <v>3383.566652443104</v>
      </c>
      <c r="AK25" s="117" t="s">
        <v>1136</v>
      </c>
      <c r="AL25" s="117"/>
      <c r="AM25" s="117"/>
      <c r="AN25" s="117"/>
    </row>
    <row r="26" spans="1:40">
      <c r="A26" s="143" t="s">
        <v>39</v>
      </c>
      <c r="B26" s="117">
        <v>2020</v>
      </c>
      <c r="C26" s="117" t="s">
        <v>180</v>
      </c>
      <c r="D26" s="9" t="s">
        <v>98</v>
      </c>
      <c r="E26" s="136">
        <f t="shared" si="3"/>
        <v>14.06772703280042</v>
      </c>
      <c r="F26" s="1132" t="s">
        <v>1136</v>
      </c>
      <c r="G26" s="1132"/>
      <c r="H26" s="1132"/>
      <c r="I26" s="1132"/>
      <c r="U26" s="143" t="s">
        <v>39</v>
      </c>
      <c r="V26" s="117">
        <v>2021</v>
      </c>
      <c r="W26" s="117" t="s">
        <v>180</v>
      </c>
      <c r="X26" s="9" t="s">
        <v>88</v>
      </c>
      <c r="Y26" s="136">
        <f>Y16*H7</f>
        <v>20.579531861873875</v>
      </c>
      <c r="Z26" s="117" t="s">
        <v>1136</v>
      </c>
      <c r="AA26" s="117"/>
      <c r="AB26" s="117"/>
      <c r="AC26" s="117"/>
      <c r="AF26" s="143" t="s">
        <v>39</v>
      </c>
      <c r="AG26" s="117">
        <v>2021</v>
      </c>
      <c r="AH26" s="117" t="s">
        <v>182</v>
      </c>
      <c r="AI26" s="9" t="s">
        <v>88</v>
      </c>
      <c r="AJ26" s="136">
        <f>AJ16*H7</f>
        <v>605.19888307705389</v>
      </c>
      <c r="AK26" s="117" t="s">
        <v>1136</v>
      </c>
      <c r="AL26" s="117"/>
      <c r="AM26" s="117"/>
      <c r="AN26" s="117"/>
    </row>
    <row r="27" spans="1:40">
      <c r="B27" s="7"/>
      <c r="D27" s="26"/>
      <c r="E27" s="106"/>
      <c r="U27" s="143" t="s">
        <v>39</v>
      </c>
      <c r="V27" s="117">
        <v>2021</v>
      </c>
      <c r="W27" s="117" t="s">
        <v>180</v>
      </c>
      <c r="X27" s="9" t="s">
        <v>89</v>
      </c>
      <c r="Y27" s="136">
        <f>Y16*H8</f>
        <v>7.3581744161423543</v>
      </c>
      <c r="Z27" s="117" t="s">
        <v>1136</v>
      </c>
      <c r="AA27" s="117"/>
      <c r="AB27" s="117"/>
      <c r="AC27" s="117"/>
      <c r="AF27" s="143" t="s">
        <v>39</v>
      </c>
      <c r="AG27" s="117">
        <v>2021</v>
      </c>
      <c r="AH27" s="117" t="s">
        <v>182</v>
      </c>
      <c r="AI27" s="9" t="s">
        <v>89</v>
      </c>
      <c r="AJ27" s="136">
        <f>AJ16*H8</f>
        <v>216.38776664232742</v>
      </c>
      <c r="AK27" s="117" t="s">
        <v>1136</v>
      </c>
      <c r="AL27" s="117"/>
      <c r="AM27" s="117"/>
      <c r="AN27" s="117"/>
    </row>
    <row r="28" spans="1:40" s="131" customFormat="1" ht="30" customHeight="1">
      <c r="A28" s="1246" t="s">
        <v>785</v>
      </c>
      <c r="B28" s="1247"/>
      <c r="C28" s="1247"/>
      <c r="D28" s="1247"/>
      <c r="E28" s="1247"/>
      <c r="F28" s="1247"/>
      <c r="G28" s="1247"/>
      <c r="H28" s="1247"/>
      <c r="I28" s="1247"/>
      <c r="J28" s="1247"/>
      <c r="K28" s="1247"/>
      <c r="L28" s="1247"/>
      <c r="M28" s="1247"/>
      <c r="N28" s="1247"/>
      <c r="O28" s="1247"/>
      <c r="P28" s="1247"/>
      <c r="Q28" s="1247"/>
      <c r="R28" s="1248"/>
      <c r="U28" s="143" t="s">
        <v>39</v>
      </c>
      <c r="V28" s="117">
        <v>2021</v>
      </c>
      <c r="W28" s="117" t="s">
        <v>180</v>
      </c>
      <c r="X28" s="9" t="s">
        <v>90</v>
      </c>
      <c r="Y28" s="136">
        <f>Y16*H9</f>
        <v>11.724473809371505</v>
      </c>
      <c r="Z28" s="117" t="s">
        <v>1136</v>
      </c>
      <c r="AA28" s="117"/>
      <c r="AB28" s="117"/>
      <c r="AC28" s="117"/>
      <c r="AF28" s="143" t="s">
        <v>39</v>
      </c>
      <c r="AG28" s="117">
        <v>2021</v>
      </c>
      <c r="AH28" s="117" t="s">
        <v>182</v>
      </c>
      <c r="AI28" s="9" t="s">
        <v>90</v>
      </c>
      <c r="AJ28" s="136">
        <f>AJ16*H9</f>
        <v>344.79105266934431</v>
      </c>
      <c r="AK28" s="117" t="s">
        <v>1136</v>
      </c>
      <c r="AL28" s="117"/>
      <c r="AM28" s="117"/>
      <c r="AN28" s="117"/>
    </row>
    <row r="29" spans="1:40" ht="30" customHeight="1">
      <c r="A29" s="140" t="s">
        <v>100</v>
      </c>
      <c r="B29" s="140" t="s">
        <v>101</v>
      </c>
      <c r="C29" s="140" t="s">
        <v>131</v>
      </c>
      <c r="D29" s="140" t="s">
        <v>102</v>
      </c>
      <c r="E29" s="140" t="s">
        <v>894</v>
      </c>
      <c r="F29" s="1125" t="s">
        <v>104</v>
      </c>
      <c r="G29" s="1125"/>
      <c r="H29" s="1125"/>
      <c r="I29" s="1125"/>
      <c r="U29" s="143" t="s">
        <v>39</v>
      </c>
      <c r="V29" s="117">
        <v>2021</v>
      </c>
      <c r="W29" s="117" t="s">
        <v>180</v>
      </c>
      <c r="X29" s="9" t="s">
        <v>91</v>
      </c>
      <c r="Y29" s="136">
        <f>Y16*H10</f>
        <v>100.1639624060858</v>
      </c>
      <c r="Z29" s="117" t="s">
        <v>1136</v>
      </c>
      <c r="AA29" s="117"/>
      <c r="AB29" s="117"/>
      <c r="AC29" s="117"/>
      <c r="AF29" s="143" t="s">
        <v>39</v>
      </c>
      <c r="AG29" s="117">
        <v>2021</v>
      </c>
      <c r="AH29" s="117" t="s">
        <v>182</v>
      </c>
      <c r="AI29" s="9" t="s">
        <v>91</v>
      </c>
      <c r="AJ29" s="136">
        <f>AJ16*H10</f>
        <v>2945.6023868569887</v>
      </c>
      <c r="AK29" s="117" t="s">
        <v>1136</v>
      </c>
      <c r="AL29" s="117"/>
      <c r="AM29" s="117"/>
      <c r="AN29" s="117"/>
    </row>
    <row r="30" spans="1:40">
      <c r="A30" s="143" t="s">
        <v>39</v>
      </c>
      <c r="B30" s="117">
        <v>2020</v>
      </c>
      <c r="C30" s="117" t="s">
        <v>182</v>
      </c>
      <c r="D30" s="117" t="s">
        <v>955</v>
      </c>
      <c r="E30" s="117">
        <v>15458.25</v>
      </c>
      <c r="F30" s="1230" t="s">
        <v>1137</v>
      </c>
      <c r="G30" s="1230"/>
      <c r="H30" s="1230"/>
      <c r="I30" s="1230"/>
      <c r="U30" s="143" t="s">
        <v>39</v>
      </c>
      <c r="V30" s="117">
        <v>2021</v>
      </c>
      <c r="W30" s="117" t="s">
        <v>180</v>
      </c>
      <c r="X30" s="9" t="s">
        <v>98</v>
      </c>
      <c r="Y30" s="136">
        <f>Y16*H11</f>
        <v>13.860215362562069</v>
      </c>
      <c r="Z30" s="117" t="s">
        <v>1136</v>
      </c>
      <c r="AA30" s="117"/>
      <c r="AB30" s="117"/>
      <c r="AC30" s="117"/>
      <c r="AF30" s="143" t="s">
        <v>39</v>
      </c>
      <c r="AG30" s="117">
        <v>2021</v>
      </c>
      <c r="AH30" s="117" t="s">
        <v>182</v>
      </c>
      <c r="AI30" s="9" t="s">
        <v>98</v>
      </c>
      <c r="AJ30" s="136">
        <f>AJ16*H11</f>
        <v>407.59852619243202</v>
      </c>
      <c r="AK30" s="117" t="s">
        <v>1136</v>
      </c>
      <c r="AL30" s="117"/>
      <c r="AM30" s="117"/>
      <c r="AN30" s="117"/>
    </row>
    <row r="31" spans="1:40">
      <c r="U31" s="143" t="s">
        <v>39</v>
      </c>
      <c r="V31" s="117">
        <v>2020</v>
      </c>
      <c r="W31" s="117" t="s">
        <v>180</v>
      </c>
      <c r="X31" s="9" t="s">
        <v>85</v>
      </c>
      <c r="Y31" s="136">
        <f>Y17*H4</f>
        <v>179.20538768005665</v>
      </c>
      <c r="Z31" s="117" t="s">
        <v>1136</v>
      </c>
      <c r="AA31" s="117"/>
      <c r="AB31" s="117"/>
      <c r="AC31" s="117"/>
      <c r="AF31" s="143" t="s">
        <v>39</v>
      </c>
      <c r="AG31" s="117">
        <v>2020</v>
      </c>
      <c r="AH31" s="117" t="s">
        <v>182</v>
      </c>
      <c r="AI31" s="9" t="s">
        <v>85</v>
      </c>
      <c r="AJ31" s="136">
        <f>AJ17*H4</f>
        <v>4998.880915889391</v>
      </c>
      <c r="AK31" s="117" t="s">
        <v>1136</v>
      </c>
      <c r="AL31" s="117"/>
      <c r="AM31" s="117"/>
      <c r="AN31" s="117"/>
    </row>
    <row r="32" spans="1:40" ht="30" customHeight="1">
      <c r="A32" s="140" t="s">
        <v>100</v>
      </c>
      <c r="B32" s="140" t="s">
        <v>101</v>
      </c>
      <c r="C32" s="140" t="s">
        <v>131</v>
      </c>
      <c r="D32" s="140" t="s">
        <v>102</v>
      </c>
      <c r="E32" s="140" t="s">
        <v>894</v>
      </c>
      <c r="F32" s="1125" t="s">
        <v>104</v>
      </c>
      <c r="G32" s="1125"/>
      <c r="H32" s="1125"/>
      <c r="I32" s="1125"/>
      <c r="U32" s="143" t="s">
        <v>39</v>
      </c>
      <c r="V32" s="117">
        <v>2020</v>
      </c>
      <c r="W32" s="117" t="s">
        <v>180</v>
      </c>
      <c r="X32" s="9" t="s">
        <v>86</v>
      </c>
      <c r="Y32" s="136">
        <f>Y17*H5</f>
        <v>102.02794810331973</v>
      </c>
      <c r="Z32" s="117" t="s">
        <v>1136</v>
      </c>
      <c r="AA32" s="117"/>
      <c r="AB32" s="117"/>
      <c r="AC32" s="117"/>
      <c r="AF32" s="143" t="s">
        <v>39</v>
      </c>
      <c r="AG32" s="117">
        <v>2020</v>
      </c>
      <c r="AH32" s="117" t="s">
        <v>182</v>
      </c>
      <c r="AI32" s="9" t="s">
        <v>86</v>
      </c>
      <c r="AJ32" s="136">
        <f>AJ17*H5</f>
        <v>2846.0392249568386</v>
      </c>
      <c r="AK32" s="117" t="s">
        <v>1136</v>
      </c>
      <c r="AL32" s="117"/>
      <c r="AM32" s="117"/>
      <c r="AN32" s="117"/>
    </row>
    <row r="33" spans="1:40">
      <c r="A33" s="143" t="s">
        <v>39</v>
      </c>
      <c r="B33" s="117">
        <v>2020</v>
      </c>
      <c r="C33" s="117" t="s">
        <v>182</v>
      </c>
      <c r="D33" s="9" t="s">
        <v>85</v>
      </c>
      <c r="E33" s="136">
        <f t="shared" ref="E33:E40" si="4">H4*$E$30</f>
        <v>5000.3640507314722</v>
      </c>
      <c r="F33" s="1132" t="s">
        <v>1136</v>
      </c>
      <c r="G33" s="1132"/>
      <c r="H33" s="1132"/>
      <c r="I33" s="1132"/>
      <c r="U33" s="143" t="s">
        <v>39</v>
      </c>
      <c r="V33" s="117">
        <v>2020</v>
      </c>
      <c r="W33" s="117" t="s">
        <v>180</v>
      </c>
      <c r="X33" s="9" t="s">
        <v>87</v>
      </c>
      <c r="Y33" s="136">
        <f>Y17*H6</f>
        <v>116.77935273343896</v>
      </c>
      <c r="Z33" s="117" t="s">
        <v>1136</v>
      </c>
      <c r="AA33" s="117"/>
      <c r="AB33" s="117"/>
      <c r="AC33" s="117"/>
      <c r="AF33" s="143" t="s">
        <v>39</v>
      </c>
      <c r="AG33" s="117">
        <v>2020</v>
      </c>
      <c r="AH33" s="117" t="s">
        <v>182</v>
      </c>
      <c r="AI33" s="9" t="s">
        <v>87</v>
      </c>
      <c r="AJ33" s="136">
        <f>AJ17*H6</f>
        <v>3257.5252636451264</v>
      </c>
      <c r="AK33" s="117" t="s">
        <v>1136</v>
      </c>
      <c r="AL33" s="117"/>
      <c r="AM33" s="117"/>
      <c r="AN33" s="117"/>
    </row>
    <row r="34" spans="1:40">
      <c r="A34" s="143" t="s">
        <v>39</v>
      </c>
      <c r="B34" s="117">
        <v>2020</v>
      </c>
      <c r="C34" s="117" t="s">
        <v>182</v>
      </c>
      <c r="D34" s="9" t="s">
        <v>86</v>
      </c>
      <c r="E34" s="136">
        <f t="shared" si="4"/>
        <v>2846.8836259352747</v>
      </c>
      <c r="F34" s="1132" t="s">
        <v>1136</v>
      </c>
      <c r="G34" s="1132"/>
      <c r="H34" s="1132"/>
      <c r="I34" s="1132"/>
      <c r="U34" s="143" t="s">
        <v>39</v>
      </c>
      <c r="V34" s="117">
        <v>2020</v>
      </c>
      <c r="W34" s="117" t="s">
        <v>180</v>
      </c>
      <c r="X34" s="9" t="s">
        <v>88</v>
      </c>
      <c r="Y34" s="136">
        <f>Y17*H7</f>
        <v>20.887643454491393</v>
      </c>
      <c r="Z34" s="117" t="s">
        <v>1136</v>
      </c>
      <c r="AA34" s="117"/>
      <c r="AB34" s="117"/>
      <c r="AC34" s="117"/>
      <c r="AF34" s="143" t="s">
        <v>39</v>
      </c>
      <c r="AG34" s="117">
        <v>2020</v>
      </c>
      <c r="AH34" s="117" t="s">
        <v>182</v>
      </c>
      <c r="AI34" s="9" t="s">
        <v>88</v>
      </c>
      <c r="AJ34" s="136">
        <f>AJ17*H7</f>
        <v>582.65459311399411</v>
      </c>
      <c r="AK34" s="117" t="s">
        <v>1136</v>
      </c>
      <c r="AL34" s="117"/>
      <c r="AM34" s="117"/>
      <c r="AN34" s="117"/>
    </row>
    <row r="35" spans="1:40">
      <c r="A35" s="143" t="s">
        <v>39</v>
      </c>
      <c r="B35" s="117">
        <v>2020</v>
      </c>
      <c r="C35" s="117" t="s">
        <v>182</v>
      </c>
      <c r="D35" s="9" t="s">
        <v>87</v>
      </c>
      <c r="E35" s="136">
        <f t="shared" si="4"/>
        <v>3258.4917498044815</v>
      </c>
      <c r="F35" s="1132" t="s">
        <v>1136</v>
      </c>
      <c r="G35" s="1132"/>
      <c r="H35" s="1132"/>
      <c r="I35" s="1132"/>
      <c r="U35" s="143" t="s">
        <v>39</v>
      </c>
      <c r="V35" s="117">
        <v>2020</v>
      </c>
      <c r="W35" s="117" t="s">
        <v>180</v>
      </c>
      <c r="X35" s="9" t="s">
        <v>89</v>
      </c>
      <c r="Y35" s="136">
        <f>Y17*H8</f>
        <v>7.4683391591176429</v>
      </c>
      <c r="Z35" s="117" t="s">
        <v>1136</v>
      </c>
      <c r="AA35" s="117"/>
      <c r="AB35" s="117"/>
      <c r="AC35" s="117"/>
      <c r="AF35" s="143" t="s">
        <v>39</v>
      </c>
      <c r="AG35" s="117">
        <v>2020</v>
      </c>
      <c r="AH35" s="117" t="s">
        <v>182</v>
      </c>
      <c r="AI35" s="9" t="s">
        <v>89</v>
      </c>
      <c r="AJ35" s="136">
        <f>AJ17*H8</f>
        <v>208.32709651874683</v>
      </c>
      <c r="AK35" s="117" t="s">
        <v>1136</v>
      </c>
      <c r="AL35" s="117"/>
      <c r="AM35" s="117"/>
      <c r="AN35" s="117"/>
    </row>
    <row r="36" spans="1:40">
      <c r="A36" s="143" t="s">
        <v>39</v>
      </c>
      <c r="B36" s="117">
        <v>2020</v>
      </c>
      <c r="C36" s="117" t="s">
        <v>182</v>
      </c>
      <c r="D36" s="9" t="s">
        <v>88</v>
      </c>
      <c r="E36" s="136">
        <f t="shared" si="4"/>
        <v>582.82746287074292</v>
      </c>
      <c r="F36" s="1132" t="s">
        <v>1136</v>
      </c>
      <c r="G36" s="1132"/>
      <c r="H36" s="1132"/>
      <c r="I36" s="1132"/>
      <c r="U36" s="143" t="s">
        <v>39</v>
      </c>
      <c r="V36" s="117">
        <v>2020</v>
      </c>
      <c r="W36" s="117" t="s">
        <v>180</v>
      </c>
      <c r="X36" s="9" t="s">
        <v>90</v>
      </c>
      <c r="Y36" s="136">
        <f>Y17*H9</f>
        <v>11.900009692415585</v>
      </c>
      <c r="Z36" s="117" t="s">
        <v>1136</v>
      </c>
      <c r="AA36" s="117"/>
      <c r="AB36" s="117"/>
      <c r="AC36" s="117"/>
      <c r="AF36" s="143" t="s">
        <v>39</v>
      </c>
      <c r="AG36" s="117">
        <v>2020</v>
      </c>
      <c r="AH36" s="117" t="s">
        <v>182</v>
      </c>
      <c r="AI36" s="9" t="s">
        <v>90</v>
      </c>
      <c r="AJ36" s="136">
        <f>AJ17*H9</f>
        <v>331.94722614321932</v>
      </c>
      <c r="AK36" s="117" t="s">
        <v>1136</v>
      </c>
      <c r="AL36" s="117"/>
      <c r="AM36" s="117"/>
      <c r="AN36" s="117"/>
    </row>
    <row r="37" spans="1:40">
      <c r="A37" s="143" t="s">
        <v>39</v>
      </c>
      <c r="B37" s="117">
        <v>2020</v>
      </c>
      <c r="C37" s="117" t="s">
        <v>182</v>
      </c>
      <c r="D37" s="9" t="s">
        <v>89</v>
      </c>
      <c r="E37" s="136">
        <f t="shared" si="4"/>
        <v>208.38890578778032</v>
      </c>
      <c r="F37" s="1132" t="s">
        <v>1136</v>
      </c>
      <c r="G37" s="1132"/>
      <c r="H37" s="1132"/>
      <c r="I37" s="1132"/>
      <c r="U37" s="143" t="s">
        <v>39</v>
      </c>
      <c r="V37" s="117">
        <v>2020</v>
      </c>
      <c r="W37" s="117" t="s">
        <v>180</v>
      </c>
      <c r="X37" s="9" t="s">
        <v>91</v>
      </c>
      <c r="Y37" s="136">
        <f>Y17*H10</f>
        <v>101.66359214435965</v>
      </c>
      <c r="Z37" s="117" t="s">
        <v>1136</v>
      </c>
      <c r="AA37" s="117"/>
      <c r="AB37" s="117"/>
      <c r="AC37" s="117"/>
      <c r="AF37" s="143" t="s">
        <v>39</v>
      </c>
      <c r="AG37" s="117">
        <v>2020</v>
      </c>
      <c r="AH37" s="117" t="s">
        <v>182</v>
      </c>
      <c r="AI37" s="9" t="s">
        <v>91</v>
      </c>
      <c r="AJ37" s="136">
        <f>AJ17*H10</f>
        <v>2835.8756239992163</v>
      </c>
      <c r="AK37" s="117" t="s">
        <v>1136</v>
      </c>
      <c r="AL37" s="117"/>
      <c r="AM37" s="117"/>
      <c r="AN37" s="117"/>
    </row>
    <row r="38" spans="1:40">
      <c r="A38" s="143" t="s">
        <v>39</v>
      </c>
      <c r="B38" s="117">
        <v>2020</v>
      </c>
      <c r="C38" s="117" t="s">
        <v>182</v>
      </c>
      <c r="D38" s="9" t="s">
        <v>90</v>
      </c>
      <c r="E38" s="136">
        <f t="shared" si="4"/>
        <v>332.04571268552922</v>
      </c>
      <c r="F38" s="1132" t="s">
        <v>1136</v>
      </c>
      <c r="G38" s="1132"/>
      <c r="H38" s="1132"/>
      <c r="I38" s="1132"/>
      <c r="U38" s="143" t="s">
        <v>39</v>
      </c>
      <c r="V38" s="117">
        <v>2020</v>
      </c>
      <c r="W38" s="117" t="s">
        <v>180</v>
      </c>
      <c r="X38" s="9" t="s">
        <v>98</v>
      </c>
      <c r="Y38" s="136">
        <f>Y17*H11</f>
        <v>14.06772703280042</v>
      </c>
      <c r="Z38" s="117" t="s">
        <v>1136</v>
      </c>
      <c r="AA38" s="117"/>
      <c r="AB38" s="117"/>
      <c r="AC38" s="117"/>
      <c r="AF38" s="143" t="s">
        <v>39</v>
      </c>
      <c r="AG38" s="117">
        <v>2020</v>
      </c>
      <c r="AH38" s="117" t="s">
        <v>182</v>
      </c>
      <c r="AI38" s="9" t="s">
        <v>98</v>
      </c>
      <c r="AJ38" s="136">
        <f>AJ17*H11</f>
        <v>392.41505573346876</v>
      </c>
      <c r="AK38" s="117" t="s">
        <v>1136</v>
      </c>
      <c r="AL38" s="117"/>
      <c r="AM38" s="117"/>
      <c r="AN38" s="117"/>
    </row>
    <row r="39" spans="1:40">
      <c r="A39" s="143" t="s">
        <v>39</v>
      </c>
      <c r="B39" s="117">
        <v>2020</v>
      </c>
      <c r="C39" s="117" t="s">
        <v>182</v>
      </c>
      <c r="D39" s="9" t="s">
        <v>91</v>
      </c>
      <c r="E39" s="136">
        <f t="shared" si="4"/>
        <v>2836.7170095045985</v>
      </c>
      <c r="F39" s="1132" t="s">
        <v>1136</v>
      </c>
      <c r="G39" s="1132"/>
      <c r="H39" s="1132"/>
      <c r="I39" s="1132"/>
      <c r="U39" s="143" t="s">
        <v>39</v>
      </c>
      <c r="V39" s="117">
        <v>2019</v>
      </c>
      <c r="W39" s="117" t="s">
        <v>180</v>
      </c>
      <c r="X39" s="9" t="s">
        <v>85</v>
      </c>
      <c r="Y39" s="136">
        <f>Y18*H4</f>
        <v>169.17764938027008</v>
      </c>
      <c r="Z39" s="117" t="s">
        <v>1136</v>
      </c>
      <c r="AA39" s="117"/>
      <c r="AB39" s="117"/>
      <c r="AC39" s="117"/>
      <c r="AF39" s="143" t="s">
        <v>39</v>
      </c>
      <c r="AG39" s="117">
        <v>2019</v>
      </c>
      <c r="AH39" s="117" t="s">
        <v>182</v>
      </c>
      <c r="AI39" s="9" t="s">
        <v>85</v>
      </c>
      <c r="AJ39" s="136">
        <f>AJ18*H4</f>
        <v>4937.1368964233152</v>
      </c>
      <c r="AK39" s="117" t="s">
        <v>1136</v>
      </c>
      <c r="AL39" s="117"/>
      <c r="AM39" s="117"/>
      <c r="AN39" s="117"/>
    </row>
    <row r="40" spans="1:40">
      <c r="A40" s="143" t="s">
        <v>39</v>
      </c>
      <c r="B40" s="117">
        <v>2020</v>
      </c>
      <c r="C40" s="117" t="s">
        <v>182</v>
      </c>
      <c r="D40" s="9" t="s">
        <v>98</v>
      </c>
      <c r="E40" s="136">
        <f t="shared" si="4"/>
        <v>392.53148268012109</v>
      </c>
      <c r="F40" s="1132" t="s">
        <v>1136</v>
      </c>
      <c r="G40" s="1132"/>
      <c r="H40" s="1132"/>
      <c r="I40" s="1132"/>
      <c r="U40" s="143" t="s">
        <v>39</v>
      </c>
      <c r="V40" s="117">
        <v>2019</v>
      </c>
      <c r="W40" s="117" t="s">
        <v>180</v>
      </c>
      <c r="X40" s="9" t="s">
        <v>86</v>
      </c>
      <c r="Y40" s="136">
        <f>Y18*H5</f>
        <v>96.318802992845164</v>
      </c>
      <c r="Z40" s="117" t="s">
        <v>1136</v>
      </c>
      <c r="AA40" s="117"/>
      <c r="AB40" s="117"/>
      <c r="AC40" s="117"/>
      <c r="AF40" s="143" t="s">
        <v>39</v>
      </c>
      <c r="AG40" s="117">
        <v>2019</v>
      </c>
      <c r="AH40" s="117" t="s">
        <v>182</v>
      </c>
      <c r="AI40" s="9" t="s">
        <v>86</v>
      </c>
      <c r="AJ40" s="136">
        <f>AJ18*H5</f>
        <v>2810.8861768519337</v>
      </c>
      <c r="AK40" s="117" t="s">
        <v>1136</v>
      </c>
      <c r="AL40" s="117"/>
      <c r="AM40" s="117"/>
      <c r="AN40" s="117"/>
    </row>
    <row r="41" spans="1:40">
      <c r="U41" s="143" t="s">
        <v>39</v>
      </c>
      <c r="V41" s="117">
        <v>2019</v>
      </c>
      <c r="W41" s="117" t="s">
        <v>180</v>
      </c>
      <c r="X41" s="9" t="s">
        <v>87</v>
      </c>
      <c r="Y41" s="136">
        <f>Y18*H6</f>
        <v>110.24476801369778</v>
      </c>
      <c r="Z41" s="117" t="s">
        <v>1136</v>
      </c>
      <c r="AA41" s="117"/>
      <c r="AB41" s="117"/>
      <c r="AC41" s="117"/>
      <c r="AF41" s="143" t="s">
        <v>39</v>
      </c>
      <c r="AG41" s="117">
        <v>2019</v>
      </c>
      <c r="AH41" s="117" t="s">
        <v>182</v>
      </c>
      <c r="AI41" s="9" t="s">
        <v>87</v>
      </c>
      <c r="AJ41" s="136">
        <f>AJ18*H6</f>
        <v>3217.2897175951252</v>
      </c>
      <c r="AK41" s="117" t="s">
        <v>1136</v>
      </c>
      <c r="AL41" s="117"/>
      <c r="AM41" s="117"/>
      <c r="AN41" s="117"/>
    </row>
    <row r="42" spans="1:40" ht="30" customHeight="1">
      <c r="A42" s="1246" t="s">
        <v>15</v>
      </c>
      <c r="B42" s="1247"/>
      <c r="C42" s="1247"/>
      <c r="D42" s="1247"/>
      <c r="E42" s="1247"/>
      <c r="F42" s="1247"/>
      <c r="G42" s="1247"/>
      <c r="H42" s="1247"/>
      <c r="I42" s="1247"/>
      <c r="J42" s="1247"/>
      <c r="K42" s="1247"/>
      <c r="L42" s="1247"/>
      <c r="M42" s="1247"/>
      <c r="N42" s="1247"/>
      <c r="O42" s="1247"/>
      <c r="P42" s="1247"/>
      <c r="Q42" s="1247"/>
      <c r="R42" s="1248"/>
      <c r="U42" s="143" t="s">
        <v>39</v>
      </c>
      <c r="V42" s="117">
        <v>2019</v>
      </c>
      <c r="W42" s="117" t="s">
        <v>180</v>
      </c>
      <c r="X42" s="9" t="s">
        <v>88</v>
      </c>
      <c r="Y42" s="136">
        <f>Y18*H7</f>
        <v>19.71884030090072</v>
      </c>
      <c r="Z42" s="117" t="s">
        <v>1136</v>
      </c>
      <c r="AA42" s="117"/>
      <c r="AB42" s="117"/>
      <c r="AC42" s="117"/>
      <c r="AF42" s="143" t="s">
        <v>39</v>
      </c>
      <c r="AG42" s="117">
        <v>2019</v>
      </c>
      <c r="AH42" s="117" t="s">
        <v>182</v>
      </c>
      <c r="AI42" s="9" t="s">
        <v>88</v>
      </c>
      <c r="AJ42" s="136">
        <f>AJ18*H7</f>
        <v>575.45789506406095</v>
      </c>
      <c r="AK42" s="117" t="s">
        <v>1136</v>
      </c>
      <c r="AL42" s="117"/>
      <c r="AM42" s="117"/>
      <c r="AN42" s="117"/>
    </row>
    <row r="43" spans="1:40" ht="30" customHeight="1" thickBot="1">
      <c r="A43" s="1237" t="s">
        <v>1138</v>
      </c>
      <c r="B43" s="1238"/>
      <c r="C43" s="1238"/>
      <c r="D43" s="1238"/>
      <c r="E43" s="1238"/>
      <c r="F43" s="1238"/>
      <c r="G43" s="1238"/>
      <c r="H43" s="1238"/>
      <c r="I43" s="1238"/>
      <c r="J43" s="1238"/>
      <c r="K43" s="1238"/>
      <c r="L43" s="1238"/>
      <c r="M43" s="1238"/>
      <c r="N43" s="1238"/>
      <c r="O43" s="1238"/>
      <c r="P43" s="1238"/>
      <c r="Q43" s="1238"/>
      <c r="R43" s="1239"/>
      <c r="U43" s="143" t="s">
        <v>39</v>
      </c>
      <c r="V43" s="117">
        <v>2019</v>
      </c>
      <c r="W43" s="117" t="s">
        <v>180</v>
      </c>
      <c r="X43" s="9" t="s">
        <v>89</v>
      </c>
      <c r="Y43" s="136">
        <f>Y18*H8</f>
        <v>7.0504357043655723</v>
      </c>
      <c r="Z43" s="117" t="s">
        <v>1136</v>
      </c>
      <c r="AA43" s="117"/>
      <c r="AB43" s="117"/>
      <c r="AC43" s="117"/>
      <c r="AF43" s="143" t="s">
        <v>39</v>
      </c>
      <c r="AG43" s="117">
        <v>2019</v>
      </c>
      <c r="AH43" s="117" t="s">
        <v>182</v>
      </c>
      <c r="AI43" s="9" t="s">
        <v>89</v>
      </c>
      <c r="AJ43" s="136">
        <f>AJ18*H8</f>
        <v>205.7539301402723</v>
      </c>
      <c r="AK43" s="117" t="s">
        <v>1136</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1136</v>
      </c>
      <c r="AA44" s="117"/>
      <c r="AB44" s="117"/>
      <c r="AC44" s="117"/>
      <c r="AF44" s="143" t="s">
        <v>39</v>
      </c>
      <c r="AG44" s="117">
        <v>2019</v>
      </c>
      <c r="AH44" s="117" t="s">
        <v>182</v>
      </c>
      <c r="AI44" s="9" t="s">
        <v>90</v>
      </c>
      <c r="AJ44" s="136">
        <f>AJ18*H9</f>
        <v>327.84715728029653</v>
      </c>
      <c r="AK44" s="117" t="s">
        <v>1136</v>
      </c>
      <c r="AL44" s="117"/>
      <c r="AM44" s="117"/>
      <c r="AN44" s="117"/>
    </row>
    <row r="45" spans="1:40" s="2" customFormat="1">
      <c r="A45" s="151" t="s">
        <v>39</v>
      </c>
      <c r="B45" s="34" t="s">
        <v>237</v>
      </c>
      <c r="C45" s="40" t="s">
        <v>139</v>
      </c>
      <c r="D45" s="34" t="s">
        <v>86</v>
      </c>
      <c r="E45" s="308">
        <v>0.1638</v>
      </c>
      <c r="F45" s="309">
        <v>1</v>
      </c>
      <c r="G45" s="40" t="s">
        <v>140</v>
      </c>
      <c r="H45" s="249">
        <v>2</v>
      </c>
      <c r="I45" s="10">
        <v>2</v>
      </c>
      <c r="J45" s="10">
        <v>2</v>
      </c>
      <c r="K45" s="10">
        <v>1</v>
      </c>
      <c r="L45" s="10">
        <v>1</v>
      </c>
      <c r="M45" s="293">
        <v>2</v>
      </c>
      <c r="N45" s="298"/>
      <c r="O45" s="34"/>
      <c r="P45" s="6"/>
      <c r="Q45" s="6"/>
      <c r="U45" s="143" t="s">
        <v>39</v>
      </c>
      <c r="V45" s="117">
        <v>2019</v>
      </c>
      <c r="W45" s="117" t="s">
        <v>180</v>
      </c>
      <c r="X45" s="9" t="s">
        <v>91</v>
      </c>
      <c r="Y45" s="136">
        <f>Y18*H10</f>
        <v>95.974835183213173</v>
      </c>
      <c r="Z45" s="117" t="s">
        <v>1136</v>
      </c>
      <c r="AA45" s="117"/>
      <c r="AB45" s="117"/>
      <c r="AC45" s="117"/>
      <c r="AF45" s="143" t="s">
        <v>39</v>
      </c>
      <c r="AG45" s="117">
        <v>2019</v>
      </c>
      <c r="AH45" s="117" t="s">
        <v>182</v>
      </c>
      <c r="AI45" s="9" t="s">
        <v>91</v>
      </c>
      <c r="AJ45" s="136">
        <f>AJ18*H10</f>
        <v>2800.8481123065467</v>
      </c>
      <c r="AK45" s="117" t="s">
        <v>1136</v>
      </c>
      <c r="AL45" s="117"/>
      <c r="AM45" s="117"/>
      <c r="AN45" s="117"/>
    </row>
    <row r="46" spans="1:40" s="2" customFormat="1">
      <c r="A46" s="151" t="s">
        <v>39</v>
      </c>
      <c r="B46" s="34" t="s">
        <v>236</v>
      </c>
      <c r="C46" s="40" t="s">
        <v>139</v>
      </c>
      <c r="D46" s="34" t="s">
        <v>86</v>
      </c>
      <c r="E46" s="308">
        <v>1.2200000000000001E-2</v>
      </c>
      <c r="F46" s="309">
        <v>1</v>
      </c>
      <c r="G46" s="40" t="s">
        <v>140</v>
      </c>
      <c r="H46" s="249">
        <v>2</v>
      </c>
      <c r="I46" s="10">
        <v>2</v>
      </c>
      <c r="J46" s="10">
        <v>2</v>
      </c>
      <c r="K46" s="10">
        <v>1</v>
      </c>
      <c r="L46" s="10">
        <v>1</v>
      </c>
      <c r="M46" s="293">
        <v>2</v>
      </c>
      <c r="N46" s="298"/>
      <c r="O46" s="34"/>
      <c r="P46" s="6"/>
      <c r="Q46" s="6"/>
      <c r="U46" s="143" t="s">
        <v>39</v>
      </c>
      <c r="V46" s="117">
        <v>2019</v>
      </c>
      <c r="W46" s="117" t="s">
        <v>180</v>
      </c>
      <c r="X46" s="9" t="s">
        <v>98</v>
      </c>
      <c r="Y46" s="136">
        <f>Y18*H11</f>
        <v>13.280543751181623</v>
      </c>
      <c r="Z46" s="117" t="s">
        <v>1136</v>
      </c>
      <c r="AA46" s="117"/>
      <c r="AB46" s="117"/>
      <c r="AC46" s="117"/>
      <c r="AF46" s="143" t="s">
        <v>39</v>
      </c>
      <c r="AG46" s="117">
        <v>2019</v>
      </c>
      <c r="AH46" s="117" t="s">
        <v>182</v>
      </c>
      <c r="AI46" s="9" t="s">
        <v>98</v>
      </c>
      <c r="AJ46" s="136">
        <f>AJ18*H11</f>
        <v>387.56811433845098</v>
      </c>
      <c r="AK46" s="117" t="s">
        <v>1136</v>
      </c>
      <c r="AL46" s="117"/>
      <c r="AM46" s="117"/>
      <c r="AN46" s="117"/>
    </row>
    <row r="47" spans="1:40" s="2" customFormat="1">
      <c r="A47" s="151" t="s">
        <v>39</v>
      </c>
      <c r="B47" s="34" t="s">
        <v>203</v>
      </c>
      <c r="C47" s="40" t="s">
        <v>139</v>
      </c>
      <c r="D47" s="34" t="s">
        <v>86</v>
      </c>
      <c r="E47" s="308">
        <v>8.3099999999999993E-2</v>
      </c>
      <c r="F47" s="309">
        <v>1</v>
      </c>
      <c r="G47" s="40" t="s">
        <v>140</v>
      </c>
      <c r="H47" s="249">
        <v>2</v>
      </c>
      <c r="I47" s="10">
        <v>2</v>
      </c>
      <c r="J47" s="10">
        <v>2</v>
      </c>
      <c r="K47" s="10">
        <v>1</v>
      </c>
      <c r="L47" s="10">
        <v>1</v>
      </c>
      <c r="M47" s="293">
        <v>2</v>
      </c>
      <c r="N47" s="298"/>
      <c r="O47" s="34"/>
      <c r="P47" s="6"/>
      <c r="Q47" s="6"/>
      <c r="U47" s="143" t="s">
        <v>39</v>
      </c>
      <c r="V47" s="117">
        <v>2018</v>
      </c>
      <c r="W47" s="117" t="s">
        <v>180</v>
      </c>
      <c r="X47" s="9" t="s">
        <v>85</v>
      </c>
      <c r="Y47" s="136">
        <f>Y19*H4</f>
        <v>169.17764938027008</v>
      </c>
      <c r="Z47" s="117" t="s">
        <v>1136</v>
      </c>
      <c r="AA47" s="117"/>
      <c r="AB47" s="117"/>
      <c r="AC47" s="117"/>
      <c r="AF47" s="143" t="s">
        <v>39</v>
      </c>
      <c r="AG47" s="117">
        <v>2018</v>
      </c>
      <c r="AH47" s="117" t="s">
        <v>182</v>
      </c>
      <c r="AI47" s="9" t="s">
        <v>85</v>
      </c>
      <c r="AJ47" s="136">
        <f>AJ19*H4</f>
        <v>4793.0761436805778</v>
      </c>
      <c r="AK47" s="117" t="s">
        <v>1136</v>
      </c>
      <c r="AL47" s="117"/>
      <c r="AM47" s="117"/>
      <c r="AN47" s="117"/>
    </row>
    <row r="48" spans="1:40" s="2" customFormat="1">
      <c r="A48" s="151" t="s">
        <v>39</v>
      </c>
      <c r="B48" s="34" t="s">
        <v>235</v>
      </c>
      <c r="C48" s="40" t="s">
        <v>139</v>
      </c>
      <c r="D48" s="34" t="s">
        <v>86</v>
      </c>
      <c r="E48" s="308">
        <v>0</v>
      </c>
      <c r="F48" s="309">
        <v>1</v>
      </c>
      <c r="G48" s="40" t="s">
        <v>140</v>
      </c>
      <c r="H48" s="249"/>
      <c r="I48" s="10"/>
      <c r="J48" s="10"/>
      <c r="K48" s="10"/>
      <c r="L48" s="10"/>
      <c r="M48" s="293"/>
      <c r="N48" s="298"/>
      <c r="O48" s="34"/>
      <c r="P48" s="6"/>
      <c r="Q48" s="6"/>
      <c r="U48" s="143" t="s">
        <v>39</v>
      </c>
      <c r="V48" s="117">
        <v>2018</v>
      </c>
      <c r="W48" s="117" t="s">
        <v>180</v>
      </c>
      <c r="X48" s="9" t="s">
        <v>86</v>
      </c>
      <c r="Y48" s="136">
        <f>Y19*H5</f>
        <v>96.318802992845164</v>
      </c>
      <c r="Z48" s="117" t="s">
        <v>1136</v>
      </c>
      <c r="AA48" s="117"/>
      <c r="AB48" s="117"/>
      <c r="AC48" s="117"/>
      <c r="AF48" s="143" t="s">
        <v>39</v>
      </c>
      <c r="AG48" s="117">
        <v>2018</v>
      </c>
      <c r="AH48" s="117" t="s">
        <v>182</v>
      </c>
      <c r="AI48" s="9" t="s">
        <v>86</v>
      </c>
      <c r="AJ48" s="136">
        <f>AJ19*H5</f>
        <v>2728.8673090330567</v>
      </c>
      <c r="AK48" s="117" t="s">
        <v>1136</v>
      </c>
      <c r="AL48" s="117"/>
      <c r="AM48" s="117"/>
      <c r="AN48" s="117"/>
    </row>
    <row r="49" spans="1:40" s="2" customFormat="1">
      <c r="A49" s="151" t="s">
        <v>39</v>
      </c>
      <c r="B49" s="34" t="s">
        <v>202</v>
      </c>
      <c r="C49" s="40" t="s">
        <v>139</v>
      </c>
      <c r="D49" s="34" t="s">
        <v>86</v>
      </c>
      <c r="E49" s="308">
        <v>6.8500000000000005E-2</v>
      </c>
      <c r="F49" s="309">
        <v>1</v>
      </c>
      <c r="G49" s="40" t="s">
        <v>140</v>
      </c>
      <c r="H49" s="249">
        <v>2</v>
      </c>
      <c r="I49" s="10">
        <v>2</v>
      </c>
      <c r="J49" s="10">
        <v>2</v>
      </c>
      <c r="K49" s="10">
        <v>1</v>
      </c>
      <c r="L49" s="10">
        <v>1</v>
      </c>
      <c r="M49" s="293">
        <v>2</v>
      </c>
      <c r="N49" s="298"/>
      <c r="O49" s="34"/>
      <c r="P49" s="6"/>
      <c r="Q49" s="6"/>
      <c r="U49" s="143" t="s">
        <v>39</v>
      </c>
      <c r="V49" s="117">
        <v>2018</v>
      </c>
      <c r="W49" s="117" t="s">
        <v>180</v>
      </c>
      <c r="X49" s="9" t="s">
        <v>87</v>
      </c>
      <c r="Y49" s="136">
        <f>Y19*H6</f>
        <v>110.24476801369778</v>
      </c>
      <c r="Z49" s="117" t="s">
        <v>1136</v>
      </c>
      <c r="AA49" s="117"/>
      <c r="AB49" s="117"/>
      <c r="AC49" s="117"/>
      <c r="AF49" s="143" t="s">
        <v>39</v>
      </c>
      <c r="AG49" s="117">
        <v>2018</v>
      </c>
      <c r="AH49" s="117" t="s">
        <v>182</v>
      </c>
      <c r="AI49" s="9" t="s">
        <v>87</v>
      </c>
      <c r="AJ49" s="136">
        <f>AJ19*H6</f>
        <v>3123.4123979599349</v>
      </c>
      <c r="AK49" s="117" t="s">
        <v>1136</v>
      </c>
      <c r="AL49" s="117"/>
      <c r="AM49" s="117"/>
      <c r="AN49" s="117"/>
    </row>
    <row r="50" spans="1:40" s="2" customFormat="1">
      <c r="A50" s="151" t="s">
        <v>39</v>
      </c>
      <c r="B50" s="34" t="s">
        <v>201</v>
      </c>
      <c r="C50" s="40" t="s">
        <v>139</v>
      </c>
      <c r="D50" s="34" t="s">
        <v>86</v>
      </c>
      <c r="E50" s="308">
        <v>0.38629999999999998</v>
      </c>
      <c r="F50" s="309">
        <v>1</v>
      </c>
      <c r="G50" s="40" t="s">
        <v>140</v>
      </c>
      <c r="H50" s="249">
        <v>2</v>
      </c>
      <c r="I50" s="10">
        <v>2</v>
      </c>
      <c r="J50" s="10">
        <v>2</v>
      </c>
      <c r="K50" s="10">
        <v>1</v>
      </c>
      <c r="L50" s="10">
        <v>1</v>
      </c>
      <c r="M50" s="293">
        <v>2</v>
      </c>
      <c r="N50" s="298"/>
      <c r="O50" s="34"/>
      <c r="P50" s="6"/>
      <c r="Q50" s="6"/>
      <c r="U50" s="143" t="s">
        <v>39</v>
      </c>
      <c r="V50" s="117">
        <v>2018</v>
      </c>
      <c r="W50" s="117" t="s">
        <v>180</v>
      </c>
      <c r="X50" s="9" t="s">
        <v>88</v>
      </c>
      <c r="Y50" s="136">
        <f>Y19*H7</f>
        <v>19.71884030090072</v>
      </c>
      <c r="Z50" s="117" t="s">
        <v>1136</v>
      </c>
      <c r="AA50" s="117"/>
      <c r="AB50" s="117"/>
      <c r="AC50" s="117"/>
      <c r="AF50" s="143" t="s">
        <v>39</v>
      </c>
      <c r="AG50" s="117">
        <v>2018</v>
      </c>
      <c r="AH50" s="117" t="s">
        <v>182</v>
      </c>
      <c r="AI50" s="9" t="s">
        <v>88</v>
      </c>
      <c r="AJ50" s="136">
        <f>AJ19*H7</f>
        <v>558.66660503628452</v>
      </c>
      <c r="AK50" s="117" t="s">
        <v>1136</v>
      </c>
      <c r="AL50" s="117"/>
      <c r="AM50" s="117"/>
      <c r="AN50" s="117"/>
    </row>
    <row r="51" spans="1:40" s="2" customFormat="1">
      <c r="A51" s="151" t="s">
        <v>39</v>
      </c>
      <c r="B51" s="34" t="s">
        <v>200</v>
      </c>
      <c r="C51" s="40" t="s">
        <v>139</v>
      </c>
      <c r="D51" s="34" t="s">
        <v>86</v>
      </c>
      <c r="E51" s="308">
        <v>0.27379999999999999</v>
      </c>
      <c r="F51" s="309">
        <v>1</v>
      </c>
      <c r="G51" s="40" t="s">
        <v>140</v>
      </c>
      <c r="H51" s="249">
        <v>2</v>
      </c>
      <c r="I51" s="10">
        <v>2</v>
      </c>
      <c r="J51" s="10">
        <v>2</v>
      </c>
      <c r="K51" s="10">
        <v>1</v>
      </c>
      <c r="L51" s="10">
        <v>1</v>
      </c>
      <c r="M51" s="293">
        <v>2</v>
      </c>
      <c r="N51" s="298"/>
      <c r="O51" s="34"/>
      <c r="P51" s="6"/>
      <c r="Q51" s="6"/>
      <c r="U51" s="143" t="s">
        <v>39</v>
      </c>
      <c r="V51" s="117">
        <v>2018</v>
      </c>
      <c r="W51" s="117" t="s">
        <v>180</v>
      </c>
      <c r="X51" s="9" t="s">
        <v>89</v>
      </c>
      <c r="Y51" s="136">
        <f>Y19*H8</f>
        <v>7.0504357043655723</v>
      </c>
      <c r="Z51" s="117" t="s">
        <v>1136</v>
      </c>
      <c r="AA51" s="117"/>
      <c r="AB51" s="117"/>
      <c r="AC51" s="117"/>
      <c r="AF51" s="143" t="s">
        <v>39</v>
      </c>
      <c r="AG51" s="117">
        <v>2018</v>
      </c>
      <c r="AH51" s="117" t="s">
        <v>182</v>
      </c>
      <c r="AI51" s="9" t="s">
        <v>89</v>
      </c>
      <c r="AJ51" s="136">
        <f>AJ19*H8</f>
        <v>199.7502347440078</v>
      </c>
      <c r="AK51" s="117" t="s">
        <v>1136</v>
      </c>
      <c r="AL51" s="117"/>
      <c r="AM51" s="117"/>
      <c r="AN51" s="117"/>
    </row>
    <row r="52" spans="1:40" s="2" customFormat="1">
      <c r="A52" s="151" t="s">
        <v>39</v>
      </c>
      <c r="B52" s="34" t="s">
        <v>183</v>
      </c>
      <c r="C52" s="40" t="s">
        <v>139</v>
      </c>
      <c r="D52" s="34" t="s">
        <v>86</v>
      </c>
      <c r="E52" s="308">
        <v>0</v>
      </c>
      <c r="F52" s="309">
        <v>1</v>
      </c>
      <c r="G52" s="40" t="s">
        <v>140</v>
      </c>
      <c r="H52" s="249"/>
      <c r="I52" s="10"/>
      <c r="J52" s="10"/>
      <c r="K52" s="10"/>
      <c r="L52" s="10"/>
      <c r="M52" s="293"/>
      <c r="N52" s="298"/>
      <c r="O52" s="34"/>
      <c r="P52" s="6"/>
      <c r="Q52" s="6"/>
      <c r="U52" s="143" t="s">
        <v>39</v>
      </c>
      <c r="V52" s="117">
        <v>2018</v>
      </c>
      <c r="W52" s="117" t="s">
        <v>180</v>
      </c>
      <c r="X52" s="9" t="s">
        <v>90</v>
      </c>
      <c r="Y52" s="136">
        <f>Y19*H9</f>
        <v>11.234124673525903</v>
      </c>
      <c r="Z52" s="117" t="s">
        <v>1136</v>
      </c>
      <c r="AA52" s="117"/>
      <c r="AB52" s="117"/>
      <c r="AC52" s="117"/>
      <c r="AF52" s="143" t="s">
        <v>39</v>
      </c>
      <c r="AG52" s="117">
        <v>2018</v>
      </c>
      <c r="AH52" s="117" t="s">
        <v>182</v>
      </c>
      <c r="AI52" s="9" t="s">
        <v>90</v>
      </c>
      <c r="AJ52" s="136">
        <f>AJ19*H9</f>
        <v>318.28090273779407</v>
      </c>
      <c r="AK52" s="117" t="s">
        <v>1136</v>
      </c>
      <c r="AL52" s="117"/>
      <c r="AM52" s="117"/>
      <c r="AN52" s="117"/>
    </row>
    <row r="53" spans="1:40" s="2" customFormat="1">
      <c r="A53" s="151" t="s">
        <v>39</v>
      </c>
      <c r="B53" s="34" t="s">
        <v>142</v>
      </c>
      <c r="C53" s="40" t="s">
        <v>139</v>
      </c>
      <c r="D53" s="34" t="s">
        <v>86</v>
      </c>
      <c r="E53" s="308">
        <v>0</v>
      </c>
      <c r="F53" s="309">
        <v>1</v>
      </c>
      <c r="G53" s="40" t="s">
        <v>140</v>
      </c>
      <c r="H53" s="249"/>
      <c r="I53" s="10"/>
      <c r="J53" s="10"/>
      <c r="K53" s="10"/>
      <c r="L53" s="10"/>
      <c r="M53" s="293"/>
      <c r="N53" s="298"/>
      <c r="O53" s="34"/>
      <c r="P53" s="6"/>
      <c r="Q53" s="6"/>
      <c r="U53" s="143" t="s">
        <v>39</v>
      </c>
      <c r="V53" s="117">
        <v>2018</v>
      </c>
      <c r="W53" s="117" t="s">
        <v>180</v>
      </c>
      <c r="X53" s="9" t="s">
        <v>91</v>
      </c>
      <c r="Y53" s="136">
        <f>Y19*H10</f>
        <v>95.974835183213173</v>
      </c>
      <c r="Z53" s="117" t="s">
        <v>1136</v>
      </c>
      <c r="AA53" s="117"/>
      <c r="AB53" s="117"/>
      <c r="AC53" s="117"/>
      <c r="AF53" s="143" t="s">
        <v>39</v>
      </c>
      <c r="AG53" s="117">
        <v>2018</v>
      </c>
      <c r="AH53" s="117" t="s">
        <v>182</v>
      </c>
      <c r="AI53" s="9" t="s">
        <v>91</v>
      </c>
      <c r="AJ53" s="136">
        <f>AJ19*H10</f>
        <v>2719.1221452446925</v>
      </c>
      <c r="AK53" s="117" t="s">
        <v>1136</v>
      </c>
      <c r="AL53" s="117"/>
      <c r="AM53" s="117"/>
      <c r="AN53" s="117"/>
    </row>
    <row r="54" spans="1:40" s="2" customFormat="1">
      <c r="A54" s="151" t="s">
        <v>39</v>
      </c>
      <c r="B54" s="34" t="s">
        <v>138</v>
      </c>
      <c r="C54" s="40" t="s">
        <v>139</v>
      </c>
      <c r="D54" s="34" t="s">
        <v>86</v>
      </c>
      <c r="E54" s="308">
        <v>1.2200000000000001E-2</v>
      </c>
      <c r="F54" s="309">
        <v>1</v>
      </c>
      <c r="G54" s="40" t="s">
        <v>140</v>
      </c>
      <c r="H54" s="249">
        <v>2</v>
      </c>
      <c r="I54" s="10">
        <v>2</v>
      </c>
      <c r="J54" s="10">
        <v>2</v>
      </c>
      <c r="K54" s="10">
        <v>1</v>
      </c>
      <c r="L54" s="10">
        <v>1</v>
      </c>
      <c r="M54" s="293">
        <v>2</v>
      </c>
      <c r="N54" s="298"/>
      <c r="O54" s="34"/>
      <c r="P54" s="6"/>
      <c r="Q54" s="6"/>
      <c r="U54" s="143" t="s">
        <v>39</v>
      </c>
      <c r="V54" s="117">
        <v>2018</v>
      </c>
      <c r="W54" s="117" t="s">
        <v>180</v>
      </c>
      <c r="X54" s="9" t="s">
        <v>98</v>
      </c>
      <c r="Y54" s="136">
        <f>Y19*H11</f>
        <v>13.280543751181623</v>
      </c>
      <c r="Z54" s="117" t="s">
        <v>1136</v>
      </c>
      <c r="AA54" s="117"/>
      <c r="AB54" s="117"/>
      <c r="AC54" s="117"/>
      <c r="AF54" s="143" t="s">
        <v>39</v>
      </c>
      <c r="AG54" s="117">
        <v>2018</v>
      </c>
      <c r="AH54" s="117" t="s">
        <v>182</v>
      </c>
      <c r="AI54" s="9" t="s">
        <v>98</v>
      </c>
      <c r="AJ54" s="136">
        <f>AJ19*H11</f>
        <v>376.25926156365176</v>
      </c>
      <c r="AK54" s="117" t="s">
        <v>1136</v>
      </c>
      <c r="AL54" s="117"/>
      <c r="AM54" s="117"/>
      <c r="AN54" s="117"/>
    </row>
    <row r="55" spans="1:40" ht="30" customHeight="1">
      <c r="A55" s="329"/>
      <c r="B55" s="330"/>
      <c r="C55" s="330"/>
      <c r="D55" s="330"/>
      <c r="E55" s="331"/>
      <c r="F55" s="332"/>
      <c r="G55" s="333"/>
      <c r="H55" s="330"/>
      <c r="I55" s="330"/>
      <c r="J55" s="330"/>
      <c r="K55" s="330"/>
      <c r="L55" s="330"/>
      <c r="M55" s="330"/>
      <c r="N55" s="330"/>
      <c r="O55" s="334"/>
      <c r="P55" s="334"/>
      <c r="Q55" s="334"/>
      <c r="R55" s="334"/>
      <c r="U55" s="143" t="s">
        <v>39</v>
      </c>
      <c r="V55" s="117">
        <v>2017</v>
      </c>
      <c r="W55" s="117" t="s">
        <v>180</v>
      </c>
      <c r="X55" s="9" t="s">
        <v>85</v>
      </c>
      <c r="Y55" s="136">
        <f>Y20*H4</f>
        <v>165.61941966099099</v>
      </c>
      <c r="Z55" s="117" t="s">
        <v>1136</v>
      </c>
      <c r="AA55" s="117"/>
      <c r="AB55" s="117"/>
      <c r="AC55" s="117"/>
      <c r="AF55" s="143" t="s">
        <v>39</v>
      </c>
      <c r="AG55" s="117">
        <v>2017</v>
      </c>
      <c r="AH55" s="117" t="s">
        <v>182</v>
      </c>
      <c r="AI55" s="9" t="s">
        <v>85</v>
      </c>
      <c r="AJ55" s="136">
        <f>AJ20*H4</f>
        <v>4707.1416612056973</v>
      </c>
      <c r="AK55" s="117" t="s">
        <v>1136</v>
      </c>
      <c r="AL55" s="117"/>
      <c r="AM55" s="117"/>
      <c r="AN55" s="117"/>
    </row>
    <row r="56" spans="1:40" s="2" customFormat="1">
      <c r="A56" s="151" t="s">
        <v>39</v>
      </c>
      <c r="B56" s="34" t="s">
        <v>237</v>
      </c>
      <c r="C56" s="40" t="s">
        <v>139</v>
      </c>
      <c r="D56" s="34"/>
      <c r="E56" s="308"/>
      <c r="F56" s="309">
        <v>1</v>
      </c>
      <c r="G56" s="40" t="s">
        <v>140</v>
      </c>
      <c r="H56" s="249">
        <v>2</v>
      </c>
      <c r="I56" s="10">
        <v>2</v>
      </c>
      <c r="J56" s="10">
        <v>2</v>
      </c>
      <c r="K56" s="10">
        <v>1</v>
      </c>
      <c r="L56" s="10">
        <v>1</v>
      </c>
      <c r="M56" s="293">
        <v>2</v>
      </c>
      <c r="N56" s="298"/>
      <c r="O56" s="34"/>
      <c r="P56" s="6"/>
      <c r="Q56" s="6"/>
      <c r="U56" s="143" t="s">
        <v>39</v>
      </c>
      <c r="V56" s="117">
        <v>2017</v>
      </c>
      <c r="W56" s="117" t="s">
        <v>180</v>
      </c>
      <c r="X56" s="9" t="s">
        <v>86</v>
      </c>
      <c r="Y56" s="136">
        <f>Y20*H5</f>
        <v>94.292977308483216</v>
      </c>
      <c r="Z56" s="117" t="s">
        <v>1136</v>
      </c>
      <c r="AA56" s="117"/>
      <c r="AB56" s="117"/>
      <c r="AC56" s="117"/>
      <c r="AF56" s="143" t="s">
        <v>39</v>
      </c>
      <c r="AG56" s="117">
        <v>2017</v>
      </c>
      <c r="AH56" s="117" t="s">
        <v>182</v>
      </c>
      <c r="AI56" s="9" t="s">
        <v>86</v>
      </c>
      <c r="AJ56" s="136">
        <f>AJ20*H5</f>
        <v>2679.9417770960026</v>
      </c>
      <c r="AK56" s="117" t="s">
        <v>1136</v>
      </c>
      <c r="AL56" s="117"/>
      <c r="AM56" s="117"/>
      <c r="AN56" s="117"/>
    </row>
    <row r="57" spans="1:40" s="2" customFormat="1">
      <c r="A57" s="151" t="s">
        <v>39</v>
      </c>
      <c r="B57" s="34" t="s">
        <v>236</v>
      </c>
      <c r="C57" s="40" t="s">
        <v>139</v>
      </c>
      <c r="D57" s="34"/>
      <c r="E57" s="308"/>
      <c r="F57" s="309">
        <v>1</v>
      </c>
      <c r="G57" s="40" t="s">
        <v>140</v>
      </c>
      <c r="H57" s="249">
        <v>2</v>
      </c>
      <c r="I57" s="10">
        <v>2</v>
      </c>
      <c r="J57" s="10">
        <v>2</v>
      </c>
      <c r="K57" s="10">
        <v>1</v>
      </c>
      <c r="L57" s="10">
        <v>1</v>
      </c>
      <c r="M57" s="293">
        <v>2</v>
      </c>
      <c r="N57" s="298"/>
      <c r="O57" s="34"/>
      <c r="P57" s="6"/>
      <c r="Q57" s="6"/>
      <c r="U57" s="143" t="s">
        <v>39</v>
      </c>
      <c r="V57" s="117">
        <v>2017</v>
      </c>
      <c r="W57" s="117" t="s">
        <v>180</v>
      </c>
      <c r="X57" s="9" t="s">
        <v>87</v>
      </c>
      <c r="Y57" s="136">
        <f>Y20*H6</f>
        <v>107.92604440346705</v>
      </c>
      <c r="Z57" s="117" t="s">
        <v>1136</v>
      </c>
      <c r="AA57" s="117"/>
      <c r="AB57" s="117"/>
      <c r="AC57" s="117"/>
      <c r="AF57" s="143" t="s">
        <v>39</v>
      </c>
      <c r="AG57" s="117">
        <v>2017</v>
      </c>
      <c r="AH57" s="117" t="s">
        <v>182</v>
      </c>
      <c r="AI57" s="9" t="s">
        <v>87</v>
      </c>
      <c r="AJ57" s="136">
        <f>AJ20*H6</f>
        <v>3067.413114842308</v>
      </c>
      <c r="AK57" s="117" t="s">
        <v>1136</v>
      </c>
      <c r="AL57" s="117"/>
      <c r="AM57" s="117"/>
      <c r="AN57" s="117"/>
    </row>
    <row r="58" spans="1:40" s="2" customFormat="1">
      <c r="A58" s="151" t="s">
        <v>39</v>
      </c>
      <c r="B58" s="34" t="s">
        <v>203</v>
      </c>
      <c r="C58" s="40" t="s">
        <v>139</v>
      </c>
      <c r="D58" s="34"/>
      <c r="E58" s="308"/>
      <c r="F58" s="309">
        <v>1</v>
      </c>
      <c r="G58" s="40" t="s">
        <v>140</v>
      </c>
      <c r="H58" s="249">
        <v>2</v>
      </c>
      <c r="I58" s="10">
        <v>2</v>
      </c>
      <c r="J58" s="10">
        <v>2</v>
      </c>
      <c r="K58" s="10">
        <v>1</v>
      </c>
      <c r="L58" s="10">
        <v>1</v>
      </c>
      <c r="M58" s="293">
        <v>2</v>
      </c>
      <c r="N58" s="298"/>
      <c r="O58" s="34"/>
      <c r="P58" s="6"/>
      <c r="Q58" s="6"/>
      <c r="U58" s="143" t="s">
        <v>39</v>
      </c>
      <c r="V58" s="117">
        <v>2017</v>
      </c>
      <c r="W58" s="117" t="s">
        <v>180</v>
      </c>
      <c r="X58" s="9" t="s">
        <v>88</v>
      </c>
      <c r="Y58" s="136">
        <f>Y20*H7</f>
        <v>19.304103698013705</v>
      </c>
      <c r="Z58" s="117" t="s">
        <v>1136</v>
      </c>
      <c r="AA58" s="117"/>
      <c r="AB58" s="117"/>
      <c r="AC58" s="117"/>
      <c r="AF58" s="143" t="s">
        <v>39</v>
      </c>
      <c r="AG58" s="117">
        <v>2017</v>
      </c>
      <c r="AH58" s="117" t="s">
        <v>182</v>
      </c>
      <c r="AI58" s="9" t="s">
        <v>88</v>
      </c>
      <c r="AJ58" s="136">
        <f>AJ20*H7</f>
        <v>548.65033904328789</v>
      </c>
      <c r="AK58" s="117" t="s">
        <v>1136</v>
      </c>
      <c r="AL58" s="117"/>
      <c r="AM58" s="117"/>
      <c r="AN58" s="117"/>
    </row>
    <row r="59" spans="1:40" s="2" customFormat="1">
      <c r="A59" s="151" t="s">
        <v>39</v>
      </c>
      <c r="B59" s="34" t="s">
        <v>235</v>
      </c>
      <c r="C59" s="40" t="s">
        <v>139</v>
      </c>
      <c r="D59" s="34"/>
      <c r="E59" s="308"/>
      <c r="F59" s="309">
        <v>1</v>
      </c>
      <c r="G59" s="40" t="s">
        <v>140</v>
      </c>
      <c r="H59" s="249"/>
      <c r="I59" s="10"/>
      <c r="J59" s="10"/>
      <c r="K59" s="10"/>
      <c r="L59" s="10"/>
      <c r="M59" s="293"/>
      <c r="N59" s="298"/>
      <c r="O59" s="34"/>
      <c r="P59" s="6"/>
      <c r="Q59" s="6"/>
      <c r="U59" s="143" t="s">
        <v>39</v>
      </c>
      <c r="V59" s="117">
        <v>2017</v>
      </c>
      <c r="W59" s="117" t="s">
        <v>180</v>
      </c>
      <c r="X59" s="9" t="s">
        <v>89</v>
      </c>
      <c r="Y59" s="136">
        <f>Y20*H8</f>
        <v>6.9021473817116119</v>
      </c>
      <c r="Z59" s="117" t="s">
        <v>1136</v>
      </c>
      <c r="AA59" s="117"/>
      <c r="AB59" s="117"/>
      <c r="AC59" s="117"/>
      <c r="AF59" s="143" t="s">
        <v>39</v>
      </c>
      <c r="AG59" s="117">
        <v>2017</v>
      </c>
      <c r="AH59" s="117" t="s">
        <v>182</v>
      </c>
      <c r="AI59" s="9" t="s">
        <v>89</v>
      </c>
      <c r="AJ59" s="136">
        <f>AJ20*H8</f>
        <v>196.16893694434862</v>
      </c>
      <c r="AK59" s="117" t="s">
        <v>1136</v>
      </c>
      <c r="AL59" s="117"/>
      <c r="AM59" s="117"/>
      <c r="AN59" s="117"/>
    </row>
    <row r="60" spans="1:40" s="2" customFormat="1">
      <c r="A60" s="151" t="s">
        <v>39</v>
      </c>
      <c r="B60" s="34" t="s">
        <v>202</v>
      </c>
      <c r="C60" s="40" t="s">
        <v>139</v>
      </c>
      <c r="D60" s="34"/>
      <c r="E60" s="308"/>
      <c r="F60" s="309">
        <v>1</v>
      </c>
      <c r="G60" s="40" t="s">
        <v>140</v>
      </c>
      <c r="H60" s="249">
        <v>2</v>
      </c>
      <c r="I60" s="10">
        <v>2</v>
      </c>
      <c r="J60" s="10">
        <v>2</v>
      </c>
      <c r="K60" s="10">
        <v>1</v>
      </c>
      <c r="L60" s="10">
        <v>1</v>
      </c>
      <c r="M60" s="293">
        <v>2</v>
      </c>
      <c r="N60" s="298"/>
      <c r="O60" s="34"/>
      <c r="P60" s="6"/>
      <c r="Q60" s="6"/>
      <c r="U60" s="143" t="s">
        <v>39</v>
      </c>
      <c r="V60" s="117">
        <v>2017</v>
      </c>
      <c r="W60" s="117" t="s">
        <v>180</v>
      </c>
      <c r="X60" s="9" t="s">
        <v>90</v>
      </c>
      <c r="Y60" s="136">
        <f>Y20*H9</f>
        <v>10.997842892629565</v>
      </c>
      <c r="Z60" s="117" t="s">
        <v>1136</v>
      </c>
      <c r="AA60" s="117"/>
      <c r="AB60" s="117"/>
      <c r="AC60" s="117"/>
      <c r="AF60" s="143" t="s">
        <v>39</v>
      </c>
      <c r="AG60" s="117">
        <v>2017</v>
      </c>
      <c r="AH60" s="117" t="s">
        <v>182</v>
      </c>
      <c r="AI60" s="9" t="s">
        <v>90</v>
      </c>
      <c r="AJ60" s="136">
        <f>AJ20*H9</f>
        <v>312.57448292752849</v>
      </c>
      <c r="AK60" s="117" t="s">
        <v>1136</v>
      </c>
      <c r="AL60" s="117"/>
      <c r="AM60" s="117"/>
      <c r="AN60" s="117"/>
    </row>
    <row r="61" spans="1:40" s="2" customFormat="1">
      <c r="A61" s="151" t="s">
        <v>39</v>
      </c>
      <c r="B61" s="34" t="s">
        <v>201</v>
      </c>
      <c r="C61" s="40" t="s">
        <v>139</v>
      </c>
      <c r="D61" s="34"/>
      <c r="E61" s="308"/>
      <c r="F61" s="309">
        <v>1</v>
      </c>
      <c r="G61" s="40" t="s">
        <v>140</v>
      </c>
      <c r="H61" s="249">
        <v>2</v>
      </c>
      <c r="I61" s="10">
        <v>2</v>
      </c>
      <c r="J61" s="10">
        <v>2</v>
      </c>
      <c r="K61" s="10">
        <v>1</v>
      </c>
      <c r="L61" s="10">
        <v>1</v>
      </c>
      <c r="M61" s="293">
        <v>2</v>
      </c>
      <c r="N61" s="298"/>
      <c r="O61" s="34"/>
      <c r="P61" s="6"/>
      <c r="Q61" s="6"/>
      <c r="U61" s="143" t="s">
        <v>39</v>
      </c>
      <c r="V61" s="117">
        <v>2017</v>
      </c>
      <c r="W61" s="117" t="s">
        <v>180</v>
      </c>
      <c r="X61" s="9" t="s">
        <v>91</v>
      </c>
      <c r="Y61" s="136">
        <f>Y20*H10</f>
        <v>93.956244003451516</v>
      </c>
      <c r="Z61" s="1132" t="s">
        <v>1136</v>
      </c>
      <c r="AA61" s="1132"/>
      <c r="AB61" s="1132"/>
      <c r="AC61" s="1132"/>
      <c r="AF61" s="143" t="s">
        <v>39</v>
      </c>
      <c r="AG61" s="117">
        <v>2017</v>
      </c>
      <c r="AH61" s="117" t="s">
        <v>182</v>
      </c>
      <c r="AI61" s="9" t="s">
        <v>91</v>
      </c>
      <c r="AJ61" s="136">
        <f>AJ20*H10</f>
        <v>2670.371333170558</v>
      </c>
      <c r="AK61" s="1132" t="s">
        <v>1136</v>
      </c>
      <c r="AL61" s="1132"/>
      <c r="AM61" s="1132"/>
      <c r="AN61" s="1132"/>
    </row>
    <row r="62" spans="1:40" s="2" customFormat="1">
      <c r="A62" s="151" t="s">
        <v>39</v>
      </c>
      <c r="B62" s="34" t="s">
        <v>200</v>
      </c>
      <c r="C62" s="40" t="s">
        <v>139</v>
      </c>
      <c r="D62" s="34"/>
      <c r="E62" s="308"/>
      <c r="F62" s="309">
        <v>1</v>
      </c>
      <c r="G62" s="40" t="s">
        <v>140</v>
      </c>
      <c r="H62" s="249">
        <v>2</v>
      </c>
      <c r="I62" s="10">
        <v>2</v>
      </c>
      <c r="J62" s="10">
        <v>2</v>
      </c>
      <c r="K62" s="10">
        <v>1</v>
      </c>
      <c r="L62" s="10">
        <v>1</v>
      </c>
      <c r="M62" s="293">
        <v>2</v>
      </c>
      <c r="N62" s="298"/>
      <c r="O62" s="34"/>
      <c r="P62" s="6"/>
      <c r="Q62" s="6"/>
      <c r="U62" s="143" t="s">
        <v>39</v>
      </c>
      <c r="V62" s="117">
        <v>2017</v>
      </c>
      <c r="W62" s="117" t="s">
        <v>180</v>
      </c>
      <c r="X62" s="9" t="s">
        <v>98</v>
      </c>
      <c r="Y62" s="136">
        <f>Y20*H11</f>
        <v>13.001220651252373</v>
      </c>
      <c r="Z62" s="1132" t="s">
        <v>1136</v>
      </c>
      <c r="AA62" s="1132"/>
      <c r="AB62" s="1132"/>
      <c r="AC62" s="1132"/>
      <c r="AF62" s="143" t="s">
        <v>39</v>
      </c>
      <c r="AG62" s="117">
        <v>2017</v>
      </c>
      <c r="AH62" s="117" t="s">
        <v>182</v>
      </c>
      <c r="AI62" s="9" t="s">
        <v>98</v>
      </c>
      <c r="AJ62" s="136">
        <f>AJ20*H11</f>
        <v>369.51335477026953</v>
      </c>
      <c r="AK62" s="1132" t="s">
        <v>1136</v>
      </c>
      <c r="AL62" s="1132"/>
      <c r="AM62" s="1132"/>
      <c r="AN62" s="1132"/>
    </row>
    <row r="63" spans="1:40" s="2" customFormat="1">
      <c r="A63" s="151" t="s">
        <v>39</v>
      </c>
      <c r="B63" s="34" t="s">
        <v>183</v>
      </c>
      <c r="C63" s="40" t="s">
        <v>139</v>
      </c>
      <c r="D63" s="34"/>
      <c r="E63" s="308"/>
      <c r="F63" s="309">
        <v>1</v>
      </c>
      <c r="G63" s="40" t="s">
        <v>140</v>
      </c>
      <c r="H63" s="249"/>
      <c r="I63" s="10"/>
      <c r="J63" s="10"/>
      <c r="K63" s="10"/>
      <c r="L63" s="10"/>
      <c r="M63" s="293"/>
      <c r="N63" s="298"/>
      <c r="O63" s="34"/>
      <c r="P63" s="6"/>
      <c r="Q63" s="6"/>
    </row>
    <row r="64" spans="1:40" s="2" customFormat="1">
      <c r="A64" s="151" t="s">
        <v>39</v>
      </c>
      <c r="B64" s="34" t="s">
        <v>142</v>
      </c>
      <c r="C64" s="40" t="s">
        <v>139</v>
      </c>
      <c r="D64" s="34"/>
      <c r="E64" s="308"/>
      <c r="F64" s="309">
        <v>1</v>
      </c>
      <c r="G64" s="40" t="s">
        <v>140</v>
      </c>
      <c r="H64" s="249"/>
      <c r="I64" s="10"/>
      <c r="J64" s="10"/>
      <c r="K64" s="10"/>
      <c r="L64" s="10"/>
      <c r="M64" s="293"/>
      <c r="N64" s="298"/>
      <c r="O64" s="34"/>
      <c r="P64" s="6"/>
      <c r="Q64" s="6"/>
    </row>
    <row r="65" spans="1:18" s="2" customFormat="1">
      <c r="A65" s="151" t="s">
        <v>39</v>
      </c>
      <c r="B65" s="34" t="s">
        <v>138</v>
      </c>
      <c r="C65" s="40" t="s">
        <v>139</v>
      </c>
      <c r="D65" s="34"/>
      <c r="E65" s="308"/>
      <c r="F65" s="309">
        <v>1</v>
      </c>
      <c r="G65" s="40" t="s">
        <v>140</v>
      </c>
      <c r="H65" s="249">
        <v>2</v>
      </c>
      <c r="I65" s="10">
        <v>2</v>
      </c>
      <c r="J65" s="10">
        <v>2</v>
      </c>
      <c r="K65" s="10">
        <v>1</v>
      </c>
      <c r="L65" s="10">
        <v>1</v>
      </c>
      <c r="M65" s="293">
        <v>2</v>
      </c>
      <c r="N65" s="298"/>
      <c r="O65" s="34"/>
      <c r="P65" s="6"/>
      <c r="Q65" s="6"/>
    </row>
    <row r="66" spans="1:18" ht="30" customHeight="1">
      <c r="A66" s="329"/>
      <c r="B66" s="330"/>
      <c r="C66" s="330"/>
      <c r="D66" s="330"/>
      <c r="E66" s="331"/>
      <c r="F66" s="332"/>
      <c r="G66" s="333"/>
      <c r="H66" s="330"/>
      <c r="I66" s="330"/>
      <c r="J66" s="330"/>
      <c r="K66" s="330"/>
      <c r="L66" s="330"/>
      <c r="M66" s="330"/>
      <c r="N66" s="330"/>
      <c r="O66" s="334"/>
      <c r="P66" s="334"/>
      <c r="Q66" s="334"/>
      <c r="R66" s="334"/>
    </row>
    <row r="67" spans="1:18" s="2" customFormat="1">
      <c r="A67" s="151" t="s">
        <v>39</v>
      </c>
      <c r="B67" s="34" t="s">
        <v>237</v>
      </c>
      <c r="C67" s="40" t="s">
        <v>139</v>
      </c>
      <c r="D67" s="34"/>
      <c r="E67" s="308"/>
      <c r="F67" s="309">
        <v>1</v>
      </c>
      <c r="G67" s="40" t="s">
        <v>140</v>
      </c>
      <c r="H67" s="249">
        <v>2</v>
      </c>
      <c r="I67" s="10">
        <v>2</v>
      </c>
      <c r="J67" s="10">
        <v>2</v>
      </c>
      <c r="K67" s="10">
        <v>1</v>
      </c>
      <c r="L67" s="10">
        <v>1</v>
      </c>
      <c r="M67" s="293">
        <v>2</v>
      </c>
      <c r="N67" s="298"/>
      <c r="O67" s="34"/>
      <c r="P67" s="6"/>
      <c r="Q67" s="6"/>
    </row>
    <row r="68" spans="1:18" s="2" customFormat="1">
      <c r="A68" s="151" t="s">
        <v>39</v>
      </c>
      <c r="B68" s="34" t="s">
        <v>236</v>
      </c>
      <c r="C68" s="40" t="s">
        <v>139</v>
      </c>
      <c r="D68" s="34"/>
      <c r="E68" s="308"/>
      <c r="F68" s="309">
        <v>1</v>
      </c>
      <c r="G68" s="40" t="s">
        <v>140</v>
      </c>
      <c r="H68" s="249">
        <v>2</v>
      </c>
      <c r="I68" s="10">
        <v>2</v>
      </c>
      <c r="J68" s="10">
        <v>2</v>
      </c>
      <c r="K68" s="10">
        <v>1</v>
      </c>
      <c r="L68" s="10">
        <v>1</v>
      </c>
      <c r="M68" s="293">
        <v>2</v>
      </c>
      <c r="N68" s="298"/>
      <c r="O68" s="34"/>
      <c r="P68" s="6"/>
      <c r="Q68" s="6"/>
    </row>
    <row r="69" spans="1:18" s="2" customFormat="1">
      <c r="A69" s="151" t="s">
        <v>39</v>
      </c>
      <c r="B69" s="34" t="s">
        <v>203</v>
      </c>
      <c r="C69" s="40" t="s">
        <v>139</v>
      </c>
      <c r="D69" s="34"/>
      <c r="E69" s="308"/>
      <c r="F69" s="309">
        <v>1</v>
      </c>
      <c r="G69" s="40" t="s">
        <v>140</v>
      </c>
      <c r="H69" s="249">
        <v>2</v>
      </c>
      <c r="I69" s="10">
        <v>2</v>
      </c>
      <c r="J69" s="10">
        <v>2</v>
      </c>
      <c r="K69" s="10">
        <v>1</v>
      </c>
      <c r="L69" s="10">
        <v>1</v>
      </c>
      <c r="M69" s="293">
        <v>2</v>
      </c>
      <c r="N69" s="298"/>
      <c r="O69" s="34"/>
      <c r="P69" s="6"/>
      <c r="Q69" s="6"/>
    </row>
    <row r="70" spans="1:18" s="2" customFormat="1">
      <c r="A70" s="151" t="s">
        <v>39</v>
      </c>
      <c r="B70" s="34" t="s">
        <v>235</v>
      </c>
      <c r="C70" s="40" t="s">
        <v>139</v>
      </c>
      <c r="D70" s="34"/>
      <c r="E70" s="308"/>
      <c r="F70" s="309">
        <v>1</v>
      </c>
      <c r="G70" s="40" t="s">
        <v>140</v>
      </c>
      <c r="H70" s="249"/>
      <c r="I70" s="10"/>
      <c r="J70" s="10"/>
      <c r="K70" s="10"/>
      <c r="L70" s="10"/>
      <c r="M70" s="293"/>
      <c r="N70" s="298"/>
      <c r="O70" s="34"/>
      <c r="P70" s="6"/>
      <c r="Q70" s="6"/>
    </row>
    <row r="71" spans="1:18" s="2" customFormat="1">
      <c r="A71" s="151" t="s">
        <v>39</v>
      </c>
      <c r="B71" s="34" t="s">
        <v>202</v>
      </c>
      <c r="C71" s="40" t="s">
        <v>139</v>
      </c>
      <c r="D71" s="34"/>
      <c r="E71" s="308"/>
      <c r="F71" s="309">
        <v>1</v>
      </c>
      <c r="G71" s="40" t="s">
        <v>140</v>
      </c>
      <c r="H71" s="249">
        <v>2</v>
      </c>
      <c r="I71" s="10">
        <v>2</v>
      </c>
      <c r="J71" s="10">
        <v>2</v>
      </c>
      <c r="K71" s="10">
        <v>1</v>
      </c>
      <c r="L71" s="10">
        <v>1</v>
      </c>
      <c r="M71" s="293">
        <v>2</v>
      </c>
      <c r="N71" s="298"/>
      <c r="O71" s="34"/>
      <c r="P71" s="6"/>
      <c r="Q71" s="6"/>
    </row>
    <row r="72" spans="1:18" s="2" customFormat="1">
      <c r="A72" s="151" t="s">
        <v>39</v>
      </c>
      <c r="B72" s="34" t="s">
        <v>201</v>
      </c>
      <c r="C72" s="40" t="s">
        <v>139</v>
      </c>
      <c r="D72" s="34"/>
      <c r="E72" s="308"/>
      <c r="F72" s="309">
        <v>1</v>
      </c>
      <c r="G72" s="40" t="s">
        <v>140</v>
      </c>
      <c r="H72" s="249">
        <v>2</v>
      </c>
      <c r="I72" s="10">
        <v>2</v>
      </c>
      <c r="J72" s="10">
        <v>2</v>
      </c>
      <c r="K72" s="10">
        <v>1</v>
      </c>
      <c r="L72" s="10">
        <v>1</v>
      </c>
      <c r="M72" s="293">
        <v>2</v>
      </c>
      <c r="N72" s="298"/>
      <c r="O72" s="34"/>
      <c r="P72" s="6"/>
      <c r="Q72" s="6"/>
    </row>
    <row r="73" spans="1:18" s="2" customFormat="1">
      <c r="A73" s="151" t="s">
        <v>39</v>
      </c>
      <c r="B73" s="34" t="s">
        <v>200</v>
      </c>
      <c r="C73" s="40" t="s">
        <v>139</v>
      </c>
      <c r="D73" s="34"/>
      <c r="E73" s="308"/>
      <c r="F73" s="309">
        <v>1</v>
      </c>
      <c r="G73" s="40" t="s">
        <v>140</v>
      </c>
      <c r="H73" s="249">
        <v>2</v>
      </c>
      <c r="I73" s="10">
        <v>2</v>
      </c>
      <c r="J73" s="10">
        <v>2</v>
      </c>
      <c r="K73" s="10">
        <v>1</v>
      </c>
      <c r="L73" s="10">
        <v>1</v>
      </c>
      <c r="M73" s="293">
        <v>2</v>
      </c>
      <c r="N73" s="298"/>
      <c r="O73" s="34"/>
      <c r="P73" s="6"/>
      <c r="Q73" s="6"/>
    </row>
    <row r="74" spans="1:18" s="2" customFormat="1">
      <c r="A74" s="151" t="s">
        <v>39</v>
      </c>
      <c r="B74" s="34" t="s">
        <v>183</v>
      </c>
      <c r="C74" s="40" t="s">
        <v>139</v>
      </c>
      <c r="D74" s="34"/>
      <c r="E74" s="308"/>
      <c r="F74" s="309">
        <v>1</v>
      </c>
      <c r="G74" s="40" t="s">
        <v>140</v>
      </c>
      <c r="H74" s="249"/>
      <c r="I74" s="10"/>
      <c r="J74" s="10"/>
      <c r="K74" s="10"/>
      <c r="L74" s="10"/>
      <c r="M74" s="293"/>
      <c r="N74" s="298"/>
      <c r="O74" s="34"/>
      <c r="P74" s="6"/>
      <c r="Q74" s="6"/>
    </row>
    <row r="75" spans="1:18" s="2" customFormat="1">
      <c r="A75" s="151" t="s">
        <v>39</v>
      </c>
      <c r="B75" s="34" t="s">
        <v>142</v>
      </c>
      <c r="C75" s="40" t="s">
        <v>139</v>
      </c>
      <c r="D75" s="34"/>
      <c r="E75" s="308"/>
      <c r="F75" s="309">
        <v>1</v>
      </c>
      <c r="G75" s="40" t="s">
        <v>140</v>
      </c>
      <c r="H75" s="249"/>
      <c r="I75" s="10"/>
      <c r="J75" s="10"/>
      <c r="K75" s="10"/>
      <c r="L75" s="10"/>
      <c r="M75" s="293"/>
      <c r="N75" s="298"/>
      <c r="O75" s="34"/>
      <c r="P75" s="6"/>
      <c r="Q75" s="6"/>
    </row>
    <row r="76" spans="1:18" s="2" customFormat="1">
      <c r="A76" s="151" t="s">
        <v>39</v>
      </c>
      <c r="B76" s="34" t="s">
        <v>138</v>
      </c>
      <c r="C76" s="40" t="s">
        <v>139</v>
      </c>
      <c r="D76" s="34"/>
      <c r="E76" s="308"/>
      <c r="F76" s="309">
        <v>1</v>
      </c>
      <c r="G76" s="40" t="s">
        <v>140</v>
      </c>
      <c r="H76" s="249">
        <v>2</v>
      </c>
      <c r="I76" s="10">
        <v>2</v>
      </c>
      <c r="J76" s="10">
        <v>2</v>
      </c>
      <c r="K76" s="10">
        <v>1</v>
      </c>
      <c r="L76" s="10">
        <v>1</v>
      </c>
      <c r="M76" s="293">
        <v>2</v>
      </c>
      <c r="N76" s="298"/>
      <c r="O76" s="34"/>
      <c r="P76" s="6"/>
      <c r="Q76" s="6"/>
    </row>
    <row r="77" spans="1:18" ht="30" customHeight="1">
      <c r="A77" s="329"/>
      <c r="B77" s="330"/>
      <c r="C77" s="330"/>
      <c r="D77" s="330"/>
      <c r="E77" s="331"/>
      <c r="F77" s="332"/>
      <c r="G77" s="333"/>
      <c r="H77" s="330"/>
      <c r="I77" s="330"/>
      <c r="J77" s="330"/>
      <c r="K77" s="330"/>
      <c r="L77" s="330"/>
      <c r="M77" s="330"/>
      <c r="N77" s="330"/>
      <c r="O77" s="334"/>
      <c r="P77" s="334"/>
      <c r="Q77" s="334"/>
      <c r="R77" s="334"/>
    </row>
    <row r="78" spans="1:18" s="2" customFormat="1">
      <c r="A78" s="151" t="s">
        <v>39</v>
      </c>
      <c r="B78" s="34" t="s">
        <v>237</v>
      </c>
      <c r="C78" s="40" t="s">
        <v>139</v>
      </c>
      <c r="D78" s="34"/>
      <c r="E78" s="308"/>
      <c r="F78" s="309">
        <v>1</v>
      </c>
      <c r="G78" s="40" t="s">
        <v>140</v>
      </c>
      <c r="H78" s="249">
        <v>2</v>
      </c>
      <c r="I78" s="10">
        <v>2</v>
      </c>
      <c r="J78" s="10">
        <v>2</v>
      </c>
      <c r="K78" s="10">
        <v>1</v>
      </c>
      <c r="L78" s="10">
        <v>1</v>
      </c>
      <c r="M78" s="293">
        <v>2</v>
      </c>
      <c r="N78" s="298"/>
      <c r="O78" s="34"/>
      <c r="P78" s="6"/>
      <c r="Q78" s="6"/>
    </row>
    <row r="79" spans="1:18" s="2" customFormat="1">
      <c r="A79" s="151" t="s">
        <v>39</v>
      </c>
      <c r="B79" s="34" t="s">
        <v>236</v>
      </c>
      <c r="C79" s="40" t="s">
        <v>139</v>
      </c>
      <c r="D79" s="34"/>
      <c r="E79" s="308"/>
      <c r="F79" s="309">
        <v>1</v>
      </c>
      <c r="G79" s="40" t="s">
        <v>140</v>
      </c>
      <c r="H79" s="249">
        <v>2</v>
      </c>
      <c r="I79" s="10">
        <v>2</v>
      </c>
      <c r="J79" s="10">
        <v>2</v>
      </c>
      <c r="K79" s="10">
        <v>1</v>
      </c>
      <c r="L79" s="10">
        <v>1</v>
      </c>
      <c r="M79" s="293">
        <v>2</v>
      </c>
      <c r="N79" s="298"/>
      <c r="O79" s="34"/>
      <c r="P79" s="6"/>
      <c r="Q79" s="6"/>
    </row>
    <row r="80" spans="1:18" s="2" customFormat="1">
      <c r="A80" s="151" t="s">
        <v>39</v>
      </c>
      <c r="B80" s="34" t="s">
        <v>203</v>
      </c>
      <c r="C80" s="40" t="s">
        <v>139</v>
      </c>
      <c r="D80" s="34"/>
      <c r="E80" s="308"/>
      <c r="F80" s="309">
        <v>1</v>
      </c>
      <c r="G80" s="40" t="s">
        <v>140</v>
      </c>
      <c r="H80" s="249">
        <v>2</v>
      </c>
      <c r="I80" s="10">
        <v>2</v>
      </c>
      <c r="J80" s="10">
        <v>2</v>
      </c>
      <c r="K80" s="10">
        <v>1</v>
      </c>
      <c r="L80" s="10">
        <v>1</v>
      </c>
      <c r="M80" s="293">
        <v>2</v>
      </c>
      <c r="N80" s="298"/>
      <c r="O80" s="34"/>
      <c r="P80" s="6"/>
      <c r="Q80" s="6"/>
    </row>
    <row r="81" spans="1:18" s="2" customFormat="1">
      <c r="A81" s="151" t="s">
        <v>39</v>
      </c>
      <c r="B81" s="34" t="s">
        <v>235</v>
      </c>
      <c r="C81" s="40" t="s">
        <v>139</v>
      </c>
      <c r="D81" s="34"/>
      <c r="E81" s="308"/>
      <c r="F81" s="309">
        <v>1</v>
      </c>
      <c r="G81" s="40" t="s">
        <v>140</v>
      </c>
      <c r="H81" s="249"/>
      <c r="I81" s="10"/>
      <c r="J81" s="10"/>
      <c r="K81" s="10"/>
      <c r="L81" s="10"/>
      <c r="M81" s="293"/>
      <c r="N81" s="298"/>
      <c r="O81" s="34"/>
      <c r="P81" s="6"/>
      <c r="Q81" s="6"/>
    </row>
    <row r="82" spans="1:18" s="2" customFormat="1">
      <c r="A82" s="151" t="s">
        <v>39</v>
      </c>
      <c r="B82" s="34" t="s">
        <v>202</v>
      </c>
      <c r="C82" s="40" t="s">
        <v>139</v>
      </c>
      <c r="D82" s="34"/>
      <c r="E82" s="308"/>
      <c r="F82" s="309">
        <v>1</v>
      </c>
      <c r="G82" s="40" t="s">
        <v>140</v>
      </c>
      <c r="H82" s="249">
        <v>2</v>
      </c>
      <c r="I82" s="10">
        <v>2</v>
      </c>
      <c r="J82" s="10">
        <v>2</v>
      </c>
      <c r="K82" s="10">
        <v>1</v>
      </c>
      <c r="L82" s="10">
        <v>1</v>
      </c>
      <c r="M82" s="293">
        <v>2</v>
      </c>
      <c r="N82" s="298"/>
      <c r="O82" s="34"/>
      <c r="P82" s="6"/>
      <c r="Q82" s="6"/>
    </row>
    <row r="83" spans="1:18" s="2" customFormat="1">
      <c r="A83" s="151" t="s">
        <v>39</v>
      </c>
      <c r="B83" s="34" t="s">
        <v>201</v>
      </c>
      <c r="C83" s="40" t="s">
        <v>139</v>
      </c>
      <c r="D83" s="34"/>
      <c r="E83" s="308"/>
      <c r="F83" s="309">
        <v>1</v>
      </c>
      <c r="G83" s="40" t="s">
        <v>140</v>
      </c>
      <c r="H83" s="249">
        <v>2</v>
      </c>
      <c r="I83" s="10">
        <v>2</v>
      </c>
      <c r="J83" s="10">
        <v>2</v>
      </c>
      <c r="K83" s="10">
        <v>1</v>
      </c>
      <c r="L83" s="10">
        <v>1</v>
      </c>
      <c r="M83" s="293">
        <v>2</v>
      </c>
      <c r="N83" s="298"/>
      <c r="O83" s="34"/>
      <c r="P83" s="6"/>
      <c r="Q83" s="6"/>
    </row>
    <row r="84" spans="1:18" s="2" customFormat="1">
      <c r="A84" s="151" t="s">
        <v>39</v>
      </c>
      <c r="B84" s="34" t="s">
        <v>200</v>
      </c>
      <c r="C84" s="40" t="s">
        <v>139</v>
      </c>
      <c r="D84" s="34"/>
      <c r="E84" s="308"/>
      <c r="F84" s="309">
        <v>1</v>
      </c>
      <c r="G84" s="40" t="s">
        <v>140</v>
      </c>
      <c r="H84" s="249">
        <v>2</v>
      </c>
      <c r="I84" s="10">
        <v>2</v>
      </c>
      <c r="J84" s="10">
        <v>2</v>
      </c>
      <c r="K84" s="10">
        <v>1</v>
      </c>
      <c r="L84" s="10">
        <v>1</v>
      </c>
      <c r="M84" s="293">
        <v>2</v>
      </c>
      <c r="N84" s="298"/>
      <c r="O84" s="34"/>
      <c r="P84" s="6"/>
      <c r="Q84" s="6"/>
    </row>
    <row r="85" spans="1:18" s="2" customFormat="1">
      <c r="A85" s="151" t="s">
        <v>39</v>
      </c>
      <c r="B85" s="34" t="s">
        <v>183</v>
      </c>
      <c r="C85" s="40" t="s">
        <v>139</v>
      </c>
      <c r="D85" s="34"/>
      <c r="E85" s="308"/>
      <c r="F85" s="309">
        <v>1</v>
      </c>
      <c r="G85" s="40" t="s">
        <v>140</v>
      </c>
      <c r="H85" s="249"/>
      <c r="I85" s="10"/>
      <c r="J85" s="10"/>
      <c r="K85" s="10"/>
      <c r="L85" s="10"/>
      <c r="M85" s="293"/>
      <c r="N85" s="298"/>
      <c r="O85" s="34"/>
      <c r="P85" s="6"/>
      <c r="Q85" s="6"/>
    </row>
    <row r="86" spans="1:18" s="2" customFormat="1">
      <c r="A86" s="151" t="s">
        <v>39</v>
      </c>
      <c r="B86" s="34" t="s">
        <v>142</v>
      </c>
      <c r="C86" s="40" t="s">
        <v>139</v>
      </c>
      <c r="D86" s="34"/>
      <c r="E86" s="308"/>
      <c r="F86" s="309">
        <v>1</v>
      </c>
      <c r="G86" s="40" t="s">
        <v>140</v>
      </c>
      <c r="H86" s="249"/>
      <c r="I86" s="10"/>
      <c r="J86" s="10"/>
      <c r="K86" s="10"/>
      <c r="L86" s="10"/>
      <c r="M86" s="293"/>
      <c r="N86" s="298"/>
      <c r="O86" s="34"/>
      <c r="P86" s="6"/>
      <c r="Q86" s="6"/>
    </row>
    <row r="87" spans="1:18" s="2" customFormat="1">
      <c r="A87" s="151" t="s">
        <v>39</v>
      </c>
      <c r="B87" s="34" t="s">
        <v>138</v>
      </c>
      <c r="C87" s="40" t="s">
        <v>139</v>
      </c>
      <c r="D87" s="34"/>
      <c r="E87" s="308"/>
      <c r="F87" s="309">
        <v>1</v>
      </c>
      <c r="G87" s="40" t="s">
        <v>140</v>
      </c>
      <c r="H87" s="249">
        <v>2</v>
      </c>
      <c r="I87" s="10">
        <v>2</v>
      </c>
      <c r="J87" s="10">
        <v>2</v>
      </c>
      <c r="K87" s="10">
        <v>1</v>
      </c>
      <c r="L87" s="10">
        <v>1</v>
      </c>
      <c r="M87" s="293">
        <v>2</v>
      </c>
      <c r="N87" s="298"/>
      <c r="O87" s="34"/>
      <c r="P87" s="6"/>
      <c r="Q87" s="6"/>
    </row>
    <row r="88" spans="1:18" ht="30" customHeight="1">
      <c r="A88" s="329"/>
      <c r="B88" s="330"/>
      <c r="C88" s="330"/>
      <c r="D88" s="330"/>
      <c r="E88" s="331"/>
      <c r="F88" s="332"/>
      <c r="G88" s="333"/>
      <c r="H88" s="330"/>
      <c r="I88" s="330"/>
      <c r="J88" s="330"/>
      <c r="K88" s="330"/>
      <c r="L88" s="330"/>
      <c r="M88" s="330"/>
      <c r="N88" s="330"/>
      <c r="O88" s="334"/>
      <c r="P88" s="334"/>
      <c r="Q88" s="334"/>
      <c r="R88" s="334"/>
    </row>
    <row r="89" spans="1:18" s="2" customFormat="1">
      <c r="A89" s="151" t="s">
        <v>39</v>
      </c>
      <c r="B89" s="34" t="s">
        <v>237</v>
      </c>
      <c r="C89" s="40" t="s">
        <v>139</v>
      </c>
      <c r="D89" s="34"/>
      <c r="E89" s="308"/>
      <c r="F89" s="309">
        <v>1</v>
      </c>
      <c r="G89" s="40" t="s">
        <v>140</v>
      </c>
      <c r="H89" s="249">
        <v>2</v>
      </c>
      <c r="I89" s="10">
        <v>2</v>
      </c>
      <c r="J89" s="10">
        <v>2</v>
      </c>
      <c r="K89" s="10">
        <v>1</v>
      </c>
      <c r="L89" s="10">
        <v>1</v>
      </c>
      <c r="M89" s="293">
        <v>2</v>
      </c>
      <c r="N89" s="298"/>
      <c r="O89" s="34"/>
      <c r="P89" s="6"/>
      <c r="Q89" s="6"/>
    </row>
    <row r="90" spans="1:18" s="2" customFormat="1">
      <c r="A90" s="151" t="s">
        <v>39</v>
      </c>
      <c r="B90" s="34" t="s">
        <v>236</v>
      </c>
      <c r="C90" s="40" t="s">
        <v>139</v>
      </c>
      <c r="D90" s="34"/>
      <c r="E90" s="308"/>
      <c r="F90" s="309">
        <v>1</v>
      </c>
      <c r="G90" s="40" t="s">
        <v>140</v>
      </c>
      <c r="H90" s="249">
        <v>2</v>
      </c>
      <c r="I90" s="10">
        <v>2</v>
      </c>
      <c r="J90" s="10">
        <v>2</v>
      </c>
      <c r="K90" s="10">
        <v>1</v>
      </c>
      <c r="L90" s="10">
        <v>1</v>
      </c>
      <c r="M90" s="293">
        <v>2</v>
      </c>
      <c r="N90" s="298"/>
      <c r="O90" s="34"/>
      <c r="P90" s="6"/>
      <c r="Q90" s="6"/>
    </row>
    <row r="91" spans="1:18" s="2" customFormat="1">
      <c r="A91" s="151" t="s">
        <v>39</v>
      </c>
      <c r="B91" s="34" t="s">
        <v>203</v>
      </c>
      <c r="C91" s="40" t="s">
        <v>139</v>
      </c>
      <c r="D91" s="34"/>
      <c r="E91" s="308"/>
      <c r="F91" s="309">
        <v>1</v>
      </c>
      <c r="G91" s="40" t="s">
        <v>140</v>
      </c>
      <c r="H91" s="249">
        <v>2</v>
      </c>
      <c r="I91" s="10">
        <v>2</v>
      </c>
      <c r="J91" s="10">
        <v>2</v>
      </c>
      <c r="K91" s="10">
        <v>1</v>
      </c>
      <c r="L91" s="10">
        <v>1</v>
      </c>
      <c r="M91" s="293">
        <v>2</v>
      </c>
      <c r="N91" s="298"/>
      <c r="O91" s="34"/>
      <c r="P91" s="6"/>
      <c r="Q91" s="6"/>
    </row>
    <row r="92" spans="1:18" s="2" customFormat="1">
      <c r="A92" s="151" t="s">
        <v>39</v>
      </c>
      <c r="B92" s="34" t="s">
        <v>235</v>
      </c>
      <c r="C92" s="40" t="s">
        <v>139</v>
      </c>
      <c r="D92" s="34"/>
      <c r="E92" s="308"/>
      <c r="F92" s="309">
        <v>1</v>
      </c>
      <c r="G92" s="40" t="s">
        <v>140</v>
      </c>
      <c r="H92" s="249"/>
      <c r="I92" s="10"/>
      <c r="J92" s="10"/>
      <c r="K92" s="10"/>
      <c r="L92" s="10"/>
      <c r="M92" s="293"/>
      <c r="N92" s="298"/>
      <c r="O92" s="34"/>
      <c r="P92" s="6"/>
      <c r="Q92" s="6"/>
    </row>
    <row r="93" spans="1:18" s="2" customFormat="1">
      <c r="A93" s="151" t="s">
        <v>39</v>
      </c>
      <c r="B93" s="34" t="s">
        <v>202</v>
      </c>
      <c r="C93" s="40" t="s">
        <v>139</v>
      </c>
      <c r="D93" s="34"/>
      <c r="E93" s="308"/>
      <c r="F93" s="309">
        <v>1</v>
      </c>
      <c r="G93" s="40" t="s">
        <v>140</v>
      </c>
      <c r="H93" s="249">
        <v>2</v>
      </c>
      <c r="I93" s="10">
        <v>2</v>
      </c>
      <c r="J93" s="10">
        <v>2</v>
      </c>
      <c r="K93" s="10">
        <v>1</v>
      </c>
      <c r="L93" s="10">
        <v>1</v>
      </c>
      <c r="M93" s="293">
        <v>2</v>
      </c>
      <c r="N93" s="298"/>
      <c r="O93" s="34"/>
      <c r="P93" s="6"/>
      <c r="Q93" s="6"/>
    </row>
    <row r="94" spans="1:18" s="2" customFormat="1">
      <c r="A94" s="151" t="s">
        <v>39</v>
      </c>
      <c r="B94" s="34" t="s">
        <v>201</v>
      </c>
      <c r="C94" s="40" t="s">
        <v>139</v>
      </c>
      <c r="D94" s="34"/>
      <c r="E94" s="308"/>
      <c r="F94" s="309">
        <v>1</v>
      </c>
      <c r="G94" s="40" t="s">
        <v>140</v>
      </c>
      <c r="H94" s="249">
        <v>2</v>
      </c>
      <c r="I94" s="10">
        <v>2</v>
      </c>
      <c r="J94" s="10">
        <v>2</v>
      </c>
      <c r="K94" s="10">
        <v>1</v>
      </c>
      <c r="L94" s="10">
        <v>1</v>
      </c>
      <c r="M94" s="293">
        <v>2</v>
      </c>
      <c r="N94" s="298"/>
      <c r="O94" s="34"/>
      <c r="P94" s="6"/>
      <c r="Q94" s="6"/>
    </row>
    <row r="95" spans="1:18" s="2" customFormat="1">
      <c r="A95" s="151" t="s">
        <v>39</v>
      </c>
      <c r="B95" s="34" t="s">
        <v>200</v>
      </c>
      <c r="C95" s="40" t="s">
        <v>139</v>
      </c>
      <c r="D95" s="34"/>
      <c r="E95" s="308"/>
      <c r="F95" s="309">
        <v>1</v>
      </c>
      <c r="G95" s="40" t="s">
        <v>140</v>
      </c>
      <c r="H95" s="249">
        <v>2</v>
      </c>
      <c r="I95" s="10">
        <v>2</v>
      </c>
      <c r="J95" s="10">
        <v>2</v>
      </c>
      <c r="K95" s="10">
        <v>1</v>
      </c>
      <c r="L95" s="10">
        <v>1</v>
      </c>
      <c r="M95" s="293">
        <v>2</v>
      </c>
      <c r="N95" s="298"/>
      <c r="O95" s="34"/>
      <c r="P95" s="6"/>
      <c r="Q95" s="6"/>
    </row>
    <row r="96" spans="1:18" s="2" customFormat="1">
      <c r="A96" s="151" t="s">
        <v>39</v>
      </c>
      <c r="B96" s="34" t="s">
        <v>183</v>
      </c>
      <c r="C96" s="40" t="s">
        <v>139</v>
      </c>
      <c r="D96" s="34"/>
      <c r="E96" s="308"/>
      <c r="F96" s="309">
        <v>1</v>
      </c>
      <c r="G96" s="40" t="s">
        <v>140</v>
      </c>
      <c r="H96" s="249"/>
      <c r="I96" s="10"/>
      <c r="J96" s="10"/>
      <c r="K96" s="10"/>
      <c r="L96" s="10"/>
      <c r="M96" s="293"/>
      <c r="N96" s="298"/>
      <c r="O96" s="34"/>
      <c r="P96" s="6"/>
      <c r="Q96" s="6"/>
    </row>
    <row r="97" spans="1:18" s="2" customFormat="1">
      <c r="A97" s="151" t="s">
        <v>39</v>
      </c>
      <c r="B97" s="34" t="s">
        <v>142</v>
      </c>
      <c r="C97" s="40" t="s">
        <v>139</v>
      </c>
      <c r="D97" s="34"/>
      <c r="E97" s="308"/>
      <c r="F97" s="309">
        <v>1</v>
      </c>
      <c r="G97" s="40" t="s">
        <v>140</v>
      </c>
      <c r="H97" s="249"/>
      <c r="I97" s="10"/>
      <c r="J97" s="10"/>
      <c r="K97" s="10"/>
      <c r="L97" s="10"/>
      <c r="M97" s="293"/>
      <c r="N97" s="298"/>
      <c r="O97" s="34"/>
      <c r="P97" s="6"/>
      <c r="Q97" s="6"/>
    </row>
    <row r="98" spans="1:18" s="2" customFormat="1">
      <c r="A98" s="151" t="s">
        <v>39</v>
      </c>
      <c r="B98" s="34" t="s">
        <v>138</v>
      </c>
      <c r="C98" s="40" t="s">
        <v>139</v>
      </c>
      <c r="D98" s="34"/>
      <c r="E98" s="308"/>
      <c r="F98" s="309">
        <v>1</v>
      </c>
      <c r="G98" s="40" t="s">
        <v>140</v>
      </c>
      <c r="H98" s="249">
        <v>2</v>
      </c>
      <c r="I98" s="10">
        <v>2</v>
      </c>
      <c r="J98" s="10">
        <v>2</v>
      </c>
      <c r="K98" s="10">
        <v>1</v>
      </c>
      <c r="L98" s="10">
        <v>1</v>
      </c>
      <c r="M98" s="293">
        <v>2</v>
      </c>
      <c r="N98" s="298"/>
      <c r="O98" s="34"/>
      <c r="P98" s="6"/>
      <c r="Q98" s="6"/>
    </row>
    <row r="99" spans="1:18" ht="30" customHeight="1">
      <c r="A99" s="329"/>
      <c r="B99" s="330"/>
      <c r="C99" s="330"/>
      <c r="D99" s="330"/>
      <c r="E99" s="331"/>
      <c r="F99" s="332"/>
      <c r="G99" s="333"/>
      <c r="H99" s="330"/>
      <c r="I99" s="330"/>
      <c r="J99" s="330"/>
      <c r="K99" s="330"/>
      <c r="L99" s="330"/>
      <c r="M99" s="330"/>
      <c r="N99" s="330"/>
      <c r="O99" s="334"/>
      <c r="P99" s="334"/>
      <c r="Q99" s="334"/>
      <c r="R99" s="334"/>
    </row>
    <row r="100" spans="1:18" s="2" customFormat="1">
      <c r="A100" s="151" t="s">
        <v>39</v>
      </c>
      <c r="B100" s="34" t="s">
        <v>237</v>
      </c>
      <c r="C100" s="40" t="s">
        <v>139</v>
      </c>
      <c r="D100" s="34"/>
      <c r="E100" s="308"/>
      <c r="F100" s="309">
        <v>1</v>
      </c>
      <c r="G100" s="40" t="s">
        <v>140</v>
      </c>
      <c r="H100" s="249">
        <v>2</v>
      </c>
      <c r="I100" s="10">
        <v>2</v>
      </c>
      <c r="J100" s="10">
        <v>2</v>
      </c>
      <c r="K100" s="10">
        <v>1</v>
      </c>
      <c r="L100" s="10">
        <v>1</v>
      </c>
      <c r="M100" s="293">
        <v>2</v>
      </c>
      <c r="N100" s="298"/>
      <c r="O100" s="34"/>
      <c r="P100" s="6"/>
      <c r="Q100" s="6"/>
    </row>
    <row r="101" spans="1:18" s="2" customFormat="1">
      <c r="A101" s="151" t="s">
        <v>39</v>
      </c>
      <c r="B101" s="34" t="s">
        <v>236</v>
      </c>
      <c r="C101" s="40" t="s">
        <v>139</v>
      </c>
      <c r="D101" s="34"/>
      <c r="E101" s="308"/>
      <c r="F101" s="309">
        <v>1</v>
      </c>
      <c r="G101" s="40" t="s">
        <v>140</v>
      </c>
      <c r="H101" s="249">
        <v>2</v>
      </c>
      <c r="I101" s="10">
        <v>2</v>
      </c>
      <c r="J101" s="10">
        <v>2</v>
      </c>
      <c r="K101" s="10">
        <v>1</v>
      </c>
      <c r="L101" s="10">
        <v>1</v>
      </c>
      <c r="M101" s="293">
        <v>2</v>
      </c>
      <c r="N101" s="298"/>
      <c r="O101" s="34"/>
      <c r="P101" s="6"/>
      <c r="Q101" s="6"/>
    </row>
    <row r="102" spans="1:18" s="2" customFormat="1">
      <c r="A102" s="151" t="s">
        <v>39</v>
      </c>
      <c r="B102" s="34" t="s">
        <v>203</v>
      </c>
      <c r="C102" s="40" t="s">
        <v>139</v>
      </c>
      <c r="D102" s="34"/>
      <c r="E102" s="308"/>
      <c r="F102" s="309">
        <v>1</v>
      </c>
      <c r="G102" s="40" t="s">
        <v>140</v>
      </c>
      <c r="H102" s="249">
        <v>2</v>
      </c>
      <c r="I102" s="10">
        <v>2</v>
      </c>
      <c r="J102" s="10">
        <v>2</v>
      </c>
      <c r="K102" s="10">
        <v>1</v>
      </c>
      <c r="L102" s="10">
        <v>1</v>
      </c>
      <c r="M102" s="293">
        <v>2</v>
      </c>
      <c r="N102" s="298"/>
      <c r="O102" s="34"/>
      <c r="P102" s="6"/>
      <c r="Q102" s="6"/>
    </row>
    <row r="103" spans="1:18" s="2" customFormat="1">
      <c r="A103" s="151" t="s">
        <v>39</v>
      </c>
      <c r="B103" s="34" t="s">
        <v>235</v>
      </c>
      <c r="C103" s="40" t="s">
        <v>139</v>
      </c>
      <c r="D103" s="34"/>
      <c r="E103" s="308"/>
      <c r="F103" s="309">
        <v>1</v>
      </c>
      <c r="G103" s="40" t="s">
        <v>140</v>
      </c>
      <c r="H103" s="249"/>
      <c r="I103" s="10"/>
      <c r="J103" s="10"/>
      <c r="K103" s="10"/>
      <c r="L103" s="10"/>
      <c r="M103" s="293"/>
      <c r="N103" s="298"/>
      <c r="O103" s="34"/>
      <c r="P103" s="6"/>
      <c r="Q103" s="6"/>
    </row>
    <row r="104" spans="1:18" s="2" customFormat="1">
      <c r="A104" s="151" t="s">
        <v>39</v>
      </c>
      <c r="B104" s="34" t="s">
        <v>202</v>
      </c>
      <c r="C104" s="40" t="s">
        <v>139</v>
      </c>
      <c r="D104" s="34"/>
      <c r="E104" s="308"/>
      <c r="F104" s="309">
        <v>1</v>
      </c>
      <c r="G104" s="40" t="s">
        <v>140</v>
      </c>
      <c r="H104" s="249">
        <v>2</v>
      </c>
      <c r="I104" s="10">
        <v>2</v>
      </c>
      <c r="J104" s="10">
        <v>2</v>
      </c>
      <c r="K104" s="10">
        <v>1</v>
      </c>
      <c r="L104" s="10">
        <v>1</v>
      </c>
      <c r="M104" s="293">
        <v>2</v>
      </c>
      <c r="N104" s="298"/>
      <c r="O104" s="34"/>
      <c r="P104" s="6"/>
      <c r="Q104" s="6"/>
    </row>
    <row r="105" spans="1:18" s="2" customFormat="1">
      <c r="A105" s="151" t="s">
        <v>39</v>
      </c>
      <c r="B105" s="34" t="s">
        <v>201</v>
      </c>
      <c r="C105" s="40" t="s">
        <v>139</v>
      </c>
      <c r="D105" s="34"/>
      <c r="E105" s="308"/>
      <c r="F105" s="309">
        <v>1</v>
      </c>
      <c r="G105" s="40" t="s">
        <v>140</v>
      </c>
      <c r="H105" s="249">
        <v>2</v>
      </c>
      <c r="I105" s="10">
        <v>2</v>
      </c>
      <c r="J105" s="10">
        <v>2</v>
      </c>
      <c r="K105" s="10">
        <v>1</v>
      </c>
      <c r="L105" s="10">
        <v>1</v>
      </c>
      <c r="M105" s="293">
        <v>2</v>
      </c>
      <c r="N105" s="298"/>
      <c r="O105" s="34"/>
      <c r="P105" s="6"/>
      <c r="Q105" s="6"/>
    </row>
    <row r="106" spans="1:18" s="2" customFormat="1">
      <c r="A106" s="151" t="s">
        <v>39</v>
      </c>
      <c r="B106" s="34" t="s">
        <v>200</v>
      </c>
      <c r="C106" s="40" t="s">
        <v>139</v>
      </c>
      <c r="D106" s="34"/>
      <c r="E106" s="308"/>
      <c r="F106" s="309">
        <v>1</v>
      </c>
      <c r="G106" s="40" t="s">
        <v>140</v>
      </c>
      <c r="H106" s="249">
        <v>2</v>
      </c>
      <c r="I106" s="10">
        <v>2</v>
      </c>
      <c r="J106" s="10">
        <v>2</v>
      </c>
      <c r="K106" s="10">
        <v>1</v>
      </c>
      <c r="L106" s="10">
        <v>1</v>
      </c>
      <c r="M106" s="293">
        <v>2</v>
      </c>
      <c r="N106" s="298"/>
      <c r="O106" s="34"/>
      <c r="P106" s="6"/>
      <c r="Q106" s="6"/>
    </row>
    <row r="107" spans="1:18" s="2" customFormat="1">
      <c r="A107" s="151" t="s">
        <v>39</v>
      </c>
      <c r="B107" s="34" t="s">
        <v>183</v>
      </c>
      <c r="C107" s="40" t="s">
        <v>139</v>
      </c>
      <c r="D107" s="34"/>
      <c r="E107" s="308"/>
      <c r="F107" s="309">
        <v>1</v>
      </c>
      <c r="G107" s="40" t="s">
        <v>140</v>
      </c>
      <c r="H107" s="249"/>
      <c r="I107" s="10"/>
      <c r="J107" s="10"/>
      <c r="K107" s="10"/>
      <c r="L107" s="10"/>
      <c r="M107" s="293"/>
      <c r="N107" s="298"/>
      <c r="O107" s="34"/>
      <c r="P107" s="6"/>
      <c r="Q107" s="6"/>
    </row>
    <row r="108" spans="1:18" s="2" customFormat="1">
      <c r="A108" s="151" t="s">
        <v>39</v>
      </c>
      <c r="B108" s="34" t="s">
        <v>142</v>
      </c>
      <c r="C108" s="40" t="s">
        <v>139</v>
      </c>
      <c r="D108" s="34"/>
      <c r="E108" s="308"/>
      <c r="F108" s="309">
        <v>1</v>
      </c>
      <c r="G108" s="40" t="s">
        <v>140</v>
      </c>
      <c r="H108" s="249"/>
      <c r="I108" s="10"/>
      <c r="J108" s="10"/>
      <c r="K108" s="10"/>
      <c r="L108" s="10"/>
      <c r="M108" s="293"/>
      <c r="N108" s="298"/>
      <c r="O108" s="34"/>
      <c r="P108" s="6"/>
      <c r="Q108" s="6"/>
    </row>
    <row r="109" spans="1:18" s="2" customFormat="1">
      <c r="A109" s="151" t="s">
        <v>39</v>
      </c>
      <c r="B109" s="34" t="s">
        <v>138</v>
      </c>
      <c r="C109" s="40" t="s">
        <v>139</v>
      </c>
      <c r="D109" s="34"/>
      <c r="E109" s="308"/>
      <c r="F109" s="309">
        <v>1</v>
      </c>
      <c r="G109" s="40" t="s">
        <v>140</v>
      </c>
      <c r="H109" s="249">
        <v>2</v>
      </c>
      <c r="I109" s="10">
        <v>2</v>
      </c>
      <c r="J109" s="10">
        <v>2</v>
      </c>
      <c r="K109" s="10">
        <v>1</v>
      </c>
      <c r="L109" s="10">
        <v>1</v>
      </c>
      <c r="M109" s="293">
        <v>2</v>
      </c>
      <c r="N109" s="298"/>
      <c r="O109" s="34"/>
      <c r="P109" s="6"/>
      <c r="Q109" s="6"/>
    </row>
    <row r="110" spans="1:18" ht="30" customHeight="1">
      <c r="A110" s="329"/>
      <c r="B110" s="330"/>
      <c r="C110" s="330"/>
      <c r="D110" s="330"/>
      <c r="E110" s="331"/>
      <c r="F110" s="332"/>
      <c r="G110" s="333"/>
      <c r="H110" s="330"/>
      <c r="I110" s="330"/>
      <c r="J110" s="330"/>
      <c r="K110" s="330"/>
      <c r="L110" s="330"/>
      <c r="M110" s="330"/>
      <c r="N110" s="330"/>
      <c r="O110" s="334"/>
      <c r="P110" s="334"/>
      <c r="Q110" s="334"/>
      <c r="R110" s="334"/>
    </row>
    <row r="111" spans="1:18" s="2" customFormat="1">
      <c r="A111" s="151" t="s">
        <v>39</v>
      </c>
      <c r="B111" s="34" t="s">
        <v>237</v>
      </c>
      <c r="C111" s="40" t="s">
        <v>139</v>
      </c>
      <c r="D111" s="34"/>
      <c r="E111" s="308"/>
      <c r="F111" s="309">
        <v>1</v>
      </c>
      <c r="G111" s="40" t="s">
        <v>140</v>
      </c>
      <c r="H111" s="249">
        <v>2</v>
      </c>
      <c r="I111" s="10">
        <v>2</v>
      </c>
      <c r="J111" s="10">
        <v>2</v>
      </c>
      <c r="K111" s="10">
        <v>1</v>
      </c>
      <c r="L111" s="10">
        <v>1</v>
      </c>
      <c r="M111" s="293">
        <v>2</v>
      </c>
      <c r="N111" s="298"/>
      <c r="O111" s="34"/>
      <c r="P111" s="6"/>
      <c r="Q111" s="6"/>
    </row>
    <row r="112" spans="1:18" s="2" customFormat="1">
      <c r="A112" s="151" t="s">
        <v>39</v>
      </c>
      <c r="B112" s="34" t="s">
        <v>236</v>
      </c>
      <c r="C112" s="40" t="s">
        <v>139</v>
      </c>
      <c r="D112" s="34"/>
      <c r="E112" s="308"/>
      <c r="F112" s="309">
        <v>1</v>
      </c>
      <c r="G112" s="40" t="s">
        <v>140</v>
      </c>
      <c r="H112" s="249">
        <v>2</v>
      </c>
      <c r="I112" s="10">
        <v>2</v>
      </c>
      <c r="J112" s="10">
        <v>2</v>
      </c>
      <c r="K112" s="10">
        <v>1</v>
      </c>
      <c r="L112" s="10">
        <v>1</v>
      </c>
      <c r="M112" s="293">
        <v>2</v>
      </c>
      <c r="N112" s="298"/>
      <c r="O112" s="34"/>
      <c r="P112" s="6"/>
      <c r="Q112" s="6"/>
    </row>
    <row r="113" spans="1:18" s="2" customFormat="1">
      <c r="A113" s="151" t="s">
        <v>39</v>
      </c>
      <c r="B113" s="34" t="s">
        <v>203</v>
      </c>
      <c r="C113" s="40" t="s">
        <v>139</v>
      </c>
      <c r="D113" s="34"/>
      <c r="E113" s="308"/>
      <c r="F113" s="309">
        <v>1</v>
      </c>
      <c r="G113" s="40" t="s">
        <v>140</v>
      </c>
      <c r="H113" s="249">
        <v>2</v>
      </c>
      <c r="I113" s="10">
        <v>2</v>
      </c>
      <c r="J113" s="10">
        <v>2</v>
      </c>
      <c r="K113" s="10">
        <v>1</v>
      </c>
      <c r="L113" s="10">
        <v>1</v>
      </c>
      <c r="M113" s="293">
        <v>2</v>
      </c>
      <c r="N113" s="298"/>
      <c r="O113" s="34"/>
      <c r="P113" s="6"/>
      <c r="Q113" s="6"/>
    </row>
    <row r="114" spans="1:18" s="2" customFormat="1">
      <c r="A114" s="151" t="s">
        <v>39</v>
      </c>
      <c r="B114" s="34" t="s">
        <v>235</v>
      </c>
      <c r="C114" s="40" t="s">
        <v>139</v>
      </c>
      <c r="D114" s="34"/>
      <c r="E114" s="308"/>
      <c r="F114" s="309">
        <v>1</v>
      </c>
      <c r="G114" s="40" t="s">
        <v>140</v>
      </c>
      <c r="H114" s="249"/>
      <c r="I114" s="10"/>
      <c r="J114" s="10"/>
      <c r="K114" s="10"/>
      <c r="L114" s="10"/>
      <c r="M114" s="293"/>
      <c r="N114" s="298"/>
      <c r="O114" s="34"/>
      <c r="P114" s="6"/>
      <c r="Q114" s="6"/>
    </row>
    <row r="115" spans="1:18" s="2" customFormat="1">
      <c r="A115" s="151" t="s">
        <v>39</v>
      </c>
      <c r="B115" s="34" t="s">
        <v>202</v>
      </c>
      <c r="C115" s="40" t="s">
        <v>139</v>
      </c>
      <c r="D115" s="34"/>
      <c r="E115" s="308"/>
      <c r="F115" s="309">
        <v>1</v>
      </c>
      <c r="G115" s="40" t="s">
        <v>140</v>
      </c>
      <c r="H115" s="249">
        <v>2</v>
      </c>
      <c r="I115" s="10">
        <v>2</v>
      </c>
      <c r="J115" s="10">
        <v>2</v>
      </c>
      <c r="K115" s="10">
        <v>1</v>
      </c>
      <c r="L115" s="10">
        <v>1</v>
      </c>
      <c r="M115" s="293">
        <v>2</v>
      </c>
      <c r="N115" s="298"/>
      <c r="O115" s="34"/>
      <c r="P115" s="6"/>
      <c r="Q115" s="6"/>
    </row>
    <row r="116" spans="1:18" s="2" customFormat="1">
      <c r="A116" s="151" t="s">
        <v>39</v>
      </c>
      <c r="B116" s="34" t="s">
        <v>201</v>
      </c>
      <c r="C116" s="40" t="s">
        <v>139</v>
      </c>
      <c r="D116" s="34"/>
      <c r="E116" s="308"/>
      <c r="F116" s="309">
        <v>1</v>
      </c>
      <c r="G116" s="40" t="s">
        <v>140</v>
      </c>
      <c r="H116" s="249">
        <v>2</v>
      </c>
      <c r="I116" s="10">
        <v>2</v>
      </c>
      <c r="J116" s="10">
        <v>2</v>
      </c>
      <c r="K116" s="10">
        <v>1</v>
      </c>
      <c r="L116" s="10">
        <v>1</v>
      </c>
      <c r="M116" s="293">
        <v>2</v>
      </c>
      <c r="N116" s="298"/>
      <c r="O116" s="34"/>
      <c r="P116" s="6"/>
      <c r="Q116" s="6"/>
    </row>
    <row r="117" spans="1:18" s="2" customFormat="1">
      <c r="A117" s="151" t="s">
        <v>39</v>
      </c>
      <c r="B117" s="34" t="s">
        <v>200</v>
      </c>
      <c r="C117" s="40" t="s">
        <v>139</v>
      </c>
      <c r="D117" s="34"/>
      <c r="E117" s="308"/>
      <c r="F117" s="309">
        <v>1</v>
      </c>
      <c r="G117" s="40" t="s">
        <v>140</v>
      </c>
      <c r="H117" s="249">
        <v>2</v>
      </c>
      <c r="I117" s="10">
        <v>2</v>
      </c>
      <c r="J117" s="10">
        <v>2</v>
      </c>
      <c r="K117" s="10">
        <v>1</v>
      </c>
      <c r="L117" s="10">
        <v>1</v>
      </c>
      <c r="M117" s="293">
        <v>2</v>
      </c>
      <c r="N117" s="298"/>
      <c r="O117" s="34"/>
      <c r="P117" s="6"/>
      <c r="Q117" s="6"/>
    </row>
    <row r="118" spans="1:18" s="2" customFormat="1">
      <c r="A118" s="151" t="s">
        <v>39</v>
      </c>
      <c r="B118" s="34" t="s">
        <v>183</v>
      </c>
      <c r="C118" s="40" t="s">
        <v>139</v>
      </c>
      <c r="D118" s="34"/>
      <c r="E118" s="308"/>
      <c r="F118" s="309">
        <v>1</v>
      </c>
      <c r="G118" s="40" t="s">
        <v>140</v>
      </c>
      <c r="H118" s="249"/>
      <c r="I118" s="10"/>
      <c r="J118" s="10"/>
      <c r="K118" s="10"/>
      <c r="L118" s="10"/>
      <c r="M118" s="293"/>
      <c r="N118" s="298"/>
      <c r="O118" s="34"/>
      <c r="P118" s="6"/>
      <c r="Q118" s="6"/>
    </row>
    <row r="119" spans="1:18" s="2" customFormat="1">
      <c r="A119" s="151" t="s">
        <v>39</v>
      </c>
      <c r="B119" s="34" t="s">
        <v>142</v>
      </c>
      <c r="C119" s="40" t="s">
        <v>139</v>
      </c>
      <c r="D119" s="34"/>
      <c r="E119" s="308"/>
      <c r="F119" s="309">
        <v>1</v>
      </c>
      <c r="G119" s="40" t="s">
        <v>140</v>
      </c>
      <c r="H119" s="249"/>
      <c r="I119" s="10"/>
      <c r="J119" s="10"/>
      <c r="K119" s="10"/>
      <c r="L119" s="10"/>
      <c r="M119" s="293"/>
      <c r="N119" s="298"/>
      <c r="O119" s="34"/>
      <c r="P119" s="6"/>
      <c r="Q119" s="6"/>
    </row>
    <row r="120" spans="1:18" s="2" customFormat="1">
      <c r="A120" s="151" t="s">
        <v>39</v>
      </c>
      <c r="B120" s="34" t="s">
        <v>138</v>
      </c>
      <c r="C120" s="40" t="s">
        <v>139</v>
      </c>
      <c r="D120" s="34"/>
      <c r="E120" s="308"/>
      <c r="F120" s="309">
        <v>1</v>
      </c>
      <c r="G120" s="40" t="s">
        <v>140</v>
      </c>
      <c r="H120" s="249">
        <v>2</v>
      </c>
      <c r="I120" s="10">
        <v>2</v>
      </c>
      <c r="J120" s="10">
        <v>2</v>
      </c>
      <c r="K120" s="10">
        <v>1</v>
      </c>
      <c r="L120" s="10">
        <v>1</v>
      </c>
      <c r="M120" s="293">
        <v>2</v>
      </c>
      <c r="N120" s="298"/>
      <c r="O120" s="34"/>
      <c r="P120" s="6"/>
      <c r="Q120" s="6"/>
    </row>
    <row r="121" spans="1:18" ht="30" customHeight="1">
      <c r="A121" s="329"/>
      <c r="B121" s="330"/>
      <c r="C121" s="330"/>
      <c r="D121" s="330"/>
      <c r="E121" s="331"/>
      <c r="F121" s="332"/>
      <c r="G121" s="333"/>
      <c r="H121" s="330"/>
      <c r="I121" s="330"/>
      <c r="J121" s="330"/>
      <c r="K121" s="330"/>
      <c r="L121" s="330"/>
      <c r="M121" s="330"/>
      <c r="N121" s="330"/>
      <c r="O121" s="334"/>
      <c r="P121" s="334"/>
      <c r="Q121" s="334"/>
      <c r="R121" s="334"/>
    </row>
    <row r="122" spans="1:18" s="2" customFormat="1">
      <c r="A122" s="151" t="s">
        <v>39</v>
      </c>
      <c r="B122" s="34" t="s">
        <v>237</v>
      </c>
      <c r="C122" s="40" t="s">
        <v>139</v>
      </c>
      <c r="D122" s="34" t="s">
        <v>98</v>
      </c>
      <c r="E122" s="554">
        <v>0.36860068259385664</v>
      </c>
      <c r="F122" s="309">
        <v>1</v>
      </c>
      <c r="G122" s="40" t="s">
        <v>141</v>
      </c>
      <c r="H122" s="249">
        <v>2</v>
      </c>
      <c r="I122" s="10">
        <v>1</v>
      </c>
      <c r="J122" s="10">
        <v>2</v>
      </c>
      <c r="K122" s="10">
        <v>2</v>
      </c>
      <c r="L122" s="10">
        <v>1</v>
      </c>
      <c r="M122" s="293">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4">
        <v>0</v>
      </c>
      <c r="F123" s="309">
        <v>1</v>
      </c>
      <c r="G123" s="40" t="s">
        <v>141</v>
      </c>
      <c r="H123" s="249">
        <v>2</v>
      </c>
      <c r="I123" s="10">
        <v>1</v>
      </c>
      <c r="J123" s="10">
        <v>2</v>
      </c>
      <c r="K123" s="10">
        <v>2</v>
      </c>
      <c r="L123" s="10">
        <v>1</v>
      </c>
      <c r="M123" s="293">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4">
        <v>0.20723549488054607</v>
      </c>
      <c r="F124" s="309">
        <v>1</v>
      </c>
      <c r="G124" s="40" t="s">
        <v>141</v>
      </c>
      <c r="H124" s="249">
        <v>2</v>
      </c>
      <c r="I124" s="10">
        <v>1</v>
      </c>
      <c r="J124" s="10">
        <v>2</v>
      </c>
      <c r="K124" s="10">
        <v>2</v>
      </c>
      <c r="L124" s="10">
        <v>1</v>
      </c>
      <c r="M124" s="293">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4">
        <v>0</v>
      </c>
      <c r="F125" s="309">
        <v>1</v>
      </c>
      <c r="G125" s="40" t="s">
        <v>141</v>
      </c>
      <c r="H125" s="249">
        <v>2</v>
      </c>
      <c r="I125" s="10">
        <v>1</v>
      </c>
      <c r="J125" s="10">
        <v>2</v>
      </c>
      <c r="K125" s="10">
        <v>2</v>
      </c>
      <c r="L125" s="10">
        <v>1</v>
      </c>
      <c r="M125" s="293">
        <v>1</v>
      </c>
      <c r="N125" s="185">
        <f t="shared" si="5"/>
        <v>0.19908580854301616</v>
      </c>
      <c r="O125" s="34"/>
      <c r="P125" s="6"/>
      <c r="Q125" s="6"/>
    </row>
    <row r="126" spans="1:18" s="2" customFormat="1">
      <c r="A126" s="151" t="s">
        <v>39</v>
      </c>
      <c r="B126" s="34" t="s">
        <v>202</v>
      </c>
      <c r="C126" s="40" t="s">
        <v>139</v>
      </c>
      <c r="D126" s="34" t="s">
        <v>98</v>
      </c>
      <c r="E126" s="554">
        <v>0.28529010238907848</v>
      </c>
      <c r="F126" s="309">
        <v>1</v>
      </c>
      <c r="G126" s="40" t="s">
        <v>141</v>
      </c>
      <c r="H126" s="249">
        <v>2</v>
      </c>
      <c r="I126" s="10">
        <v>1</v>
      </c>
      <c r="J126" s="10">
        <v>2</v>
      </c>
      <c r="K126" s="10">
        <v>2</v>
      </c>
      <c r="L126" s="10">
        <v>1</v>
      </c>
      <c r="M126" s="293">
        <v>1</v>
      </c>
      <c r="N126" s="185">
        <f t="shared" si="5"/>
        <v>0.19908580854301616</v>
      </c>
      <c r="O126" s="34"/>
      <c r="P126" s="6"/>
      <c r="Q126" s="6"/>
    </row>
    <row r="127" spans="1:18" s="2" customFormat="1">
      <c r="A127" s="151" t="s">
        <v>39</v>
      </c>
      <c r="B127" s="34" t="s">
        <v>201</v>
      </c>
      <c r="C127" s="40" t="s">
        <v>139</v>
      </c>
      <c r="D127" s="34" t="s">
        <v>98</v>
      </c>
      <c r="E127" s="554">
        <v>0</v>
      </c>
      <c r="F127" s="309">
        <v>1</v>
      </c>
      <c r="G127" s="40" t="s">
        <v>141</v>
      </c>
      <c r="H127" s="249">
        <v>2</v>
      </c>
      <c r="I127" s="10">
        <v>1</v>
      </c>
      <c r="J127" s="10">
        <v>2</v>
      </c>
      <c r="K127" s="10">
        <v>2</v>
      </c>
      <c r="L127" s="10">
        <v>1</v>
      </c>
      <c r="M127" s="293">
        <v>1</v>
      </c>
      <c r="N127" s="185">
        <f t="shared" si="5"/>
        <v>0.19908580854301616</v>
      </c>
      <c r="O127" s="34"/>
      <c r="P127" s="6"/>
      <c r="Q127" s="6"/>
    </row>
    <row r="128" spans="1:18" s="2" customFormat="1">
      <c r="A128" s="151" t="s">
        <v>39</v>
      </c>
      <c r="B128" s="34" t="s">
        <v>200</v>
      </c>
      <c r="C128" s="40" t="s">
        <v>139</v>
      </c>
      <c r="D128" s="34" t="s">
        <v>98</v>
      </c>
      <c r="E128" s="554">
        <v>0.12556313993174059</v>
      </c>
      <c r="F128" s="309">
        <v>1</v>
      </c>
      <c r="G128" s="40" t="s">
        <v>141</v>
      </c>
      <c r="H128" s="249">
        <v>2</v>
      </c>
      <c r="I128" s="10">
        <v>1</v>
      </c>
      <c r="J128" s="10">
        <v>2</v>
      </c>
      <c r="K128" s="10">
        <v>2</v>
      </c>
      <c r="L128" s="10">
        <v>1</v>
      </c>
      <c r="M128" s="293">
        <v>1</v>
      </c>
      <c r="N128" s="185">
        <f t="shared" si="5"/>
        <v>0.19908580854301616</v>
      </c>
      <c r="O128" s="34"/>
      <c r="P128" s="6"/>
      <c r="Q128" s="6"/>
    </row>
    <row r="129" spans="1:18" s="2" customFormat="1">
      <c r="A129" s="151" t="s">
        <v>39</v>
      </c>
      <c r="B129" s="34" t="s">
        <v>183</v>
      </c>
      <c r="C129" s="40" t="s">
        <v>139</v>
      </c>
      <c r="D129" s="34" t="s">
        <v>98</v>
      </c>
      <c r="E129" s="554">
        <v>0</v>
      </c>
      <c r="F129" s="309">
        <v>1</v>
      </c>
      <c r="G129" s="40" t="s">
        <v>141</v>
      </c>
      <c r="H129" s="249">
        <v>2</v>
      </c>
      <c r="I129" s="10">
        <v>1</v>
      </c>
      <c r="J129" s="10">
        <v>2</v>
      </c>
      <c r="K129" s="10">
        <v>2</v>
      </c>
      <c r="L129" s="10">
        <v>1</v>
      </c>
      <c r="M129" s="293">
        <v>1</v>
      </c>
      <c r="N129" s="185">
        <f t="shared" si="5"/>
        <v>0.19908580854301616</v>
      </c>
      <c r="O129" s="34"/>
      <c r="P129" s="6"/>
      <c r="Q129" s="6"/>
    </row>
    <row r="130" spans="1:18" s="2" customFormat="1">
      <c r="A130" s="151" t="s">
        <v>39</v>
      </c>
      <c r="B130" s="34" t="s">
        <v>142</v>
      </c>
      <c r="C130" s="40" t="s">
        <v>139</v>
      </c>
      <c r="D130" s="34" t="s">
        <v>98</v>
      </c>
      <c r="E130" s="554">
        <v>1.3310580204778157E-2</v>
      </c>
      <c r="F130" s="309">
        <v>1</v>
      </c>
      <c r="G130" s="40" t="s">
        <v>141</v>
      </c>
      <c r="H130" s="249">
        <v>2</v>
      </c>
      <c r="I130" s="10">
        <v>1</v>
      </c>
      <c r="J130" s="10">
        <v>2</v>
      </c>
      <c r="K130" s="10">
        <v>2</v>
      </c>
      <c r="L130" s="10">
        <v>1</v>
      </c>
      <c r="M130" s="293">
        <v>1</v>
      </c>
      <c r="N130" s="185">
        <f t="shared" si="5"/>
        <v>0.19908580854301616</v>
      </c>
      <c r="O130" s="34"/>
      <c r="P130" s="6"/>
      <c r="Q130" s="6"/>
    </row>
    <row r="131" spans="1:18" s="2" customFormat="1">
      <c r="A131" s="151" t="s">
        <v>39</v>
      </c>
      <c r="B131" s="34" t="s">
        <v>138</v>
      </c>
      <c r="C131" s="40" t="s">
        <v>139</v>
      </c>
      <c r="D131" s="34" t="s">
        <v>98</v>
      </c>
      <c r="E131" s="554">
        <v>0</v>
      </c>
      <c r="F131" s="309">
        <v>1</v>
      </c>
      <c r="G131" s="40" t="s">
        <v>141</v>
      </c>
      <c r="H131" s="249">
        <v>2</v>
      </c>
      <c r="I131" s="10">
        <v>1</v>
      </c>
      <c r="J131" s="10">
        <v>2</v>
      </c>
      <c r="K131" s="10">
        <v>2</v>
      </c>
      <c r="L131" s="10">
        <v>1</v>
      </c>
      <c r="M131" s="293">
        <v>1</v>
      </c>
      <c r="N131" s="185">
        <f t="shared" si="5"/>
        <v>0.19908580854301616</v>
      </c>
      <c r="O131" s="34"/>
      <c r="P131" s="6"/>
      <c r="Q131" s="6"/>
    </row>
    <row r="132" spans="1:18" s="2" customFormat="1">
      <c r="A132" s="153"/>
      <c r="B132" s="7"/>
      <c r="C132" s="7"/>
      <c r="D132" s="7"/>
      <c r="E132" s="877"/>
      <c r="F132" s="878"/>
      <c r="G132" s="161"/>
      <c r="H132" s="879"/>
      <c r="I132" s="71"/>
      <c r="J132" s="71"/>
      <c r="K132" s="71"/>
      <c r="L132" s="71"/>
      <c r="M132" s="575"/>
      <c r="N132" s="880"/>
      <c r="O132" s="7"/>
      <c r="P132" s="6"/>
      <c r="Q132" s="6"/>
    </row>
    <row r="133" spans="1:18" s="2" customFormat="1">
      <c r="A133" s="1249" t="s">
        <v>986</v>
      </c>
      <c r="B133" s="1249"/>
      <c r="C133" s="1249"/>
      <c r="D133" s="1249"/>
      <c r="E133" s="1249"/>
      <c r="F133" s="1249"/>
      <c r="G133" s="1249"/>
      <c r="H133" s="1249"/>
      <c r="I133" s="1249"/>
      <c r="J133" s="1249"/>
      <c r="K133" s="1249"/>
      <c r="L133" s="1249"/>
      <c r="M133" s="1249"/>
      <c r="N133" s="1249"/>
      <c r="O133" s="1249"/>
      <c r="P133" s="1249"/>
      <c r="Q133" s="6"/>
    </row>
    <row r="134" spans="1:18">
      <c r="A134" s="1249"/>
      <c r="B134" s="1249"/>
      <c r="C134" s="1249"/>
      <c r="D134" s="1249"/>
      <c r="E134" s="1249"/>
      <c r="F134" s="1249"/>
      <c r="G134" s="1249"/>
      <c r="H134" s="1249"/>
      <c r="I134" s="1249"/>
      <c r="J134" s="1249"/>
      <c r="K134" s="1249"/>
      <c r="L134" s="1249"/>
      <c r="M134" s="1249"/>
      <c r="N134" s="1249"/>
      <c r="O134" s="1249"/>
      <c r="P134" s="1249"/>
      <c r="Q134" s="334"/>
      <c r="R134" s="334"/>
    </row>
    <row r="135" spans="1:18" ht="15" customHeight="1">
      <c r="A135" s="1245" t="s">
        <v>100</v>
      </c>
      <c r="B135" s="1242" t="s">
        <v>101</v>
      </c>
      <c r="C135" s="1242" t="s">
        <v>131</v>
      </c>
      <c r="D135" s="1242" t="s">
        <v>102</v>
      </c>
      <c r="E135" s="1129" t="s">
        <v>894</v>
      </c>
      <c r="F135" s="1130"/>
      <c r="G135" s="1146"/>
      <c r="H135" s="1242" t="s">
        <v>104</v>
      </c>
      <c r="I135" s="1243" t="s">
        <v>134</v>
      </c>
      <c r="J135" s="1243" t="s">
        <v>65</v>
      </c>
      <c r="K135" s="1243" t="s">
        <v>67</v>
      </c>
      <c r="L135" s="1243" t="s">
        <v>73</v>
      </c>
      <c r="M135" s="1243" t="s">
        <v>79</v>
      </c>
      <c r="N135" s="1240" t="s">
        <v>106</v>
      </c>
    </row>
    <row r="136" spans="1:18" ht="15" customHeight="1">
      <c r="A136" s="1138"/>
      <c r="B136" s="1138"/>
      <c r="C136" s="1138"/>
      <c r="D136" s="1138"/>
      <c r="E136" s="140" t="s">
        <v>1139</v>
      </c>
      <c r="F136" s="140" t="s">
        <v>1140</v>
      </c>
      <c r="G136" s="140" t="s">
        <v>779</v>
      </c>
      <c r="H136" s="1138"/>
      <c r="I136" s="1244"/>
      <c r="J136" s="1244"/>
      <c r="K136" s="1244"/>
      <c r="L136" s="1244"/>
      <c r="M136" s="1244"/>
      <c r="N136" s="1241"/>
    </row>
    <row r="137" spans="1:18">
      <c r="A137" s="143" t="s">
        <v>1141</v>
      </c>
      <c r="B137" s="117">
        <v>2019</v>
      </c>
      <c r="C137" s="117" t="s">
        <v>180</v>
      </c>
      <c r="D137" s="117" t="s">
        <v>1142</v>
      </c>
      <c r="E137" s="117">
        <v>125.38</v>
      </c>
      <c r="F137" s="117">
        <v>137.35</v>
      </c>
      <c r="G137" s="130">
        <f>AVERAGE(E137:F137)</f>
        <v>131.36500000000001</v>
      </c>
      <c r="H137" s="9" t="s">
        <v>1143</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1141</v>
      </c>
      <c r="B138" s="117">
        <v>2019</v>
      </c>
      <c r="C138" s="117" t="s">
        <v>180</v>
      </c>
      <c r="D138" s="117" t="s">
        <v>87</v>
      </c>
      <c r="E138" s="117">
        <v>60.31</v>
      </c>
      <c r="F138" s="117">
        <v>68.650000000000006</v>
      </c>
      <c r="G138" s="130">
        <f t="shared" ref="G138:G141" si="6">AVERAGE(E138:F138)</f>
        <v>64.48</v>
      </c>
      <c r="H138" s="9" t="s">
        <v>1143</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1141</v>
      </c>
      <c r="B139" s="117">
        <v>2019</v>
      </c>
      <c r="C139" s="117" t="s">
        <v>180</v>
      </c>
      <c r="D139" s="117" t="s">
        <v>91</v>
      </c>
      <c r="E139" s="117">
        <v>61.79</v>
      </c>
      <c r="F139" s="117">
        <v>63.96</v>
      </c>
      <c r="G139" s="130">
        <f t="shared" si="6"/>
        <v>62.875</v>
      </c>
      <c r="H139" s="9" t="s">
        <v>1143</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1141</v>
      </c>
      <c r="B140" s="117">
        <v>2019</v>
      </c>
      <c r="C140" s="117" t="s">
        <v>180</v>
      </c>
      <c r="D140" s="117" t="s">
        <v>90</v>
      </c>
      <c r="E140" s="117">
        <v>8.7799999999999994</v>
      </c>
      <c r="F140" s="117">
        <v>10.83</v>
      </c>
      <c r="G140" s="130">
        <f t="shared" si="6"/>
        <v>9.8049999999999997</v>
      </c>
      <c r="H140" s="9" t="s">
        <v>1143</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1141</v>
      </c>
      <c r="B141" s="117">
        <v>2019</v>
      </c>
      <c r="C141" s="117" t="s">
        <v>180</v>
      </c>
      <c r="D141" s="117" t="s">
        <v>127</v>
      </c>
      <c r="E141" s="117">
        <v>26.43</v>
      </c>
      <c r="F141" s="117">
        <v>29.21</v>
      </c>
      <c r="G141" s="130">
        <f t="shared" si="6"/>
        <v>27.82</v>
      </c>
      <c r="H141" s="9" t="s">
        <v>1143</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1144</v>
      </c>
      <c r="B142" s="127">
        <v>2019</v>
      </c>
      <c r="C142" s="127" t="s">
        <v>180</v>
      </c>
      <c r="D142" s="127" t="s">
        <v>955</v>
      </c>
      <c r="E142" s="127">
        <f>SUM(E137:E141)</f>
        <v>282.69</v>
      </c>
      <c r="F142" s="137">
        <f>SUM(F137:F141)</f>
        <v>309.99999999999994</v>
      </c>
      <c r="G142" s="137">
        <f>SUM(G137:G141)</f>
        <v>296.34500000000003</v>
      </c>
      <c r="H142" s="9"/>
      <c r="I142" s="117"/>
      <c r="J142" s="117"/>
      <c r="K142" s="117"/>
      <c r="L142" s="117"/>
      <c r="M142" s="117"/>
      <c r="N142" s="117"/>
    </row>
    <row r="143" spans="1:18">
      <c r="A143" s="327"/>
      <c r="B143" s="25"/>
      <c r="C143" s="25"/>
      <c r="D143" s="25"/>
      <c r="E143" s="25"/>
      <c r="F143" s="328"/>
      <c r="G143" s="328"/>
      <c r="H143" s="7"/>
    </row>
    <row r="144" spans="1:18" ht="15.75" thickBot="1">
      <c r="B144" s="25"/>
      <c r="D144" s="25"/>
    </row>
    <row r="145" spans="1:16">
      <c r="A145" s="200"/>
      <c r="B145" s="195"/>
      <c r="C145" s="201"/>
      <c r="D145" s="195"/>
      <c r="E145" s="201"/>
      <c r="F145" s="201"/>
      <c r="G145" s="201"/>
      <c r="H145" s="201"/>
      <c r="I145" s="201"/>
      <c r="J145" s="201"/>
      <c r="K145" s="201"/>
      <c r="L145" s="201"/>
      <c r="M145" s="201"/>
      <c r="N145" s="201"/>
      <c r="O145" s="1231" t="s">
        <v>1145</v>
      </c>
      <c r="P145" s="1232"/>
    </row>
    <row r="146" spans="1:16">
      <c r="A146" s="202"/>
      <c r="B146" s="196"/>
      <c r="C146" s="203"/>
      <c r="D146" s="196"/>
      <c r="E146" s="203"/>
      <c r="F146" s="203"/>
      <c r="G146" s="203"/>
      <c r="H146" s="203"/>
      <c r="I146" s="203"/>
      <c r="J146" s="203"/>
      <c r="K146" s="203"/>
      <c r="L146" s="203"/>
      <c r="M146" s="203"/>
      <c r="N146" s="203"/>
      <c r="O146" s="1233"/>
      <c r="P146" s="1234"/>
    </row>
    <row r="147" spans="1:16" ht="15.75">
      <c r="A147" s="204"/>
      <c r="B147" s="196"/>
      <c r="C147" s="203"/>
      <c r="D147" s="196"/>
      <c r="E147" s="203"/>
      <c r="F147" s="203"/>
      <c r="G147" s="203"/>
      <c r="H147" s="203"/>
      <c r="I147" s="203"/>
      <c r="J147" s="203"/>
      <c r="K147" s="203"/>
      <c r="L147" s="203"/>
      <c r="M147" s="203"/>
      <c r="N147" s="203"/>
      <c r="O147" s="1233"/>
      <c r="P147" s="1234"/>
    </row>
    <row r="148" spans="1:16">
      <c r="A148" s="202"/>
      <c r="B148" s="196"/>
      <c r="C148" s="203"/>
      <c r="D148" s="196"/>
      <c r="E148" s="203"/>
      <c r="F148" s="203"/>
      <c r="G148" s="203"/>
      <c r="H148" s="203"/>
      <c r="I148" s="203"/>
      <c r="J148" s="203"/>
      <c r="K148" s="203"/>
      <c r="L148" s="203"/>
      <c r="M148" s="203"/>
      <c r="N148" s="203"/>
      <c r="O148" s="1233"/>
      <c r="P148" s="1234"/>
    </row>
    <row r="149" spans="1:16">
      <c r="A149" s="202"/>
      <c r="B149" s="196"/>
      <c r="C149" s="203"/>
      <c r="D149" s="196"/>
      <c r="E149" s="203"/>
      <c r="F149" s="203"/>
      <c r="G149" s="203"/>
      <c r="H149" s="203"/>
      <c r="I149" s="203"/>
      <c r="J149" s="203"/>
      <c r="K149" s="203"/>
      <c r="L149" s="203"/>
      <c r="M149" s="203"/>
      <c r="N149" s="203"/>
      <c r="O149" s="1233"/>
      <c r="P149" s="1234"/>
    </row>
    <row r="150" spans="1:16">
      <c r="A150" s="202"/>
      <c r="B150" s="196"/>
      <c r="C150" s="203"/>
      <c r="D150" s="196"/>
      <c r="E150" s="203"/>
      <c r="F150" s="203"/>
      <c r="G150" s="203"/>
      <c r="H150" s="203"/>
      <c r="I150" s="203"/>
      <c r="J150" s="203"/>
      <c r="K150" s="203"/>
      <c r="L150" s="203"/>
      <c r="M150" s="203"/>
      <c r="N150" s="203"/>
      <c r="O150" s="1233"/>
      <c r="P150" s="1234"/>
    </row>
    <row r="151" spans="1:16">
      <c r="A151" s="202"/>
      <c r="B151" s="196"/>
      <c r="C151" s="203"/>
      <c r="D151" s="196"/>
      <c r="E151" s="203"/>
      <c r="F151" s="203"/>
      <c r="G151" s="203"/>
      <c r="H151" s="203"/>
      <c r="I151" s="203"/>
      <c r="J151" s="203"/>
      <c r="K151" s="203"/>
      <c r="L151" s="203"/>
      <c r="M151" s="203"/>
      <c r="N151" s="203"/>
      <c r="O151" s="1233"/>
      <c r="P151" s="1234"/>
    </row>
    <row r="152" spans="1:16">
      <c r="A152" s="202"/>
      <c r="B152" s="196"/>
      <c r="C152" s="203"/>
      <c r="D152" s="196"/>
      <c r="E152" s="203"/>
      <c r="F152" s="203"/>
      <c r="G152" s="203"/>
      <c r="H152" s="203"/>
      <c r="I152" s="203"/>
      <c r="J152" s="203"/>
      <c r="K152" s="203"/>
      <c r="L152" s="203"/>
      <c r="M152" s="203"/>
      <c r="N152" s="203"/>
      <c r="O152" s="1233"/>
      <c r="P152" s="1234"/>
    </row>
    <row r="153" spans="1:16">
      <c r="A153" s="202"/>
      <c r="B153" s="196"/>
      <c r="C153" s="203"/>
      <c r="D153" s="196"/>
      <c r="E153" s="203"/>
      <c r="F153" s="203"/>
      <c r="G153" s="203"/>
      <c r="H153" s="203"/>
      <c r="I153" s="203"/>
      <c r="J153" s="203"/>
      <c r="K153" s="203"/>
      <c r="L153" s="203"/>
      <c r="M153" s="203"/>
      <c r="N153" s="203"/>
      <c r="O153" s="1233"/>
      <c r="P153" s="1234"/>
    </row>
    <row r="154" spans="1:16">
      <c r="A154" s="202"/>
      <c r="B154" s="196"/>
      <c r="C154" s="203"/>
      <c r="D154" s="196"/>
      <c r="E154" s="203"/>
      <c r="F154" s="203"/>
      <c r="G154" s="203"/>
      <c r="H154" s="203"/>
      <c r="I154" s="203"/>
      <c r="J154" s="203"/>
      <c r="K154" s="203"/>
      <c r="L154" s="203"/>
      <c r="M154" s="203"/>
      <c r="N154" s="203"/>
      <c r="O154" s="1233"/>
      <c r="P154" s="1234"/>
    </row>
    <row r="155" spans="1:16">
      <c r="A155" s="202"/>
      <c r="B155" s="196"/>
      <c r="C155" s="203"/>
      <c r="D155" s="196"/>
      <c r="E155" s="203"/>
      <c r="F155" s="203"/>
      <c r="G155" s="203"/>
      <c r="H155" s="203"/>
      <c r="I155" s="203"/>
      <c r="J155" s="203"/>
      <c r="K155" s="203"/>
      <c r="L155" s="203"/>
      <c r="M155" s="203"/>
      <c r="N155" s="203"/>
      <c r="O155" s="1233"/>
      <c r="P155" s="1234"/>
    </row>
    <row r="156" spans="1:16">
      <c r="A156" s="202"/>
      <c r="B156" s="196"/>
      <c r="C156" s="203"/>
      <c r="D156" s="196"/>
      <c r="E156" s="203"/>
      <c r="F156" s="203"/>
      <c r="G156" s="203"/>
      <c r="H156" s="203"/>
      <c r="I156" s="203"/>
      <c r="J156" s="203"/>
      <c r="K156" s="203"/>
      <c r="L156" s="203"/>
      <c r="M156" s="203"/>
      <c r="N156" s="203"/>
      <c r="O156" s="1233"/>
      <c r="P156" s="1234"/>
    </row>
    <row r="157" spans="1:16">
      <c r="A157" s="202"/>
      <c r="B157" s="196"/>
      <c r="C157" s="203"/>
      <c r="D157" s="196"/>
      <c r="E157" s="203"/>
      <c r="F157" s="203"/>
      <c r="G157" s="203"/>
      <c r="H157" s="203"/>
      <c r="I157" s="203"/>
      <c r="J157" s="203"/>
      <c r="K157" s="203"/>
      <c r="L157" s="203"/>
      <c r="M157" s="203"/>
      <c r="N157" s="203"/>
      <c r="O157" s="1233"/>
      <c r="P157" s="1234"/>
    </row>
    <row r="158" spans="1:16">
      <c r="A158" s="202"/>
      <c r="B158" s="196"/>
      <c r="C158" s="203"/>
      <c r="D158" s="196"/>
      <c r="E158" s="203"/>
      <c r="F158" s="203"/>
      <c r="G158" s="203"/>
      <c r="H158" s="203"/>
      <c r="I158" s="203"/>
      <c r="J158" s="203"/>
      <c r="K158" s="203"/>
      <c r="L158" s="203"/>
      <c r="M158" s="203"/>
      <c r="N158" s="203"/>
      <c r="O158" s="1233"/>
      <c r="P158" s="1234"/>
    </row>
    <row r="159" spans="1:16">
      <c r="A159" s="202"/>
      <c r="B159" s="196"/>
      <c r="C159" s="203"/>
      <c r="D159" s="196"/>
      <c r="E159" s="203"/>
      <c r="F159" s="203"/>
      <c r="G159" s="203"/>
      <c r="H159" s="203"/>
      <c r="I159" s="203"/>
      <c r="J159" s="203"/>
      <c r="K159" s="203"/>
      <c r="L159" s="203"/>
      <c r="M159" s="203"/>
      <c r="N159" s="203"/>
      <c r="O159" s="1233"/>
      <c r="P159" s="1234"/>
    </row>
    <row r="160" spans="1:16">
      <c r="A160" s="202"/>
      <c r="B160" s="196"/>
      <c r="C160" s="203"/>
      <c r="D160" s="196"/>
      <c r="E160" s="203"/>
      <c r="F160" s="203"/>
      <c r="G160" s="203"/>
      <c r="H160" s="203"/>
      <c r="I160" s="203"/>
      <c r="J160" s="203"/>
      <c r="K160" s="203"/>
      <c r="L160" s="203"/>
      <c r="M160" s="203"/>
      <c r="N160" s="203"/>
      <c r="O160" s="1233"/>
      <c r="P160" s="1234"/>
    </row>
    <row r="161" spans="1:16">
      <c r="A161" s="202"/>
      <c r="B161" s="196"/>
      <c r="C161" s="203"/>
      <c r="D161" s="196"/>
      <c r="E161" s="203"/>
      <c r="F161" s="203"/>
      <c r="G161" s="203"/>
      <c r="H161" s="203"/>
      <c r="I161" s="203"/>
      <c r="J161" s="203"/>
      <c r="K161" s="203"/>
      <c r="L161" s="203"/>
      <c r="M161" s="203"/>
      <c r="N161" s="203"/>
      <c r="O161" s="1233"/>
      <c r="P161" s="1234"/>
    </row>
    <row r="162" spans="1:16">
      <c r="A162" s="202"/>
      <c r="B162" s="196"/>
      <c r="C162" s="203"/>
      <c r="D162" s="196"/>
      <c r="E162" s="203"/>
      <c r="F162" s="203"/>
      <c r="G162" s="203"/>
      <c r="H162" s="203"/>
      <c r="I162" s="203"/>
      <c r="J162" s="203"/>
      <c r="K162" s="203"/>
      <c r="L162" s="203"/>
      <c r="M162" s="203"/>
      <c r="N162" s="203"/>
      <c r="O162" s="1233"/>
      <c r="P162" s="1234"/>
    </row>
    <row r="163" spans="1:16">
      <c r="A163" s="202"/>
      <c r="B163" s="196"/>
      <c r="C163" s="203"/>
      <c r="D163" s="196"/>
      <c r="E163" s="203"/>
      <c r="F163" s="203"/>
      <c r="G163" s="203"/>
      <c r="H163" s="203"/>
      <c r="I163" s="203"/>
      <c r="J163" s="203"/>
      <c r="K163" s="203"/>
      <c r="L163" s="203"/>
      <c r="M163" s="203"/>
      <c r="N163" s="203"/>
      <c r="O163" s="1233"/>
      <c r="P163" s="1234"/>
    </row>
    <row r="164" spans="1:16">
      <c r="A164" s="202"/>
      <c r="B164" s="196"/>
      <c r="C164" s="203"/>
      <c r="D164" s="196"/>
      <c r="E164" s="203"/>
      <c r="F164" s="203"/>
      <c r="G164" s="203"/>
      <c r="H164" s="203"/>
      <c r="I164" s="203"/>
      <c r="J164" s="203"/>
      <c r="K164" s="203"/>
      <c r="L164" s="203"/>
      <c r="M164" s="203"/>
      <c r="N164" s="203"/>
      <c r="O164" s="1233"/>
      <c r="P164" s="1234"/>
    </row>
    <row r="165" spans="1:16">
      <c r="A165" s="202"/>
      <c r="B165" s="196"/>
      <c r="C165" s="203"/>
      <c r="D165" s="196"/>
      <c r="E165" s="203"/>
      <c r="F165" s="203"/>
      <c r="G165" s="203"/>
      <c r="H165" s="203"/>
      <c r="I165" s="203"/>
      <c r="J165" s="203"/>
      <c r="K165" s="203"/>
      <c r="L165" s="203"/>
      <c r="M165" s="203"/>
      <c r="N165" s="203"/>
      <c r="O165" s="1233"/>
      <c r="P165" s="1234"/>
    </row>
    <row r="166" spans="1:16">
      <c r="A166" s="202"/>
      <c r="B166" s="196"/>
      <c r="C166" s="203"/>
      <c r="D166" s="196"/>
      <c r="E166" s="203"/>
      <c r="F166" s="203"/>
      <c r="G166" s="203"/>
      <c r="H166" s="203"/>
      <c r="I166" s="203"/>
      <c r="J166" s="203"/>
      <c r="K166" s="203"/>
      <c r="L166" s="203"/>
      <c r="M166" s="203"/>
      <c r="N166" s="203"/>
      <c r="O166" s="1233"/>
      <c r="P166" s="1234"/>
    </row>
    <row r="167" spans="1:16">
      <c r="A167" s="202"/>
      <c r="B167" s="196"/>
      <c r="C167" s="203"/>
      <c r="D167" s="196"/>
      <c r="E167" s="203"/>
      <c r="F167" s="203"/>
      <c r="G167" s="203"/>
      <c r="H167" s="203"/>
      <c r="I167" s="203"/>
      <c r="J167" s="203"/>
      <c r="K167" s="203"/>
      <c r="L167" s="203"/>
      <c r="M167" s="203"/>
      <c r="N167" s="203"/>
      <c r="O167" s="1233"/>
      <c r="P167" s="1234"/>
    </row>
    <row r="168" spans="1:16">
      <c r="A168" s="202"/>
      <c r="B168" s="196"/>
      <c r="C168" s="203"/>
      <c r="D168" s="196"/>
      <c r="E168" s="203"/>
      <c r="F168" s="203"/>
      <c r="G168" s="203"/>
      <c r="H168" s="203"/>
      <c r="I168" s="203"/>
      <c r="J168" s="203"/>
      <c r="K168" s="203"/>
      <c r="L168" s="203"/>
      <c r="M168" s="203"/>
      <c r="N168" s="203"/>
      <c r="O168" s="1233"/>
      <c r="P168" s="1234"/>
    </row>
    <row r="169" spans="1:16">
      <c r="A169" s="202"/>
      <c r="B169" s="196"/>
      <c r="C169" s="203"/>
      <c r="D169" s="196"/>
      <c r="E169" s="203"/>
      <c r="F169" s="203"/>
      <c r="G169" s="203"/>
      <c r="H169" s="203"/>
      <c r="I169" s="203"/>
      <c r="J169" s="203"/>
      <c r="K169" s="203"/>
      <c r="L169" s="203"/>
      <c r="M169" s="203"/>
      <c r="N169" s="203"/>
      <c r="O169" s="1233"/>
      <c r="P169" s="1234"/>
    </row>
    <row r="170" spans="1:16">
      <c r="A170" s="202"/>
      <c r="B170" s="196"/>
      <c r="C170" s="203"/>
      <c r="D170" s="196"/>
      <c r="E170" s="203"/>
      <c r="F170" s="203"/>
      <c r="G170" s="203"/>
      <c r="H170" s="203"/>
      <c r="I170" s="203"/>
      <c r="J170" s="203"/>
      <c r="K170" s="203"/>
      <c r="L170" s="203"/>
      <c r="M170" s="203"/>
      <c r="N170" s="203"/>
      <c r="O170" s="1233"/>
      <c r="P170" s="1234"/>
    </row>
    <row r="171" spans="1:16">
      <c r="A171" s="202"/>
      <c r="B171" s="196"/>
      <c r="C171" s="203"/>
      <c r="D171" s="196"/>
      <c r="E171" s="203"/>
      <c r="F171" s="203"/>
      <c r="G171" s="203"/>
      <c r="H171" s="203"/>
      <c r="I171" s="203"/>
      <c r="J171" s="203"/>
      <c r="K171" s="203"/>
      <c r="L171" s="203"/>
      <c r="M171" s="203"/>
      <c r="N171" s="203"/>
      <c r="O171" s="1233"/>
      <c r="P171" s="1234"/>
    </row>
    <row r="172" spans="1:16">
      <c r="A172" s="202"/>
      <c r="B172" s="196"/>
      <c r="C172" s="203"/>
      <c r="D172" s="196"/>
      <c r="E172" s="203"/>
      <c r="F172" s="203"/>
      <c r="G172" s="203"/>
      <c r="H172" s="203"/>
      <c r="I172" s="203"/>
      <c r="J172" s="203"/>
      <c r="K172" s="203"/>
      <c r="L172" s="203"/>
      <c r="M172" s="203"/>
      <c r="N172" s="203"/>
      <c r="O172" s="1233"/>
      <c r="P172" s="1234"/>
    </row>
    <row r="173" spans="1:16">
      <c r="A173" s="202"/>
      <c r="B173" s="196"/>
      <c r="C173" s="203"/>
      <c r="D173" s="196"/>
      <c r="E173" s="203"/>
      <c r="F173" s="203"/>
      <c r="G173" s="203"/>
      <c r="H173" s="203"/>
      <c r="I173" s="203"/>
      <c r="J173" s="203"/>
      <c r="K173" s="203"/>
      <c r="L173" s="203"/>
      <c r="M173" s="203"/>
      <c r="N173" s="203"/>
      <c r="O173" s="1233"/>
      <c r="P173" s="1234"/>
    </row>
    <row r="174" spans="1:16">
      <c r="A174" s="202"/>
      <c r="B174" s="196"/>
      <c r="C174" s="203"/>
      <c r="D174" s="196"/>
      <c r="E174" s="203"/>
      <c r="F174" s="203"/>
      <c r="G174" s="203"/>
      <c r="H174" s="203"/>
      <c r="I174" s="203"/>
      <c r="J174" s="203"/>
      <c r="K174" s="203"/>
      <c r="L174" s="203"/>
      <c r="M174" s="203"/>
      <c r="N174" s="203"/>
      <c r="O174" s="1233"/>
      <c r="P174" s="1234"/>
    </row>
    <row r="175" spans="1:16">
      <c r="A175" s="202"/>
      <c r="B175" s="196"/>
      <c r="C175" s="203"/>
      <c r="D175" s="196"/>
      <c r="E175" s="203"/>
      <c r="F175" s="203"/>
      <c r="G175" s="203"/>
      <c r="H175" s="203"/>
      <c r="I175" s="203"/>
      <c r="J175" s="203"/>
      <c r="K175" s="203"/>
      <c r="L175" s="203"/>
      <c r="M175" s="203"/>
      <c r="N175" s="203"/>
      <c r="O175" s="1233"/>
      <c r="P175" s="1234"/>
    </row>
    <row r="176" spans="1:16">
      <c r="A176" s="202"/>
      <c r="B176" s="196"/>
      <c r="C176" s="203"/>
      <c r="D176" s="196"/>
      <c r="E176" s="203"/>
      <c r="F176" s="203"/>
      <c r="G176" s="203"/>
      <c r="H176" s="203"/>
      <c r="I176" s="203"/>
      <c r="J176" s="203"/>
      <c r="K176" s="203"/>
      <c r="L176" s="203"/>
      <c r="M176" s="203"/>
      <c r="N176" s="203"/>
      <c r="O176" s="1233"/>
      <c r="P176" s="1234"/>
    </row>
    <row r="177" spans="1:16">
      <c r="A177" s="202"/>
      <c r="B177" s="196"/>
      <c r="C177" s="203"/>
      <c r="D177" s="196"/>
      <c r="E177" s="203"/>
      <c r="F177" s="203"/>
      <c r="G177" s="203"/>
      <c r="H177" s="203"/>
      <c r="I177" s="203"/>
      <c r="J177" s="203"/>
      <c r="K177" s="203"/>
      <c r="L177" s="203"/>
      <c r="M177" s="203"/>
      <c r="N177" s="203"/>
      <c r="O177" s="1233"/>
      <c r="P177" s="1234"/>
    </row>
    <row r="178" spans="1:16">
      <c r="A178" s="202"/>
      <c r="B178" s="196"/>
      <c r="C178" s="203"/>
      <c r="D178" s="196"/>
      <c r="E178" s="203"/>
      <c r="F178" s="203"/>
      <c r="G178" s="203"/>
      <c r="H178" s="203"/>
      <c r="I178" s="203"/>
      <c r="J178" s="203"/>
      <c r="K178" s="203"/>
      <c r="L178" s="203"/>
      <c r="M178" s="203"/>
      <c r="N178" s="203"/>
      <c r="O178" s="1233"/>
      <c r="P178" s="1234"/>
    </row>
    <row r="179" spans="1:16">
      <c r="A179" s="205" t="s">
        <v>1146</v>
      </c>
      <c r="B179" s="196"/>
      <c r="C179" s="203"/>
      <c r="D179" s="196"/>
      <c r="E179" s="203"/>
      <c r="F179" s="203"/>
      <c r="G179" s="203"/>
      <c r="H179" s="196" t="s">
        <v>1147</v>
      </c>
      <c r="I179" s="203"/>
      <c r="J179" s="203"/>
      <c r="K179" s="203"/>
      <c r="L179" s="203"/>
      <c r="M179" s="203"/>
      <c r="N179" s="203"/>
      <c r="O179" s="1233"/>
      <c r="P179" s="1234"/>
    </row>
    <row r="180" spans="1:16" ht="15.75" thickBot="1">
      <c r="A180" s="206"/>
      <c r="B180" s="197"/>
      <c r="C180" s="207"/>
      <c r="D180" s="197"/>
      <c r="E180" s="207"/>
      <c r="F180" s="207"/>
      <c r="G180" s="207"/>
      <c r="H180" s="197"/>
      <c r="I180" s="207"/>
      <c r="J180" s="207"/>
      <c r="K180" s="207"/>
      <c r="L180" s="207"/>
      <c r="M180" s="207"/>
      <c r="N180" s="207"/>
      <c r="O180" s="1235"/>
      <c r="P180" s="1236"/>
    </row>
    <row r="182" spans="1:16" ht="30" customHeight="1">
      <c r="A182" s="140" t="s">
        <v>131</v>
      </c>
      <c r="B182" s="140" t="s">
        <v>129</v>
      </c>
      <c r="C182" s="140" t="s">
        <v>130</v>
      </c>
      <c r="D182" s="140" t="s">
        <v>1148</v>
      </c>
      <c r="E182" s="140" t="s">
        <v>1149</v>
      </c>
      <c r="F182" s="140" t="s">
        <v>1150</v>
      </c>
      <c r="G182" s="140" t="s">
        <v>1151</v>
      </c>
      <c r="H182" s="140" t="s">
        <v>1152</v>
      </c>
    </row>
    <row r="183" spans="1:16">
      <c r="A183" s="117" t="s">
        <v>180</v>
      </c>
      <c r="B183" s="117" t="s">
        <v>1153</v>
      </c>
      <c r="C183" s="117" t="s">
        <v>179</v>
      </c>
      <c r="D183" s="117">
        <f>G142-SUM(D184:D186)</f>
        <v>219.94000000000003</v>
      </c>
      <c r="E183" s="117"/>
      <c r="F183" s="117"/>
      <c r="G183" s="128">
        <f>D183/$D$187</f>
        <v>0.74217550490138184</v>
      </c>
      <c r="H183" s="117">
        <v>199.65</v>
      </c>
    </row>
    <row r="184" spans="1:16" ht="15.75">
      <c r="A184" s="117" t="s">
        <v>180</v>
      </c>
      <c r="B184" s="117" t="s">
        <v>1153</v>
      </c>
      <c r="C184" s="117" t="s">
        <v>1154</v>
      </c>
      <c r="D184" s="117">
        <f>AVERAGE(E184:F184)</f>
        <v>33.22</v>
      </c>
      <c r="E184" s="117">
        <v>5.66</v>
      </c>
      <c r="F184" s="117">
        <v>60.78</v>
      </c>
      <c r="G184" s="128">
        <f>D184/$D$187</f>
        <v>0.11209907371475812</v>
      </c>
      <c r="H184" s="117"/>
      <c r="J184" s="208"/>
    </row>
    <row r="185" spans="1:16">
      <c r="A185" s="117" t="s">
        <v>180</v>
      </c>
      <c r="B185" s="117" t="s">
        <v>1153</v>
      </c>
      <c r="C185" s="117" t="s">
        <v>245</v>
      </c>
      <c r="D185" s="117">
        <f>AVERAGE(E185:F185)</f>
        <v>37.25</v>
      </c>
      <c r="E185" s="117">
        <v>35.770000000000003</v>
      </c>
      <c r="F185" s="117">
        <v>38.729999999999997</v>
      </c>
      <c r="G185" s="128">
        <f>D185/$D$187</f>
        <v>0.12569808837672306</v>
      </c>
      <c r="H185" s="117"/>
    </row>
    <row r="186" spans="1:16">
      <c r="A186" s="117" t="s">
        <v>180</v>
      </c>
      <c r="B186" s="117" t="s">
        <v>1153</v>
      </c>
      <c r="C186" s="117" t="s">
        <v>1155</v>
      </c>
      <c r="D186" s="117">
        <f>AVERAGE(E186:F186)</f>
        <v>5.9350000000000005</v>
      </c>
      <c r="E186" s="117">
        <v>5.66</v>
      </c>
      <c r="F186" s="117">
        <v>6.21</v>
      </c>
      <c r="G186" s="128">
        <f>D186/$D$187</f>
        <v>2.0027333007136952E-2</v>
      </c>
      <c r="H186" s="117">
        <v>1.49</v>
      </c>
    </row>
    <row r="187" spans="1:16">
      <c r="A187" s="117" t="s">
        <v>180</v>
      </c>
      <c r="B187" s="129" t="s">
        <v>1144</v>
      </c>
      <c r="C187" s="126"/>
      <c r="D187" s="129">
        <f>SUM(D183:D186)</f>
        <v>296.34500000000003</v>
      </c>
      <c r="E187" s="126"/>
      <c r="F187" s="126"/>
      <c r="G187" s="182"/>
      <c r="H187" s="117"/>
    </row>
    <row r="188" spans="1:16">
      <c r="A188" s="117" t="s">
        <v>180</v>
      </c>
      <c r="B188" s="126" t="s">
        <v>1155</v>
      </c>
      <c r="C188" s="126" t="s">
        <v>179</v>
      </c>
      <c r="D188" s="126">
        <f>D186-H186</f>
        <v>4.4450000000000003</v>
      </c>
      <c r="E188" s="126"/>
      <c r="F188" s="126"/>
      <c r="G188" s="182">
        <f>D188/$D$190</f>
        <v>0.74894692502106153</v>
      </c>
      <c r="H188" s="117"/>
    </row>
    <row r="189" spans="1:16">
      <c r="A189" s="117" t="s">
        <v>180</v>
      </c>
      <c r="B189" s="117" t="s">
        <v>1155</v>
      </c>
      <c r="C189" s="117" t="s">
        <v>1156</v>
      </c>
      <c r="D189" s="117">
        <f>H186</f>
        <v>1.49</v>
      </c>
      <c r="E189" s="117"/>
      <c r="F189" s="117"/>
      <c r="G189" s="128">
        <f>D189/$D$190</f>
        <v>0.25105307497893847</v>
      </c>
      <c r="H189" s="117"/>
    </row>
    <row r="190" spans="1:16">
      <c r="A190" s="117" t="s">
        <v>180</v>
      </c>
      <c r="B190" s="129" t="s">
        <v>1144</v>
      </c>
      <c r="C190" s="126"/>
      <c r="D190" s="127">
        <f>SUM(D188:D189)</f>
        <v>5.9350000000000005</v>
      </c>
      <c r="E190" s="117"/>
      <c r="F190" s="117"/>
      <c r="G190" s="117"/>
      <c r="H190" s="117"/>
    </row>
    <row r="191" spans="1:16" ht="15.75" thickBot="1">
      <c r="B191" s="25"/>
      <c r="D191" s="25"/>
    </row>
    <row r="192" spans="1:16">
      <c r="A192" s="200"/>
      <c r="B192" s="195"/>
      <c r="C192" s="201"/>
      <c r="D192" s="195"/>
      <c r="E192" s="201"/>
      <c r="F192" s="201"/>
      <c r="G192" s="201"/>
      <c r="H192" s="201"/>
      <c r="I192" s="201"/>
      <c r="J192" s="201"/>
      <c r="K192" s="201"/>
      <c r="L192" s="201"/>
      <c r="M192" s="201"/>
      <c r="N192" s="201"/>
      <c r="O192" s="1231" t="s">
        <v>1145</v>
      </c>
      <c r="P192" s="1232"/>
    </row>
    <row r="193" spans="1:16">
      <c r="A193" s="202"/>
      <c r="B193" s="196"/>
      <c r="C193" s="203"/>
      <c r="D193" s="196"/>
      <c r="E193" s="203"/>
      <c r="F193" s="203"/>
      <c r="G193" s="203"/>
      <c r="H193" s="203"/>
      <c r="I193" s="203"/>
      <c r="J193" s="203"/>
      <c r="K193" s="203"/>
      <c r="L193" s="203"/>
      <c r="M193" s="203"/>
      <c r="N193" s="203"/>
      <c r="O193" s="1233"/>
      <c r="P193" s="1234"/>
    </row>
    <row r="194" spans="1:16">
      <c r="A194" s="202"/>
      <c r="B194" s="196"/>
      <c r="C194" s="203"/>
      <c r="D194" s="196"/>
      <c r="E194" s="203"/>
      <c r="F194" s="203"/>
      <c r="G194" s="203"/>
      <c r="H194" s="203"/>
      <c r="I194" s="203"/>
      <c r="J194" s="203"/>
      <c r="K194" s="203"/>
      <c r="L194" s="203"/>
      <c r="M194" s="203"/>
      <c r="N194" s="203"/>
      <c r="O194" s="1233"/>
      <c r="P194" s="1234"/>
    </row>
    <row r="195" spans="1:16">
      <c r="A195" s="202"/>
      <c r="B195" s="196"/>
      <c r="C195" s="203"/>
      <c r="D195" s="196"/>
      <c r="E195" s="203"/>
      <c r="F195" s="203"/>
      <c r="G195" s="203"/>
      <c r="H195" s="203"/>
      <c r="I195" s="203"/>
      <c r="J195" s="203"/>
      <c r="K195" s="203"/>
      <c r="L195" s="203"/>
      <c r="M195" s="203"/>
      <c r="N195" s="203"/>
      <c r="O195" s="1233"/>
      <c r="P195" s="1234"/>
    </row>
    <row r="196" spans="1:16">
      <c r="A196" s="202"/>
      <c r="B196" s="196"/>
      <c r="C196" s="203"/>
      <c r="D196" s="196"/>
      <c r="E196" s="203"/>
      <c r="F196" s="203"/>
      <c r="G196" s="203"/>
      <c r="H196" s="203"/>
      <c r="I196" s="203"/>
      <c r="J196" s="203"/>
      <c r="K196" s="203"/>
      <c r="L196" s="203"/>
      <c r="M196" s="203"/>
      <c r="N196" s="203"/>
      <c r="O196" s="1233"/>
      <c r="P196" s="1234"/>
    </row>
    <row r="197" spans="1:16">
      <c r="A197" s="202"/>
      <c r="B197" s="196"/>
      <c r="C197" s="203"/>
      <c r="D197" s="196"/>
      <c r="E197" s="203"/>
      <c r="F197" s="203"/>
      <c r="G197" s="203"/>
      <c r="H197" s="203"/>
      <c r="I197" s="203"/>
      <c r="J197" s="203"/>
      <c r="K197" s="203"/>
      <c r="L197" s="203"/>
      <c r="M197" s="203"/>
      <c r="N197" s="203"/>
      <c r="O197" s="1233"/>
      <c r="P197" s="1234"/>
    </row>
    <row r="198" spans="1:16">
      <c r="A198" s="202"/>
      <c r="B198" s="196"/>
      <c r="C198" s="203"/>
      <c r="D198" s="196"/>
      <c r="E198" s="203"/>
      <c r="F198" s="203"/>
      <c r="G198" s="203"/>
      <c r="H198" s="203"/>
      <c r="I198" s="203"/>
      <c r="J198" s="203"/>
      <c r="K198" s="203"/>
      <c r="L198" s="203"/>
      <c r="M198" s="203"/>
      <c r="N198" s="203"/>
      <c r="O198" s="1233"/>
      <c r="P198" s="1234"/>
    </row>
    <row r="199" spans="1:16">
      <c r="A199" s="202"/>
      <c r="B199" s="196"/>
      <c r="C199" s="203"/>
      <c r="D199" s="196"/>
      <c r="E199" s="203"/>
      <c r="F199" s="203"/>
      <c r="G199" s="203"/>
      <c r="H199" s="203"/>
      <c r="I199" s="203"/>
      <c r="J199" s="203"/>
      <c r="K199" s="203"/>
      <c r="L199" s="203"/>
      <c r="M199" s="203"/>
      <c r="N199" s="203"/>
      <c r="O199" s="1233"/>
      <c r="P199" s="1234"/>
    </row>
    <row r="200" spans="1:16">
      <c r="A200" s="202"/>
      <c r="B200" s="196"/>
      <c r="C200" s="203"/>
      <c r="D200" s="196"/>
      <c r="E200" s="203"/>
      <c r="F200" s="203"/>
      <c r="G200" s="203"/>
      <c r="H200" s="203"/>
      <c r="I200" s="203"/>
      <c r="J200" s="203"/>
      <c r="K200" s="203"/>
      <c r="L200" s="203"/>
      <c r="M200" s="203"/>
      <c r="N200" s="203"/>
      <c r="O200" s="1233"/>
      <c r="P200" s="1234"/>
    </row>
    <row r="201" spans="1:16">
      <c r="A201" s="202"/>
      <c r="B201" s="196"/>
      <c r="C201" s="203"/>
      <c r="D201" s="196"/>
      <c r="E201" s="203"/>
      <c r="F201" s="203"/>
      <c r="G201" s="203"/>
      <c r="H201" s="203"/>
      <c r="I201" s="203"/>
      <c r="J201" s="203"/>
      <c r="K201" s="203"/>
      <c r="L201" s="203"/>
      <c r="M201" s="203"/>
      <c r="N201" s="203"/>
      <c r="O201" s="1233"/>
      <c r="P201" s="1234"/>
    </row>
    <row r="202" spans="1:16">
      <c r="A202" s="202"/>
      <c r="B202" s="196"/>
      <c r="C202" s="203"/>
      <c r="D202" s="196"/>
      <c r="E202" s="203"/>
      <c r="F202" s="203"/>
      <c r="G202" s="203"/>
      <c r="H202" s="203"/>
      <c r="I202" s="203"/>
      <c r="J202" s="203"/>
      <c r="K202" s="203"/>
      <c r="L202" s="203"/>
      <c r="M202" s="203"/>
      <c r="N202" s="203"/>
      <c r="O202" s="1233"/>
      <c r="P202" s="1234"/>
    </row>
    <row r="203" spans="1:16">
      <c r="A203" s="202"/>
      <c r="B203" s="196"/>
      <c r="C203" s="203"/>
      <c r="D203" s="196"/>
      <c r="E203" s="203"/>
      <c r="F203" s="203"/>
      <c r="G203" s="203"/>
      <c r="H203" s="203"/>
      <c r="I203" s="203"/>
      <c r="J203" s="203"/>
      <c r="K203" s="203"/>
      <c r="L203" s="203"/>
      <c r="M203" s="203"/>
      <c r="N203" s="203"/>
      <c r="O203" s="1233"/>
      <c r="P203" s="1234"/>
    </row>
    <row r="204" spans="1:16">
      <c r="A204" s="202"/>
      <c r="B204" s="196"/>
      <c r="C204" s="203"/>
      <c r="D204" s="196"/>
      <c r="E204" s="203"/>
      <c r="F204" s="203"/>
      <c r="G204" s="203"/>
      <c r="H204" s="203"/>
      <c r="I204" s="203"/>
      <c r="J204" s="203"/>
      <c r="K204" s="203"/>
      <c r="L204" s="203"/>
      <c r="M204" s="203"/>
      <c r="N204" s="203"/>
      <c r="O204" s="1233"/>
      <c r="P204" s="1234"/>
    </row>
    <row r="205" spans="1:16">
      <c r="A205" s="202"/>
      <c r="B205" s="196"/>
      <c r="C205" s="203"/>
      <c r="D205" s="196"/>
      <c r="E205" s="203"/>
      <c r="F205" s="203"/>
      <c r="G205" s="203"/>
      <c r="H205" s="203"/>
      <c r="I205" s="203"/>
      <c r="J205" s="203"/>
      <c r="K205" s="203"/>
      <c r="L205" s="203"/>
      <c r="M205" s="203"/>
      <c r="N205" s="203"/>
      <c r="O205" s="1233"/>
      <c r="P205" s="1234"/>
    </row>
    <row r="206" spans="1:16">
      <c r="A206" s="202"/>
      <c r="B206" s="196"/>
      <c r="C206" s="203"/>
      <c r="D206" s="196"/>
      <c r="E206" s="203"/>
      <c r="F206" s="203"/>
      <c r="G206" s="203"/>
      <c r="H206" s="203"/>
      <c r="I206" s="203"/>
      <c r="J206" s="203"/>
      <c r="K206" s="203"/>
      <c r="L206" s="203"/>
      <c r="M206" s="203"/>
      <c r="N206" s="203"/>
      <c r="O206" s="1233"/>
      <c r="P206" s="1234"/>
    </row>
    <row r="207" spans="1:16">
      <c r="A207" s="202"/>
      <c r="B207" s="196"/>
      <c r="C207" s="203"/>
      <c r="D207" s="196"/>
      <c r="E207" s="203"/>
      <c r="F207" s="203"/>
      <c r="G207" s="203"/>
      <c r="H207" s="203"/>
      <c r="I207" s="203"/>
      <c r="J207" s="203"/>
      <c r="K207" s="203"/>
      <c r="L207" s="203"/>
      <c r="M207" s="203"/>
      <c r="N207" s="203"/>
      <c r="O207" s="1233"/>
      <c r="P207" s="1234"/>
    </row>
    <row r="208" spans="1:16">
      <c r="A208" s="202"/>
      <c r="B208" s="196"/>
      <c r="C208" s="203"/>
      <c r="D208" s="196"/>
      <c r="E208" s="203"/>
      <c r="F208" s="203"/>
      <c r="G208" s="203"/>
      <c r="H208" s="203"/>
      <c r="I208" s="203"/>
      <c r="J208" s="203"/>
      <c r="K208" s="203"/>
      <c r="L208" s="203"/>
      <c r="M208" s="203"/>
      <c r="N208" s="203"/>
      <c r="O208" s="1233"/>
      <c r="P208" s="1234"/>
    </row>
    <row r="209" spans="1:16">
      <c r="A209" s="202"/>
      <c r="B209" s="196"/>
      <c r="C209" s="203"/>
      <c r="D209" s="196"/>
      <c r="E209" s="203"/>
      <c r="F209" s="203"/>
      <c r="G209" s="203"/>
      <c r="H209" s="203"/>
      <c r="I209" s="203"/>
      <c r="J209" s="203"/>
      <c r="K209" s="203"/>
      <c r="L209" s="203"/>
      <c r="M209" s="203"/>
      <c r="N209" s="203"/>
      <c r="O209" s="1233"/>
      <c r="P209" s="1234"/>
    </row>
    <row r="210" spans="1:16">
      <c r="A210" s="202"/>
      <c r="B210" s="196"/>
      <c r="C210" s="203"/>
      <c r="D210" s="196"/>
      <c r="E210" s="203"/>
      <c r="F210" s="203"/>
      <c r="G210" s="203"/>
      <c r="H210" s="203"/>
      <c r="I210" s="203"/>
      <c r="J210" s="203"/>
      <c r="K210" s="203"/>
      <c r="L210" s="203"/>
      <c r="M210" s="203"/>
      <c r="N210" s="203"/>
      <c r="O210" s="1233"/>
      <c r="P210" s="1234"/>
    </row>
    <row r="211" spans="1:16" ht="15.6" customHeight="1">
      <c r="A211" s="202"/>
      <c r="B211" s="196"/>
      <c r="C211" s="203"/>
      <c r="D211" s="196"/>
      <c r="E211" s="203"/>
      <c r="F211" s="203"/>
      <c r="G211" s="203"/>
      <c r="H211" s="203"/>
      <c r="I211" s="203"/>
      <c r="J211" s="203"/>
      <c r="K211" s="203"/>
      <c r="L211" s="203"/>
      <c r="M211" s="203"/>
      <c r="N211" s="203"/>
      <c r="O211" s="1233"/>
      <c r="P211" s="1234"/>
    </row>
    <row r="212" spans="1:16">
      <c r="A212" s="202"/>
      <c r="B212" s="196"/>
      <c r="C212" s="203"/>
      <c r="D212" s="196"/>
      <c r="E212" s="203"/>
      <c r="F212" s="203"/>
      <c r="G212" s="203"/>
      <c r="H212" s="203"/>
      <c r="I212" s="203"/>
      <c r="J212" s="203"/>
      <c r="K212" s="203"/>
      <c r="L212" s="203"/>
      <c r="M212" s="203"/>
      <c r="N212" s="203"/>
      <c r="O212" s="1233"/>
      <c r="P212" s="1234"/>
    </row>
    <row r="213" spans="1:16">
      <c r="A213" s="202"/>
      <c r="B213" s="196"/>
      <c r="C213" s="203"/>
      <c r="D213" s="196"/>
      <c r="E213" s="203"/>
      <c r="F213" s="203"/>
      <c r="G213" s="203"/>
      <c r="H213" s="203"/>
      <c r="I213" s="203"/>
      <c r="J213" s="203"/>
      <c r="K213" s="203"/>
      <c r="L213" s="203"/>
      <c r="M213" s="203"/>
      <c r="N213" s="203"/>
      <c r="O213" s="1233"/>
      <c r="P213" s="1234"/>
    </row>
    <row r="214" spans="1:16">
      <c r="A214" s="202"/>
      <c r="B214" s="196"/>
      <c r="C214" s="203"/>
      <c r="D214" s="196"/>
      <c r="E214" s="203"/>
      <c r="F214" s="203"/>
      <c r="G214" s="203"/>
      <c r="H214" s="203"/>
      <c r="I214" s="203"/>
      <c r="J214" s="203"/>
      <c r="K214" s="203"/>
      <c r="L214" s="203"/>
      <c r="M214" s="203"/>
      <c r="N214" s="203"/>
      <c r="O214" s="1233"/>
      <c r="P214" s="1234"/>
    </row>
    <row r="215" spans="1:16">
      <c r="A215" s="202"/>
      <c r="B215" s="196"/>
      <c r="C215" s="203"/>
      <c r="D215" s="196"/>
      <c r="E215" s="203"/>
      <c r="F215" s="203"/>
      <c r="G215" s="203"/>
      <c r="H215" s="203"/>
      <c r="I215" s="203"/>
      <c r="J215" s="203"/>
      <c r="K215" s="203"/>
      <c r="L215" s="203"/>
      <c r="M215" s="203"/>
      <c r="N215" s="203"/>
      <c r="O215" s="1233"/>
      <c r="P215" s="1234"/>
    </row>
    <row r="216" spans="1:16">
      <c r="A216" s="202"/>
      <c r="B216" s="196"/>
      <c r="C216" s="203"/>
      <c r="D216" s="196"/>
      <c r="E216" s="203"/>
      <c r="F216" s="203"/>
      <c r="G216" s="203"/>
      <c r="H216" s="203"/>
      <c r="I216" s="203"/>
      <c r="J216" s="203"/>
      <c r="K216" s="203"/>
      <c r="L216" s="203"/>
      <c r="M216" s="203"/>
      <c r="N216" s="203"/>
      <c r="O216" s="1233"/>
      <c r="P216" s="1234"/>
    </row>
    <row r="217" spans="1:16">
      <c r="A217" s="202"/>
      <c r="B217" s="196"/>
      <c r="C217" s="203"/>
      <c r="D217" s="196"/>
      <c r="E217" s="203"/>
      <c r="F217" s="203"/>
      <c r="G217" s="203"/>
      <c r="H217" s="203"/>
      <c r="I217" s="203"/>
      <c r="J217" s="203"/>
      <c r="K217" s="203"/>
      <c r="L217" s="203"/>
      <c r="M217" s="203"/>
      <c r="N217" s="203"/>
      <c r="O217" s="1233"/>
      <c r="P217" s="1234"/>
    </row>
    <row r="218" spans="1:16">
      <c r="A218" s="202"/>
      <c r="B218" s="196"/>
      <c r="C218" s="203"/>
      <c r="D218" s="196"/>
      <c r="E218" s="203"/>
      <c r="F218" s="203"/>
      <c r="G218" s="203"/>
      <c r="H218" s="203"/>
      <c r="I218" s="203"/>
      <c r="J218" s="203"/>
      <c r="K218" s="203"/>
      <c r="L218" s="203"/>
      <c r="M218" s="203"/>
      <c r="N218" s="203"/>
      <c r="O218" s="1233"/>
      <c r="P218" s="1234"/>
    </row>
    <row r="219" spans="1:16">
      <c r="A219" s="202"/>
      <c r="B219" s="196"/>
      <c r="C219" s="203"/>
      <c r="D219" s="196"/>
      <c r="E219" s="203"/>
      <c r="F219" s="203"/>
      <c r="G219" s="203"/>
      <c r="H219" s="203"/>
      <c r="I219" s="203"/>
      <c r="J219" s="203"/>
      <c r="K219" s="203"/>
      <c r="L219" s="203"/>
      <c r="M219" s="203"/>
      <c r="N219" s="203"/>
      <c r="O219" s="1233"/>
      <c r="P219" s="1234"/>
    </row>
    <row r="220" spans="1:16">
      <c r="A220" s="202"/>
      <c r="B220" s="196"/>
      <c r="C220" s="203"/>
      <c r="D220" s="196"/>
      <c r="E220" s="203"/>
      <c r="F220" s="203"/>
      <c r="G220" s="203"/>
      <c r="H220" s="203"/>
      <c r="I220" s="203"/>
      <c r="J220" s="203"/>
      <c r="K220" s="203"/>
      <c r="L220" s="203"/>
      <c r="M220" s="203"/>
      <c r="N220" s="203"/>
      <c r="O220" s="1233"/>
      <c r="P220" s="1234"/>
    </row>
    <row r="221" spans="1:16">
      <c r="A221" s="202"/>
      <c r="B221" s="196"/>
      <c r="C221" s="203"/>
      <c r="D221" s="196"/>
      <c r="E221" s="203"/>
      <c r="F221" s="203"/>
      <c r="G221" s="203"/>
      <c r="H221" s="203"/>
      <c r="I221" s="203"/>
      <c r="J221" s="203"/>
      <c r="K221" s="203"/>
      <c r="L221" s="203"/>
      <c r="M221" s="203"/>
      <c r="N221" s="203"/>
      <c r="O221" s="1233"/>
      <c r="P221" s="1234"/>
    </row>
    <row r="222" spans="1:16">
      <c r="A222" s="202"/>
      <c r="B222" s="196"/>
      <c r="C222" s="203"/>
      <c r="D222" s="196"/>
      <c r="E222" s="203"/>
      <c r="F222" s="203"/>
      <c r="G222" s="203"/>
      <c r="H222" s="203"/>
      <c r="I222" s="203"/>
      <c r="J222" s="203"/>
      <c r="K222" s="203"/>
      <c r="L222" s="203"/>
      <c r="M222" s="203"/>
      <c r="N222" s="203"/>
      <c r="O222" s="1233"/>
      <c r="P222" s="1234"/>
    </row>
    <row r="223" spans="1:16">
      <c r="A223" s="202"/>
      <c r="B223" s="196"/>
      <c r="C223" s="203"/>
      <c r="D223" s="196"/>
      <c r="E223" s="203"/>
      <c r="F223" s="203"/>
      <c r="G223" s="203"/>
      <c r="H223" s="203"/>
      <c r="I223" s="203"/>
      <c r="J223" s="203"/>
      <c r="K223" s="203"/>
      <c r="L223" s="203"/>
      <c r="M223" s="203"/>
      <c r="N223" s="203"/>
      <c r="O223" s="1233"/>
      <c r="P223" s="1234"/>
    </row>
    <row r="224" spans="1:16">
      <c r="A224" s="202"/>
      <c r="B224" s="196"/>
      <c r="C224" s="203"/>
      <c r="D224" s="196"/>
      <c r="E224" s="203"/>
      <c r="F224" s="203"/>
      <c r="G224" s="203"/>
      <c r="H224" s="203"/>
      <c r="I224" s="203"/>
      <c r="J224" s="203"/>
      <c r="K224" s="203"/>
      <c r="L224" s="203"/>
      <c r="M224" s="203"/>
      <c r="N224" s="203"/>
      <c r="O224" s="1233"/>
      <c r="P224" s="1234"/>
    </row>
    <row r="225" spans="1:16">
      <c r="A225" s="202"/>
      <c r="B225" s="196"/>
      <c r="C225" s="203"/>
      <c r="D225" s="196"/>
      <c r="E225" s="203"/>
      <c r="F225" s="203"/>
      <c r="G225" s="203"/>
      <c r="H225" s="203"/>
      <c r="I225" s="203"/>
      <c r="J225" s="203"/>
      <c r="K225" s="203"/>
      <c r="L225" s="203"/>
      <c r="M225" s="203"/>
      <c r="N225" s="203"/>
      <c r="O225" s="1233"/>
      <c r="P225" s="1234"/>
    </row>
    <row r="226" spans="1:16">
      <c r="A226" s="205" t="s">
        <v>1146</v>
      </c>
      <c r="B226" s="196"/>
      <c r="C226" s="203"/>
      <c r="D226" s="196"/>
      <c r="E226" s="203"/>
      <c r="F226" s="203"/>
      <c r="G226" s="203"/>
      <c r="H226" s="196" t="s">
        <v>1147</v>
      </c>
      <c r="I226" s="203"/>
      <c r="J226" s="203"/>
      <c r="K226" s="203"/>
      <c r="L226" s="203"/>
      <c r="M226" s="203"/>
      <c r="N226" s="203"/>
      <c r="O226" s="1233"/>
      <c r="P226" s="1234"/>
    </row>
    <row r="227" spans="1:16" ht="15.75" thickBot="1">
      <c r="A227" s="209"/>
      <c r="B227" s="198"/>
      <c r="C227" s="210"/>
      <c r="D227" s="198"/>
      <c r="E227" s="210"/>
      <c r="F227" s="210"/>
      <c r="G227" s="210"/>
      <c r="H227" s="210"/>
      <c r="I227" s="210"/>
      <c r="J227" s="210"/>
      <c r="K227" s="210"/>
      <c r="L227" s="210"/>
      <c r="M227" s="210"/>
      <c r="N227" s="210"/>
      <c r="O227" s="1235"/>
      <c r="P227" s="1236"/>
    </row>
    <row r="228" spans="1:16" ht="15.75" thickBot="1">
      <c r="B228" s="25"/>
      <c r="D228" s="25"/>
    </row>
    <row r="229" spans="1:16">
      <c r="A229" s="200"/>
      <c r="B229" s="195"/>
      <c r="C229" s="201"/>
      <c r="D229" s="195"/>
      <c r="E229" s="201"/>
      <c r="F229" s="201"/>
      <c r="G229" s="201"/>
      <c r="H229" s="201"/>
      <c r="I229" s="201"/>
      <c r="J229" s="201"/>
      <c r="K229" s="201"/>
      <c r="L229" s="201"/>
      <c r="M229" s="201"/>
      <c r="N229" s="201"/>
      <c r="O229" s="1231" t="s">
        <v>1157</v>
      </c>
      <c r="P229" s="1232"/>
    </row>
    <row r="230" spans="1:16">
      <c r="A230" s="202"/>
      <c r="B230" s="196"/>
      <c r="C230" s="203"/>
      <c r="D230" s="196"/>
      <c r="E230" s="203"/>
      <c r="F230" s="203"/>
      <c r="G230" s="203"/>
      <c r="H230" s="203"/>
      <c r="I230" s="203"/>
      <c r="J230" s="203"/>
      <c r="K230" s="203"/>
      <c r="L230" s="203"/>
      <c r="M230" s="203"/>
      <c r="N230" s="203"/>
      <c r="O230" s="1233"/>
      <c r="P230" s="1234"/>
    </row>
    <row r="231" spans="1:16">
      <c r="A231" s="202"/>
      <c r="B231" s="196"/>
      <c r="C231" s="203"/>
      <c r="D231" s="196"/>
      <c r="E231" s="203"/>
      <c r="F231" s="203"/>
      <c r="G231" s="203"/>
      <c r="H231" s="203"/>
      <c r="I231" s="203"/>
      <c r="J231" s="203"/>
      <c r="K231" s="203"/>
      <c r="L231" s="203"/>
      <c r="M231" s="203"/>
      <c r="N231" s="203"/>
      <c r="O231" s="1233"/>
      <c r="P231" s="1234"/>
    </row>
    <row r="232" spans="1:16">
      <c r="A232" s="202"/>
      <c r="B232" s="196"/>
      <c r="C232" s="203"/>
      <c r="D232" s="196"/>
      <c r="E232" s="203"/>
      <c r="F232" s="203"/>
      <c r="G232" s="203"/>
      <c r="H232" s="203"/>
      <c r="I232" s="203"/>
      <c r="J232" s="203"/>
      <c r="K232" s="203"/>
      <c r="L232" s="203"/>
      <c r="M232" s="203"/>
      <c r="N232" s="203"/>
      <c r="O232" s="1233"/>
      <c r="P232" s="1234"/>
    </row>
    <row r="233" spans="1:16">
      <c r="A233" s="202"/>
      <c r="B233" s="196"/>
      <c r="C233" s="203"/>
      <c r="D233" s="196"/>
      <c r="E233" s="203"/>
      <c r="F233" s="203"/>
      <c r="G233" s="203"/>
      <c r="H233" s="203"/>
      <c r="I233" s="203"/>
      <c r="J233" s="203"/>
      <c r="K233" s="203"/>
      <c r="L233" s="203"/>
      <c r="M233" s="203"/>
      <c r="N233" s="203"/>
      <c r="O233" s="1233"/>
      <c r="P233" s="1234"/>
    </row>
    <row r="234" spans="1:16">
      <c r="A234" s="202"/>
      <c r="B234" s="196"/>
      <c r="C234" s="203"/>
      <c r="D234" s="196"/>
      <c r="E234" s="203"/>
      <c r="F234" s="203"/>
      <c r="G234" s="203"/>
      <c r="H234" s="203"/>
      <c r="I234" s="203"/>
      <c r="J234" s="203"/>
      <c r="K234" s="203"/>
      <c r="L234" s="203"/>
      <c r="M234" s="203"/>
      <c r="N234" s="203"/>
      <c r="O234" s="1233"/>
      <c r="P234" s="1234"/>
    </row>
    <row r="235" spans="1:16">
      <c r="A235" s="202"/>
      <c r="B235" s="196"/>
      <c r="C235" s="203"/>
      <c r="D235" s="196"/>
      <c r="E235" s="203"/>
      <c r="F235" s="203"/>
      <c r="G235" s="203"/>
      <c r="H235" s="203"/>
      <c r="I235" s="203"/>
      <c r="J235" s="203"/>
      <c r="K235" s="203"/>
      <c r="L235" s="203"/>
      <c r="M235" s="203"/>
      <c r="N235" s="203"/>
      <c r="O235" s="1233"/>
      <c r="P235" s="1234"/>
    </row>
    <row r="236" spans="1:16">
      <c r="A236" s="202"/>
      <c r="B236" s="196"/>
      <c r="C236" s="203"/>
      <c r="D236" s="196"/>
      <c r="E236" s="203"/>
      <c r="F236" s="203"/>
      <c r="G236" s="203"/>
      <c r="H236" s="203"/>
      <c r="I236" s="203"/>
      <c r="J236" s="203"/>
      <c r="K236" s="203"/>
      <c r="L236" s="203"/>
      <c r="M236" s="203"/>
      <c r="N236" s="203"/>
      <c r="O236" s="1233"/>
      <c r="P236" s="1234"/>
    </row>
    <row r="237" spans="1:16">
      <c r="A237" s="202"/>
      <c r="B237" s="196"/>
      <c r="C237" s="203"/>
      <c r="D237" s="196"/>
      <c r="E237" s="203"/>
      <c r="F237" s="203"/>
      <c r="G237" s="203"/>
      <c r="H237" s="203"/>
      <c r="I237" s="203"/>
      <c r="J237" s="203"/>
      <c r="K237" s="203"/>
      <c r="L237" s="203"/>
      <c r="M237" s="203"/>
      <c r="N237" s="203"/>
      <c r="O237" s="1233"/>
      <c r="P237" s="1234"/>
    </row>
    <row r="238" spans="1:16">
      <c r="A238" s="202"/>
      <c r="B238" s="196"/>
      <c r="C238" s="203"/>
      <c r="D238" s="196"/>
      <c r="E238" s="203"/>
      <c r="F238" s="203"/>
      <c r="G238" s="203"/>
      <c r="H238" s="203"/>
      <c r="I238" s="203"/>
      <c r="J238" s="203"/>
      <c r="K238" s="203"/>
      <c r="L238" s="203"/>
      <c r="M238" s="203"/>
      <c r="N238" s="203"/>
      <c r="O238" s="1233"/>
      <c r="P238" s="1234"/>
    </row>
    <row r="239" spans="1:16">
      <c r="A239" s="202"/>
      <c r="B239" s="196"/>
      <c r="C239" s="203"/>
      <c r="D239" s="196"/>
      <c r="E239" s="203"/>
      <c r="F239" s="203"/>
      <c r="G239" s="203"/>
      <c r="H239" s="203"/>
      <c r="I239" s="203"/>
      <c r="J239" s="203"/>
      <c r="K239" s="203"/>
      <c r="L239" s="203"/>
      <c r="M239" s="203"/>
      <c r="N239" s="203"/>
      <c r="O239" s="1233"/>
      <c r="P239" s="1234"/>
    </row>
    <row r="240" spans="1:16">
      <c r="A240" s="202"/>
      <c r="B240" s="196"/>
      <c r="C240" s="203"/>
      <c r="D240" s="196"/>
      <c r="E240" s="203"/>
      <c r="F240" s="203"/>
      <c r="G240" s="203"/>
      <c r="H240" s="203"/>
      <c r="I240" s="203"/>
      <c r="J240" s="203"/>
      <c r="K240" s="203"/>
      <c r="L240" s="203"/>
      <c r="M240" s="203"/>
      <c r="N240" s="203"/>
      <c r="O240" s="1233"/>
      <c r="P240" s="1234"/>
    </row>
    <row r="241" spans="1:16">
      <c r="A241" s="202"/>
      <c r="B241" s="196"/>
      <c r="C241" s="203"/>
      <c r="D241" s="196"/>
      <c r="E241" s="203"/>
      <c r="F241" s="203"/>
      <c r="G241" s="203"/>
      <c r="H241" s="203"/>
      <c r="I241" s="203"/>
      <c r="J241" s="203"/>
      <c r="K241" s="203"/>
      <c r="L241" s="203"/>
      <c r="M241" s="203"/>
      <c r="N241" s="203"/>
      <c r="O241" s="1233"/>
      <c r="P241" s="1234"/>
    </row>
    <row r="242" spans="1:16">
      <c r="A242" s="202"/>
      <c r="B242" s="196"/>
      <c r="C242" s="203"/>
      <c r="D242" s="196"/>
      <c r="E242" s="203"/>
      <c r="F242" s="203"/>
      <c r="G242" s="203"/>
      <c r="H242" s="203"/>
      <c r="I242" s="203"/>
      <c r="J242" s="203"/>
      <c r="K242" s="203"/>
      <c r="L242" s="203"/>
      <c r="M242" s="203"/>
      <c r="N242" s="203"/>
      <c r="O242" s="1233"/>
      <c r="P242" s="1234"/>
    </row>
    <row r="243" spans="1:16">
      <c r="A243" s="202"/>
      <c r="B243" s="196"/>
      <c r="C243" s="203"/>
      <c r="D243" s="196"/>
      <c r="E243" s="203"/>
      <c r="F243" s="203"/>
      <c r="G243" s="203"/>
      <c r="H243" s="203"/>
      <c r="I243" s="203"/>
      <c r="J243" s="203"/>
      <c r="K243" s="203"/>
      <c r="L243" s="203"/>
      <c r="M243" s="203"/>
      <c r="N243" s="203"/>
      <c r="O243" s="1233"/>
      <c r="P243" s="1234"/>
    </row>
    <row r="244" spans="1:16">
      <c r="A244" s="202"/>
      <c r="B244" s="196"/>
      <c r="C244" s="203"/>
      <c r="D244" s="196"/>
      <c r="E244" s="203"/>
      <c r="F244" s="203"/>
      <c r="G244" s="203"/>
      <c r="H244" s="203"/>
      <c r="I244" s="203"/>
      <c r="J244" s="203"/>
      <c r="K244" s="203"/>
      <c r="L244" s="203"/>
      <c r="M244" s="203"/>
      <c r="N244" s="203"/>
      <c r="O244" s="1233"/>
      <c r="P244" s="1234"/>
    </row>
    <row r="245" spans="1:16">
      <c r="A245" s="202"/>
      <c r="B245" s="196"/>
      <c r="C245" s="203"/>
      <c r="D245" s="196"/>
      <c r="E245" s="203"/>
      <c r="F245" s="203"/>
      <c r="G245" s="203"/>
      <c r="H245" s="203"/>
      <c r="I245" s="203"/>
      <c r="J245" s="203"/>
      <c r="K245" s="203"/>
      <c r="L245" s="203"/>
      <c r="M245" s="203"/>
      <c r="N245" s="203"/>
      <c r="O245" s="1233"/>
      <c r="P245" s="1234"/>
    </row>
    <row r="246" spans="1:16">
      <c r="A246" s="202"/>
      <c r="B246" s="196"/>
      <c r="C246" s="203"/>
      <c r="D246" s="196"/>
      <c r="E246" s="203"/>
      <c r="F246" s="203"/>
      <c r="G246" s="203"/>
      <c r="H246" s="203"/>
      <c r="I246" s="203"/>
      <c r="J246" s="203"/>
      <c r="K246" s="203"/>
      <c r="L246" s="203"/>
      <c r="M246" s="203"/>
      <c r="N246" s="203"/>
      <c r="O246" s="1233"/>
      <c r="P246" s="1234"/>
    </row>
    <row r="247" spans="1:16">
      <c r="A247" s="202"/>
      <c r="B247" s="196"/>
      <c r="C247" s="203"/>
      <c r="D247" s="196"/>
      <c r="E247" s="203"/>
      <c r="F247" s="203"/>
      <c r="G247" s="203"/>
      <c r="H247" s="203"/>
      <c r="I247" s="203"/>
      <c r="J247" s="203"/>
      <c r="K247" s="203"/>
      <c r="L247" s="203"/>
      <c r="M247" s="203"/>
      <c r="N247" s="203"/>
      <c r="O247" s="1233"/>
      <c r="P247" s="1234"/>
    </row>
    <row r="248" spans="1:16">
      <c r="A248" s="202"/>
      <c r="B248" s="196"/>
      <c r="C248" s="203"/>
      <c r="D248" s="196"/>
      <c r="E248" s="203"/>
      <c r="F248" s="203"/>
      <c r="G248" s="203"/>
      <c r="H248" s="203"/>
      <c r="I248" s="203"/>
      <c r="J248" s="203"/>
      <c r="K248" s="203"/>
      <c r="L248" s="203"/>
      <c r="M248" s="203"/>
      <c r="N248" s="203"/>
      <c r="O248" s="1233"/>
      <c r="P248" s="1234"/>
    </row>
    <row r="249" spans="1:16">
      <c r="A249" s="202"/>
      <c r="B249" s="196"/>
      <c r="C249" s="203"/>
      <c r="D249" s="196"/>
      <c r="E249" s="203"/>
      <c r="F249" s="203"/>
      <c r="G249" s="203"/>
      <c r="H249" s="203"/>
      <c r="I249" s="203"/>
      <c r="J249" s="203"/>
      <c r="K249" s="203"/>
      <c r="L249" s="203"/>
      <c r="M249" s="203"/>
      <c r="N249" s="203"/>
      <c r="O249" s="1233"/>
      <c r="P249" s="1234"/>
    </row>
    <row r="250" spans="1:16">
      <c r="A250" s="202"/>
      <c r="B250" s="196"/>
      <c r="C250" s="203"/>
      <c r="D250" s="196"/>
      <c r="E250" s="203"/>
      <c r="F250" s="203"/>
      <c r="G250" s="203"/>
      <c r="H250" s="203"/>
      <c r="I250" s="203"/>
      <c r="J250" s="203"/>
      <c r="K250" s="203"/>
      <c r="L250" s="203"/>
      <c r="M250" s="203"/>
      <c r="N250" s="203"/>
      <c r="O250" s="1233"/>
      <c r="P250" s="1234"/>
    </row>
    <row r="251" spans="1:16">
      <c r="A251" s="202"/>
      <c r="B251" s="196"/>
      <c r="C251" s="203"/>
      <c r="D251" s="196"/>
      <c r="E251" s="203"/>
      <c r="F251" s="203"/>
      <c r="G251" s="203"/>
      <c r="H251" s="203"/>
      <c r="I251" s="203"/>
      <c r="J251" s="203"/>
      <c r="K251" s="203"/>
      <c r="L251" s="203"/>
      <c r="M251" s="203"/>
      <c r="N251" s="203"/>
      <c r="O251" s="1233"/>
      <c r="P251" s="1234"/>
    </row>
    <row r="252" spans="1:16">
      <c r="A252" s="202"/>
      <c r="B252" s="196"/>
      <c r="C252" s="203"/>
      <c r="D252" s="196"/>
      <c r="E252" s="203"/>
      <c r="F252" s="203"/>
      <c r="G252" s="203"/>
      <c r="H252" s="203"/>
      <c r="I252" s="203"/>
      <c r="J252" s="203"/>
      <c r="K252" s="203"/>
      <c r="L252" s="203"/>
      <c r="M252" s="203"/>
      <c r="N252" s="203"/>
      <c r="O252" s="1233"/>
      <c r="P252" s="1234"/>
    </row>
    <row r="253" spans="1:16">
      <c r="A253" s="202"/>
      <c r="B253" s="196"/>
      <c r="C253" s="203"/>
      <c r="D253" s="196"/>
      <c r="E253" s="203"/>
      <c r="F253" s="203"/>
      <c r="G253" s="203"/>
      <c r="H253" s="203"/>
      <c r="I253" s="203"/>
      <c r="J253" s="203"/>
      <c r="K253" s="203"/>
      <c r="L253" s="203"/>
      <c r="M253" s="203"/>
      <c r="N253" s="203"/>
      <c r="O253" s="1233"/>
      <c r="P253" s="1234"/>
    </row>
    <row r="254" spans="1:16">
      <c r="A254" s="202"/>
      <c r="B254" s="196"/>
      <c r="C254" s="203"/>
      <c r="D254" s="196"/>
      <c r="E254" s="203"/>
      <c r="F254" s="203"/>
      <c r="G254" s="203"/>
      <c r="H254" s="203"/>
      <c r="I254" s="203"/>
      <c r="J254" s="203"/>
      <c r="K254" s="203"/>
      <c r="L254" s="203"/>
      <c r="M254" s="203"/>
      <c r="N254" s="203"/>
      <c r="O254" s="1233"/>
      <c r="P254" s="1234"/>
    </row>
    <row r="255" spans="1:16">
      <c r="A255" s="202"/>
      <c r="B255" s="196"/>
      <c r="C255" s="203"/>
      <c r="D255" s="196"/>
      <c r="E255" s="203"/>
      <c r="F255" s="203"/>
      <c r="G255" s="203"/>
      <c r="H255" s="203"/>
      <c r="I255" s="203"/>
      <c r="J255" s="203"/>
      <c r="K255" s="203"/>
      <c r="L255" s="203"/>
      <c r="M255" s="203"/>
      <c r="N255" s="203"/>
      <c r="O255" s="1233"/>
      <c r="P255" s="1234"/>
    </row>
    <row r="256" spans="1:16">
      <c r="A256" s="202"/>
      <c r="B256" s="196"/>
      <c r="C256" s="203"/>
      <c r="D256" s="196"/>
      <c r="E256" s="203"/>
      <c r="F256" s="203"/>
      <c r="G256" s="203"/>
      <c r="H256" s="203"/>
      <c r="I256" s="203"/>
      <c r="J256" s="203"/>
      <c r="K256" s="203"/>
      <c r="L256" s="203"/>
      <c r="M256" s="203"/>
      <c r="N256" s="203"/>
      <c r="O256" s="1233"/>
      <c r="P256" s="1234"/>
    </row>
    <row r="257" spans="1:16">
      <c r="A257" s="202"/>
      <c r="B257" s="196"/>
      <c r="C257" s="203"/>
      <c r="D257" s="196"/>
      <c r="E257" s="203"/>
      <c r="F257" s="203"/>
      <c r="G257" s="203"/>
      <c r="H257" s="203"/>
      <c r="I257" s="203"/>
      <c r="J257" s="203"/>
      <c r="K257" s="203"/>
      <c r="L257" s="203"/>
      <c r="M257" s="203"/>
      <c r="N257" s="203"/>
      <c r="O257" s="1233"/>
      <c r="P257" s="1234"/>
    </row>
    <row r="258" spans="1:16">
      <c r="A258" s="202"/>
      <c r="B258" s="196"/>
      <c r="C258" s="203"/>
      <c r="D258" s="196"/>
      <c r="E258" s="203"/>
      <c r="F258" s="203"/>
      <c r="G258" s="203"/>
      <c r="H258" s="203"/>
      <c r="I258" s="203"/>
      <c r="J258" s="203"/>
      <c r="K258" s="203"/>
      <c r="L258" s="203"/>
      <c r="M258" s="203"/>
      <c r="N258" s="203"/>
      <c r="O258" s="1233"/>
      <c r="P258" s="1234"/>
    </row>
    <row r="259" spans="1:16">
      <c r="A259" s="202"/>
      <c r="B259" s="196"/>
      <c r="C259" s="203"/>
      <c r="D259" s="196"/>
      <c r="E259" s="203"/>
      <c r="F259" s="203"/>
      <c r="G259" s="203"/>
      <c r="H259" s="203"/>
      <c r="I259" s="203"/>
      <c r="J259" s="203"/>
      <c r="K259" s="203"/>
      <c r="L259" s="203"/>
      <c r="M259" s="203"/>
      <c r="N259" s="203"/>
      <c r="O259" s="1233"/>
      <c r="P259" s="1234"/>
    </row>
    <row r="260" spans="1:16">
      <c r="A260" s="202"/>
      <c r="B260" s="196"/>
      <c r="C260" s="203"/>
      <c r="D260" s="196"/>
      <c r="E260" s="203"/>
      <c r="F260" s="203"/>
      <c r="G260" s="203"/>
      <c r="H260" s="203"/>
      <c r="I260" s="203"/>
      <c r="J260" s="203"/>
      <c r="K260" s="203"/>
      <c r="L260" s="203"/>
      <c r="M260" s="203"/>
      <c r="N260" s="203"/>
      <c r="O260" s="1233"/>
      <c r="P260" s="1234"/>
    </row>
    <row r="261" spans="1:16">
      <c r="A261" s="202"/>
      <c r="B261" s="203"/>
      <c r="C261" s="203"/>
      <c r="D261" s="203"/>
      <c r="E261" s="203"/>
      <c r="F261" s="203"/>
      <c r="G261" s="203"/>
      <c r="H261" s="203"/>
      <c r="I261" s="203"/>
      <c r="J261" s="203"/>
      <c r="K261" s="203"/>
      <c r="L261" s="203"/>
      <c r="M261" s="203"/>
      <c r="N261" s="203"/>
      <c r="O261" s="1233"/>
      <c r="P261" s="1234"/>
    </row>
    <row r="262" spans="1:16">
      <c r="A262" s="202"/>
      <c r="B262" s="203"/>
      <c r="C262" s="203"/>
      <c r="D262" s="203"/>
      <c r="E262" s="203"/>
      <c r="F262" s="203"/>
      <c r="G262" s="203"/>
      <c r="H262" s="203"/>
      <c r="I262" s="203"/>
      <c r="J262" s="203"/>
      <c r="K262" s="203"/>
      <c r="L262" s="203"/>
      <c r="M262" s="203"/>
      <c r="N262" s="203"/>
      <c r="O262" s="1233"/>
      <c r="P262" s="1234"/>
    </row>
    <row r="263" spans="1:16">
      <c r="A263" s="202"/>
      <c r="B263" s="203"/>
      <c r="C263" s="203"/>
      <c r="D263" s="203"/>
      <c r="E263" s="203"/>
      <c r="F263" s="203"/>
      <c r="G263" s="203"/>
      <c r="H263" s="203"/>
      <c r="I263" s="203"/>
      <c r="J263" s="203"/>
      <c r="K263" s="203"/>
      <c r="L263" s="203"/>
      <c r="M263" s="203"/>
      <c r="N263" s="203"/>
      <c r="O263" s="1233"/>
      <c r="P263" s="1234"/>
    </row>
    <row r="264" spans="1:16" ht="15.75" thickBot="1">
      <c r="A264" s="211"/>
      <c r="B264" s="207"/>
      <c r="C264" s="207"/>
      <c r="D264" s="207"/>
      <c r="E264" s="207"/>
      <c r="F264" s="207"/>
      <c r="G264" s="207"/>
      <c r="H264" s="207"/>
      <c r="I264" s="207"/>
      <c r="J264" s="207"/>
      <c r="K264" s="207"/>
      <c r="L264" s="207"/>
      <c r="M264" s="207"/>
      <c r="N264" s="207"/>
      <c r="O264" s="1235"/>
      <c r="P264" s="1236"/>
    </row>
    <row r="267" spans="1:16">
      <c r="A267" s="6" t="s">
        <v>1158</v>
      </c>
    </row>
    <row r="268" spans="1:16">
      <c r="B268" s="6" t="s">
        <v>1159</v>
      </c>
    </row>
    <row r="269" spans="1:16">
      <c r="A269" s="526" t="s">
        <v>39</v>
      </c>
      <c r="B269" s="528" t="s">
        <v>94</v>
      </c>
      <c r="C269" s="6">
        <v>9</v>
      </c>
    </row>
    <row r="270" spans="1:16">
      <c r="A270" s="526" t="s">
        <v>39</v>
      </c>
      <c r="B270" s="543" t="s">
        <v>95</v>
      </c>
      <c r="C270" s="6">
        <v>26</v>
      </c>
    </row>
    <row r="271" spans="1:16">
      <c r="A271" s="526" t="s">
        <v>39</v>
      </c>
      <c r="B271" s="546" t="s">
        <v>96</v>
      </c>
      <c r="C271" s="6">
        <v>1.6</v>
      </c>
    </row>
    <row r="272" spans="1:16">
      <c r="A272" s="526" t="s">
        <v>39</v>
      </c>
      <c r="B272" s="547" t="s">
        <v>97</v>
      </c>
      <c r="C272" s="6">
        <v>0</v>
      </c>
    </row>
    <row r="273" spans="1:16">
      <c r="A273" s="526" t="s">
        <v>39</v>
      </c>
      <c r="B273" s="548" t="s">
        <v>93</v>
      </c>
      <c r="C273" s="6">
        <v>22</v>
      </c>
    </row>
    <row r="274" spans="1:16">
      <c r="A274" s="526" t="s">
        <v>39</v>
      </c>
      <c r="C274" s="6">
        <f>SUM(C269:C273)</f>
        <v>58.6</v>
      </c>
    </row>
    <row r="277" spans="1:16" s="2" customFormat="1">
      <c r="A277" s="526" t="s">
        <v>39</v>
      </c>
      <c r="B277" s="527" t="s">
        <v>1160</v>
      </c>
      <c r="C277" s="528" t="s">
        <v>94</v>
      </c>
      <c r="D277" s="7" t="s">
        <v>139</v>
      </c>
      <c r="E277" s="529">
        <v>0</v>
      </c>
      <c r="F277" s="406" t="s">
        <v>1161</v>
      </c>
      <c r="G277" s="530" t="s">
        <v>1162</v>
      </c>
      <c r="H277" s="531"/>
      <c r="I277" s="532"/>
      <c r="J277" s="532"/>
      <c r="K277" s="532"/>
      <c r="L277" s="532"/>
      <c r="M277" s="533"/>
      <c r="N277" s="534" t="str">
        <f t="shared" ref="N277:N321" si="7">IF( OR( ISBLANK(H277),ISBLANK(J277), ISBLANK(K277), ISBLANK(L277), ISBLANK(M277) ), "", 1.5*SQRT(   EXP(2.21*(H277-1)) + EXP(2.21*(J277-1)) + EXP(2.21*(K277-1)) + EXP(2.21*(L277-1)) + EXP(2.21*M277)   )/100*2.45 )</f>
        <v/>
      </c>
      <c r="O277" s="535" t="str">
        <f t="shared" ref="O277:O321" si="8">IF( OR( ISBLANK(I277),ISBLANK(J277), ISBLANK(K277), ISBLANK(L277), ISBLANK(M277) ), "", 1.5*SQRT(   EXP(2.21*(I277-1)) + EXP(2.21*(J277-1)) + EXP(2.21*(K277-1)) + EXP(2.21*(L277-1)) + EXP(2.21*M277)   )/100*2.45 )</f>
        <v/>
      </c>
      <c r="P277" s="536"/>
    </row>
    <row r="278" spans="1:16" s="2" customFormat="1">
      <c r="A278" s="526" t="s">
        <v>39</v>
      </c>
      <c r="B278" s="527" t="s">
        <v>1160</v>
      </c>
      <c r="C278" s="543" t="s">
        <v>95</v>
      </c>
      <c r="D278" s="7" t="s">
        <v>139</v>
      </c>
      <c r="E278" s="529">
        <v>0</v>
      </c>
      <c r="F278" s="406" t="s">
        <v>1161</v>
      </c>
      <c r="G278" s="530" t="s">
        <v>1162</v>
      </c>
      <c r="H278" s="531"/>
      <c r="I278" s="532"/>
      <c r="J278" s="532"/>
      <c r="K278" s="532"/>
      <c r="L278" s="532"/>
      <c r="M278" s="533"/>
      <c r="N278" s="534" t="str">
        <f t="shared" si="7"/>
        <v/>
      </c>
      <c r="O278" s="535" t="str">
        <f t="shared" si="8"/>
        <v/>
      </c>
      <c r="P278" s="536"/>
    </row>
    <row r="279" spans="1:16" s="2" customFormat="1">
      <c r="A279" s="526" t="s">
        <v>39</v>
      </c>
      <c r="B279" s="527" t="s">
        <v>1160</v>
      </c>
      <c r="C279" s="546" t="s">
        <v>96</v>
      </c>
      <c r="D279" s="7" t="s">
        <v>139</v>
      </c>
      <c r="E279" s="529">
        <v>0</v>
      </c>
      <c r="F279" s="406" t="s">
        <v>1161</v>
      </c>
      <c r="G279" s="530" t="s">
        <v>1162</v>
      </c>
      <c r="H279" s="531"/>
      <c r="I279" s="532"/>
      <c r="J279" s="532"/>
      <c r="K279" s="532"/>
      <c r="L279" s="532"/>
      <c r="M279" s="533"/>
      <c r="N279" s="534" t="str">
        <f t="shared" si="7"/>
        <v/>
      </c>
      <c r="O279" s="535" t="str">
        <f t="shared" si="8"/>
        <v/>
      </c>
      <c r="P279" s="536"/>
    </row>
    <row r="280" spans="1:16" s="2" customFormat="1">
      <c r="A280" s="526" t="s">
        <v>39</v>
      </c>
      <c r="B280" s="527" t="s">
        <v>1160</v>
      </c>
      <c r="C280" s="547" t="s">
        <v>97</v>
      </c>
      <c r="D280" s="7" t="s">
        <v>139</v>
      </c>
      <c r="E280" s="529">
        <v>0</v>
      </c>
      <c r="F280" s="406" t="s">
        <v>1161</v>
      </c>
      <c r="G280" s="530" t="s">
        <v>1162</v>
      </c>
      <c r="H280" s="531"/>
      <c r="I280" s="532"/>
      <c r="J280" s="532"/>
      <c r="K280" s="532"/>
      <c r="L280" s="532"/>
      <c r="M280" s="533"/>
      <c r="N280" s="534" t="str">
        <f t="shared" si="7"/>
        <v/>
      </c>
      <c r="O280" s="535" t="str">
        <f t="shared" si="8"/>
        <v/>
      </c>
      <c r="P280" s="536"/>
    </row>
    <row r="281" spans="1:16" s="2" customFormat="1">
      <c r="A281" s="526" t="s">
        <v>39</v>
      </c>
      <c r="B281" s="527" t="s">
        <v>1160</v>
      </c>
      <c r="C281" s="548" t="s">
        <v>93</v>
      </c>
      <c r="D281" s="7" t="s">
        <v>139</v>
      </c>
      <c r="E281" s="529">
        <v>0</v>
      </c>
      <c r="F281" s="406" t="s">
        <v>1161</v>
      </c>
      <c r="G281" s="530" t="s">
        <v>1162</v>
      </c>
      <c r="H281" s="531"/>
      <c r="I281" s="532"/>
      <c r="J281" s="532"/>
      <c r="K281" s="532"/>
      <c r="L281" s="532"/>
      <c r="M281" s="533"/>
      <c r="N281" s="534" t="str">
        <f t="shared" si="7"/>
        <v/>
      </c>
      <c r="O281" s="535" t="str">
        <f t="shared" si="8"/>
        <v/>
      </c>
      <c r="P281" s="536"/>
    </row>
    <row r="282" spans="1:16" s="2" customFormat="1">
      <c r="A282" s="526" t="s">
        <v>39</v>
      </c>
      <c r="B282" s="527" t="s">
        <v>1163</v>
      </c>
      <c r="C282" s="528" t="s">
        <v>94</v>
      </c>
      <c r="D282" s="7" t="s">
        <v>139</v>
      </c>
      <c r="E282" s="529">
        <v>0</v>
      </c>
      <c r="F282" s="406" t="s">
        <v>1161</v>
      </c>
      <c r="G282" s="530" t="s">
        <v>1162</v>
      </c>
      <c r="H282" s="531"/>
      <c r="I282" s="532"/>
      <c r="J282" s="532"/>
      <c r="K282" s="532"/>
      <c r="L282" s="532"/>
      <c r="M282" s="533"/>
      <c r="N282" s="534" t="str">
        <f t="shared" si="7"/>
        <v/>
      </c>
      <c r="O282" s="535" t="str">
        <f t="shared" si="8"/>
        <v/>
      </c>
      <c r="P282" s="536"/>
    </row>
    <row r="283" spans="1:16" s="2" customFormat="1">
      <c r="A283" s="526" t="s">
        <v>39</v>
      </c>
      <c r="B283" s="527" t="s">
        <v>1163</v>
      </c>
      <c r="C283" s="543" t="s">
        <v>95</v>
      </c>
      <c r="D283" s="7" t="s">
        <v>139</v>
      </c>
      <c r="E283" s="537">
        <v>0.03</v>
      </c>
      <c r="F283" s="406" t="s">
        <v>1161</v>
      </c>
      <c r="G283" s="530" t="s">
        <v>1162</v>
      </c>
      <c r="H283" s="538">
        <v>2</v>
      </c>
      <c r="I283" s="1">
        <v>2</v>
      </c>
      <c r="J283" s="1">
        <v>2</v>
      </c>
      <c r="K283" s="1">
        <v>1</v>
      </c>
      <c r="L283" s="1">
        <v>1</v>
      </c>
      <c r="M283" s="539">
        <v>2</v>
      </c>
      <c r="N283" s="541">
        <f t="shared" si="7"/>
        <v>0.37356464144298934</v>
      </c>
      <c r="O283" s="542">
        <f t="shared" si="8"/>
        <v>0.37356464144298934</v>
      </c>
      <c r="P283" s="536"/>
    </row>
    <row r="284" spans="1:16" s="2" customFormat="1">
      <c r="A284" s="526" t="s">
        <v>39</v>
      </c>
      <c r="B284" s="527" t="s">
        <v>1163</v>
      </c>
      <c r="C284" s="546" t="s">
        <v>96</v>
      </c>
      <c r="D284" s="7" t="s">
        <v>139</v>
      </c>
      <c r="E284" s="529">
        <v>0</v>
      </c>
      <c r="F284" s="406" t="s">
        <v>1161</v>
      </c>
      <c r="G284" s="530" t="s">
        <v>1162</v>
      </c>
      <c r="H284" s="531"/>
      <c r="I284" s="532"/>
      <c r="J284" s="532"/>
      <c r="K284" s="532"/>
      <c r="L284" s="532"/>
      <c r="M284" s="533"/>
      <c r="N284" s="534" t="str">
        <f t="shared" si="7"/>
        <v/>
      </c>
      <c r="O284" s="535" t="str">
        <f t="shared" si="8"/>
        <v/>
      </c>
      <c r="P284" s="536"/>
    </row>
    <row r="285" spans="1:16" s="2" customFormat="1">
      <c r="A285" s="526" t="s">
        <v>39</v>
      </c>
      <c r="B285" s="527" t="s">
        <v>1163</v>
      </c>
      <c r="C285" s="547" t="s">
        <v>97</v>
      </c>
      <c r="D285" s="7" t="s">
        <v>139</v>
      </c>
      <c r="E285" s="529">
        <v>0</v>
      </c>
      <c r="F285" s="406" t="s">
        <v>1161</v>
      </c>
      <c r="G285" s="530" t="s">
        <v>1162</v>
      </c>
      <c r="H285" s="531"/>
      <c r="I285" s="532"/>
      <c r="J285" s="532"/>
      <c r="K285" s="532"/>
      <c r="L285" s="532"/>
      <c r="M285" s="533"/>
      <c r="N285" s="534" t="str">
        <f t="shared" si="7"/>
        <v/>
      </c>
      <c r="O285" s="535" t="str">
        <f t="shared" si="8"/>
        <v/>
      </c>
      <c r="P285" s="536"/>
    </row>
    <row r="286" spans="1:16" s="2" customFormat="1">
      <c r="A286" s="526" t="s">
        <v>39</v>
      </c>
      <c r="B286" s="527" t="s">
        <v>1163</v>
      </c>
      <c r="C286" s="548" t="s">
        <v>93</v>
      </c>
      <c r="D286" s="7" t="s">
        <v>139</v>
      </c>
      <c r="E286" s="529">
        <v>0</v>
      </c>
      <c r="F286" s="406" t="s">
        <v>1161</v>
      </c>
      <c r="G286" s="530" t="s">
        <v>1162</v>
      </c>
      <c r="H286" s="531"/>
      <c r="I286" s="532"/>
      <c r="J286" s="532"/>
      <c r="K286" s="532"/>
      <c r="L286" s="532"/>
      <c r="M286" s="533"/>
      <c r="N286" s="534" t="str">
        <f t="shared" si="7"/>
        <v/>
      </c>
      <c r="O286" s="535" t="str">
        <f t="shared" si="8"/>
        <v/>
      </c>
      <c r="P286" s="536"/>
    </row>
    <row r="287" spans="1:16" s="2" customFormat="1">
      <c r="A287" s="526" t="s">
        <v>39</v>
      </c>
      <c r="B287" s="527" t="s">
        <v>1164</v>
      </c>
      <c r="C287" s="528" t="s">
        <v>94</v>
      </c>
      <c r="D287" s="7" t="s">
        <v>139</v>
      </c>
      <c r="E287" s="529">
        <v>0</v>
      </c>
      <c r="F287" s="406" t="s">
        <v>1161</v>
      </c>
      <c r="G287" s="530" t="s">
        <v>1162</v>
      </c>
      <c r="H287" s="531"/>
      <c r="I287" s="532"/>
      <c r="J287" s="532"/>
      <c r="K287" s="532"/>
      <c r="L287" s="532"/>
      <c r="M287" s="533"/>
      <c r="N287" s="534" t="str">
        <f t="shared" si="7"/>
        <v/>
      </c>
      <c r="O287" s="535" t="str">
        <f t="shared" si="8"/>
        <v/>
      </c>
      <c r="P287" s="536"/>
    </row>
    <row r="288" spans="1:16" s="2" customFormat="1">
      <c r="A288" s="526" t="s">
        <v>39</v>
      </c>
      <c r="B288" s="527" t="s">
        <v>1164</v>
      </c>
      <c r="C288" s="543" t="s">
        <v>95</v>
      </c>
      <c r="D288" s="7" t="s">
        <v>139</v>
      </c>
      <c r="E288" s="529">
        <v>0</v>
      </c>
      <c r="F288" s="406" t="s">
        <v>1161</v>
      </c>
      <c r="G288" s="530" t="s">
        <v>1162</v>
      </c>
      <c r="H288" s="531"/>
      <c r="I288" s="532"/>
      <c r="J288" s="532"/>
      <c r="K288" s="532"/>
      <c r="L288" s="532"/>
      <c r="M288" s="533"/>
      <c r="N288" s="534" t="str">
        <f t="shared" si="7"/>
        <v/>
      </c>
      <c r="O288" s="535" t="str">
        <f t="shared" si="8"/>
        <v/>
      </c>
      <c r="P288" s="544"/>
    </row>
    <row r="289" spans="1:16" s="2" customFormat="1">
      <c r="A289" s="526" t="s">
        <v>39</v>
      </c>
      <c r="B289" s="527" t="s">
        <v>1164</v>
      </c>
      <c r="C289" s="546" t="s">
        <v>96</v>
      </c>
      <c r="D289" s="7" t="s">
        <v>139</v>
      </c>
      <c r="E289" s="529">
        <v>0</v>
      </c>
      <c r="F289" s="406" t="s">
        <v>1161</v>
      </c>
      <c r="G289" s="530" t="s">
        <v>1162</v>
      </c>
      <c r="H289" s="531"/>
      <c r="I289" s="532"/>
      <c r="J289" s="532"/>
      <c r="K289" s="532"/>
      <c r="L289" s="532"/>
      <c r="M289" s="533"/>
      <c r="N289" s="534" t="str">
        <f t="shared" si="7"/>
        <v/>
      </c>
      <c r="O289" s="535" t="str">
        <f t="shared" si="8"/>
        <v/>
      </c>
      <c r="P289" s="536"/>
    </row>
    <row r="290" spans="1:16" s="2" customFormat="1">
      <c r="A290" s="526" t="s">
        <v>39</v>
      </c>
      <c r="B290" s="527" t="s">
        <v>1164</v>
      </c>
      <c r="C290" s="547" t="s">
        <v>97</v>
      </c>
      <c r="D290" s="7" t="s">
        <v>139</v>
      </c>
      <c r="E290" s="529">
        <v>0</v>
      </c>
      <c r="F290" s="406" t="s">
        <v>1161</v>
      </c>
      <c r="G290" s="530" t="s">
        <v>1162</v>
      </c>
      <c r="H290" s="531"/>
      <c r="I290" s="532"/>
      <c r="J290" s="532"/>
      <c r="K290" s="532"/>
      <c r="L290" s="532"/>
      <c r="M290" s="533"/>
      <c r="N290" s="534" t="str">
        <f t="shared" si="7"/>
        <v/>
      </c>
      <c r="O290" s="535" t="str">
        <f t="shared" si="8"/>
        <v/>
      </c>
      <c r="P290" s="536"/>
    </row>
    <row r="291" spans="1:16" s="2" customFormat="1">
      <c r="A291" s="526" t="s">
        <v>39</v>
      </c>
      <c r="B291" s="527" t="s">
        <v>1164</v>
      </c>
      <c r="C291" s="548" t="s">
        <v>93</v>
      </c>
      <c r="D291" s="7" t="s">
        <v>139</v>
      </c>
      <c r="E291" s="529">
        <v>0</v>
      </c>
      <c r="F291" s="406" t="s">
        <v>1161</v>
      </c>
      <c r="G291" s="530" t="s">
        <v>1162</v>
      </c>
      <c r="H291" s="531"/>
      <c r="I291" s="532"/>
      <c r="J291" s="532"/>
      <c r="K291" s="532"/>
      <c r="L291" s="532"/>
      <c r="M291" s="533"/>
      <c r="N291" s="534" t="str">
        <f t="shared" si="7"/>
        <v/>
      </c>
      <c r="O291" s="535" t="str">
        <f t="shared" si="8"/>
        <v/>
      </c>
      <c r="P291" s="536"/>
    </row>
    <row r="292" spans="1:16" s="2" customFormat="1">
      <c r="A292" s="545" t="s">
        <v>39</v>
      </c>
      <c r="B292" s="527" t="s">
        <v>1165</v>
      </c>
      <c r="C292" s="528" t="s">
        <v>94</v>
      </c>
      <c r="D292" s="7" t="s">
        <v>139</v>
      </c>
      <c r="E292" s="529">
        <v>0</v>
      </c>
      <c r="F292" s="406" t="s">
        <v>1161</v>
      </c>
      <c r="G292" s="530" t="s">
        <v>1162</v>
      </c>
      <c r="H292" s="531"/>
      <c r="I292" s="532"/>
      <c r="J292" s="532"/>
      <c r="K292" s="532"/>
      <c r="L292" s="532"/>
      <c r="M292" s="533"/>
      <c r="N292" s="534" t="str">
        <f t="shared" si="7"/>
        <v/>
      </c>
      <c r="O292" s="535" t="str">
        <f t="shared" si="8"/>
        <v/>
      </c>
      <c r="P292" s="536"/>
    </row>
    <row r="293" spans="1:16" s="2" customFormat="1">
      <c r="A293" s="526" t="s">
        <v>39</v>
      </c>
      <c r="B293" s="527" t="s">
        <v>1165</v>
      </c>
      <c r="C293" s="543" t="s">
        <v>95</v>
      </c>
      <c r="D293" s="7" t="s">
        <v>139</v>
      </c>
      <c r="E293" s="540">
        <v>0.28299999999999997</v>
      </c>
      <c r="F293" s="406" t="s">
        <v>1161</v>
      </c>
      <c r="G293" s="530" t="s">
        <v>1162</v>
      </c>
      <c r="H293" s="538">
        <v>2</v>
      </c>
      <c r="I293" s="1">
        <v>2</v>
      </c>
      <c r="J293" s="1">
        <v>2</v>
      </c>
      <c r="K293" s="1">
        <v>1</v>
      </c>
      <c r="L293" s="1">
        <v>1</v>
      </c>
      <c r="M293" s="539">
        <v>2</v>
      </c>
      <c r="N293" s="541">
        <f t="shared" si="7"/>
        <v>0.37356464144298934</v>
      </c>
      <c r="O293" s="542">
        <f t="shared" si="8"/>
        <v>0.37356464144298934</v>
      </c>
      <c r="P293" s="536"/>
    </row>
    <row r="294" spans="1:16" s="2" customFormat="1">
      <c r="A294" s="526" t="s">
        <v>39</v>
      </c>
      <c r="B294" s="527" t="s">
        <v>1165</v>
      </c>
      <c r="C294" s="546" t="s">
        <v>96</v>
      </c>
      <c r="D294" s="7" t="s">
        <v>139</v>
      </c>
      <c r="E294" s="529">
        <v>0</v>
      </c>
      <c r="F294" s="406" t="s">
        <v>1161</v>
      </c>
      <c r="G294" s="530" t="s">
        <v>1162</v>
      </c>
      <c r="H294" s="531"/>
      <c r="I294" s="532"/>
      <c r="J294" s="532"/>
      <c r="K294" s="532"/>
      <c r="L294" s="532"/>
      <c r="M294" s="533"/>
      <c r="N294" s="534" t="str">
        <f t="shared" si="7"/>
        <v/>
      </c>
      <c r="O294" s="535" t="str">
        <f t="shared" si="8"/>
        <v/>
      </c>
      <c r="P294" s="536"/>
    </row>
    <row r="295" spans="1:16" s="2" customFormat="1">
      <c r="A295" s="526" t="s">
        <v>39</v>
      </c>
      <c r="B295" s="527" t="s">
        <v>1165</v>
      </c>
      <c r="C295" s="547" t="s">
        <v>97</v>
      </c>
      <c r="D295" s="7" t="s">
        <v>139</v>
      </c>
      <c r="E295" s="529">
        <v>0</v>
      </c>
      <c r="F295" s="406" t="s">
        <v>1161</v>
      </c>
      <c r="G295" s="530" t="s">
        <v>1162</v>
      </c>
      <c r="H295" s="531"/>
      <c r="I295" s="532"/>
      <c r="J295" s="532"/>
      <c r="K295" s="532"/>
      <c r="L295" s="532"/>
      <c r="M295" s="533"/>
      <c r="N295" s="534" t="str">
        <f t="shared" si="7"/>
        <v/>
      </c>
      <c r="O295" s="535" t="str">
        <f t="shared" si="8"/>
        <v/>
      </c>
      <c r="P295" s="536"/>
    </row>
    <row r="296" spans="1:16" s="2" customFormat="1">
      <c r="A296" s="526" t="s">
        <v>39</v>
      </c>
      <c r="B296" s="527" t="s">
        <v>1165</v>
      </c>
      <c r="C296" s="548" t="s">
        <v>93</v>
      </c>
      <c r="D296" s="7" t="s">
        <v>139</v>
      </c>
      <c r="E296" s="529">
        <v>0</v>
      </c>
      <c r="F296" s="406" t="s">
        <v>1161</v>
      </c>
      <c r="G296" s="530" t="s">
        <v>1162</v>
      </c>
      <c r="H296" s="531"/>
      <c r="I296" s="532"/>
      <c r="J296" s="532"/>
      <c r="K296" s="532"/>
      <c r="L296" s="532"/>
      <c r="M296" s="533"/>
      <c r="N296" s="534" t="str">
        <f t="shared" si="7"/>
        <v/>
      </c>
      <c r="O296" s="535" t="str">
        <f t="shared" si="8"/>
        <v/>
      </c>
      <c r="P296" s="536"/>
    </row>
    <row r="297" spans="1:16" s="2" customFormat="1">
      <c r="A297" s="526" t="s">
        <v>39</v>
      </c>
      <c r="B297" s="527" t="s">
        <v>1166</v>
      </c>
      <c r="C297" s="528" t="s">
        <v>94</v>
      </c>
      <c r="D297" s="7" t="s">
        <v>139</v>
      </c>
      <c r="E297" s="529">
        <v>0</v>
      </c>
      <c r="F297" s="406" t="s">
        <v>1161</v>
      </c>
      <c r="G297" s="530" t="s">
        <v>1162</v>
      </c>
      <c r="H297" s="531"/>
      <c r="I297" s="532"/>
      <c r="J297" s="532"/>
      <c r="K297" s="532"/>
      <c r="L297" s="532"/>
      <c r="M297" s="533"/>
      <c r="N297" s="534" t="str">
        <f t="shared" si="7"/>
        <v/>
      </c>
      <c r="O297" s="535" t="str">
        <f t="shared" si="8"/>
        <v/>
      </c>
      <c r="P297" s="536"/>
    </row>
    <row r="298" spans="1:16" s="2" customFormat="1">
      <c r="A298" s="526" t="s">
        <v>39</v>
      </c>
      <c r="B298" s="527" t="s">
        <v>1166</v>
      </c>
      <c r="C298" s="543" t="s">
        <v>95</v>
      </c>
      <c r="D298" s="7" t="s">
        <v>139</v>
      </c>
      <c r="E298" s="540">
        <v>0.64300000000000002</v>
      </c>
      <c r="F298" s="406" t="s">
        <v>1161</v>
      </c>
      <c r="G298" s="530" t="s">
        <v>1162</v>
      </c>
      <c r="H298" s="538">
        <v>2</v>
      </c>
      <c r="I298" s="1">
        <v>2</v>
      </c>
      <c r="J298" s="1">
        <v>2</v>
      </c>
      <c r="K298" s="1">
        <v>1</v>
      </c>
      <c r="L298" s="1">
        <v>1</v>
      </c>
      <c r="M298" s="539">
        <v>2</v>
      </c>
      <c r="N298" s="541">
        <f t="shared" si="7"/>
        <v>0.37356464144298934</v>
      </c>
      <c r="O298" s="542">
        <f t="shared" si="8"/>
        <v>0.37356464144298934</v>
      </c>
      <c r="P298" s="536"/>
    </row>
    <row r="299" spans="1:16" s="2" customFormat="1">
      <c r="A299" s="526" t="s">
        <v>39</v>
      </c>
      <c r="B299" s="527" t="s">
        <v>1166</v>
      </c>
      <c r="C299" s="546" t="s">
        <v>96</v>
      </c>
      <c r="D299" s="7" t="s">
        <v>139</v>
      </c>
      <c r="E299" s="529">
        <v>0</v>
      </c>
      <c r="F299" s="406" t="s">
        <v>1161</v>
      </c>
      <c r="G299" s="530" t="s">
        <v>1162</v>
      </c>
      <c r="H299" s="531"/>
      <c r="I299" s="532"/>
      <c r="J299" s="532"/>
      <c r="K299" s="532"/>
      <c r="L299" s="532"/>
      <c r="M299" s="533"/>
      <c r="N299" s="534" t="str">
        <f t="shared" si="7"/>
        <v/>
      </c>
      <c r="O299" s="535" t="str">
        <f t="shared" si="8"/>
        <v/>
      </c>
      <c r="P299" s="536"/>
    </row>
    <row r="300" spans="1:16" s="2" customFormat="1">
      <c r="A300" s="526" t="s">
        <v>39</v>
      </c>
      <c r="B300" s="527" t="s">
        <v>1166</v>
      </c>
      <c r="C300" s="547" t="s">
        <v>97</v>
      </c>
      <c r="D300" s="7" t="s">
        <v>139</v>
      </c>
      <c r="E300" s="529">
        <v>0</v>
      </c>
      <c r="F300" s="406" t="s">
        <v>1161</v>
      </c>
      <c r="G300" s="530" t="s">
        <v>1162</v>
      </c>
      <c r="H300" s="531"/>
      <c r="I300" s="532"/>
      <c r="J300" s="532"/>
      <c r="K300" s="532"/>
      <c r="L300" s="532"/>
      <c r="M300" s="533"/>
      <c r="N300" s="534" t="str">
        <f t="shared" si="7"/>
        <v/>
      </c>
      <c r="O300" s="535" t="str">
        <f t="shared" si="8"/>
        <v/>
      </c>
      <c r="P300" s="536"/>
    </row>
    <row r="301" spans="1:16" s="2" customFormat="1">
      <c r="A301" s="526" t="s">
        <v>39</v>
      </c>
      <c r="B301" s="527" t="s">
        <v>1166</v>
      </c>
      <c r="C301" s="548" t="s">
        <v>93</v>
      </c>
      <c r="D301" s="7" t="s">
        <v>139</v>
      </c>
      <c r="E301" s="529">
        <v>0</v>
      </c>
      <c r="F301" s="406" t="s">
        <v>1161</v>
      </c>
      <c r="G301" s="530" t="s">
        <v>1162</v>
      </c>
      <c r="H301" s="531"/>
      <c r="I301" s="532"/>
      <c r="J301" s="532"/>
      <c r="K301" s="532"/>
      <c r="L301" s="532"/>
      <c r="M301" s="533"/>
      <c r="N301" s="534" t="str">
        <f t="shared" si="7"/>
        <v/>
      </c>
      <c r="O301" s="535" t="str">
        <f t="shared" si="8"/>
        <v/>
      </c>
      <c r="P301" s="536"/>
    </row>
    <row r="302" spans="1:16" s="2" customFormat="1">
      <c r="A302" s="545" t="s">
        <v>39</v>
      </c>
      <c r="B302" s="527" t="s">
        <v>1075</v>
      </c>
      <c r="C302" s="528" t="s">
        <v>94</v>
      </c>
      <c r="D302" s="7" t="s">
        <v>139</v>
      </c>
      <c r="E302" s="529">
        <v>0</v>
      </c>
      <c r="F302" s="406" t="s">
        <v>1161</v>
      </c>
      <c r="G302" s="530" t="s">
        <v>1162</v>
      </c>
      <c r="H302" s="531"/>
      <c r="I302" s="532"/>
      <c r="J302" s="532"/>
      <c r="K302" s="532"/>
      <c r="L302" s="532"/>
      <c r="M302" s="533"/>
      <c r="N302" s="534" t="str">
        <f t="shared" si="7"/>
        <v/>
      </c>
      <c r="O302" s="535" t="str">
        <f t="shared" si="8"/>
        <v/>
      </c>
      <c r="P302" s="536"/>
    </row>
    <row r="303" spans="1:16" s="2" customFormat="1">
      <c r="A303" s="526" t="s">
        <v>39</v>
      </c>
      <c r="B303" s="527" t="s">
        <v>1075</v>
      </c>
      <c r="C303" s="543" t="s">
        <v>95</v>
      </c>
      <c r="D303" s="7" t="s">
        <v>139</v>
      </c>
      <c r="E303" s="537">
        <v>4.3999999999999997E-2</v>
      </c>
      <c r="F303" s="406" t="s">
        <v>1161</v>
      </c>
      <c r="G303" s="530" t="s">
        <v>1162</v>
      </c>
      <c r="H303" s="538">
        <v>2</v>
      </c>
      <c r="I303" s="1">
        <v>2</v>
      </c>
      <c r="J303" s="1">
        <v>2</v>
      </c>
      <c r="K303" s="1">
        <v>1</v>
      </c>
      <c r="L303" s="1">
        <v>1</v>
      </c>
      <c r="M303" s="539">
        <v>2</v>
      </c>
      <c r="N303" s="541">
        <f t="shared" si="7"/>
        <v>0.37356464144298934</v>
      </c>
      <c r="O303" s="542">
        <f t="shared" si="8"/>
        <v>0.37356464144298934</v>
      </c>
      <c r="P303" s="536"/>
    </row>
    <row r="304" spans="1:16" s="2" customFormat="1">
      <c r="A304" s="526" t="s">
        <v>39</v>
      </c>
      <c r="B304" s="527" t="s">
        <v>1075</v>
      </c>
      <c r="C304" s="546" t="s">
        <v>96</v>
      </c>
      <c r="D304" s="7" t="s">
        <v>139</v>
      </c>
      <c r="E304" s="529">
        <v>0</v>
      </c>
      <c r="F304" s="406" t="s">
        <v>1161</v>
      </c>
      <c r="G304" s="530" t="s">
        <v>1162</v>
      </c>
      <c r="H304" s="531"/>
      <c r="I304" s="532"/>
      <c r="J304" s="532"/>
      <c r="K304" s="532"/>
      <c r="L304" s="532"/>
      <c r="M304" s="533"/>
      <c r="N304" s="534" t="str">
        <f t="shared" si="7"/>
        <v/>
      </c>
      <c r="O304" s="535" t="str">
        <f t="shared" si="8"/>
        <v/>
      </c>
      <c r="P304" s="536"/>
    </row>
    <row r="305" spans="1:16" s="2" customFormat="1">
      <c r="A305" s="526" t="s">
        <v>39</v>
      </c>
      <c r="B305" s="527" t="s">
        <v>1075</v>
      </c>
      <c r="C305" s="547" t="s">
        <v>97</v>
      </c>
      <c r="D305" s="7" t="s">
        <v>139</v>
      </c>
      <c r="E305" s="529">
        <v>0</v>
      </c>
      <c r="F305" s="406" t="s">
        <v>1161</v>
      </c>
      <c r="G305" s="530" t="s">
        <v>1162</v>
      </c>
      <c r="H305" s="531"/>
      <c r="I305" s="532"/>
      <c r="J305" s="532"/>
      <c r="K305" s="532"/>
      <c r="L305" s="532"/>
      <c r="M305" s="533"/>
      <c r="N305" s="534" t="str">
        <f t="shared" si="7"/>
        <v/>
      </c>
      <c r="O305" s="535" t="str">
        <f t="shared" si="8"/>
        <v/>
      </c>
      <c r="P305" s="536"/>
    </row>
    <row r="306" spans="1:16" s="2" customFormat="1">
      <c r="A306" s="526" t="s">
        <v>39</v>
      </c>
      <c r="B306" s="527" t="s">
        <v>1075</v>
      </c>
      <c r="C306" s="548" t="s">
        <v>93</v>
      </c>
      <c r="D306" s="7" t="s">
        <v>139</v>
      </c>
      <c r="E306" s="537">
        <v>0.5</v>
      </c>
      <c r="F306" s="406" t="s">
        <v>1161</v>
      </c>
      <c r="G306" s="530" t="s">
        <v>1162</v>
      </c>
      <c r="H306" s="538">
        <v>2</v>
      </c>
      <c r="I306" s="1">
        <v>2</v>
      </c>
      <c r="J306" s="1">
        <v>2</v>
      </c>
      <c r="K306" s="1">
        <v>1</v>
      </c>
      <c r="L306" s="1">
        <v>1</v>
      </c>
      <c r="M306" s="539">
        <v>3</v>
      </c>
      <c r="N306" s="541">
        <f t="shared" si="7"/>
        <v>1.0248662490928169</v>
      </c>
      <c r="O306" s="542">
        <f t="shared" si="8"/>
        <v>1.0248662490928169</v>
      </c>
      <c r="P306" s="536"/>
    </row>
    <row r="307" spans="1:16" s="2" customFormat="1">
      <c r="A307" s="526" t="s">
        <v>39</v>
      </c>
      <c r="B307" s="527" t="s">
        <v>1167</v>
      </c>
      <c r="C307" s="528" t="s">
        <v>94</v>
      </c>
      <c r="D307" s="7" t="s">
        <v>139</v>
      </c>
      <c r="E307" s="529">
        <v>0</v>
      </c>
      <c r="F307" s="406" t="s">
        <v>1161</v>
      </c>
      <c r="G307" s="530" t="s">
        <v>1162</v>
      </c>
      <c r="H307" s="531"/>
      <c r="I307" s="532"/>
      <c r="J307" s="532"/>
      <c r="K307" s="532"/>
      <c r="L307" s="532"/>
      <c r="M307" s="533"/>
      <c r="N307" s="534" t="str">
        <f t="shared" si="7"/>
        <v/>
      </c>
      <c r="O307" s="535" t="str">
        <f t="shared" si="8"/>
        <v/>
      </c>
      <c r="P307" s="536"/>
    </row>
    <row r="308" spans="1:16" s="2" customFormat="1">
      <c r="A308" s="526" t="s">
        <v>39</v>
      </c>
      <c r="B308" s="527" t="s">
        <v>1167</v>
      </c>
      <c r="C308" s="543" t="s">
        <v>95</v>
      </c>
      <c r="D308" s="7" t="s">
        <v>139</v>
      </c>
      <c r="E308" s="529">
        <v>0</v>
      </c>
      <c r="F308" s="406" t="s">
        <v>1161</v>
      </c>
      <c r="G308" s="530" t="s">
        <v>1162</v>
      </c>
      <c r="H308" s="531"/>
      <c r="I308" s="532"/>
      <c r="J308" s="532"/>
      <c r="K308" s="532"/>
      <c r="L308" s="532"/>
      <c r="M308" s="533"/>
      <c r="N308" s="534" t="str">
        <f t="shared" si="7"/>
        <v/>
      </c>
      <c r="O308" s="535" t="str">
        <f t="shared" si="8"/>
        <v/>
      </c>
      <c r="P308" s="536"/>
    </row>
    <row r="309" spans="1:16" s="2" customFormat="1">
      <c r="A309" s="526" t="s">
        <v>39</v>
      </c>
      <c r="B309" s="527" t="s">
        <v>1167</v>
      </c>
      <c r="C309" s="546" t="s">
        <v>96</v>
      </c>
      <c r="D309" s="7" t="s">
        <v>139</v>
      </c>
      <c r="E309" s="529">
        <v>0</v>
      </c>
      <c r="F309" s="406" t="s">
        <v>1161</v>
      </c>
      <c r="G309" s="530" t="s">
        <v>1162</v>
      </c>
      <c r="H309" s="531"/>
      <c r="I309" s="532"/>
      <c r="J309" s="532"/>
      <c r="K309" s="532"/>
      <c r="L309" s="532"/>
      <c r="M309" s="533"/>
      <c r="N309" s="534" t="str">
        <f t="shared" si="7"/>
        <v/>
      </c>
      <c r="O309" s="535" t="str">
        <f t="shared" si="8"/>
        <v/>
      </c>
      <c r="P309" s="536"/>
    </row>
    <row r="310" spans="1:16" s="2" customFormat="1">
      <c r="A310" s="526" t="s">
        <v>39</v>
      </c>
      <c r="B310" s="527" t="s">
        <v>1167</v>
      </c>
      <c r="C310" s="547" t="s">
        <v>97</v>
      </c>
      <c r="D310" s="7" t="s">
        <v>139</v>
      </c>
      <c r="E310" s="529">
        <v>0</v>
      </c>
      <c r="F310" s="406" t="s">
        <v>1161</v>
      </c>
      <c r="G310" s="530" t="s">
        <v>1162</v>
      </c>
      <c r="H310" s="531"/>
      <c r="I310" s="532"/>
      <c r="J310" s="532"/>
      <c r="K310" s="532"/>
      <c r="L310" s="532"/>
      <c r="M310" s="533"/>
      <c r="N310" s="534" t="str">
        <f t="shared" si="7"/>
        <v/>
      </c>
      <c r="O310" s="535" t="str">
        <f t="shared" si="8"/>
        <v/>
      </c>
      <c r="P310" s="536"/>
    </row>
    <row r="311" spans="1:16" s="2" customFormat="1">
      <c r="A311" s="526" t="s">
        <v>39</v>
      </c>
      <c r="B311" s="527" t="s">
        <v>1167</v>
      </c>
      <c r="C311" s="548" t="s">
        <v>93</v>
      </c>
      <c r="D311" s="7" t="s">
        <v>139</v>
      </c>
      <c r="E311" s="529">
        <v>0</v>
      </c>
      <c r="F311" s="406" t="s">
        <v>1161</v>
      </c>
      <c r="G311" s="530" t="s">
        <v>1162</v>
      </c>
      <c r="H311" s="531"/>
      <c r="I311" s="532"/>
      <c r="J311" s="532"/>
      <c r="K311" s="532"/>
      <c r="L311" s="532"/>
      <c r="M311" s="533"/>
      <c r="N311" s="534" t="str">
        <f t="shared" si="7"/>
        <v/>
      </c>
      <c r="O311" s="535" t="str">
        <f t="shared" si="8"/>
        <v/>
      </c>
      <c r="P311" s="536"/>
    </row>
    <row r="312" spans="1:16" s="2" customFormat="1">
      <c r="A312" s="545" t="s">
        <v>39</v>
      </c>
      <c r="B312" s="527" t="s">
        <v>1168</v>
      </c>
      <c r="C312" s="528" t="s">
        <v>94</v>
      </c>
      <c r="D312" s="7" t="s">
        <v>139</v>
      </c>
      <c r="E312" s="537">
        <v>1</v>
      </c>
      <c r="F312" s="406" t="s">
        <v>1161</v>
      </c>
      <c r="G312" s="530" t="s">
        <v>1162</v>
      </c>
      <c r="H312" s="538">
        <v>2</v>
      </c>
      <c r="I312" s="1">
        <v>2</v>
      </c>
      <c r="J312" s="1">
        <v>2</v>
      </c>
      <c r="K312" s="1">
        <v>1</v>
      </c>
      <c r="L312" s="1">
        <v>1</v>
      </c>
      <c r="M312" s="539">
        <v>2</v>
      </c>
      <c r="N312" s="534">
        <f t="shared" si="7"/>
        <v>0.37356464144298934</v>
      </c>
      <c r="O312" s="535">
        <f t="shared" si="8"/>
        <v>0.37356464144298934</v>
      </c>
      <c r="P312" s="536"/>
    </row>
    <row r="313" spans="1:16" s="2" customFormat="1">
      <c r="A313" s="526" t="s">
        <v>39</v>
      </c>
      <c r="B313" s="527" t="s">
        <v>1168</v>
      </c>
      <c r="C313" s="543" t="s">
        <v>95</v>
      </c>
      <c r="D313" s="7" t="s">
        <v>139</v>
      </c>
      <c r="E313" s="529">
        <v>0</v>
      </c>
      <c r="F313" s="406" t="s">
        <v>1161</v>
      </c>
      <c r="G313" s="530" t="s">
        <v>1162</v>
      </c>
      <c r="H313" s="531"/>
      <c r="I313" s="532"/>
      <c r="J313" s="532"/>
      <c r="K313" s="532"/>
      <c r="L313" s="532"/>
      <c r="M313" s="533"/>
      <c r="N313" s="534" t="str">
        <f t="shared" si="7"/>
        <v/>
      </c>
      <c r="O313" s="535" t="str">
        <f t="shared" si="8"/>
        <v/>
      </c>
      <c r="P313" s="536"/>
    </row>
    <row r="314" spans="1:16" s="2" customFormat="1">
      <c r="A314" s="526" t="s">
        <v>39</v>
      </c>
      <c r="B314" s="527" t="s">
        <v>1168</v>
      </c>
      <c r="C314" s="546" t="s">
        <v>96</v>
      </c>
      <c r="D314" s="7" t="s">
        <v>139</v>
      </c>
      <c r="E314" s="537">
        <v>1</v>
      </c>
      <c r="F314" s="406" t="s">
        <v>1161</v>
      </c>
      <c r="G314" s="530" t="s">
        <v>1162</v>
      </c>
      <c r="H314" s="538">
        <v>2</v>
      </c>
      <c r="I314" s="1">
        <v>2</v>
      </c>
      <c r="J314" s="1">
        <v>2</v>
      </c>
      <c r="K314" s="1">
        <v>1</v>
      </c>
      <c r="L314" s="1">
        <v>1</v>
      </c>
      <c r="M314" s="539">
        <v>2</v>
      </c>
      <c r="N314" s="534">
        <f t="shared" si="7"/>
        <v>0.37356464144298934</v>
      </c>
      <c r="O314" s="535">
        <f t="shared" si="8"/>
        <v>0.37356464144298934</v>
      </c>
      <c r="P314" s="536"/>
    </row>
    <row r="315" spans="1:16" s="2" customFormat="1">
      <c r="A315" s="526" t="s">
        <v>39</v>
      </c>
      <c r="B315" s="527" t="s">
        <v>1168</v>
      </c>
      <c r="C315" s="547" t="s">
        <v>97</v>
      </c>
      <c r="D315" s="7" t="s">
        <v>139</v>
      </c>
      <c r="E315" s="529">
        <v>0</v>
      </c>
      <c r="F315" s="406" t="s">
        <v>1161</v>
      </c>
      <c r="G315" s="530" t="s">
        <v>1162</v>
      </c>
      <c r="H315" s="531"/>
      <c r="I315" s="532"/>
      <c r="J315" s="532"/>
      <c r="K315" s="532"/>
      <c r="L315" s="532"/>
      <c r="M315" s="533"/>
      <c r="N315" s="534" t="str">
        <f t="shared" si="7"/>
        <v/>
      </c>
      <c r="O315" s="535" t="str">
        <f t="shared" si="8"/>
        <v/>
      </c>
      <c r="P315" s="536"/>
    </row>
    <row r="316" spans="1:16" s="2" customFormat="1">
      <c r="A316" s="526" t="s">
        <v>39</v>
      </c>
      <c r="B316" s="527" t="s">
        <v>1168</v>
      </c>
      <c r="C316" s="548" t="s">
        <v>93</v>
      </c>
      <c r="D316" s="7" t="s">
        <v>139</v>
      </c>
      <c r="E316" s="540">
        <v>0.5</v>
      </c>
      <c r="F316" s="406" t="s">
        <v>1161</v>
      </c>
      <c r="G316" s="530" t="s">
        <v>1162</v>
      </c>
      <c r="H316" s="538">
        <v>2</v>
      </c>
      <c r="I316" s="1">
        <v>2</v>
      </c>
      <c r="J316" s="1">
        <v>2</v>
      </c>
      <c r="K316" s="1">
        <v>1</v>
      </c>
      <c r="L316" s="1">
        <v>1</v>
      </c>
      <c r="M316" s="539">
        <v>3</v>
      </c>
      <c r="N316" s="534">
        <f t="shared" si="7"/>
        <v>1.0248662490928169</v>
      </c>
      <c r="O316" s="535">
        <f t="shared" si="8"/>
        <v>1.0248662490928169</v>
      </c>
      <c r="P316" s="536"/>
    </row>
    <row r="317" spans="1:16" s="2" customFormat="1">
      <c r="A317" s="526" t="s">
        <v>39</v>
      </c>
      <c r="B317" s="527" t="s">
        <v>1169</v>
      </c>
      <c r="C317" s="528" t="s">
        <v>94</v>
      </c>
      <c r="D317" s="7" t="s">
        <v>139</v>
      </c>
      <c r="E317" s="529">
        <v>0</v>
      </c>
      <c r="F317" s="406" t="s">
        <v>1161</v>
      </c>
      <c r="G317" s="530" t="s">
        <v>1162</v>
      </c>
      <c r="H317" s="531"/>
      <c r="I317" s="532"/>
      <c r="J317" s="532"/>
      <c r="K317" s="532"/>
      <c r="L317" s="532"/>
      <c r="M317" s="533"/>
      <c r="N317" s="534" t="str">
        <f t="shared" si="7"/>
        <v/>
      </c>
      <c r="O317" s="535" t="str">
        <f t="shared" si="8"/>
        <v/>
      </c>
      <c r="P317" s="536"/>
    </row>
    <row r="318" spans="1:16" s="2" customFormat="1">
      <c r="A318" s="526" t="s">
        <v>39</v>
      </c>
      <c r="B318" s="527" t="s">
        <v>1169</v>
      </c>
      <c r="C318" s="543" t="s">
        <v>95</v>
      </c>
      <c r="D318" s="7" t="s">
        <v>139</v>
      </c>
      <c r="E318" s="529">
        <v>0</v>
      </c>
      <c r="F318" s="406" t="s">
        <v>1161</v>
      </c>
      <c r="G318" s="530" t="s">
        <v>1162</v>
      </c>
      <c r="H318" s="531"/>
      <c r="I318" s="532"/>
      <c r="J318" s="532"/>
      <c r="K318" s="532"/>
      <c r="L318" s="532"/>
      <c r="M318" s="533"/>
      <c r="N318" s="534" t="str">
        <f t="shared" si="7"/>
        <v/>
      </c>
      <c r="O318" s="535" t="str">
        <f t="shared" si="8"/>
        <v/>
      </c>
      <c r="P318" s="536"/>
    </row>
    <row r="319" spans="1:16" s="2" customFormat="1">
      <c r="A319" s="526" t="s">
        <v>39</v>
      </c>
      <c r="B319" s="527" t="s">
        <v>1169</v>
      </c>
      <c r="C319" s="546" t="s">
        <v>96</v>
      </c>
      <c r="D319" s="7" t="s">
        <v>139</v>
      </c>
      <c r="E319" s="529">
        <v>0</v>
      </c>
      <c r="F319" s="406" t="s">
        <v>1161</v>
      </c>
      <c r="G319" s="530" t="s">
        <v>1162</v>
      </c>
      <c r="H319" s="531"/>
      <c r="I319" s="532"/>
      <c r="J319" s="532"/>
      <c r="K319" s="532"/>
      <c r="L319" s="532"/>
      <c r="M319" s="533"/>
      <c r="N319" s="534" t="str">
        <f t="shared" si="7"/>
        <v/>
      </c>
      <c r="O319" s="535" t="str">
        <f t="shared" si="8"/>
        <v/>
      </c>
      <c r="P319" s="536"/>
    </row>
    <row r="320" spans="1:16" s="2" customFormat="1">
      <c r="A320" s="526" t="s">
        <v>39</v>
      </c>
      <c r="B320" s="527" t="s">
        <v>1169</v>
      </c>
      <c r="C320" s="547" t="s">
        <v>97</v>
      </c>
      <c r="D320" s="7" t="s">
        <v>139</v>
      </c>
      <c r="E320" s="529">
        <v>0</v>
      </c>
      <c r="F320" s="406" t="s">
        <v>1161</v>
      </c>
      <c r="G320" s="530" t="s">
        <v>1162</v>
      </c>
      <c r="H320" s="531"/>
      <c r="I320" s="532"/>
      <c r="J320" s="532"/>
      <c r="K320" s="532"/>
      <c r="L320" s="532"/>
      <c r="M320" s="533"/>
      <c r="N320" s="534" t="str">
        <f t="shared" si="7"/>
        <v/>
      </c>
      <c r="O320" s="535" t="str">
        <f t="shared" si="8"/>
        <v/>
      </c>
      <c r="P320" s="536"/>
    </row>
    <row r="321" spans="1:16" s="552" customFormat="1">
      <c r="A321" s="549" t="s">
        <v>39</v>
      </c>
      <c r="B321" s="550" t="s">
        <v>1169</v>
      </c>
      <c r="C321" s="548" t="s">
        <v>93</v>
      </c>
      <c r="D321" s="161" t="s">
        <v>139</v>
      </c>
      <c r="E321" s="529">
        <v>0</v>
      </c>
      <c r="F321" s="406" t="s">
        <v>1161</v>
      </c>
      <c r="G321" s="77" t="s">
        <v>1162</v>
      </c>
      <c r="H321" s="531"/>
      <c r="I321" s="532"/>
      <c r="J321" s="532"/>
      <c r="K321" s="532"/>
      <c r="L321" s="532"/>
      <c r="M321" s="533"/>
      <c r="N321" s="534" t="str">
        <f t="shared" si="7"/>
        <v/>
      </c>
      <c r="O321" s="535" t="str">
        <f t="shared" si="8"/>
        <v/>
      </c>
      <c r="P321" s="551"/>
    </row>
    <row r="323" spans="1:16">
      <c r="A323" s="6" t="s">
        <v>39</v>
      </c>
      <c r="B323" s="527" t="s">
        <v>1160</v>
      </c>
      <c r="C323" s="6" t="s">
        <v>98</v>
      </c>
      <c r="D323" s="6">
        <v>0</v>
      </c>
      <c r="E323" s="553">
        <f>D323/$D$332</f>
        <v>0</v>
      </c>
      <c r="F323" s="34" t="s">
        <v>237</v>
      </c>
      <c r="G323" s="553">
        <f>E330</f>
        <v>0.36860068259385664</v>
      </c>
    </row>
    <row r="324" spans="1:16">
      <c r="A324" s="6" t="s">
        <v>39</v>
      </c>
      <c r="B324" s="527" t="s">
        <v>1163</v>
      </c>
      <c r="C324" s="6" t="s">
        <v>98</v>
      </c>
      <c r="D324" s="6">
        <f>E283*C270</f>
        <v>0.78</v>
      </c>
      <c r="E324" s="553">
        <f t="shared" ref="E324:E331" si="9">D324/$D$332</f>
        <v>1.3310580204778157E-2</v>
      </c>
      <c r="F324" s="34" t="s">
        <v>236</v>
      </c>
      <c r="G324" s="553">
        <f>E331</f>
        <v>0</v>
      </c>
    </row>
    <row r="325" spans="1:16">
      <c r="A325" s="6" t="s">
        <v>39</v>
      </c>
      <c r="B325" s="527" t="s">
        <v>1164</v>
      </c>
      <c r="C325" s="6" t="s">
        <v>98</v>
      </c>
      <c r="D325" s="6">
        <v>0</v>
      </c>
      <c r="E325" s="553">
        <f t="shared" si="9"/>
        <v>0</v>
      </c>
      <c r="F325" s="34" t="s">
        <v>203</v>
      </c>
      <c r="G325" s="553">
        <f>E328</f>
        <v>0.20723549488054607</v>
      </c>
    </row>
    <row r="326" spans="1:16">
      <c r="A326" s="6" t="s">
        <v>39</v>
      </c>
      <c r="B326" s="527" t="s">
        <v>1165</v>
      </c>
      <c r="C326" s="6" t="s">
        <v>98</v>
      </c>
      <c r="D326" s="6">
        <f>E293*C270</f>
        <v>7.3579999999999997</v>
      </c>
      <c r="E326" s="553">
        <f t="shared" si="9"/>
        <v>0.12556313993174059</v>
      </c>
      <c r="F326" s="34" t="s">
        <v>235</v>
      </c>
      <c r="G326" s="553">
        <f>E329</f>
        <v>0</v>
      </c>
    </row>
    <row r="327" spans="1:16">
      <c r="A327" s="6" t="s">
        <v>39</v>
      </c>
      <c r="B327" s="527" t="s">
        <v>1166</v>
      </c>
      <c r="C327" s="6" t="s">
        <v>98</v>
      </c>
      <c r="D327" s="6">
        <f>E298*C270</f>
        <v>16.718</v>
      </c>
      <c r="E327" s="553">
        <f t="shared" si="9"/>
        <v>0.28529010238907848</v>
      </c>
      <c r="F327" s="34" t="s">
        <v>202</v>
      </c>
      <c r="G327" s="553">
        <f>E327</f>
        <v>0.28529010238907848</v>
      </c>
    </row>
    <row r="328" spans="1:16">
      <c r="A328" s="6" t="s">
        <v>39</v>
      </c>
      <c r="B328" s="527" t="s">
        <v>1075</v>
      </c>
      <c r="C328" s="6" t="s">
        <v>98</v>
      </c>
      <c r="D328" s="6">
        <f>E303*C270+E306*C273</f>
        <v>12.144</v>
      </c>
      <c r="E328" s="553">
        <f t="shared" si="9"/>
        <v>0.20723549488054607</v>
      </c>
      <c r="F328" s="34" t="s">
        <v>201</v>
      </c>
      <c r="G328" s="6">
        <v>0</v>
      </c>
    </row>
    <row r="329" spans="1:16">
      <c r="A329" s="6" t="s">
        <v>39</v>
      </c>
      <c r="B329" s="527" t="s">
        <v>1167</v>
      </c>
      <c r="C329" s="6" t="s">
        <v>98</v>
      </c>
      <c r="D329" s="6">
        <v>0</v>
      </c>
      <c r="E329" s="553">
        <f t="shared" si="9"/>
        <v>0</v>
      </c>
      <c r="F329" s="34" t="s">
        <v>200</v>
      </c>
      <c r="G329" s="553">
        <f>E326</f>
        <v>0.12556313993174059</v>
      </c>
    </row>
    <row r="330" spans="1:16">
      <c r="A330" s="6" t="s">
        <v>39</v>
      </c>
      <c r="B330" s="527" t="s">
        <v>1168</v>
      </c>
      <c r="C330" s="6" t="s">
        <v>98</v>
      </c>
      <c r="D330" s="6">
        <f>E312*C269+E314*C271+E316*C273</f>
        <v>21.6</v>
      </c>
      <c r="E330" s="553">
        <f t="shared" si="9"/>
        <v>0.36860068259385664</v>
      </c>
      <c r="F330" s="34" t="s">
        <v>183</v>
      </c>
      <c r="G330" s="553">
        <f>E325</f>
        <v>0</v>
      </c>
    </row>
    <row r="331" spans="1:16">
      <c r="A331" s="6" t="s">
        <v>39</v>
      </c>
      <c r="B331" s="527" t="s">
        <v>1169</v>
      </c>
      <c r="C331" s="6" t="s">
        <v>98</v>
      </c>
      <c r="D331" s="6">
        <v>0</v>
      </c>
      <c r="E331" s="553">
        <f t="shared" si="9"/>
        <v>0</v>
      </c>
      <c r="F331" s="34" t="s">
        <v>142</v>
      </c>
      <c r="G331" s="553">
        <f>E324</f>
        <v>1.3310580204778157E-2</v>
      </c>
    </row>
    <row r="332" spans="1:16">
      <c r="D332" s="6">
        <f>SUM(D323:D331)</f>
        <v>58.6</v>
      </c>
      <c r="F332" s="34" t="s">
        <v>138</v>
      </c>
      <c r="G332" s="553">
        <f>E323</f>
        <v>0</v>
      </c>
    </row>
    <row r="333" spans="1:16">
      <c r="E333" s="553">
        <f>SUM(E323:E332)</f>
        <v>1</v>
      </c>
      <c r="G333" s="553">
        <f>SUM(G323:G332)</f>
        <v>1</v>
      </c>
    </row>
  </sheetData>
  <mergeCells count="77">
    <mergeCell ref="A133:P134"/>
    <mergeCell ref="F38:I38"/>
    <mergeCell ref="F39:I39"/>
    <mergeCell ref="F40:I40"/>
    <mergeCell ref="F33:I33"/>
    <mergeCell ref="F34:I34"/>
    <mergeCell ref="F35:I35"/>
    <mergeCell ref="F36:I36"/>
    <mergeCell ref="F37:I37"/>
    <mergeCell ref="F20:I20"/>
    <mergeCell ref="F21:I21"/>
    <mergeCell ref="F24:I24"/>
    <mergeCell ref="F25:I25"/>
    <mergeCell ref="F23:I23"/>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I4:O4"/>
    <mergeCell ref="I5:O5"/>
    <mergeCell ref="I6:O6"/>
    <mergeCell ref="I7:O7"/>
    <mergeCell ref="I8:O8"/>
    <mergeCell ref="A1:R1"/>
    <mergeCell ref="A2:A3"/>
    <mergeCell ref="B2:B3"/>
    <mergeCell ref="C2:C3"/>
    <mergeCell ref="G2:G3"/>
    <mergeCell ref="D2:D3"/>
    <mergeCell ref="H2:H3"/>
    <mergeCell ref="I2:O3"/>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Z15:AC15"/>
    <mergeCell ref="AK15:AN15"/>
    <mergeCell ref="Z16:AC16"/>
    <mergeCell ref="AK16:AN16"/>
    <mergeCell ref="Z17:AC17"/>
    <mergeCell ref="AK17:AN17"/>
    <mergeCell ref="Z18:AC18"/>
    <mergeCell ref="AK18:AN18"/>
    <mergeCell ref="Z19:AC19"/>
    <mergeCell ref="AK19:AN19"/>
    <mergeCell ref="Z20:AC20"/>
    <mergeCell ref="AK20:AN20"/>
    <mergeCell ref="Z21:AC21"/>
    <mergeCell ref="AK21:AN21"/>
    <mergeCell ref="Z61:AC61"/>
    <mergeCell ref="AK61:AN61"/>
    <mergeCell ref="Z62:AC62"/>
    <mergeCell ref="AK62:AN62"/>
  </mergeCells>
  <conditionalFormatting sqref="H45:M54">
    <cfRule type="cellIs" dxfId="77"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76"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75"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74"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73"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72"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71"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70"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69" priority="42">
      <formula>LEN(TRIM(H45))=0</formula>
    </cfRule>
  </conditionalFormatting>
  <conditionalFormatting sqref="H56:N65">
    <cfRule type="containsBlanks" dxfId="68" priority="37">
      <formula>LEN(TRIM(H56))=0</formula>
    </cfRule>
  </conditionalFormatting>
  <conditionalFormatting sqref="H67:N76">
    <cfRule type="containsBlanks" dxfId="67" priority="32">
      <formula>LEN(TRIM(H67))=0</formula>
    </cfRule>
  </conditionalFormatting>
  <conditionalFormatting sqref="H78:N87">
    <cfRule type="containsBlanks" dxfId="66" priority="27">
      <formula>LEN(TRIM(H78))=0</formula>
    </cfRule>
  </conditionalFormatting>
  <conditionalFormatting sqref="H89:N98">
    <cfRule type="containsBlanks" dxfId="65" priority="22">
      <formula>LEN(TRIM(H89))=0</formula>
    </cfRule>
  </conditionalFormatting>
  <conditionalFormatting sqref="H100:N109">
    <cfRule type="containsBlanks" dxfId="64" priority="17">
      <formula>LEN(TRIM(H100))=0</formula>
    </cfRule>
  </conditionalFormatting>
  <conditionalFormatting sqref="H111:N120">
    <cfRule type="containsBlanks" dxfId="63" priority="12">
      <formula>LEN(TRIM(H111))=0</formula>
    </cfRule>
  </conditionalFormatting>
  <conditionalFormatting sqref="H122:N132">
    <cfRule type="containsBlanks" dxfId="62"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61"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60" priority="44" operator="containsText" text="Actual TC">
      <formula>NOT(ISERROR(SEARCH("Actual TC",O45)))</formula>
    </cfRule>
  </conditionalFormatting>
  <conditionalFormatting sqref="O56:O65">
    <cfRule type="containsText" dxfId="59" priority="39" operator="containsText" text="Actual TC">
      <formula>NOT(ISERROR(SEARCH("Actual TC",O56)))</formula>
    </cfRule>
  </conditionalFormatting>
  <conditionalFormatting sqref="O67:O76">
    <cfRule type="containsText" dxfId="58" priority="34" operator="containsText" text="Actual TC">
      <formula>NOT(ISERROR(SEARCH("Actual TC",O67)))</formula>
    </cfRule>
  </conditionalFormatting>
  <conditionalFormatting sqref="O78:O87">
    <cfRule type="containsText" dxfId="57" priority="29" operator="containsText" text="Actual TC">
      <formula>NOT(ISERROR(SEARCH("Actual TC",O78)))</formula>
    </cfRule>
  </conditionalFormatting>
  <conditionalFormatting sqref="O89:O98">
    <cfRule type="containsText" dxfId="56" priority="24" operator="containsText" text="Actual TC">
      <formula>NOT(ISERROR(SEARCH("Actual TC",O89)))</formula>
    </cfRule>
  </conditionalFormatting>
  <conditionalFormatting sqref="O100:O109">
    <cfRule type="containsText" dxfId="55" priority="19" operator="containsText" text="Actual TC">
      <formula>NOT(ISERROR(SEARCH("Actual TC",O100)))</formula>
    </cfRule>
  </conditionalFormatting>
  <conditionalFormatting sqref="O111:O120">
    <cfRule type="containsText" dxfId="54" priority="14" operator="containsText" text="Actual TC">
      <formula>NOT(ISERROR(SEARCH("Actual TC",O111)))</formula>
    </cfRule>
  </conditionalFormatting>
  <conditionalFormatting sqref="O122:O132">
    <cfRule type="containsText" dxfId="53"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B31" sqref="B31"/>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73" t="s">
        <v>2006</v>
      </c>
      <c r="B1" s="667" t="s">
        <v>2007</v>
      </c>
      <c r="C1" s="472"/>
      <c r="D1" s="472"/>
      <c r="E1" s="472"/>
      <c r="F1" s="472"/>
      <c r="G1" s="472"/>
      <c r="H1" s="472"/>
      <c r="I1" s="472"/>
      <c r="J1" s="472"/>
      <c r="K1" s="472"/>
      <c r="L1" s="472"/>
      <c r="M1" s="472"/>
      <c r="N1" s="472"/>
      <c r="O1" s="472"/>
    </row>
    <row r="3" spans="1:15" ht="15.75" thickBot="1">
      <c r="A3" s="224" t="s">
        <v>1176</v>
      </c>
      <c r="B3" s="9" t="s">
        <v>1170</v>
      </c>
      <c r="C3" s="9" t="s">
        <v>139</v>
      </c>
      <c r="D3" s="9" t="s">
        <v>139</v>
      </c>
      <c r="E3" s="310">
        <f>0.004*0.0001/100</f>
        <v>4.0000000000000002E-9</v>
      </c>
      <c r="F3" s="658">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1176</v>
      </c>
      <c r="B4" s="9" t="s">
        <v>1170</v>
      </c>
      <c r="C4" s="9" t="s">
        <v>139</v>
      </c>
      <c r="D4" s="9" t="s">
        <v>139</v>
      </c>
      <c r="E4" s="310">
        <f>0.004*0.04/100</f>
        <v>1.6000000000000001E-6</v>
      </c>
      <c r="F4" s="658">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1176</v>
      </c>
      <c r="B5" s="9" t="s">
        <v>251</v>
      </c>
      <c r="C5" s="9" t="s">
        <v>139</v>
      </c>
      <c r="D5" s="9" t="s">
        <v>139</v>
      </c>
      <c r="E5" s="310">
        <f>(1-0.004)*0.0001/100</f>
        <v>9.9600000000000008E-7</v>
      </c>
      <c r="F5" s="658">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1176</v>
      </c>
      <c r="B6" s="9" t="s">
        <v>251</v>
      </c>
      <c r="C6" s="9" t="s">
        <v>139</v>
      </c>
      <c r="D6" s="9" t="s">
        <v>139</v>
      </c>
      <c r="E6" s="310">
        <f>(1-0.004)*0.04/100</f>
        <v>3.9839999999999998E-4</v>
      </c>
      <c r="F6" s="658">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75" thickBot="1">
      <c r="A8" s="599" t="s">
        <v>417</v>
      </c>
      <c r="B8" s="9" t="s">
        <v>232</v>
      </c>
      <c r="C8" s="122" t="s">
        <v>139</v>
      </c>
      <c r="D8" s="9" t="s">
        <v>139</v>
      </c>
      <c r="E8" s="310">
        <f>0.004*0.0001/100</f>
        <v>4.0000000000000002E-9</v>
      </c>
      <c r="F8" s="310">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9" t="s">
        <v>417</v>
      </c>
      <c r="B9" s="9" t="s">
        <v>232</v>
      </c>
      <c r="C9" s="122" t="s">
        <v>139</v>
      </c>
      <c r="D9" s="9" t="s">
        <v>139</v>
      </c>
      <c r="E9" s="310">
        <f>0.004*0.04/100</f>
        <v>1.6000000000000001E-6</v>
      </c>
      <c r="F9" s="310">
        <v>2</v>
      </c>
      <c r="G9" s="224" t="s">
        <v>252</v>
      </c>
      <c r="H9" s="13">
        <v>2</v>
      </c>
      <c r="I9" s="13">
        <v>1</v>
      </c>
      <c r="J9" s="13">
        <v>2</v>
      </c>
      <c r="K9" s="13">
        <v>3</v>
      </c>
      <c r="L9" s="13">
        <v>3</v>
      </c>
      <c r="M9" s="13">
        <v>2</v>
      </c>
      <c r="N9" s="177">
        <f t="shared" si="0"/>
        <v>0.60108474454521421</v>
      </c>
      <c r="O9" s="224"/>
    </row>
    <row r="10" spans="1:15">
      <c r="A10" s="599" t="s">
        <v>417</v>
      </c>
      <c r="B10" s="9" t="s">
        <v>251</v>
      </c>
      <c r="C10" s="122" t="s">
        <v>139</v>
      </c>
      <c r="D10" s="9" t="s">
        <v>139</v>
      </c>
      <c r="E10" s="310">
        <f>(1-0.008)*0.0001/100</f>
        <v>9.9199999999999999E-7</v>
      </c>
      <c r="F10" s="310">
        <v>2</v>
      </c>
      <c r="G10" s="224" t="s">
        <v>252</v>
      </c>
      <c r="H10" s="15">
        <v>2</v>
      </c>
      <c r="I10" s="15">
        <v>1</v>
      </c>
      <c r="J10" s="15">
        <v>2</v>
      </c>
      <c r="K10" s="15">
        <v>3</v>
      </c>
      <c r="L10" s="15">
        <v>3</v>
      </c>
      <c r="M10" s="15">
        <v>2</v>
      </c>
      <c r="N10" s="177">
        <f t="shared" si="0"/>
        <v>0.60108474454521421</v>
      </c>
      <c r="O10" s="224"/>
    </row>
    <row r="11" spans="1:15">
      <c r="A11" s="599" t="s">
        <v>417</v>
      </c>
      <c r="B11" s="9" t="s">
        <v>251</v>
      </c>
      <c r="C11" s="122" t="s">
        <v>139</v>
      </c>
      <c r="D11" s="9" t="s">
        <v>139</v>
      </c>
      <c r="E11" s="310">
        <f>(1-0.008)*0.04/100</f>
        <v>3.968E-4</v>
      </c>
      <c r="F11" s="310">
        <v>2</v>
      </c>
      <c r="G11" s="224" t="s">
        <v>252</v>
      </c>
      <c r="H11" s="71">
        <v>2</v>
      </c>
      <c r="I11" s="71">
        <v>1</v>
      </c>
      <c r="J11" s="71">
        <v>2</v>
      </c>
      <c r="K11" s="71">
        <v>3</v>
      </c>
      <c r="L11" s="71">
        <v>3</v>
      </c>
      <c r="M11" s="71">
        <v>2</v>
      </c>
      <c r="N11" s="180">
        <f t="shared" si="0"/>
        <v>0.60108474454521421</v>
      </c>
      <c r="O11" s="224"/>
    </row>
    <row r="12" spans="1:15">
      <c r="A12" s="599" t="s">
        <v>417</v>
      </c>
      <c r="B12" s="9" t="s">
        <v>231</v>
      </c>
      <c r="C12" s="122" t="s">
        <v>139</v>
      </c>
      <c r="D12" s="9" t="s">
        <v>139</v>
      </c>
      <c r="E12" s="310">
        <f>0.004*0.0001/100</f>
        <v>4.0000000000000002E-9</v>
      </c>
      <c r="F12" s="310">
        <v>2</v>
      </c>
      <c r="G12" s="224" t="s">
        <v>252</v>
      </c>
      <c r="H12" s="71">
        <v>2</v>
      </c>
      <c r="I12" s="71">
        <v>1</v>
      </c>
      <c r="J12" s="71">
        <v>2</v>
      </c>
      <c r="K12" s="71">
        <v>3</v>
      </c>
      <c r="L12" s="71">
        <v>3</v>
      </c>
      <c r="M12" s="71">
        <v>2</v>
      </c>
      <c r="N12" s="180">
        <f t="shared" si="0"/>
        <v>0.60108474454521421</v>
      </c>
      <c r="O12" s="224"/>
    </row>
    <row r="13" spans="1:15">
      <c r="A13" s="599" t="s">
        <v>417</v>
      </c>
      <c r="B13" s="9" t="s">
        <v>231</v>
      </c>
      <c r="C13" s="122" t="s">
        <v>139</v>
      </c>
      <c r="D13" s="9" t="s">
        <v>139</v>
      </c>
      <c r="E13" s="310">
        <f>0.004*0.04/100</f>
        <v>1.6000000000000001E-6</v>
      </c>
      <c r="F13" s="310">
        <v>2</v>
      </c>
      <c r="G13" s="224" t="s">
        <v>252</v>
      </c>
      <c r="H13" s="71">
        <v>2</v>
      </c>
      <c r="I13" s="71">
        <v>1</v>
      </c>
      <c r="J13" s="71">
        <v>2</v>
      </c>
      <c r="K13" s="71">
        <v>3</v>
      </c>
      <c r="L13" s="71">
        <v>3</v>
      </c>
      <c r="M13" s="71">
        <v>2</v>
      </c>
      <c r="N13" s="180">
        <f t="shared" si="0"/>
        <v>0.60108474454521421</v>
      </c>
      <c r="O13" s="224"/>
    </row>
    <row r="14" spans="1:15">
      <c r="E14" s="16"/>
    </row>
    <row r="15" spans="1:15" ht="15.75" thickBot="1">
      <c r="A15" s="9" t="s">
        <v>283</v>
      </c>
      <c r="B15" s="122" t="s">
        <v>1170</v>
      </c>
      <c r="C15" s="9" t="s">
        <v>139</v>
      </c>
      <c r="D15" s="9" t="s">
        <v>139</v>
      </c>
      <c r="E15" s="310">
        <f>0.004*0.0001/100</f>
        <v>4.0000000000000002E-9</v>
      </c>
      <c r="F15" s="310">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1170</v>
      </c>
      <c r="C16" s="9" t="s">
        <v>139</v>
      </c>
      <c r="D16" s="9" t="s">
        <v>139</v>
      </c>
      <c r="E16" s="310">
        <f>0.004*0.04/100</f>
        <v>1.6000000000000001E-6</v>
      </c>
      <c r="F16" s="310">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10">
        <f>(1-0.004)*0.0001/100</f>
        <v>9.9600000000000008E-7</v>
      </c>
      <c r="F17" s="310">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10">
        <f>(1-0.004)*0.04/100</f>
        <v>3.9839999999999998E-4</v>
      </c>
      <c r="F18" s="310">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9">
        <v>9.9999999999999995E-7</v>
      </c>
      <c r="F20" s="9">
        <v>2</v>
      </c>
      <c r="G20" s="186" t="s">
        <v>1995</v>
      </c>
      <c r="H20" s="10">
        <v>2</v>
      </c>
      <c r="I20" s="10">
        <v>2</v>
      </c>
      <c r="J20" s="10">
        <v>3</v>
      </c>
      <c r="K20" s="10">
        <v>3</v>
      </c>
      <c r="L20" s="10">
        <v>3</v>
      </c>
      <c r="M20" s="10">
        <v>2</v>
      </c>
      <c r="N20" s="405">
        <f>IF( OR( ISBLANK(H20),ISBLANK(J20), ISBLANK(K20), ISBLANK(L20), ISBLANK(M20) ), "", 1.5*SQRT(   EXP(2.21*(H20-1)) + EXP(2.21*(J20-1)) + EXP(2.21*(K20-1)) + EXP(2.21*(L20-1)) + EXP(2.21*M20)   )/100*2.45 )</f>
        <v>0.67913051197703389</v>
      </c>
      <c r="O20" s="405">
        <f>IF( OR( ISBLANK(I20),ISBLANK(J20), ISBLANK(K20), ISBLANK(L20), ISBLANK(M20) ), "", 1.5*SQRT( EXP(2.21*(I20-1)) + EXP(2.21*(J20-1)) + EXP(2.21*(K20-1)) + EXP(2.21*(L20-1)) + EXP(2.21*M20)   )/100*2.45 )</f>
        <v>0.67913051197703389</v>
      </c>
      <c r="P20" s="9" t="s">
        <v>525</v>
      </c>
    </row>
    <row r="21" spans="1:16">
      <c r="A21" s="9" t="s">
        <v>109</v>
      </c>
      <c r="B21" s="9" t="s">
        <v>261</v>
      </c>
      <c r="C21" s="9" t="s">
        <v>139</v>
      </c>
      <c r="D21" s="9" t="s">
        <v>139</v>
      </c>
      <c r="E21" s="769">
        <v>4.0000000000000002E-4</v>
      </c>
      <c r="F21" s="9">
        <v>2</v>
      </c>
      <c r="G21" s="186" t="s">
        <v>1995</v>
      </c>
      <c r="H21" s="10">
        <v>2</v>
      </c>
      <c r="I21" s="10">
        <v>2</v>
      </c>
      <c r="J21" s="10">
        <v>3</v>
      </c>
      <c r="K21" s="10">
        <v>3</v>
      </c>
      <c r="L21" s="10">
        <v>3</v>
      </c>
      <c r="M21" s="10">
        <v>2</v>
      </c>
      <c r="N21" s="405">
        <f>IF( OR( ISBLANK(H21),ISBLANK(J21), ISBLANK(K21), ISBLANK(L21), ISBLANK(M21) ), "", 1.5*SQRT(   EXP(2.21*(H21-1)) + EXP(2.21*(J21-1)) + EXP(2.21*(K21-1)) + EXP(2.21*(L21-1)) + EXP(2.21*M21)   )/100*2.45 )</f>
        <v>0.67913051197703389</v>
      </c>
      <c r="O21" s="405">
        <f>IF( OR( ISBLANK(I21),ISBLANK(J21), ISBLANK(K21), ISBLANK(L21), ISBLANK(M21) ), "", 1.5*SQRT( EXP(2.21*(I21-1)) + EXP(2.21*(J21-1)) + EXP(2.21*(K21-1)) + EXP(2.21*(L21-1)) + EXP(2.21*M21)   )/100*2.45 )</f>
        <v>0.67913051197703389</v>
      </c>
      <c r="P21" s="9" t="s">
        <v>525</v>
      </c>
    </row>
    <row r="23" spans="1:16">
      <c r="A23" s="7" t="s">
        <v>2008</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52" priority="52" stopIfTrue="1" operator="notBetween">
      <formula>1</formula>
      <formula>4</formula>
    </cfRule>
  </conditionalFormatting>
  <conditionalFormatting sqref="H8:M13">
    <cfRule type="cellIs" dxfId="51" priority="32" stopIfTrue="1" operator="notBetween">
      <formula>1</formula>
      <formula>4</formula>
    </cfRule>
  </conditionalFormatting>
  <conditionalFormatting sqref="H15:M18">
    <cfRule type="cellIs" dxfId="50"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49" priority="4" stopIfTrue="1" operator="notBetween">
      <formula>1</formula>
      <formula>4</formula>
    </cfRule>
  </conditionalFormatting>
  <conditionalFormatting sqref="H3:N6">
    <cfRule type="containsBlanks" dxfId="48" priority="49">
      <formula>LEN(TRIM(H3))=0</formula>
    </cfRule>
  </conditionalFormatting>
  <conditionalFormatting sqref="H8:N13">
    <cfRule type="containsBlanks" dxfId="47" priority="29">
      <formula>LEN(TRIM(H8))=0</formula>
    </cfRule>
  </conditionalFormatting>
  <conditionalFormatting sqref="H15:N18">
    <cfRule type="containsBlanks" dxfId="46" priority="9">
      <formula>LEN(TRIM(H15))=0</formula>
    </cfRule>
  </conditionalFormatting>
  <conditionalFormatting sqref="H20:O21">
    <cfRule type="containsBlanks" dxfId="45"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44"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137" t="s">
        <v>1177</v>
      </c>
      <c r="B1" s="1137"/>
      <c r="C1" s="1137"/>
      <c r="D1" s="1137"/>
      <c r="E1" s="1137"/>
      <c r="F1" s="1137"/>
      <c r="G1" s="1137"/>
      <c r="H1" s="1137"/>
      <c r="I1" s="1137"/>
      <c r="J1" s="1137"/>
      <c r="K1" s="1137"/>
      <c r="L1" s="1137"/>
      <c r="M1" s="1137"/>
      <c r="N1" s="1137"/>
      <c r="O1" s="1137"/>
      <c r="P1" s="1137"/>
      <c r="Q1" s="1137"/>
      <c r="R1" s="1137"/>
      <c r="S1" s="1137"/>
    </row>
    <row r="2" spans="1:32" s="6" customFormat="1" ht="30" customHeight="1">
      <c r="A2" s="140" t="s">
        <v>1178</v>
      </c>
      <c r="B2" s="355" t="s">
        <v>101</v>
      </c>
      <c r="C2" s="355" t="s">
        <v>131</v>
      </c>
      <c r="D2" s="352" t="s">
        <v>1179</v>
      </c>
      <c r="E2" s="1251" t="s">
        <v>104</v>
      </c>
      <c r="F2" s="1252"/>
      <c r="G2" s="1252"/>
      <c r="H2" s="1252"/>
      <c r="I2" s="1252"/>
      <c r="J2" s="1253"/>
      <c r="K2" s="1250" t="s">
        <v>123</v>
      </c>
      <c r="L2" s="1250"/>
      <c r="M2" s="1250"/>
      <c r="N2" s="1250"/>
      <c r="O2" s="1250"/>
      <c r="P2" s="1250"/>
      <c r="Q2" s="1250"/>
      <c r="R2" s="1250"/>
      <c r="S2" s="1250"/>
      <c r="AD2"/>
      <c r="AE2"/>
      <c r="AF2"/>
    </row>
    <row r="3" spans="1:32">
      <c r="A3" s="9" t="s">
        <v>1180</v>
      </c>
      <c r="B3" s="359">
        <v>2011</v>
      </c>
      <c r="C3" s="357" t="s">
        <v>180</v>
      </c>
      <c r="D3" s="357">
        <v>1273</v>
      </c>
      <c r="E3" s="1255" t="s">
        <v>1181</v>
      </c>
      <c r="F3" s="1256"/>
      <c r="G3" s="1256"/>
      <c r="H3" s="1256"/>
      <c r="I3" s="1256"/>
      <c r="J3" s="1257"/>
      <c r="K3" s="1221" t="s">
        <v>1182</v>
      </c>
      <c r="L3" s="1221"/>
      <c r="M3" s="1221"/>
      <c r="N3" s="1221"/>
      <c r="O3" s="1221"/>
      <c r="P3" s="1221"/>
      <c r="Q3" s="1221"/>
      <c r="R3" s="1221"/>
      <c r="S3" s="1221"/>
    </row>
    <row r="4" spans="1:32">
      <c r="A4" s="9" t="s">
        <v>1183</v>
      </c>
      <c r="B4" s="357">
        <v>2011</v>
      </c>
      <c r="C4" s="357" t="s">
        <v>180</v>
      </c>
      <c r="D4" s="357">
        <v>308</v>
      </c>
      <c r="E4" s="1230" t="s">
        <v>1181</v>
      </c>
      <c r="F4" s="1230"/>
      <c r="G4" s="1230"/>
      <c r="H4" s="1230"/>
      <c r="I4" s="1230"/>
      <c r="J4" s="1230"/>
      <c r="K4" s="1221"/>
      <c r="L4" s="1221"/>
      <c r="M4" s="1221"/>
      <c r="N4" s="1221"/>
      <c r="O4" s="1221"/>
      <c r="P4" s="1221"/>
      <c r="Q4" s="1221"/>
      <c r="R4" s="1221"/>
      <c r="S4" s="1221"/>
    </row>
    <row r="5" spans="1:32">
      <c r="A5" s="356" t="s">
        <v>1184</v>
      </c>
      <c r="B5" s="357">
        <v>2011</v>
      </c>
      <c r="C5" s="357" t="s">
        <v>180</v>
      </c>
      <c r="D5" s="358">
        <f>SUM(D3:D4)</f>
        <v>1581</v>
      </c>
      <c r="E5" s="1219"/>
      <c r="F5" s="1254"/>
      <c r="G5" s="1254"/>
      <c r="H5" s="1254"/>
      <c r="I5" s="1254"/>
      <c r="J5" s="1220"/>
      <c r="K5" s="1221"/>
      <c r="L5" s="1221"/>
      <c r="M5" s="1221"/>
      <c r="N5" s="1221"/>
      <c r="O5" s="1221"/>
      <c r="P5" s="1221"/>
      <c r="Q5" s="1221"/>
      <c r="R5" s="1221"/>
      <c r="S5" s="1221"/>
    </row>
    <row r="6" spans="1:32">
      <c r="A6" s="7"/>
      <c r="B6" s="7"/>
      <c r="C6" s="7"/>
      <c r="D6" s="7"/>
      <c r="E6" s="7"/>
      <c r="F6" s="354"/>
      <c r="G6" s="354"/>
      <c r="H6" s="354"/>
      <c r="I6" s="354"/>
      <c r="J6" s="354"/>
      <c r="K6" s="1"/>
    </row>
    <row r="7" spans="1:32" s="6" customFormat="1" ht="30" customHeight="1">
      <c r="A7" s="1137" t="s">
        <v>1185</v>
      </c>
      <c r="B7" s="1137"/>
      <c r="C7" s="1137"/>
      <c r="D7" s="1137"/>
      <c r="E7" s="1137"/>
      <c r="F7" s="1137"/>
      <c r="G7" s="1137"/>
      <c r="H7" s="1137"/>
      <c r="I7" s="1137"/>
      <c r="J7" s="1137"/>
      <c r="K7" s="1137"/>
      <c r="L7" s="1137"/>
      <c r="M7" s="1137"/>
      <c r="N7" s="1137"/>
      <c r="O7" s="1137"/>
      <c r="P7" s="1137"/>
      <c r="Q7" s="1137"/>
      <c r="R7" s="1137"/>
      <c r="S7" s="1137"/>
    </row>
    <row r="8" spans="1:32" s="6" customFormat="1" ht="30" customHeight="1">
      <c r="A8" s="140" t="s">
        <v>1186</v>
      </c>
      <c r="B8" s="355" t="s">
        <v>131</v>
      </c>
      <c r="C8" s="355" t="s">
        <v>1187</v>
      </c>
      <c r="D8" s="352" t="s">
        <v>1188</v>
      </c>
      <c r="E8" s="1250" t="s">
        <v>104</v>
      </c>
      <c r="F8" s="1250"/>
      <c r="G8" s="1250"/>
      <c r="H8" s="1250"/>
      <c r="I8" s="1250"/>
      <c r="J8" s="1250"/>
      <c r="K8" s="1250" t="s">
        <v>123</v>
      </c>
      <c r="L8" s="1250"/>
      <c r="M8" s="1250"/>
      <c r="N8" s="1250"/>
      <c r="O8" s="1250"/>
      <c r="P8" s="1250"/>
      <c r="Q8" s="1250"/>
      <c r="R8" s="1250"/>
      <c r="S8" s="1250"/>
      <c r="AD8"/>
      <c r="AE8"/>
      <c r="AF8"/>
    </row>
    <row r="9" spans="1:32">
      <c r="A9" s="9" t="s">
        <v>167</v>
      </c>
      <c r="B9" s="357" t="s">
        <v>180</v>
      </c>
      <c r="C9" s="357" t="s">
        <v>1189</v>
      </c>
      <c r="D9" s="357">
        <v>0.01</v>
      </c>
      <c r="E9" s="1230" t="s">
        <v>1190</v>
      </c>
      <c r="F9" s="1230"/>
      <c r="G9" s="1230"/>
      <c r="H9" s="1230"/>
      <c r="I9" s="1230"/>
      <c r="J9" s="1230"/>
      <c r="K9" s="1221" t="s">
        <v>1191</v>
      </c>
      <c r="L9" s="1221"/>
      <c r="M9" s="1221"/>
      <c r="N9" s="1221"/>
      <c r="O9" s="1221"/>
      <c r="P9" s="1221"/>
      <c r="Q9" s="1221"/>
      <c r="R9" s="1221"/>
      <c r="S9" s="1221"/>
    </row>
    <row r="10" spans="1:32">
      <c r="A10" s="7"/>
      <c r="B10" s="7"/>
      <c r="C10" s="7"/>
      <c r="D10" s="7"/>
      <c r="E10" s="7"/>
      <c r="F10" s="354"/>
      <c r="G10" s="354"/>
      <c r="H10" s="354"/>
      <c r="I10" s="354"/>
    </row>
    <row r="11" spans="1:32" s="6" customFormat="1" ht="30" customHeight="1">
      <c r="A11" s="1137" t="s">
        <v>1192</v>
      </c>
      <c r="B11" s="1137"/>
      <c r="C11" s="1137"/>
      <c r="D11" s="1137"/>
      <c r="E11" s="1137"/>
      <c r="F11" s="1137"/>
      <c r="G11" s="1137"/>
      <c r="H11" s="1137"/>
      <c r="I11" s="1137"/>
      <c r="J11" s="1137"/>
      <c r="K11" s="1137"/>
      <c r="L11" s="1137"/>
      <c r="M11" s="1137"/>
      <c r="N11" s="1137"/>
      <c r="O11" s="1137"/>
      <c r="P11" s="1137"/>
      <c r="Q11" s="1137"/>
      <c r="R11" s="1137"/>
      <c r="S11" s="1137"/>
    </row>
    <row r="12" spans="1:32" s="6" customFormat="1" ht="30" customHeight="1">
      <c r="A12" s="140" t="s">
        <v>1186</v>
      </c>
      <c r="B12" s="355" t="s">
        <v>101</v>
      </c>
      <c r="C12" s="355" t="s">
        <v>131</v>
      </c>
      <c r="D12" s="355" t="s">
        <v>102</v>
      </c>
      <c r="E12" s="353" t="s">
        <v>1193</v>
      </c>
      <c r="AD12"/>
      <c r="AE12"/>
      <c r="AF12"/>
    </row>
    <row r="13" spans="1:32">
      <c r="A13" s="9" t="s">
        <v>167</v>
      </c>
      <c r="B13" s="357">
        <v>2011</v>
      </c>
      <c r="C13" s="357" t="s">
        <v>180</v>
      </c>
      <c r="D13" s="357" t="s">
        <v>1189</v>
      </c>
      <c r="E13" s="357">
        <f>D9*D5</f>
        <v>15.81</v>
      </c>
    </row>
    <row r="14" spans="1:32">
      <c r="A14" s="7"/>
      <c r="B14" s="7"/>
      <c r="C14" s="7"/>
      <c r="D14" s="7"/>
      <c r="E14" s="7"/>
      <c r="F14" s="354"/>
      <c r="G14" s="354"/>
      <c r="H14" s="354"/>
      <c r="I14" s="354"/>
      <c r="J14" s="354"/>
      <c r="K14" s="1"/>
    </row>
    <row r="15" spans="1:32" s="6" customFormat="1" ht="30" customHeight="1">
      <c r="A15" s="1137" t="s">
        <v>1194</v>
      </c>
      <c r="B15" s="1137"/>
      <c r="C15" s="1137"/>
      <c r="D15" s="1137"/>
      <c r="E15" s="1137"/>
      <c r="F15" s="1137"/>
      <c r="G15" s="1137"/>
      <c r="H15" s="1137"/>
      <c r="I15" s="1137"/>
      <c r="J15" s="1137"/>
      <c r="K15" s="1137"/>
      <c r="L15" s="1137"/>
      <c r="M15" s="1137"/>
      <c r="N15" s="1137"/>
      <c r="O15" s="1137"/>
      <c r="P15" s="1137"/>
      <c r="Q15" s="1137"/>
      <c r="R15" s="1137"/>
      <c r="S15" s="1137"/>
    </row>
    <row r="16" spans="1:32" s="6" customFormat="1" ht="30" customHeight="1">
      <c r="A16" s="361" t="s">
        <v>130</v>
      </c>
      <c r="B16" s="355" t="s">
        <v>101</v>
      </c>
      <c r="C16" s="355" t="s">
        <v>131</v>
      </c>
      <c r="D16" s="355" t="s">
        <v>102</v>
      </c>
      <c r="E16" s="363" t="s">
        <v>1195</v>
      </c>
      <c r="F16" s="365" t="s">
        <v>1196</v>
      </c>
      <c r="G16"/>
      <c r="H16"/>
      <c r="I16"/>
      <c r="J16"/>
      <c r="K16"/>
      <c r="L16"/>
      <c r="M16"/>
      <c r="N16"/>
      <c r="O16"/>
    </row>
    <row r="17" spans="1:19">
      <c r="A17" s="9" t="s">
        <v>200</v>
      </c>
      <c r="B17" s="357">
        <v>2011</v>
      </c>
      <c r="C17" s="357" t="s">
        <v>180</v>
      </c>
      <c r="D17" s="359" t="s">
        <v>1189</v>
      </c>
      <c r="E17" s="405">
        <f xml:space="preserve"> 23.6015+23.72052+1.347871+10.4485+0.29442+0.127448</f>
        <v>59.540259000000006</v>
      </c>
      <c r="F17" s="405">
        <f xml:space="preserve"> 23.6015+23.72052+1.347871+10.4485+0.29442+0.127448</f>
        <v>59.540259000000006</v>
      </c>
      <c r="G17"/>
      <c r="H17"/>
      <c r="I17"/>
      <c r="J17"/>
      <c r="K17"/>
      <c r="L17"/>
      <c r="M17"/>
      <c r="N17"/>
      <c r="O17"/>
    </row>
    <row r="18" spans="1:19">
      <c r="A18" s="9" t="s">
        <v>202</v>
      </c>
      <c r="B18" s="357">
        <v>2011</v>
      </c>
      <c r="C18" s="357" t="s">
        <v>180</v>
      </c>
      <c r="D18" s="359" t="s">
        <v>1189</v>
      </c>
      <c r="E18" s="405">
        <f>6.221624+16.3967+7.014859+17.73089+0.649159</f>
        <v>48.013232000000002</v>
      </c>
      <c r="F18" s="405">
        <f>6.221624+16.3967+7.014859+17.73089+0.649159</f>
        <v>48.013232000000002</v>
      </c>
      <c r="G18"/>
      <c r="H18"/>
      <c r="I18"/>
      <c r="J18"/>
      <c r="K18"/>
      <c r="L18"/>
      <c r="M18"/>
      <c r="N18"/>
      <c r="O18"/>
    </row>
    <row r="19" spans="1:19">
      <c r="A19" s="9" t="s">
        <v>201</v>
      </c>
      <c r="B19" s="357">
        <v>2011</v>
      </c>
      <c r="C19" s="357" t="s">
        <v>180</v>
      </c>
      <c r="D19" s="359" t="s">
        <v>1189</v>
      </c>
      <c r="E19" s="405">
        <f>32.70976+0.28954+33.75779+1.09234+0.260305</f>
        <v>68.109735000000015</v>
      </c>
      <c r="F19" s="405">
        <f>32.70976+0.28954+33.75779+1.09234+0.260305</f>
        <v>68.109735000000015</v>
      </c>
      <c r="G19"/>
      <c r="H19"/>
      <c r="I19"/>
      <c r="J19"/>
      <c r="K19"/>
      <c r="L19"/>
      <c r="M19"/>
      <c r="N19"/>
      <c r="O19"/>
    </row>
    <row r="20" spans="1:19">
      <c r="A20" s="9" t="s">
        <v>203</v>
      </c>
      <c r="B20" s="357">
        <v>2011</v>
      </c>
      <c r="C20" s="357" t="s">
        <v>180</v>
      </c>
      <c r="D20" s="359" t="s">
        <v>1189</v>
      </c>
      <c r="E20" s="405">
        <f>7.458106+2.583978+37.90516+37.47286+12.81939+4.606734</f>
        <v>102.846228</v>
      </c>
      <c r="F20" s="405">
        <f>7.458106+2.583978+37.90516+37.47286+12.81939+4.606734</f>
        <v>102.846228</v>
      </c>
      <c r="G20"/>
      <c r="H20"/>
      <c r="I20"/>
      <c r="J20"/>
      <c r="K20"/>
      <c r="L20"/>
      <c r="M20"/>
      <c r="N20"/>
      <c r="O20"/>
    </row>
    <row r="21" spans="1:19">
      <c r="A21" s="9" t="s">
        <v>1051</v>
      </c>
      <c r="B21" s="357">
        <v>2011</v>
      </c>
      <c r="C21" s="357" t="s">
        <v>180</v>
      </c>
      <c r="D21" s="359" t="s">
        <v>1189</v>
      </c>
      <c r="E21" s="405">
        <f>54.34226+3.146061</f>
        <v>57.488321000000006</v>
      </c>
      <c r="F21" s="405">
        <f>54.34226+3.146061</f>
        <v>57.488321000000006</v>
      </c>
      <c r="G21"/>
      <c r="H21"/>
      <c r="I21"/>
      <c r="J21"/>
      <c r="K21"/>
      <c r="L21"/>
      <c r="M21"/>
      <c r="N21"/>
      <c r="O21"/>
    </row>
    <row r="22" spans="1:19">
      <c r="A22" s="9" t="s">
        <v>142</v>
      </c>
      <c r="B22" s="357">
        <v>2011</v>
      </c>
      <c r="C22" s="357" t="s">
        <v>180</v>
      </c>
      <c r="D22" s="359" t="s">
        <v>1189</v>
      </c>
      <c r="E22" s="438">
        <f>5.880256+2.755094</f>
        <v>8.6353500000000007</v>
      </c>
      <c r="F22" s="438">
        <f>5.880256+2.755094</f>
        <v>8.6353500000000007</v>
      </c>
      <c r="G22"/>
      <c r="H22"/>
      <c r="I22"/>
      <c r="J22"/>
      <c r="K22"/>
      <c r="L22"/>
      <c r="M22"/>
      <c r="N22"/>
      <c r="O22"/>
    </row>
    <row r="23" spans="1:19">
      <c r="A23" s="9" t="s">
        <v>138</v>
      </c>
      <c r="B23" s="357">
        <v>2011</v>
      </c>
      <c r="C23" s="357" t="s">
        <v>180</v>
      </c>
      <c r="D23" s="359" t="s">
        <v>1189</v>
      </c>
      <c r="E23" s="405">
        <f>1.110288</f>
        <v>1.1102879999999999</v>
      </c>
      <c r="F23" s="405">
        <f>1.110288</f>
        <v>1.1102879999999999</v>
      </c>
      <c r="G23"/>
      <c r="H23"/>
      <c r="I23"/>
      <c r="J23"/>
      <c r="K23"/>
      <c r="L23"/>
      <c r="M23"/>
      <c r="N23"/>
      <c r="O23"/>
    </row>
    <row r="24" spans="1:19">
      <c r="A24" s="9" t="s">
        <v>1053</v>
      </c>
      <c r="B24" s="357">
        <v>2011</v>
      </c>
      <c r="C24" s="357" t="s">
        <v>180</v>
      </c>
      <c r="D24" s="359" t="s">
        <v>1189</v>
      </c>
      <c r="E24" s="405">
        <f>0.652716+15.11199+4.053189</f>
        <v>19.817895</v>
      </c>
      <c r="F24" s="405">
        <f>0.652716+15.11199+4.053189</f>
        <v>19.817895</v>
      </c>
      <c r="G24"/>
      <c r="H24"/>
      <c r="I24"/>
      <c r="J24"/>
      <c r="K24"/>
      <c r="L24"/>
      <c r="M24"/>
      <c r="N24"/>
      <c r="O24"/>
    </row>
    <row r="25" spans="1:19">
      <c r="A25" s="9" t="s">
        <v>967</v>
      </c>
      <c r="B25" s="357">
        <v>2011</v>
      </c>
      <c r="C25" s="357" t="s">
        <v>180</v>
      </c>
      <c r="D25" s="359" t="s">
        <v>1189</v>
      </c>
      <c r="E25" s="405">
        <f>0.603811+11.52565+0.606781+0.607851+2.806034</f>
        <v>16.150127000000001</v>
      </c>
      <c r="F25" s="405">
        <f>0.603811+11.52565+0.606781+0.607851+2.806034</f>
        <v>16.150127000000001</v>
      </c>
      <c r="G25"/>
      <c r="H25"/>
      <c r="I25"/>
      <c r="J25"/>
      <c r="K25"/>
      <c r="L25"/>
      <c r="M25"/>
      <c r="N25"/>
      <c r="O25"/>
    </row>
    <row r="26" spans="1:19">
      <c r="A26" s="9" t="s">
        <v>153</v>
      </c>
      <c r="B26" s="357">
        <v>2011</v>
      </c>
      <c r="C26" s="357" t="s">
        <v>180</v>
      </c>
      <c r="D26" s="359" t="s">
        <v>1189</v>
      </c>
      <c r="E26" s="405">
        <f>10.5957+9.646484+9.932176</f>
        <v>30.17436</v>
      </c>
      <c r="F26" s="405">
        <f>10.5957+9.646484+9.932176</f>
        <v>30.17436</v>
      </c>
      <c r="G26"/>
      <c r="H26"/>
      <c r="I26"/>
      <c r="J26"/>
      <c r="K26"/>
      <c r="L26"/>
      <c r="M26"/>
      <c r="N26"/>
      <c r="O26"/>
    </row>
    <row r="27" spans="1:19">
      <c r="A27" s="356" t="s">
        <v>1184</v>
      </c>
      <c r="B27" s="357">
        <v>2012</v>
      </c>
      <c r="C27" s="357" t="s">
        <v>180</v>
      </c>
      <c r="D27" s="359" t="s">
        <v>1189</v>
      </c>
      <c r="E27" s="493">
        <f>SUM(E17:E26)</f>
        <v>411.88579500000003</v>
      </c>
      <c r="F27" s="493">
        <f>SUM(F17:F26)</f>
        <v>411.88579500000003</v>
      </c>
      <c r="G27"/>
      <c r="H27"/>
      <c r="I27"/>
      <c r="J27"/>
      <c r="K27"/>
      <c r="L27"/>
      <c r="M27"/>
      <c r="N27"/>
      <c r="O27"/>
    </row>
    <row r="29" spans="1:19" s="6" customFormat="1" ht="30" customHeight="1">
      <c r="A29" s="1137" t="s">
        <v>1197</v>
      </c>
      <c r="B29" s="1137"/>
      <c r="C29" s="1137"/>
      <c r="D29" s="1137"/>
      <c r="E29" s="1137"/>
      <c r="F29" s="1137"/>
      <c r="G29" s="1137"/>
      <c r="H29" s="1137"/>
      <c r="I29" s="1137"/>
      <c r="J29" s="1137"/>
      <c r="K29" s="1137"/>
      <c r="L29" s="1137"/>
      <c r="M29" s="1137"/>
      <c r="N29" s="1137"/>
      <c r="O29" s="1137"/>
      <c r="P29" s="1137"/>
      <c r="Q29" s="1137"/>
      <c r="R29" s="1137"/>
      <c r="S29" s="1137"/>
    </row>
    <row r="30" spans="1:19" s="6" customFormat="1" ht="30" customHeight="1">
      <c r="A30" s="361" t="s">
        <v>130</v>
      </c>
      <c r="B30" s="355" t="s">
        <v>101</v>
      </c>
      <c r="C30" s="355" t="s">
        <v>131</v>
      </c>
      <c r="D30" s="355" t="s">
        <v>102</v>
      </c>
      <c r="E30" s="352" t="s">
        <v>1198</v>
      </c>
      <c r="F30"/>
      <c r="G30"/>
      <c r="H30"/>
      <c r="I30"/>
      <c r="J30"/>
      <c r="K30"/>
      <c r="L30"/>
      <c r="M30"/>
      <c r="N30"/>
      <c r="O30"/>
    </row>
    <row r="31" spans="1:19">
      <c r="A31" s="9" t="s">
        <v>200</v>
      </c>
      <c r="B31" s="357">
        <v>2011</v>
      </c>
      <c r="C31" s="357" t="s">
        <v>180</v>
      </c>
      <c r="D31" s="357" t="s">
        <v>1189</v>
      </c>
      <c r="E31" s="366">
        <f t="shared" ref="E31:E40" si="0">E17/$E$27</f>
        <v>0.14455526197498508</v>
      </c>
      <c r="F31"/>
      <c r="G31"/>
      <c r="H31"/>
      <c r="I31"/>
      <c r="J31"/>
      <c r="K31"/>
      <c r="L31"/>
      <c r="M31"/>
      <c r="N31"/>
      <c r="O31"/>
    </row>
    <row r="32" spans="1:19">
      <c r="A32" s="9" t="s">
        <v>202</v>
      </c>
      <c r="B32" s="357">
        <v>2011</v>
      </c>
      <c r="C32" s="357" t="s">
        <v>180</v>
      </c>
      <c r="D32" s="357" t="s">
        <v>1189</v>
      </c>
      <c r="E32" s="366">
        <f t="shared" si="0"/>
        <v>0.11656928348305869</v>
      </c>
      <c r="F32"/>
      <c r="G32"/>
      <c r="H32"/>
      <c r="I32"/>
      <c r="J32"/>
      <c r="K32"/>
      <c r="L32"/>
      <c r="M32"/>
      <c r="N32"/>
      <c r="O32"/>
    </row>
    <row r="33" spans="1:19">
      <c r="A33" s="9" t="s">
        <v>201</v>
      </c>
      <c r="B33" s="357">
        <v>2011</v>
      </c>
      <c r="C33" s="357" t="s">
        <v>180</v>
      </c>
      <c r="D33" s="357" t="s">
        <v>1189</v>
      </c>
      <c r="E33" s="366">
        <f t="shared" si="0"/>
        <v>0.16536072820865311</v>
      </c>
      <c r="F33"/>
      <c r="G33"/>
      <c r="H33"/>
      <c r="I33"/>
      <c r="J33"/>
      <c r="K33"/>
      <c r="L33"/>
      <c r="M33"/>
      <c r="N33"/>
      <c r="O33"/>
    </row>
    <row r="34" spans="1:19">
      <c r="A34" s="9" t="s">
        <v>203</v>
      </c>
      <c r="B34" s="357">
        <v>2011</v>
      </c>
      <c r="C34" s="357" t="s">
        <v>180</v>
      </c>
      <c r="D34" s="357" t="s">
        <v>1189</v>
      </c>
      <c r="E34" s="366">
        <f t="shared" si="0"/>
        <v>0.24969598186798356</v>
      </c>
      <c r="F34"/>
      <c r="G34"/>
      <c r="H34"/>
      <c r="I34"/>
      <c r="J34"/>
      <c r="K34"/>
      <c r="L34"/>
      <c r="M34"/>
      <c r="N34"/>
      <c r="O34"/>
    </row>
    <row r="35" spans="1:19">
      <c r="A35" s="9" t="s">
        <v>1051</v>
      </c>
      <c r="B35" s="357">
        <v>2011</v>
      </c>
      <c r="C35" s="357" t="s">
        <v>180</v>
      </c>
      <c r="D35" s="357" t="s">
        <v>1189</v>
      </c>
      <c r="E35" s="366">
        <f t="shared" si="0"/>
        <v>0.13957344899452043</v>
      </c>
      <c r="F35"/>
      <c r="G35"/>
      <c r="H35"/>
      <c r="I35"/>
      <c r="J35"/>
      <c r="K35"/>
      <c r="L35"/>
      <c r="M35"/>
      <c r="N35"/>
      <c r="O35"/>
    </row>
    <row r="36" spans="1:19">
      <c r="A36" s="9" t="s">
        <v>142</v>
      </c>
      <c r="B36" s="357">
        <v>2011</v>
      </c>
      <c r="C36" s="357" t="s">
        <v>180</v>
      </c>
      <c r="D36" s="357" t="s">
        <v>1189</v>
      </c>
      <c r="E36" s="366">
        <f t="shared" si="0"/>
        <v>2.096539891597864E-2</v>
      </c>
      <c r="F36"/>
      <c r="G36"/>
      <c r="H36"/>
      <c r="I36"/>
      <c r="J36"/>
      <c r="K36"/>
      <c r="L36"/>
      <c r="M36"/>
      <c r="N36"/>
      <c r="O36"/>
    </row>
    <row r="37" spans="1:19">
      <c r="A37" s="9" t="s">
        <v>138</v>
      </c>
      <c r="B37" s="357">
        <v>2011</v>
      </c>
      <c r="C37" s="357" t="s">
        <v>180</v>
      </c>
      <c r="D37" s="357" t="s">
        <v>1189</v>
      </c>
      <c r="E37" s="366">
        <f t="shared" si="0"/>
        <v>2.6956210033900292E-3</v>
      </c>
      <c r="F37"/>
      <c r="G37"/>
      <c r="H37"/>
      <c r="I37"/>
      <c r="J37"/>
      <c r="K37"/>
      <c r="L37"/>
      <c r="M37"/>
      <c r="N37"/>
      <c r="O37"/>
    </row>
    <row r="38" spans="1:19">
      <c r="A38" s="9" t="s">
        <v>1053</v>
      </c>
      <c r="B38" s="357">
        <v>2011</v>
      </c>
      <c r="C38" s="357" t="s">
        <v>180</v>
      </c>
      <c r="D38" s="357" t="s">
        <v>1189</v>
      </c>
      <c r="E38" s="366">
        <f t="shared" si="0"/>
        <v>4.8115024214418461E-2</v>
      </c>
      <c r="F38"/>
      <c r="G38"/>
      <c r="H38"/>
      <c r="I38"/>
      <c r="J38"/>
      <c r="K38"/>
      <c r="L38"/>
      <c r="M38"/>
      <c r="N38"/>
      <c r="O38"/>
    </row>
    <row r="39" spans="1:19">
      <c r="A39" s="9" t="s">
        <v>967</v>
      </c>
      <c r="B39" s="357">
        <v>2011</v>
      </c>
      <c r="C39" s="357" t="s">
        <v>180</v>
      </c>
      <c r="D39" s="357" t="s">
        <v>1189</v>
      </c>
      <c r="E39" s="366">
        <f t="shared" si="0"/>
        <v>3.9210206314592613E-2</v>
      </c>
      <c r="F39"/>
      <c r="G39"/>
      <c r="H39"/>
      <c r="I39"/>
      <c r="J39"/>
      <c r="K39"/>
      <c r="L39"/>
      <c r="M39"/>
      <c r="N39"/>
      <c r="O39"/>
    </row>
    <row r="40" spans="1:19">
      <c r="A40" s="9" t="s">
        <v>153</v>
      </c>
      <c r="B40" s="357">
        <v>2012</v>
      </c>
      <c r="C40" s="357" t="s">
        <v>180</v>
      </c>
      <c r="D40" s="357" t="s">
        <v>1189</v>
      </c>
      <c r="E40" s="366">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137" t="s">
        <v>1199</v>
      </c>
      <c r="B42" s="1137"/>
      <c r="C42" s="1137"/>
      <c r="D42" s="1137"/>
      <c r="E42" s="1137"/>
      <c r="F42" s="1137"/>
      <c r="G42" s="1137"/>
      <c r="H42" s="1137"/>
      <c r="I42" s="1137"/>
      <c r="J42" s="1137"/>
      <c r="K42" s="1137"/>
      <c r="L42" s="1137"/>
      <c r="M42" s="1137"/>
      <c r="N42" s="1137"/>
      <c r="O42" s="1137"/>
      <c r="P42" s="1137"/>
      <c r="Q42" s="1137"/>
      <c r="R42" s="1137"/>
      <c r="S42" s="1137"/>
    </row>
    <row r="43" spans="1:19">
      <c r="A43" s="140" t="s">
        <v>129</v>
      </c>
      <c r="B43" s="1129" t="s">
        <v>130</v>
      </c>
      <c r="C43" s="1146"/>
      <c r="D43" s="355" t="s">
        <v>131</v>
      </c>
      <c r="E43" s="352" t="s">
        <v>102</v>
      </c>
      <c r="F43" s="1258" t="s">
        <v>1200</v>
      </c>
      <c r="G43" s="1258"/>
      <c r="H43"/>
      <c r="I43"/>
      <c r="J43"/>
      <c r="K43"/>
      <c r="L43"/>
      <c r="M43"/>
      <c r="N43"/>
      <c r="O43"/>
    </row>
    <row r="44" spans="1:19">
      <c r="A44" s="9" t="s">
        <v>200</v>
      </c>
      <c r="B44" s="1221" t="s">
        <v>167</v>
      </c>
      <c r="C44" s="1221"/>
      <c r="D44" s="357" t="s">
        <v>180</v>
      </c>
      <c r="E44" s="360" t="s">
        <v>1189</v>
      </c>
      <c r="F44" s="1259">
        <f t="shared" ref="F44:F52" si="1">E31*$E$13</f>
        <v>2.2854186918245141</v>
      </c>
      <c r="G44" s="1259"/>
      <c r="H44"/>
      <c r="I44"/>
      <c r="J44"/>
      <c r="K44"/>
      <c r="L44"/>
      <c r="M44"/>
      <c r="N44"/>
      <c r="O44"/>
    </row>
    <row r="45" spans="1:19">
      <c r="A45" s="9" t="s">
        <v>202</v>
      </c>
      <c r="B45" s="1221" t="s">
        <v>167</v>
      </c>
      <c r="C45" s="1221"/>
      <c r="D45" s="357" t="s">
        <v>180</v>
      </c>
      <c r="E45" s="360" t="s">
        <v>1189</v>
      </c>
      <c r="F45" s="1259">
        <f t="shared" si="1"/>
        <v>1.8429603718671579</v>
      </c>
      <c r="G45" s="1259"/>
      <c r="H45"/>
      <c r="I45"/>
      <c r="J45"/>
      <c r="K45"/>
      <c r="L45"/>
      <c r="M45"/>
      <c r="N45"/>
      <c r="O45"/>
    </row>
    <row r="46" spans="1:19">
      <c r="A46" s="9" t="s">
        <v>201</v>
      </c>
      <c r="B46" s="1221" t="s">
        <v>167</v>
      </c>
      <c r="C46" s="1221"/>
      <c r="D46" s="357" t="s">
        <v>180</v>
      </c>
      <c r="E46" s="360" t="s">
        <v>1189</v>
      </c>
      <c r="F46" s="1259">
        <f t="shared" si="1"/>
        <v>2.6143531129788058</v>
      </c>
      <c r="G46" s="1259"/>
      <c r="H46"/>
      <c r="I46"/>
      <c r="J46"/>
      <c r="K46"/>
      <c r="L46"/>
      <c r="M46"/>
      <c r="N46"/>
      <c r="O46"/>
    </row>
    <row r="47" spans="1:19">
      <c r="A47" s="9" t="s">
        <v>203</v>
      </c>
      <c r="B47" s="1221" t="s">
        <v>167</v>
      </c>
      <c r="C47" s="1221"/>
      <c r="D47" s="357" t="s">
        <v>180</v>
      </c>
      <c r="E47" s="360" t="s">
        <v>1189</v>
      </c>
      <c r="F47" s="1259">
        <f t="shared" si="1"/>
        <v>3.9476934733328202</v>
      </c>
      <c r="G47" s="1259"/>
      <c r="H47"/>
      <c r="I47"/>
      <c r="J47"/>
      <c r="K47"/>
      <c r="L47"/>
      <c r="M47"/>
      <c r="N47"/>
      <c r="O47"/>
    </row>
    <row r="48" spans="1:19">
      <c r="A48" s="9" t="s">
        <v>1051</v>
      </c>
      <c r="B48" s="1221" t="s">
        <v>167</v>
      </c>
      <c r="C48" s="1221"/>
      <c r="D48" s="357" t="s">
        <v>180</v>
      </c>
      <c r="E48" s="360" t="s">
        <v>1189</v>
      </c>
      <c r="F48" s="1259">
        <f t="shared" si="1"/>
        <v>2.206656228603368</v>
      </c>
      <c r="G48" s="1259"/>
      <c r="H48"/>
      <c r="I48"/>
      <c r="J48"/>
      <c r="K48"/>
      <c r="L48"/>
      <c r="M48"/>
      <c r="N48"/>
      <c r="O48"/>
    </row>
    <row r="49" spans="1:32">
      <c r="A49" s="9" t="s">
        <v>142</v>
      </c>
      <c r="B49" s="1221" t="s">
        <v>167</v>
      </c>
      <c r="C49" s="1221"/>
      <c r="D49" s="357" t="s">
        <v>180</v>
      </c>
      <c r="E49" s="360" t="s">
        <v>1189</v>
      </c>
      <c r="F49" s="1259">
        <f t="shared" si="1"/>
        <v>0.3314629568616223</v>
      </c>
      <c r="G49" s="1259"/>
      <c r="H49"/>
      <c r="I49"/>
      <c r="J49"/>
      <c r="K49"/>
      <c r="L49"/>
      <c r="M49"/>
      <c r="N49"/>
      <c r="O49"/>
    </row>
    <row r="50" spans="1:32">
      <c r="A50" s="9" t="s">
        <v>138</v>
      </c>
      <c r="B50" s="1221" t="s">
        <v>167</v>
      </c>
      <c r="C50" s="1221"/>
      <c r="D50" s="357" t="s">
        <v>180</v>
      </c>
      <c r="E50" s="360" t="s">
        <v>1189</v>
      </c>
      <c r="F50" s="1259">
        <f t="shared" si="1"/>
        <v>4.2617768063596365E-2</v>
      </c>
      <c r="G50" s="1259"/>
      <c r="H50"/>
      <c r="I50"/>
      <c r="J50"/>
      <c r="K50"/>
      <c r="L50"/>
      <c r="M50"/>
      <c r="N50"/>
      <c r="O50"/>
    </row>
    <row r="51" spans="1:32">
      <c r="A51" s="9" t="s">
        <v>1053</v>
      </c>
      <c r="B51" s="1221" t="s">
        <v>167</v>
      </c>
      <c r="C51" s="1221"/>
      <c r="D51" s="357" t="s">
        <v>180</v>
      </c>
      <c r="E51" s="360" t="s">
        <v>1189</v>
      </c>
      <c r="F51" s="1259">
        <f t="shared" si="1"/>
        <v>0.76069853282995592</v>
      </c>
      <c r="G51" s="1259"/>
      <c r="H51"/>
      <c r="I51"/>
      <c r="J51"/>
      <c r="K51"/>
      <c r="L51"/>
      <c r="M51"/>
      <c r="N51"/>
      <c r="O51"/>
    </row>
    <row r="52" spans="1:32">
      <c r="A52" s="9" t="s">
        <v>967</v>
      </c>
      <c r="B52" s="1221" t="s">
        <v>167</v>
      </c>
      <c r="C52" s="1221"/>
      <c r="D52" s="357" t="s">
        <v>180</v>
      </c>
      <c r="E52" s="360" t="s">
        <v>1189</v>
      </c>
      <c r="F52" s="1259">
        <f t="shared" si="1"/>
        <v>0.61991336183370926</v>
      </c>
      <c r="G52" s="1259"/>
      <c r="H52"/>
      <c r="I52"/>
      <c r="J52"/>
      <c r="K52"/>
      <c r="L52"/>
      <c r="M52"/>
      <c r="N52"/>
      <c r="O52"/>
    </row>
    <row r="53" spans="1:32">
      <c r="A53" s="9" t="s">
        <v>153</v>
      </c>
      <c r="B53" s="1221" t="s">
        <v>167</v>
      </c>
      <c r="C53" s="1221"/>
      <c r="D53" s="357" t="s">
        <v>180</v>
      </c>
      <c r="E53" s="360" t="s">
        <v>1189</v>
      </c>
      <c r="F53" s="1259">
        <f t="shared" ref="F53" si="2">E40*$E$13</f>
        <v>1.1582255018044505</v>
      </c>
      <c r="G53" s="1259"/>
      <c r="H53"/>
      <c r="I53"/>
      <c r="J53"/>
      <c r="K53"/>
      <c r="L53"/>
      <c r="M53"/>
      <c r="N53"/>
      <c r="O53"/>
    </row>
    <row r="54" spans="1:32">
      <c r="A54"/>
      <c r="B54"/>
      <c r="C54"/>
      <c r="D54"/>
      <c r="E54"/>
      <c r="F54"/>
      <c r="G54"/>
      <c r="H54"/>
      <c r="I54"/>
      <c r="J54"/>
      <c r="K54"/>
      <c r="L54"/>
      <c r="M54"/>
      <c r="N54"/>
      <c r="O54"/>
    </row>
    <row r="55" spans="1:32" s="6" customFormat="1" ht="18.75">
      <c r="A55" s="1137" t="s">
        <v>15</v>
      </c>
      <c r="B55" s="1137"/>
      <c r="C55" s="1137"/>
      <c r="D55" s="1137"/>
      <c r="E55" s="1137"/>
      <c r="F55" s="1137"/>
      <c r="G55" s="1137"/>
      <c r="H55" s="1137"/>
      <c r="I55" s="1137"/>
      <c r="J55" s="1137"/>
      <c r="K55" s="1137"/>
      <c r="L55" s="1137"/>
      <c r="M55" s="1137"/>
      <c r="N55" s="1137"/>
      <c r="O55" s="1137"/>
      <c r="P55" s="1137"/>
      <c r="Q55" s="1137"/>
      <c r="R55" s="1137"/>
      <c r="S55" s="1137"/>
    </row>
    <row r="56" spans="1:32" s="6" customFormat="1">
      <c r="A56" s="140" t="s">
        <v>129</v>
      </c>
      <c r="B56" s="1129" t="s">
        <v>130</v>
      </c>
      <c r="C56" s="1146"/>
      <c r="D56" s="355" t="s">
        <v>131</v>
      </c>
      <c r="E56" s="352" t="s">
        <v>102</v>
      </c>
      <c r="F56" s="1258" t="s">
        <v>1201</v>
      </c>
      <c r="G56" s="1258"/>
      <c r="AD56"/>
      <c r="AE56"/>
      <c r="AF56"/>
    </row>
    <row r="57" spans="1:32">
      <c r="A57" s="9" t="s">
        <v>200</v>
      </c>
      <c r="B57" s="1221" t="s">
        <v>167</v>
      </c>
      <c r="C57" s="1221"/>
      <c r="D57" s="357" t="s">
        <v>180</v>
      </c>
      <c r="E57" s="360" t="s">
        <v>1189</v>
      </c>
      <c r="F57" s="1259">
        <f t="shared" ref="F57:F66" si="3">F44/F17</f>
        <v>3.8384426440343733E-2</v>
      </c>
      <c r="G57" s="1259"/>
    </row>
    <row r="58" spans="1:32">
      <c r="A58" s="9" t="s">
        <v>202</v>
      </c>
      <c r="B58" s="1221" t="s">
        <v>167</v>
      </c>
      <c r="C58" s="1221"/>
      <c r="D58" s="357" t="s">
        <v>180</v>
      </c>
      <c r="E58" s="360" t="s">
        <v>1189</v>
      </c>
      <c r="F58" s="1259">
        <f t="shared" si="3"/>
        <v>3.8384426440343733E-2</v>
      </c>
      <c r="G58" s="1259"/>
    </row>
    <row r="59" spans="1:32">
      <c r="A59" s="9" t="s">
        <v>201</v>
      </c>
      <c r="B59" s="1221" t="s">
        <v>167</v>
      </c>
      <c r="C59" s="1221"/>
      <c r="D59" s="357" t="s">
        <v>180</v>
      </c>
      <c r="E59" s="360" t="s">
        <v>1189</v>
      </c>
      <c r="F59" s="1259">
        <f t="shared" si="3"/>
        <v>3.838442644034374E-2</v>
      </c>
      <c r="G59" s="1259"/>
    </row>
    <row r="60" spans="1:32">
      <c r="A60" s="9" t="s">
        <v>203</v>
      </c>
      <c r="B60" s="1221" t="s">
        <v>167</v>
      </c>
      <c r="C60" s="1221"/>
      <c r="D60" s="357" t="s">
        <v>180</v>
      </c>
      <c r="E60" s="360" t="s">
        <v>1189</v>
      </c>
      <c r="F60" s="1259">
        <f t="shared" si="3"/>
        <v>3.8384426440343733E-2</v>
      </c>
      <c r="G60" s="1259"/>
    </row>
    <row r="61" spans="1:32">
      <c r="A61" s="9" t="s">
        <v>1051</v>
      </c>
      <c r="B61" s="1221" t="s">
        <v>167</v>
      </c>
      <c r="C61" s="1221"/>
      <c r="D61" s="357" t="s">
        <v>180</v>
      </c>
      <c r="E61" s="360" t="s">
        <v>1189</v>
      </c>
      <c r="F61" s="1259">
        <f t="shared" si="3"/>
        <v>3.8384426440343733E-2</v>
      </c>
      <c r="G61" s="1259"/>
    </row>
    <row r="62" spans="1:32">
      <c r="A62" s="9" t="s">
        <v>142</v>
      </c>
      <c r="B62" s="1221" t="s">
        <v>167</v>
      </c>
      <c r="C62" s="1221"/>
      <c r="D62" s="357" t="s">
        <v>180</v>
      </c>
      <c r="E62" s="360" t="s">
        <v>1189</v>
      </c>
      <c r="F62" s="1259">
        <f t="shared" si="3"/>
        <v>3.8384426440343733E-2</v>
      </c>
      <c r="G62" s="1259"/>
    </row>
    <row r="63" spans="1:32">
      <c r="A63" s="9" t="s">
        <v>138</v>
      </c>
      <c r="B63" s="1221" t="s">
        <v>167</v>
      </c>
      <c r="C63" s="1221"/>
      <c r="D63" s="357" t="s">
        <v>180</v>
      </c>
      <c r="E63" s="360" t="s">
        <v>1189</v>
      </c>
      <c r="F63" s="1259">
        <f t="shared" si="3"/>
        <v>3.838442644034374E-2</v>
      </c>
      <c r="G63" s="1259"/>
    </row>
    <row r="64" spans="1:32">
      <c r="A64" s="9" t="s">
        <v>1053</v>
      </c>
      <c r="B64" s="1221" t="s">
        <v>167</v>
      </c>
      <c r="C64" s="1221"/>
      <c r="D64" s="357" t="s">
        <v>180</v>
      </c>
      <c r="E64" s="360" t="s">
        <v>1189</v>
      </c>
      <c r="F64" s="1259">
        <f t="shared" si="3"/>
        <v>3.8384426440343733E-2</v>
      </c>
      <c r="G64" s="1259"/>
    </row>
    <row r="65" spans="1:7">
      <c r="A65" s="9" t="s">
        <v>967</v>
      </c>
      <c r="B65" s="1221" t="s">
        <v>167</v>
      </c>
      <c r="C65" s="1221"/>
      <c r="D65" s="357" t="s">
        <v>180</v>
      </c>
      <c r="E65" s="360" t="s">
        <v>1189</v>
      </c>
      <c r="F65" s="1259">
        <f t="shared" si="3"/>
        <v>3.8384426440343733E-2</v>
      </c>
      <c r="G65" s="1259"/>
    </row>
    <row r="66" spans="1:7">
      <c r="A66" s="9" t="s">
        <v>153</v>
      </c>
      <c r="B66" s="1221" t="s">
        <v>167</v>
      </c>
      <c r="C66" s="1221"/>
      <c r="D66" s="357" t="s">
        <v>180</v>
      </c>
      <c r="E66" s="360" t="s">
        <v>1189</v>
      </c>
      <c r="F66" s="1259">
        <f t="shared" si="3"/>
        <v>3.838442644034374E-2</v>
      </c>
      <c r="G66" s="1259"/>
    </row>
  </sheetData>
  <mergeCells count="63">
    <mergeCell ref="A55:S55"/>
    <mergeCell ref="B52:C52"/>
    <mergeCell ref="F52:G52"/>
    <mergeCell ref="B53:C53"/>
    <mergeCell ref="F53:G53"/>
    <mergeCell ref="B49:C49"/>
    <mergeCell ref="F49:G49"/>
    <mergeCell ref="B50:C50"/>
    <mergeCell ref="F50:G50"/>
    <mergeCell ref="B51:C51"/>
    <mergeCell ref="F51:G51"/>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62:C62"/>
    <mergeCell ref="F62:G62"/>
    <mergeCell ref="B63:C63"/>
    <mergeCell ref="F63:G63"/>
    <mergeCell ref="B64:C64"/>
    <mergeCell ref="F64:G64"/>
    <mergeCell ref="B59:C59"/>
    <mergeCell ref="F59:G59"/>
    <mergeCell ref="B60:C60"/>
    <mergeCell ref="F60:G60"/>
    <mergeCell ref="B61:C61"/>
    <mergeCell ref="F61:G61"/>
    <mergeCell ref="B56:C56"/>
    <mergeCell ref="F56:G56"/>
    <mergeCell ref="B57:C57"/>
    <mergeCell ref="F57:G57"/>
    <mergeCell ref="B58:C58"/>
    <mergeCell ref="F58:G58"/>
    <mergeCell ref="A1:S1"/>
    <mergeCell ref="A11:S11"/>
    <mergeCell ref="A15:S15"/>
    <mergeCell ref="K8:S8"/>
    <mergeCell ref="K9:S9"/>
    <mergeCell ref="E8:J8"/>
    <mergeCell ref="E5:J5"/>
    <mergeCell ref="E4:J4"/>
    <mergeCell ref="E3:J3"/>
    <mergeCell ref="A7:S7"/>
    <mergeCell ref="K5:S5"/>
    <mergeCell ref="A42:S42"/>
    <mergeCell ref="A29:S29"/>
    <mergeCell ref="E9:J9"/>
    <mergeCell ref="K2:S2"/>
    <mergeCell ref="K3:S3"/>
    <mergeCell ref="K4:S4"/>
    <mergeCell ref="E2:J2"/>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5"/>
  <cols>
    <col min="1" max="1" width="9.7109375" bestFit="1" customWidth="1"/>
    <col min="6" max="6" width="27.28515625" bestFit="1" customWidth="1"/>
  </cols>
  <sheetData>
    <row r="1" spans="1:28">
      <c r="A1" t="s">
        <v>1109</v>
      </c>
    </row>
    <row r="2" spans="1:28">
      <c r="A2" s="140" t="s">
        <v>1106</v>
      </c>
      <c r="B2" s="140" t="s">
        <v>101</v>
      </c>
      <c r="C2" s="140" t="s">
        <v>182</v>
      </c>
      <c r="D2" s="140" t="s">
        <v>180</v>
      </c>
      <c r="E2" s="140" t="s">
        <v>1107</v>
      </c>
      <c r="F2" s="373" t="s">
        <v>104</v>
      </c>
      <c r="G2" s="225" t="s">
        <v>1108</v>
      </c>
      <c r="H2" s="225" t="s">
        <v>1202</v>
      </c>
    </row>
    <row r="3" spans="1:28">
      <c r="A3" s="386" t="s">
        <v>1109</v>
      </c>
      <c r="B3" s="360">
        <v>1990</v>
      </c>
      <c r="C3" s="390">
        <v>418764395</v>
      </c>
      <c r="D3" s="390">
        <v>14951510</v>
      </c>
      <c r="E3" s="387"/>
      <c r="F3" s="388" t="s">
        <v>1203</v>
      </c>
      <c r="G3" s="372">
        <f t="shared" ref="G3:G12" si="0">D3/C3</f>
        <v>3.5703871146924991E-2</v>
      </c>
      <c r="H3" s="372">
        <f>C3/D3</f>
        <v>28.008167402489782</v>
      </c>
    </row>
    <row r="4" spans="1:28">
      <c r="A4" s="386" t="s">
        <v>1109</v>
      </c>
      <c r="B4" s="360">
        <v>1995</v>
      </c>
      <c r="C4" s="390">
        <v>424301173</v>
      </c>
      <c r="D4" s="390">
        <v>15459006</v>
      </c>
      <c r="E4" s="385"/>
      <c r="F4" s="389" t="s">
        <v>1203</v>
      </c>
      <c r="G4" s="372">
        <f t="shared" si="0"/>
        <v>3.6434040214166456E-2</v>
      </c>
      <c r="H4" s="372">
        <f t="shared" ref="H4:H12" si="1">C4/D4</f>
        <v>27.446859972756332</v>
      </c>
    </row>
    <row r="5" spans="1:28">
      <c r="A5" s="386" t="s">
        <v>1109</v>
      </c>
      <c r="B5" s="360">
        <v>2000</v>
      </c>
      <c r="C5" s="390">
        <v>428929021</v>
      </c>
      <c r="D5" s="390">
        <v>15925513</v>
      </c>
      <c r="E5" s="385"/>
      <c r="F5" s="389" t="s">
        <v>1203</v>
      </c>
      <c r="G5" s="372">
        <f t="shared" si="0"/>
        <v>3.7128550926378096E-2</v>
      </c>
      <c r="H5" s="372">
        <f t="shared" si="1"/>
        <v>26.933450809402498</v>
      </c>
    </row>
    <row r="6" spans="1:28">
      <c r="A6" s="386" t="s">
        <v>1109</v>
      </c>
      <c r="B6" s="360">
        <v>2005</v>
      </c>
      <c r="C6" s="390">
        <v>435116254</v>
      </c>
      <c r="D6" s="390">
        <v>16319868</v>
      </c>
      <c r="E6" s="385"/>
      <c r="F6" s="389" t="s">
        <v>1203</v>
      </c>
      <c r="G6" s="372">
        <f t="shared" si="0"/>
        <v>3.7506914186662396E-2</v>
      </c>
      <c r="H6" s="372">
        <f t="shared" si="1"/>
        <v>26.661750818082599</v>
      </c>
    </row>
    <row r="7" spans="1:28">
      <c r="A7" s="386" t="s">
        <v>1109</v>
      </c>
      <c r="B7" s="360">
        <v>2010</v>
      </c>
      <c r="C7" s="390">
        <v>441041446</v>
      </c>
      <c r="D7" s="390">
        <v>16615394</v>
      </c>
      <c r="E7" s="385"/>
      <c r="F7" s="389" t="s">
        <v>1203</v>
      </c>
      <c r="G7" s="372">
        <f t="shared" si="0"/>
        <v>3.7673089798458535E-2</v>
      </c>
      <c r="H7" s="372">
        <f t="shared" si="1"/>
        <v>26.544146109324881</v>
      </c>
    </row>
    <row r="8" spans="1:28">
      <c r="A8" s="386" t="s">
        <v>1109</v>
      </c>
      <c r="B8" s="360">
        <v>2015</v>
      </c>
      <c r="C8" s="390">
        <v>444234821</v>
      </c>
      <c r="D8" s="390">
        <v>16939923</v>
      </c>
      <c r="E8" s="385"/>
      <c r="F8" s="389" t="s">
        <v>1203</v>
      </c>
      <c r="G8" s="372">
        <f t="shared" si="0"/>
        <v>3.8132812195737352E-2</v>
      </c>
      <c r="H8" s="372">
        <f t="shared" si="1"/>
        <v>26.224134607931806</v>
      </c>
    </row>
    <row r="9" spans="1:28">
      <c r="A9" s="386" t="s">
        <v>1109</v>
      </c>
      <c r="B9" s="360">
        <v>2019</v>
      </c>
      <c r="C9" s="390">
        <v>447022255</v>
      </c>
      <c r="D9" s="390">
        <v>17344874</v>
      </c>
      <c r="E9" s="385"/>
      <c r="F9" s="389" t="s">
        <v>1203</v>
      </c>
      <c r="G9" s="372">
        <f t="shared" si="0"/>
        <v>3.8800918312221391E-2</v>
      </c>
      <c r="H9" s="372">
        <f t="shared" si="1"/>
        <v>25.772585894829792</v>
      </c>
    </row>
    <row r="10" spans="1:28">
      <c r="A10" s="386" t="s">
        <v>1109</v>
      </c>
      <c r="B10" s="360">
        <v>2020</v>
      </c>
      <c r="C10" s="390">
        <v>447346360</v>
      </c>
      <c r="D10" s="390">
        <v>17441500</v>
      </c>
      <c r="E10" s="387" t="s">
        <v>1110</v>
      </c>
      <c r="F10" s="388" t="s">
        <v>1203</v>
      </c>
      <c r="G10" s="372">
        <f>D10/C10</f>
        <v>3.8988805005588961E-2</v>
      </c>
      <c r="H10" s="372">
        <f t="shared" si="1"/>
        <v>25.648388040019494</v>
      </c>
    </row>
    <row r="11" spans="1:28">
      <c r="A11" s="386" t="s">
        <v>1109</v>
      </c>
      <c r="B11" s="385">
        <v>2021</v>
      </c>
      <c r="C11" s="390">
        <v>446904604</v>
      </c>
      <c r="D11" s="390">
        <v>17533044</v>
      </c>
      <c r="E11" s="385"/>
      <c r="F11" s="389" t="s">
        <v>1203</v>
      </c>
      <c r="G11" s="372">
        <f t="shared" si="0"/>
        <v>3.923218477292751E-2</v>
      </c>
      <c r="H11" s="372">
        <f t="shared" si="1"/>
        <v>25.489276362963555</v>
      </c>
    </row>
    <row r="12" spans="1:28">
      <c r="A12" s="386" t="s">
        <v>1109</v>
      </c>
      <c r="B12" s="385">
        <v>2022</v>
      </c>
      <c r="C12" s="390">
        <v>447033117</v>
      </c>
      <c r="D12" s="390">
        <v>17700982</v>
      </c>
      <c r="E12" s="385"/>
      <c r="F12" s="389" t="s">
        <v>1203</v>
      </c>
      <c r="G12" s="372">
        <f t="shared" si="0"/>
        <v>3.9596578702691503E-2</v>
      </c>
      <c r="H12" s="372">
        <f t="shared" si="1"/>
        <v>25.254707168223774</v>
      </c>
    </row>
    <row r="14" spans="1:28">
      <c r="B14" s="393" t="s">
        <v>1204</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row>
    <row r="15" spans="1:28">
      <c r="B15" s="393" t="s">
        <v>1205</v>
      </c>
      <c r="C15" s="392" t="s">
        <v>1206</v>
      </c>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c r="B16" s="393" t="s">
        <v>1207</v>
      </c>
      <c r="C16" s="393" t="s">
        <v>1208</v>
      </c>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row>
    <row r="17" spans="2:28">
      <c r="B17" s="391"/>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1"/>
      <c r="AB17" s="391"/>
    </row>
    <row r="18" spans="2:28">
      <c r="B18" s="392" t="s">
        <v>1209</v>
      </c>
      <c r="C18" s="391"/>
      <c r="D18" s="393" t="s">
        <v>1210</v>
      </c>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row>
    <row r="19" spans="2:28">
      <c r="B19" s="392" t="s">
        <v>1211</v>
      </c>
      <c r="C19" s="391"/>
      <c r="D19" s="393" t="s">
        <v>1212</v>
      </c>
      <c r="E19" s="391"/>
      <c r="F19" s="391"/>
      <c r="G19" s="391"/>
      <c r="H19" s="391"/>
      <c r="I19" s="391"/>
      <c r="J19" s="391"/>
      <c r="K19" s="391"/>
      <c r="L19" s="391"/>
      <c r="M19" s="391"/>
      <c r="N19" s="391"/>
      <c r="O19" s="391"/>
      <c r="P19" s="391"/>
      <c r="Q19" s="391"/>
      <c r="R19" s="391"/>
      <c r="S19" s="391"/>
      <c r="T19" s="391"/>
      <c r="U19" s="391"/>
      <c r="V19" s="391"/>
      <c r="W19" s="391"/>
      <c r="X19" s="391"/>
      <c r="Y19" s="391"/>
      <c r="Z19" s="391"/>
      <c r="AA19" s="391"/>
      <c r="AB19" s="391"/>
    </row>
    <row r="20" spans="2:28">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row>
    <row r="21" spans="2:28">
      <c r="B21" s="394" t="s">
        <v>1213</v>
      </c>
      <c r="C21" s="1260" t="s">
        <v>1214</v>
      </c>
      <c r="D21" s="1260" t="s">
        <v>249</v>
      </c>
      <c r="E21" s="1260" t="s">
        <v>1215</v>
      </c>
      <c r="F21" s="1260" t="s">
        <v>249</v>
      </c>
      <c r="G21" s="1260" t="s">
        <v>1216</v>
      </c>
      <c r="H21" s="1260" t="s">
        <v>249</v>
      </c>
      <c r="I21" s="1260" t="s">
        <v>1217</v>
      </c>
      <c r="J21" s="1260" t="s">
        <v>249</v>
      </c>
      <c r="K21" s="1260" t="s">
        <v>1218</v>
      </c>
      <c r="L21" s="1260" t="s">
        <v>249</v>
      </c>
      <c r="M21" s="1260" t="s">
        <v>1219</v>
      </c>
      <c r="N21" s="1260" t="s">
        <v>249</v>
      </c>
      <c r="O21" s="1260" t="s">
        <v>1220</v>
      </c>
      <c r="P21" s="1260" t="s">
        <v>249</v>
      </c>
      <c r="Q21" s="1260" t="s">
        <v>1221</v>
      </c>
      <c r="R21" s="1260" t="s">
        <v>249</v>
      </c>
      <c r="S21" s="1260" t="s">
        <v>1222</v>
      </c>
      <c r="T21" s="1260" t="s">
        <v>249</v>
      </c>
      <c r="U21" s="1260" t="s">
        <v>1223</v>
      </c>
      <c r="V21" s="1260" t="s">
        <v>249</v>
      </c>
      <c r="W21" s="1260" t="s">
        <v>1224</v>
      </c>
      <c r="X21" s="1260" t="s">
        <v>249</v>
      </c>
      <c r="Y21" s="1260" t="s">
        <v>1225</v>
      </c>
      <c r="Z21" s="1260" t="s">
        <v>249</v>
      </c>
      <c r="AA21" s="1260" t="s">
        <v>1226</v>
      </c>
      <c r="AB21" s="1260" t="s">
        <v>249</v>
      </c>
    </row>
    <row r="22" spans="2:28">
      <c r="B22" s="395" t="s">
        <v>1227</v>
      </c>
      <c r="C22" s="397" t="s">
        <v>249</v>
      </c>
      <c r="D22" s="397" t="s">
        <v>249</v>
      </c>
      <c r="E22" s="397" t="s">
        <v>249</v>
      </c>
      <c r="F22" s="397" t="s">
        <v>249</v>
      </c>
      <c r="G22" s="397" t="s">
        <v>249</v>
      </c>
      <c r="H22" s="397" t="s">
        <v>249</v>
      </c>
      <c r="I22" s="397" t="s">
        <v>249</v>
      </c>
      <c r="J22" s="397" t="s">
        <v>249</v>
      </c>
      <c r="K22" s="397" t="s">
        <v>249</v>
      </c>
      <c r="L22" s="397" t="s">
        <v>249</v>
      </c>
      <c r="M22" s="397" t="s">
        <v>249</v>
      </c>
      <c r="N22" s="397" t="s">
        <v>249</v>
      </c>
      <c r="O22" s="397" t="s">
        <v>249</v>
      </c>
      <c r="P22" s="397" t="s">
        <v>249</v>
      </c>
      <c r="Q22" s="397" t="s">
        <v>249</v>
      </c>
      <c r="R22" s="397" t="s">
        <v>249</v>
      </c>
      <c r="S22" s="397" t="s">
        <v>249</v>
      </c>
      <c r="T22" s="397" t="s">
        <v>249</v>
      </c>
      <c r="U22" s="397" t="s">
        <v>249</v>
      </c>
      <c r="V22" s="397" t="s">
        <v>249</v>
      </c>
      <c r="W22" s="397" t="s">
        <v>249</v>
      </c>
      <c r="X22" s="397" t="s">
        <v>249</v>
      </c>
      <c r="Y22" s="397" t="s">
        <v>249</v>
      </c>
      <c r="Z22" s="397" t="s">
        <v>249</v>
      </c>
      <c r="AA22" s="397" t="s">
        <v>249</v>
      </c>
      <c r="AB22" s="397" t="s">
        <v>249</v>
      </c>
    </row>
    <row r="23" spans="2:28">
      <c r="B23" s="396" t="s">
        <v>1228</v>
      </c>
      <c r="C23" s="399">
        <v>418764395</v>
      </c>
      <c r="D23" s="399" t="s">
        <v>249</v>
      </c>
      <c r="E23" s="399">
        <v>424301173</v>
      </c>
      <c r="F23" s="399" t="s">
        <v>249</v>
      </c>
      <c r="G23" s="399">
        <v>428929021</v>
      </c>
      <c r="H23" s="399" t="s">
        <v>1229</v>
      </c>
      <c r="I23" s="399">
        <v>443274551</v>
      </c>
      <c r="J23" s="399" t="s">
        <v>1229</v>
      </c>
      <c r="K23" s="399">
        <v>444234821</v>
      </c>
      <c r="L23" s="399" t="s">
        <v>1229</v>
      </c>
      <c r="M23" s="399">
        <v>445167186</v>
      </c>
      <c r="N23" s="399" t="s">
        <v>249</v>
      </c>
      <c r="O23" s="399">
        <v>445871494</v>
      </c>
      <c r="P23" s="399" t="s">
        <v>1229</v>
      </c>
      <c r="Q23" s="399">
        <v>446655355</v>
      </c>
      <c r="R23" s="399" t="s">
        <v>1230</v>
      </c>
      <c r="S23" s="399">
        <v>447022255</v>
      </c>
      <c r="T23" s="399" t="s">
        <v>1231</v>
      </c>
      <c r="U23" s="399">
        <v>447346360</v>
      </c>
      <c r="V23" s="399" t="s">
        <v>1232</v>
      </c>
      <c r="W23" s="399">
        <v>446904604</v>
      </c>
      <c r="X23" s="399" t="s">
        <v>1231</v>
      </c>
      <c r="Y23" s="399">
        <v>447033117</v>
      </c>
      <c r="Z23" s="399" t="s">
        <v>1231</v>
      </c>
      <c r="AA23" s="399" t="s">
        <v>1233</v>
      </c>
      <c r="AB23" s="399" t="s">
        <v>249</v>
      </c>
    </row>
    <row r="24" spans="2:28">
      <c r="B24" s="396" t="s">
        <v>1234</v>
      </c>
      <c r="C24" s="398">
        <v>476011981</v>
      </c>
      <c r="D24" s="398" t="s">
        <v>249</v>
      </c>
      <c r="E24" s="398">
        <v>482320203</v>
      </c>
      <c r="F24" s="398" t="s">
        <v>249</v>
      </c>
      <c r="G24" s="398">
        <v>487821535</v>
      </c>
      <c r="H24" s="398" t="s">
        <v>1229</v>
      </c>
      <c r="I24" s="398">
        <v>507876849</v>
      </c>
      <c r="J24" s="398" t="s">
        <v>1229</v>
      </c>
      <c r="K24" s="398">
        <v>509351040</v>
      </c>
      <c r="L24" s="398" t="s">
        <v>1229</v>
      </c>
      <c r="M24" s="398">
        <v>510778779</v>
      </c>
      <c r="N24" s="398" t="s">
        <v>249</v>
      </c>
      <c r="O24" s="398">
        <v>511930353</v>
      </c>
      <c r="P24" s="398" t="s">
        <v>1229</v>
      </c>
      <c r="Q24" s="398" t="s">
        <v>1233</v>
      </c>
      <c r="R24" s="398" t="s">
        <v>249</v>
      </c>
      <c r="S24" s="398">
        <v>513858582</v>
      </c>
      <c r="T24" s="398" t="s">
        <v>1231</v>
      </c>
      <c r="U24" s="398" t="s">
        <v>1233</v>
      </c>
      <c r="V24" s="398" t="s">
        <v>249</v>
      </c>
      <c r="W24" s="398" t="s">
        <v>1233</v>
      </c>
      <c r="X24" s="398" t="s">
        <v>249</v>
      </c>
      <c r="Y24" s="398" t="s">
        <v>1233</v>
      </c>
      <c r="Z24" s="398" t="s">
        <v>249</v>
      </c>
      <c r="AA24" s="398" t="s">
        <v>1233</v>
      </c>
      <c r="AB24" s="398" t="s">
        <v>249</v>
      </c>
    </row>
    <row r="25" spans="2:28">
      <c r="B25" s="396" t="s">
        <v>1235</v>
      </c>
      <c r="C25" s="399">
        <v>14951510</v>
      </c>
      <c r="D25" s="399" t="s">
        <v>249</v>
      </c>
      <c r="E25" s="399">
        <v>15459006</v>
      </c>
      <c r="F25" s="399" t="s">
        <v>249</v>
      </c>
      <c r="G25" s="399">
        <v>15925513</v>
      </c>
      <c r="H25" s="399" t="s">
        <v>249</v>
      </c>
      <c r="I25" s="399">
        <v>16865008</v>
      </c>
      <c r="J25" s="399" t="s">
        <v>249</v>
      </c>
      <c r="K25" s="399">
        <v>16939923</v>
      </c>
      <c r="L25" s="399" t="s">
        <v>249</v>
      </c>
      <c r="M25" s="399">
        <v>17030314</v>
      </c>
      <c r="N25" s="399" t="s">
        <v>249</v>
      </c>
      <c r="O25" s="399">
        <v>17131296</v>
      </c>
      <c r="P25" s="399" t="s">
        <v>249</v>
      </c>
      <c r="Q25" s="399">
        <v>17231624</v>
      </c>
      <c r="R25" s="399" t="s">
        <v>249</v>
      </c>
      <c r="S25" s="399">
        <v>17344874</v>
      </c>
      <c r="T25" s="399" t="s">
        <v>249</v>
      </c>
      <c r="U25" s="399">
        <v>17441500</v>
      </c>
      <c r="V25" s="399" t="s">
        <v>249</v>
      </c>
      <c r="W25" s="399">
        <v>17533044</v>
      </c>
      <c r="X25" s="399" t="s">
        <v>249</v>
      </c>
      <c r="Y25" s="399">
        <v>17700982</v>
      </c>
      <c r="Z25" s="399" t="s">
        <v>249</v>
      </c>
      <c r="AA25" s="399" t="s">
        <v>1233</v>
      </c>
      <c r="AB25" s="399" t="s">
        <v>249</v>
      </c>
    </row>
    <row r="27" spans="2:28">
      <c r="B27" s="392" t="s">
        <v>1236</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1"/>
      <c r="AB27" s="391"/>
    </row>
    <row r="28" spans="2:28">
      <c r="B28" s="392" t="s">
        <v>1233</v>
      </c>
      <c r="C28" s="393" t="s">
        <v>1237</v>
      </c>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row>
    <row r="29" spans="2:28">
      <c r="B29" s="392" t="s">
        <v>1238</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row>
    <row r="30" spans="2:28">
      <c r="B30" s="392" t="s">
        <v>1231</v>
      </c>
      <c r="C30" s="393" t="s">
        <v>1239</v>
      </c>
    </row>
    <row r="31" spans="2:28">
      <c r="B31" s="392" t="s">
        <v>1229</v>
      </c>
      <c r="C31" s="393" t="s">
        <v>1240</v>
      </c>
    </row>
    <row r="32" spans="2:28">
      <c r="B32" s="392" t="s">
        <v>1230</v>
      </c>
      <c r="C32" s="393" t="s">
        <v>1241</v>
      </c>
    </row>
    <row r="33" spans="1:3">
      <c r="B33" s="392" t="s">
        <v>1232</v>
      </c>
      <c r="C33" s="393" t="s">
        <v>1242</v>
      </c>
    </row>
    <row r="34" spans="1:3">
      <c r="A34" t="s">
        <v>1243</v>
      </c>
    </row>
    <row r="35" spans="1:3">
      <c r="A35" s="394" t="s">
        <v>1213</v>
      </c>
      <c r="B35" s="396" t="s">
        <v>1228</v>
      </c>
      <c r="C35" s="396" t="s">
        <v>1235</v>
      </c>
    </row>
    <row r="36" spans="1:3">
      <c r="A36" s="400" t="s">
        <v>1214</v>
      </c>
      <c r="B36" s="399">
        <v>418764395</v>
      </c>
      <c r="C36" s="399">
        <v>14951510</v>
      </c>
    </row>
    <row r="37" spans="1:3">
      <c r="A37" s="400" t="s">
        <v>1215</v>
      </c>
      <c r="B37" s="399">
        <v>424301173</v>
      </c>
      <c r="C37" s="399">
        <v>15459006</v>
      </c>
    </row>
    <row r="38" spans="1:3">
      <c r="A38" s="400" t="s">
        <v>1216</v>
      </c>
      <c r="B38" s="399">
        <v>428929021</v>
      </c>
      <c r="C38" s="399">
        <v>15925513</v>
      </c>
    </row>
    <row r="39" spans="1:3">
      <c r="A39" s="400" t="s">
        <v>1217</v>
      </c>
      <c r="B39" s="399">
        <v>443274551</v>
      </c>
      <c r="C39" s="399">
        <v>16865008</v>
      </c>
    </row>
    <row r="40" spans="1:3">
      <c r="A40" s="400" t="s">
        <v>1218</v>
      </c>
      <c r="B40" s="399">
        <v>444234821</v>
      </c>
      <c r="C40" s="399">
        <v>16939923</v>
      </c>
    </row>
    <row r="41" spans="1:3">
      <c r="A41" s="400" t="s">
        <v>1219</v>
      </c>
      <c r="B41" s="399">
        <v>445167186</v>
      </c>
      <c r="C41" s="399">
        <v>17030314</v>
      </c>
    </row>
    <row r="42" spans="1:3">
      <c r="A42" s="400" t="s">
        <v>1220</v>
      </c>
      <c r="B42" s="399">
        <v>445871494</v>
      </c>
      <c r="C42" s="399">
        <v>17131296</v>
      </c>
    </row>
    <row r="43" spans="1:3">
      <c r="A43" s="400" t="s">
        <v>1221</v>
      </c>
      <c r="B43" s="399">
        <v>446655355</v>
      </c>
      <c r="C43" s="399">
        <v>17231624</v>
      </c>
    </row>
    <row r="44" spans="1:3">
      <c r="A44" s="400" t="s">
        <v>1222</v>
      </c>
      <c r="B44" s="399">
        <v>447022255</v>
      </c>
      <c r="C44" s="399">
        <v>17344874</v>
      </c>
    </row>
    <row r="45" spans="1:3">
      <c r="A45" s="400" t="s">
        <v>1223</v>
      </c>
      <c r="B45" s="399">
        <v>447346360</v>
      </c>
      <c r="C45" s="399">
        <v>17441500</v>
      </c>
    </row>
    <row r="46" spans="1:3">
      <c r="A46" s="400" t="s">
        <v>1224</v>
      </c>
      <c r="B46" s="399">
        <v>446904604</v>
      </c>
      <c r="C46" s="399">
        <v>17533044</v>
      </c>
    </row>
    <row r="47" spans="1:3">
      <c r="A47" s="400" t="s">
        <v>1225</v>
      </c>
      <c r="B47" s="399">
        <v>447033117</v>
      </c>
      <c r="C47" s="399">
        <v>17700982</v>
      </c>
    </row>
    <row r="48" spans="1:3">
      <c r="A48" s="400" t="s">
        <v>1226</v>
      </c>
      <c r="B48" s="399" t="s">
        <v>1233</v>
      </c>
      <c r="C48" s="399" t="s">
        <v>1233</v>
      </c>
    </row>
    <row r="49" spans="1:3">
      <c r="A49" s="400" t="s">
        <v>249</v>
      </c>
      <c r="B49" s="399" t="s">
        <v>249</v>
      </c>
      <c r="C49" s="399" t="s">
        <v>249</v>
      </c>
    </row>
    <row r="52" spans="1:3">
      <c r="A52" t="s">
        <v>1243</v>
      </c>
      <c r="B52" t="s">
        <v>182</v>
      </c>
      <c r="C52" t="s">
        <v>180</v>
      </c>
    </row>
    <row r="53" spans="1:3">
      <c r="A53" s="404" t="s">
        <v>1214</v>
      </c>
      <c r="B53" s="402">
        <v>418764395</v>
      </c>
      <c r="C53" s="403">
        <v>14951510</v>
      </c>
    </row>
    <row r="54" spans="1:3">
      <c r="A54" s="404" t="s">
        <v>1215</v>
      </c>
      <c r="B54" s="402">
        <v>424301173</v>
      </c>
      <c r="C54" s="403">
        <v>15459006</v>
      </c>
    </row>
    <row r="55" spans="1:3">
      <c r="A55" s="404" t="s">
        <v>1216</v>
      </c>
      <c r="B55" s="402">
        <v>428929021</v>
      </c>
      <c r="C55" s="403">
        <v>15925513</v>
      </c>
    </row>
    <row r="56" spans="1:3">
      <c r="A56" s="404" t="s">
        <v>1244</v>
      </c>
      <c r="B56" s="402">
        <v>435116254</v>
      </c>
      <c r="C56" s="403">
        <v>16319868</v>
      </c>
    </row>
    <row r="57" spans="1:3">
      <c r="A57" s="404" t="s">
        <v>1245</v>
      </c>
      <c r="B57" s="402">
        <v>441041446</v>
      </c>
      <c r="C57" s="403">
        <v>16615394</v>
      </c>
    </row>
    <row r="58" spans="1:3">
      <c r="A58" s="404" t="s">
        <v>1218</v>
      </c>
      <c r="B58" s="402">
        <v>444234821</v>
      </c>
      <c r="C58" s="403">
        <v>16939923</v>
      </c>
    </row>
    <row r="59" spans="1:3">
      <c r="A59" s="404" t="s">
        <v>1222</v>
      </c>
      <c r="B59" s="402">
        <v>447022255</v>
      </c>
      <c r="C59" s="403">
        <v>17344874</v>
      </c>
    </row>
    <row r="60" spans="1:3">
      <c r="A60" s="404" t="s">
        <v>1223</v>
      </c>
      <c r="B60" s="402">
        <v>447346360</v>
      </c>
      <c r="C60" s="403">
        <v>17441500</v>
      </c>
    </row>
    <row r="61" spans="1:3">
      <c r="A61" s="404" t="s">
        <v>1224</v>
      </c>
      <c r="B61" s="402">
        <v>446904604</v>
      </c>
      <c r="C61" s="403">
        <v>17533044</v>
      </c>
    </row>
    <row r="62" spans="1:3">
      <c r="A62" s="404" t="s">
        <v>1225</v>
      </c>
      <c r="B62" s="402">
        <v>447033117</v>
      </c>
      <c r="C62" s="403">
        <v>17700982</v>
      </c>
    </row>
  </sheetData>
  <mergeCells count="13">
    <mergeCell ref="C21:D21"/>
    <mergeCell ref="E21:F21"/>
    <mergeCell ref="G21:H21"/>
    <mergeCell ref="I21:J21"/>
    <mergeCell ref="K21:L21"/>
    <mergeCell ref="W21:X21"/>
    <mergeCell ref="Y21:Z21"/>
    <mergeCell ref="AA21:AB21"/>
    <mergeCell ref="M21:N21"/>
    <mergeCell ref="O21:P21"/>
    <mergeCell ref="Q21:R21"/>
    <mergeCell ref="S21:T21"/>
    <mergeCell ref="U21:V2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2" t="s">
        <v>101</v>
      </c>
      <c r="B1" s="222" t="s">
        <v>1246</v>
      </c>
      <c r="C1" s="222" t="s">
        <v>1247</v>
      </c>
      <c r="D1" s="222" t="s">
        <v>1248</v>
      </c>
      <c r="E1" s="222" t="s">
        <v>1249</v>
      </c>
      <c r="F1" s="222" t="s">
        <v>1250</v>
      </c>
      <c r="G1" s="222" t="s">
        <v>104</v>
      </c>
      <c r="H1" s="111" t="s">
        <v>134</v>
      </c>
      <c r="I1" s="112" t="s">
        <v>135</v>
      </c>
      <c r="J1" s="112" t="s">
        <v>65</v>
      </c>
      <c r="K1" s="112" t="s">
        <v>67</v>
      </c>
      <c r="L1" s="112" t="s">
        <v>73</v>
      </c>
      <c r="M1" s="113" t="s">
        <v>79</v>
      </c>
      <c r="O1" s="414" t="s">
        <v>1251</v>
      </c>
    </row>
    <row r="2" spans="1:15">
      <c r="A2" s="415">
        <v>1980</v>
      </c>
      <c r="B2" s="415">
        <v>22.5036767</v>
      </c>
      <c r="C2" s="509">
        <f t="shared" ref="C2:C39" si="0">B2/OECD_ref_2018</f>
        <v>0.36060378883928257</v>
      </c>
      <c r="D2">
        <f t="shared" ref="D2:D39" si="1">In_EU_2018*C2</f>
        <v>249.82991094574334</v>
      </c>
      <c r="E2">
        <f t="shared" ref="E2:E39" si="2">In_NL_2018_low*C2</f>
        <v>8.2211048318604494</v>
      </c>
      <c r="F2">
        <f t="shared" ref="F2:F39" si="3">IN_NL_2018_high*C2</f>
        <v>16.777422760387797</v>
      </c>
      <c r="G2" t="s">
        <v>1252</v>
      </c>
      <c r="H2" s="174">
        <v>2</v>
      </c>
      <c r="I2" s="66">
        <v>1</v>
      </c>
      <c r="J2" s="66">
        <v>1</v>
      </c>
      <c r="K2" s="66">
        <v>1</v>
      </c>
      <c r="L2" s="66">
        <v>1</v>
      </c>
      <c r="M2" s="66">
        <v>2</v>
      </c>
    </row>
    <row r="3" spans="1:15">
      <c r="A3" s="415">
        <v>1981</v>
      </c>
      <c r="B3" s="415">
        <v>22.558411880000001</v>
      </c>
      <c r="C3" s="509">
        <f t="shared" si="0"/>
        <v>0.36148087721705868</v>
      </c>
      <c r="D3">
        <f t="shared" si="1"/>
        <v>250.43756654475041</v>
      </c>
      <c r="E3">
        <f t="shared" si="2"/>
        <v>8.2411008377918176</v>
      </c>
      <c r="F3">
        <f t="shared" si="3"/>
        <v>16.818230103426366</v>
      </c>
      <c r="G3" t="s">
        <v>1252</v>
      </c>
      <c r="H3" s="174">
        <v>2</v>
      </c>
      <c r="I3" s="66">
        <v>1</v>
      </c>
      <c r="J3" s="66">
        <v>1</v>
      </c>
      <c r="K3" s="66">
        <v>1</v>
      </c>
      <c r="L3" s="66">
        <v>1</v>
      </c>
      <c r="M3" s="66">
        <v>2</v>
      </c>
    </row>
    <row r="4" spans="1:15">
      <c r="A4" s="415">
        <v>1982</v>
      </c>
      <c r="B4" s="415">
        <v>22.65352575</v>
      </c>
      <c r="C4" s="509">
        <f t="shared" si="0"/>
        <v>0.36300500246780787</v>
      </c>
      <c r="D4">
        <f t="shared" si="1"/>
        <v>251.49349575972195</v>
      </c>
      <c r="E4">
        <f t="shared" si="2"/>
        <v>8.2758480973911315</v>
      </c>
      <c r="F4">
        <f t="shared" si="3"/>
        <v>16.88914143176795</v>
      </c>
      <c r="G4" t="s">
        <v>1252</v>
      </c>
      <c r="H4" s="174">
        <v>2</v>
      </c>
      <c r="I4" s="66">
        <v>1</v>
      </c>
      <c r="J4" s="66">
        <v>1</v>
      </c>
      <c r="K4" s="66">
        <v>1</v>
      </c>
      <c r="L4" s="66">
        <v>1</v>
      </c>
      <c r="M4" s="66">
        <v>2</v>
      </c>
    </row>
    <row r="5" spans="1:15">
      <c r="A5" s="415">
        <v>1983</v>
      </c>
      <c r="B5" s="415">
        <v>24.461622120000001</v>
      </c>
      <c r="C5" s="509">
        <f t="shared" si="0"/>
        <v>0.39197833026221907</v>
      </c>
      <c r="D5">
        <f t="shared" si="1"/>
        <v>271.56650698896794</v>
      </c>
      <c r="E5">
        <f t="shared" si="2"/>
        <v>8.9363868174428802</v>
      </c>
      <c r="F5">
        <f t="shared" si="3"/>
        <v>18.237152141102953</v>
      </c>
      <c r="G5" t="s">
        <v>1252</v>
      </c>
      <c r="H5" s="174">
        <v>2</v>
      </c>
      <c r="I5" s="66">
        <v>1</v>
      </c>
      <c r="J5" s="66">
        <v>1</v>
      </c>
      <c r="K5" s="66">
        <v>1</v>
      </c>
      <c r="L5" s="66">
        <v>1</v>
      </c>
      <c r="M5" s="66">
        <v>2</v>
      </c>
    </row>
    <row r="6" spans="1:15">
      <c r="A6" s="415">
        <v>1984</v>
      </c>
      <c r="B6" s="415">
        <v>25.81452925</v>
      </c>
      <c r="C6" s="509">
        <f t="shared" si="0"/>
        <v>0.41365760709904276</v>
      </c>
      <c r="D6">
        <f t="shared" si="1"/>
        <v>286.58612677428778</v>
      </c>
      <c r="E6">
        <f t="shared" si="2"/>
        <v>9.430634557124522</v>
      </c>
      <c r="F6">
        <f t="shared" si="3"/>
        <v>19.245800424587799</v>
      </c>
      <c r="G6" t="s">
        <v>1252</v>
      </c>
      <c r="H6" s="174">
        <v>2</v>
      </c>
      <c r="I6" s="66">
        <v>1</v>
      </c>
      <c r="J6" s="66">
        <v>1</v>
      </c>
      <c r="K6" s="66">
        <v>1</v>
      </c>
      <c r="L6" s="66">
        <v>1</v>
      </c>
      <c r="M6" s="66">
        <v>2</v>
      </c>
    </row>
    <row r="7" spans="1:15">
      <c r="A7" s="415">
        <v>1985</v>
      </c>
      <c r="B7" s="415">
        <v>26.78568624</v>
      </c>
      <c r="C7" s="509">
        <f t="shared" si="0"/>
        <v>0.42921963702065791</v>
      </c>
      <c r="D7">
        <f t="shared" si="1"/>
        <v>297.36765672428197</v>
      </c>
      <c r="E7">
        <f t="shared" si="2"/>
        <v>9.7854202896703537</v>
      </c>
      <c r="F7">
        <f t="shared" si="3"/>
        <v>19.969838172069998</v>
      </c>
      <c r="G7" t="s">
        <v>1252</v>
      </c>
      <c r="H7" s="174">
        <v>2</v>
      </c>
      <c r="I7" s="66">
        <v>1</v>
      </c>
      <c r="J7" s="66">
        <v>1</v>
      </c>
      <c r="K7" s="66">
        <v>1</v>
      </c>
      <c r="L7" s="66">
        <v>1</v>
      </c>
      <c r="M7" s="66">
        <v>2</v>
      </c>
    </row>
    <row r="8" spans="1:15">
      <c r="A8" s="415">
        <v>1986</v>
      </c>
      <c r="B8" s="415">
        <v>28.008801429999998</v>
      </c>
      <c r="C8" s="509">
        <f t="shared" si="0"/>
        <v>0.44881909970316608</v>
      </c>
      <c r="D8">
        <f t="shared" si="1"/>
        <v>310.94636046535049</v>
      </c>
      <c r="E8">
        <f t="shared" si="2"/>
        <v>10.232252082202766</v>
      </c>
      <c r="F8">
        <f t="shared" si="3"/>
        <v>20.881721190158419</v>
      </c>
      <c r="G8" t="s">
        <v>1252</v>
      </c>
      <c r="H8" s="174">
        <v>2</v>
      </c>
      <c r="I8" s="66">
        <v>1</v>
      </c>
      <c r="J8" s="66">
        <v>1</v>
      </c>
      <c r="K8" s="66">
        <v>1</v>
      </c>
      <c r="L8" s="66">
        <v>1</v>
      </c>
      <c r="M8" s="66">
        <v>2</v>
      </c>
    </row>
    <row r="9" spans="1:15">
      <c r="A9" s="415">
        <v>1987</v>
      </c>
      <c r="B9" s="415">
        <v>29.841345990000001</v>
      </c>
      <c r="C9" s="509">
        <f t="shared" si="0"/>
        <v>0.47818419058863976</v>
      </c>
      <c r="D9">
        <f t="shared" si="1"/>
        <v>331.2907890817155</v>
      </c>
      <c r="E9">
        <f t="shared" si="2"/>
        <v>10.901722282013075</v>
      </c>
      <c r="F9">
        <f t="shared" si="3"/>
        <v>22.247959037432899</v>
      </c>
      <c r="G9" t="s">
        <v>1252</v>
      </c>
      <c r="H9" s="174">
        <v>2</v>
      </c>
      <c r="I9" s="66">
        <v>1</v>
      </c>
      <c r="J9" s="66">
        <v>1</v>
      </c>
      <c r="K9" s="66">
        <v>1</v>
      </c>
      <c r="L9" s="66">
        <v>1</v>
      </c>
      <c r="M9" s="66">
        <v>2</v>
      </c>
    </row>
    <row r="10" spans="1:15">
      <c r="A10" s="415">
        <v>1988</v>
      </c>
      <c r="B10" s="415">
        <v>31.233463759999999</v>
      </c>
      <c r="C10" s="509">
        <f t="shared" si="0"/>
        <v>0.5004917872122836</v>
      </c>
      <c r="D10">
        <f t="shared" si="1"/>
        <v>346.74571509854218</v>
      </c>
      <c r="E10">
        <f t="shared" si="2"/>
        <v>11.410294560136222</v>
      </c>
      <c r="F10">
        <f t="shared" si="3"/>
        <v>23.285840476581829</v>
      </c>
      <c r="G10" t="s">
        <v>1252</v>
      </c>
      <c r="H10" s="174">
        <v>2</v>
      </c>
      <c r="I10" s="66">
        <v>1</v>
      </c>
      <c r="J10" s="66">
        <v>1</v>
      </c>
      <c r="K10" s="66">
        <v>1</v>
      </c>
      <c r="L10" s="66">
        <v>1</v>
      </c>
      <c r="M10" s="66">
        <v>2</v>
      </c>
    </row>
    <row r="11" spans="1:15">
      <c r="A11" s="415">
        <v>1989</v>
      </c>
      <c r="B11" s="415">
        <v>31.640265190000001</v>
      </c>
      <c r="C11" s="509">
        <f t="shared" si="0"/>
        <v>0.5070104614235621</v>
      </c>
      <c r="D11">
        <f t="shared" si="1"/>
        <v>351.26191777885805</v>
      </c>
      <c r="E11">
        <f t="shared" si="2"/>
        <v>11.558908373175083</v>
      </c>
      <c r="F11">
        <f t="shared" si="3"/>
        <v>23.589127786545731</v>
      </c>
      <c r="G11" t="s">
        <v>1252</v>
      </c>
      <c r="H11" s="174">
        <v>2</v>
      </c>
      <c r="I11" s="66">
        <v>1</v>
      </c>
      <c r="J11" s="66">
        <v>1</v>
      </c>
      <c r="K11" s="66">
        <v>1</v>
      </c>
      <c r="L11" s="66">
        <v>1</v>
      </c>
      <c r="M11" s="66">
        <v>2</v>
      </c>
    </row>
    <row r="12" spans="1:15">
      <c r="A12" s="415">
        <v>1990</v>
      </c>
      <c r="B12" s="415">
        <v>32.819377369999998</v>
      </c>
      <c r="C12" s="509">
        <f t="shared" si="0"/>
        <v>0.52590481034453396</v>
      </c>
      <c r="D12">
        <f t="shared" si="1"/>
        <v>364.35211165479654</v>
      </c>
      <c r="E12">
        <f t="shared" si="2"/>
        <v>11.989664865526551</v>
      </c>
      <c r="F12">
        <f t="shared" si="3"/>
        <v>24.468204738703616</v>
      </c>
      <c r="G12" t="s">
        <v>1252</v>
      </c>
      <c r="H12" s="174">
        <v>2</v>
      </c>
      <c r="I12" s="66">
        <v>1</v>
      </c>
      <c r="J12" s="66">
        <v>1</v>
      </c>
      <c r="K12" s="66">
        <v>1</v>
      </c>
      <c r="L12" s="66">
        <v>1</v>
      </c>
      <c r="M12" s="66">
        <v>2</v>
      </c>
    </row>
    <row r="13" spans="1:15">
      <c r="A13" s="415">
        <v>1991</v>
      </c>
      <c r="B13" s="415">
        <v>33.445377110000003</v>
      </c>
      <c r="C13" s="509">
        <f t="shared" si="0"/>
        <v>0.53593596574486047</v>
      </c>
      <c r="D13">
        <f t="shared" si="1"/>
        <v>371.30179642769673</v>
      </c>
      <c r="E13">
        <f t="shared" si="2"/>
        <v>12.218356805775471</v>
      </c>
      <c r="F13">
        <f t="shared" si="3"/>
        <v>24.934913464832483</v>
      </c>
      <c r="G13" t="s">
        <v>1252</v>
      </c>
      <c r="H13" s="174">
        <v>2</v>
      </c>
      <c r="I13" s="66">
        <v>1</v>
      </c>
      <c r="J13" s="66">
        <v>1</v>
      </c>
      <c r="K13" s="66">
        <v>1</v>
      </c>
      <c r="L13" s="66">
        <v>1</v>
      </c>
      <c r="M13" s="66">
        <v>2</v>
      </c>
    </row>
    <row r="14" spans="1:15">
      <c r="A14" s="415">
        <v>1992</v>
      </c>
      <c r="B14" s="415">
        <v>34.929339040000002</v>
      </c>
      <c r="C14" s="509">
        <f t="shared" si="0"/>
        <v>0.55971529307812484</v>
      </c>
      <c r="D14">
        <f t="shared" si="1"/>
        <v>387.77635219745565</v>
      </c>
      <c r="E14">
        <f t="shared" si="2"/>
        <v>12.760481844081767</v>
      </c>
      <c r="F14">
        <f t="shared" si="3"/>
        <v>26.041268528133365</v>
      </c>
      <c r="G14" t="s">
        <v>1252</v>
      </c>
      <c r="H14" s="174">
        <v>2</v>
      </c>
      <c r="I14" s="66">
        <v>1</v>
      </c>
      <c r="J14" s="66">
        <v>1</v>
      </c>
      <c r="K14" s="66">
        <v>1</v>
      </c>
      <c r="L14" s="66">
        <v>1</v>
      </c>
      <c r="M14" s="66">
        <v>2</v>
      </c>
    </row>
    <row r="15" spans="1:15">
      <c r="A15" s="415">
        <v>1993</v>
      </c>
      <c r="B15" s="415">
        <v>35.716374469999998</v>
      </c>
      <c r="C15" s="509">
        <f t="shared" si="0"/>
        <v>0.57232691924891643</v>
      </c>
      <c r="D15">
        <f t="shared" si="1"/>
        <v>396.51381292484177</v>
      </c>
      <c r="E15">
        <f t="shared" si="2"/>
        <v>13.04800378383743</v>
      </c>
      <c r="F15">
        <f t="shared" si="3"/>
        <v>26.628036028953066</v>
      </c>
      <c r="G15" t="s">
        <v>1252</v>
      </c>
      <c r="H15" s="174">
        <v>2</v>
      </c>
      <c r="I15" s="66">
        <v>1</v>
      </c>
      <c r="J15" s="66">
        <v>1</v>
      </c>
      <c r="K15" s="66">
        <v>1</v>
      </c>
      <c r="L15" s="66">
        <v>1</v>
      </c>
      <c r="M15" s="66">
        <v>2</v>
      </c>
    </row>
    <row r="16" spans="1:15">
      <c r="A16" s="415">
        <v>1994</v>
      </c>
      <c r="B16" s="415">
        <v>38.469429210000001</v>
      </c>
      <c r="C16" s="509">
        <f t="shared" si="0"/>
        <v>0.61644246460448704</v>
      </c>
      <c r="D16">
        <f t="shared" si="1"/>
        <v>427.07750390263465</v>
      </c>
      <c r="E16">
        <f t="shared" si="2"/>
        <v>14.053757284792692</v>
      </c>
      <c r="F16">
        <f t="shared" si="3"/>
        <v>28.680552329788011</v>
      </c>
      <c r="G16" t="s">
        <v>1252</v>
      </c>
      <c r="H16" s="174">
        <v>2</v>
      </c>
      <c r="I16" s="66">
        <v>1</v>
      </c>
      <c r="J16" s="66">
        <v>1</v>
      </c>
      <c r="K16" s="66">
        <v>1</v>
      </c>
      <c r="L16" s="66">
        <v>1</v>
      </c>
      <c r="M16" s="66">
        <v>2</v>
      </c>
    </row>
    <row r="17" spans="1:13">
      <c r="A17" s="415">
        <v>1995</v>
      </c>
      <c r="B17" s="415">
        <v>39.184407389999997</v>
      </c>
      <c r="C17" s="509">
        <f t="shared" si="0"/>
        <v>0.62789942979655333</v>
      </c>
      <c r="D17">
        <f t="shared" si="1"/>
        <v>435.01500395735007</v>
      </c>
      <c r="E17">
        <f t="shared" si="2"/>
        <v>14.314955072542316</v>
      </c>
      <c r="F17">
        <f t="shared" si="3"/>
        <v>29.213598167151673</v>
      </c>
      <c r="G17" t="s">
        <v>1252</v>
      </c>
      <c r="H17" s="174">
        <v>2</v>
      </c>
      <c r="I17" s="66">
        <v>1</v>
      </c>
      <c r="J17" s="66">
        <v>1</v>
      </c>
      <c r="K17" s="66">
        <v>1</v>
      </c>
      <c r="L17" s="66">
        <v>1</v>
      </c>
      <c r="M17" s="66">
        <v>2</v>
      </c>
    </row>
    <row r="18" spans="1:13">
      <c r="A18" s="415">
        <v>1996</v>
      </c>
      <c r="B18" s="415">
        <v>41.199328379999997</v>
      </c>
      <c r="C18" s="509">
        <f t="shared" si="0"/>
        <v>0.660186960091805</v>
      </c>
      <c r="D18">
        <f t="shared" si="1"/>
        <v>457.38412782120338</v>
      </c>
      <c r="E18">
        <f t="shared" si="2"/>
        <v>15.051051529469555</v>
      </c>
      <c r="F18">
        <f t="shared" si="3"/>
        <v>30.715805194415317</v>
      </c>
      <c r="G18" t="s">
        <v>1252</v>
      </c>
      <c r="H18" s="174">
        <v>2</v>
      </c>
      <c r="I18" s="66">
        <v>1</v>
      </c>
      <c r="J18" s="66">
        <v>1</v>
      </c>
      <c r="K18" s="66">
        <v>1</v>
      </c>
      <c r="L18" s="66">
        <v>1</v>
      </c>
      <c r="M18" s="66">
        <v>2</v>
      </c>
    </row>
    <row r="19" spans="1:13">
      <c r="A19" s="415">
        <v>1997</v>
      </c>
      <c r="B19" s="415">
        <v>43.37690465</v>
      </c>
      <c r="C19" s="509">
        <f t="shared" si="0"/>
        <v>0.69508091381842041</v>
      </c>
      <c r="D19">
        <f t="shared" si="1"/>
        <v>481.5590079025398</v>
      </c>
      <c r="E19">
        <f t="shared" si="2"/>
        <v>15.846569658959998</v>
      </c>
      <c r="F19">
        <f t="shared" si="3"/>
        <v>32.33927846777506</v>
      </c>
      <c r="G19" t="s">
        <v>1252</v>
      </c>
      <c r="H19" s="174">
        <v>2</v>
      </c>
      <c r="I19" s="66">
        <v>1</v>
      </c>
      <c r="J19" s="66">
        <v>1</v>
      </c>
      <c r="K19" s="66">
        <v>1</v>
      </c>
      <c r="L19" s="66">
        <v>1</v>
      </c>
      <c r="M19" s="66">
        <v>2</v>
      </c>
    </row>
    <row r="20" spans="1:13">
      <c r="A20" s="415">
        <v>1998</v>
      </c>
      <c r="B20" s="415">
        <v>44.432741010000001</v>
      </c>
      <c r="C20" s="509">
        <f t="shared" si="0"/>
        <v>0.71199986430308837</v>
      </c>
      <c r="D20">
        <f t="shared" si="1"/>
        <v>493.28062598782259</v>
      </c>
      <c r="E20">
        <f t="shared" si="2"/>
        <v>16.232290690974732</v>
      </c>
      <c r="F20">
        <f t="shared" si="3"/>
        <v>33.126448191801046</v>
      </c>
      <c r="G20" t="s">
        <v>1252</v>
      </c>
      <c r="H20" s="174">
        <v>2</v>
      </c>
      <c r="I20" s="66">
        <v>1</v>
      </c>
      <c r="J20" s="66">
        <v>1</v>
      </c>
      <c r="K20" s="66">
        <v>1</v>
      </c>
      <c r="L20" s="66">
        <v>1</v>
      </c>
      <c r="M20" s="66">
        <v>2</v>
      </c>
    </row>
    <row r="21" spans="1:13">
      <c r="A21" s="415">
        <v>1999</v>
      </c>
      <c r="B21" s="415">
        <v>46.790113920000003</v>
      </c>
      <c r="C21" s="509">
        <f t="shared" si="0"/>
        <v>0.7497749183258422</v>
      </c>
      <c r="D21">
        <f t="shared" si="1"/>
        <v>519.45156116532667</v>
      </c>
      <c r="E21">
        <f t="shared" si="2"/>
        <v>17.093492621630713</v>
      </c>
      <c r="F21">
        <f t="shared" si="3"/>
        <v>34.883967304886937</v>
      </c>
      <c r="G21" t="s">
        <v>1252</v>
      </c>
      <c r="H21" s="174">
        <v>2</v>
      </c>
      <c r="I21" s="66">
        <v>1</v>
      </c>
      <c r="J21" s="66">
        <v>1</v>
      </c>
      <c r="K21" s="66">
        <v>1</v>
      </c>
      <c r="L21" s="66">
        <v>1</v>
      </c>
      <c r="M21" s="66">
        <v>2</v>
      </c>
    </row>
    <row r="22" spans="1:13">
      <c r="A22" s="415">
        <v>2000</v>
      </c>
      <c r="B22" s="415">
        <v>48.20224262</v>
      </c>
      <c r="C22" s="509">
        <f t="shared" si="0"/>
        <v>0.77240317442537498</v>
      </c>
      <c r="D22">
        <f t="shared" si="1"/>
        <v>535.128643273644</v>
      </c>
      <c r="E22">
        <f t="shared" si="2"/>
        <v>17.609375347531177</v>
      </c>
      <c r="F22">
        <f t="shared" si="3"/>
        <v>35.93676772091748</v>
      </c>
      <c r="G22" t="s">
        <v>1252</v>
      </c>
      <c r="H22" s="174">
        <v>2</v>
      </c>
      <c r="I22" s="66">
        <v>1</v>
      </c>
      <c r="J22" s="66">
        <v>1</v>
      </c>
      <c r="K22" s="66">
        <v>1</v>
      </c>
      <c r="L22" s="66">
        <v>1</v>
      </c>
      <c r="M22" s="66">
        <v>2</v>
      </c>
    </row>
    <row r="23" spans="1:13">
      <c r="A23" s="415">
        <v>2001</v>
      </c>
      <c r="B23" s="415">
        <v>48.30472391</v>
      </c>
      <c r="C23" s="509">
        <f t="shared" si="0"/>
        <v>0.77404535680969344</v>
      </c>
      <c r="D23">
        <f t="shared" si="1"/>
        <v>536.26636365132367</v>
      </c>
      <c r="E23">
        <f t="shared" si="2"/>
        <v>17.646814093191537</v>
      </c>
      <c r="F23">
        <f t="shared" si="3"/>
        <v>36.013171765922266</v>
      </c>
      <c r="G23" t="s">
        <v>1252</v>
      </c>
      <c r="H23" s="174">
        <v>2</v>
      </c>
      <c r="I23" s="66">
        <v>1</v>
      </c>
      <c r="J23" s="66">
        <v>1</v>
      </c>
      <c r="K23" s="66">
        <v>1</v>
      </c>
      <c r="L23" s="66">
        <v>1</v>
      </c>
      <c r="M23" s="66">
        <v>2</v>
      </c>
    </row>
    <row r="24" spans="1:13">
      <c r="A24" s="415">
        <v>2002</v>
      </c>
      <c r="B24" s="415">
        <v>50.256855190000003</v>
      </c>
      <c r="C24" s="509">
        <f t="shared" si="0"/>
        <v>0.80532673119415921</v>
      </c>
      <c r="D24">
        <f t="shared" si="1"/>
        <v>557.93841263862544</v>
      </c>
      <c r="E24">
        <f t="shared" si="2"/>
        <v>18.359972041218491</v>
      </c>
      <c r="F24">
        <f t="shared" si="3"/>
        <v>37.46856646452887</v>
      </c>
      <c r="G24" t="s">
        <v>1252</v>
      </c>
      <c r="H24" s="174">
        <v>2</v>
      </c>
      <c r="I24" s="66">
        <v>1</v>
      </c>
      <c r="J24" s="66">
        <v>1</v>
      </c>
      <c r="K24" s="66">
        <v>1</v>
      </c>
      <c r="L24" s="66">
        <v>1</v>
      </c>
      <c r="M24" s="66">
        <v>2</v>
      </c>
    </row>
    <row r="25" spans="1:13">
      <c r="A25" s="415">
        <v>2003</v>
      </c>
      <c r="B25" s="415">
        <v>51.157698490000001</v>
      </c>
      <c r="C25" s="509">
        <f t="shared" si="0"/>
        <v>0.81976203932007452</v>
      </c>
      <c r="D25">
        <f t="shared" si="1"/>
        <v>567.93933846134075</v>
      </c>
      <c r="E25">
        <f t="shared" si="2"/>
        <v>18.689070583874816</v>
      </c>
      <c r="F25">
        <f t="shared" si="3"/>
        <v>38.140182444728353</v>
      </c>
      <c r="G25" t="s">
        <v>1252</v>
      </c>
      <c r="H25" s="174">
        <v>2</v>
      </c>
      <c r="I25" s="66">
        <v>1</v>
      </c>
      <c r="J25" s="66">
        <v>1</v>
      </c>
      <c r="K25" s="66">
        <v>1</v>
      </c>
      <c r="L25" s="66">
        <v>1</v>
      </c>
      <c r="M25" s="66">
        <v>2</v>
      </c>
    </row>
    <row r="26" spans="1:13">
      <c r="A26" s="415">
        <v>2004</v>
      </c>
      <c r="B26" s="415">
        <v>53.148585580000002</v>
      </c>
      <c r="C26" s="509">
        <f t="shared" si="0"/>
        <v>0.8516644451969424</v>
      </c>
      <c r="D26">
        <f t="shared" si="1"/>
        <v>590.04164427689363</v>
      </c>
      <c r="E26">
        <f t="shared" si="2"/>
        <v>19.416386910601442</v>
      </c>
      <c r="F26">
        <f t="shared" si="3"/>
        <v>39.624471204401488</v>
      </c>
      <c r="G26" t="s">
        <v>1252</v>
      </c>
      <c r="H26" s="174">
        <v>2</v>
      </c>
      <c r="I26" s="66">
        <v>1</v>
      </c>
      <c r="J26" s="66">
        <v>1</v>
      </c>
      <c r="K26" s="66">
        <v>1</v>
      </c>
      <c r="L26" s="66">
        <v>1</v>
      </c>
      <c r="M26" s="66">
        <v>2</v>
      </c>
    </row>
    <row r="27" spans="1:13">
      <c r="A27" s="415">
        <v>2005</v>
      </c>
      <c r="B27" s="415">
        <v>53.354288410000002</v>
      </c>
      <c r="C27" s="509">
        <f t="shared" si="0"/>
        <v>0.85496067189188785</v>
      </c>
      <c r="D27">
        <f t="shared" si="1"/>
        <v>592.32530309341882</v>
      </c>
      <c r="E27">
        <f t="shared" si="2"/>
        <v>19.49153483208044</v>
      </c>
      <c r="F27">
        <f t="shared" si="3"/>
        <v>39.777831181436625</v>
      </c>
      <c r="G27" t="s">
        <v>1252</v>
      </c>
      <c r="H27" s="174">
        <v>2</v>
      </c>
      <c r="I27" s="66">
        <v>1</v>
      </c>
      <c r="J27" s="66">
        <v>1</v>
      </c>
      <c r="K27" s="66">
        <v>1</v>
      </c>
      <c r="L27" s="66">
        <v>1</v>
      </c>
      <c r="M27" s="66">
        <v>2</v>
      </c>
    </row>
    <row r="28" spans="1:13">
      <c r="A28" s="415">
        <v>2006</v>
      </c>
      <c r="B28" s="415">
        <v>55.338338159999999</v>
      </c>
      <c r="C28" s="509">
        <f t="shared" si="0"/>
        <v>0.88675351475190067</v>
      </c>
      <c r="D28">
        <f t="shared" si="1"/>
        <v>614.3517025552643</v>
      </c>
      <c r="E28">
        <f t="shared" si="2"/>
        <v>20.216353323024034</v>
      </c>
      <c r="F28">
        <f t="shared" si="3"/>
        <v>41.257022421034897</v>
      </c>
      <c r="G28" t="s">
        <v>1252</v>
      </c>
      <c r="H28" s="174">
        <v>2</v>
      </c>
      <c r="I28" s="66">
        <v>1</v>
      </c>
      <c r="J28" s="66">
        <v>1</v>
      </c>
      <c r="K28" s="66">
        <v>1</v>
      </c>
      <c r="L28" s="66">
        <v>1</v>
      </c>
      <c r="M28" s="66">
        <v>2</v>
      </c>
    </row>
    <row r="29" spans="1:13">
      <c r="A29" s="415">
        <v>2007</v>
      </c>
      <c r="B29" s="415">
        <v>56.97384194</v>
      </c>
      <c r="C29" s="509">
        <f t="shared" si="0"/>
        <v>0.91296118150748329</v>
      </c>
      <c r="D29">
        <f t="shared" si="1"/>
        <v>632.50863616019944</v>
      </c>
      <c r="E29">
        <f t="shared" si="2"/>
        <v>20.813840045195263</v>
      </c>
      <c r="F29">
        <f t="shared" si="3"/>
        <v>42.4763582082075</v>
      </c>
      <c r="G29" t="s">
        <v>1252</v>
      </c>
      <c r="H29" s="174">
        <v>2</v>
      </c>
      <c r="I29" s="66">
        <v>1</v>
      </c>
      <c r="J29" s="66">
        <v>1</v>
      </c>
      <c r="K29" s="66">
        <v>1</v>
      </c>
      <c r="L29" s="66">
        <v>1</v>
      </c>
      <c r="M29" s="66">
        <v>2</v>
      </c>
    </row>
    <row r="30" spans="1:13">
      <c r="A30" s="415">
        <v>2008</v>
      </c>
      <c r="B30" s="415">
        <v>52.894491530000003</v>
      </c>
      <c r="C30" s="509">
        <f t="shared" si="0"/>
        <v>0.84759278711310948</v>
      </c>
      <c r="D30">
        <f t="shared" si="1"/>
        <v>587.22075883983337</v>
      </c>
      <c r="E30">
        <f t="shared" si="2"/>
        <v>19.323560576040656</v>
      </c>
      <c r="F30">
        <f t="shared" si="3"/>
        <v>39.435033569183901</v>
      </c>
      <c r="G30" t="s">
        <v>1252</v>
      </c>
      <c r="H30" s="174">
        <v>2</v>
      </c>
      <c r="I30" s="66">
        <v>1</v>
      </c>
      <c r="J30" s="66">
        <v>1</v>
      </c>
      <c r="K30" s="66">
        <v>1</v>
      </c>
      <c r="L30" s="66">
        <v>1</v>
      </c>
      <c r="M30" s="66">
        <v>2</v>
      </c>
    </row>
    <row r="31" spans="1:13">
      <c r="A31" s="415">
        <v>2009</v>
      </c>
      <c r="B31" s="415">
        <v>52.81567038</v>
      </c>
      <c r="C31" s="509">
        <f t="shared" si="0"/>
        <v>0.84632973993599325</v>
      </c>
      <c r="D31">
        <f t="shared" si="1"/>
        <v>586.34570712505547</v>
      </c>
      <c r="E31">
        <f t="shared" si="2"/>
        <v>19.294765417553606</v>
      </c>
      <c r="F31">
        <f t="shared" si="3"/>
        <v>39.376269138213829</v>
      </c>
      <c r="G31" t="s">
        <v>1252</v>
      </c>
      <c r="H31" s="174">
        <v>2</v>
      </c>
      <c r="I31" s="66">
        <v>1</v>
      </c>
      <c r="J31" s="66">
        <v>1</v>
      </c>
      <c r="K31" s="66">
        <v>1</v>
      </c>
      <c r="L31" s="66">
        <v>1</v>
      </c>
      <c r="M31" s="66">
        <v>2</v>
      </c>
    </row>
    <row r="32" spans="1:13">
      <c r="A32" s="415">
        <v>2010</v>
      </c>
      <c r="B32" s="415">
        <v>55.750704589999998</v>
      </c>
      <c r="C32" s="509">
        <f t="shared" si="0"/>
        <v>0.89336136372833608</v>
      </c>
      <c r="D32">
        <f t="shared" si="1"/>
        <v>618.92968640462846</v>
      </c>
      <c r="E32">
        <f t="shared" si="2"/>
        <v>20.36700015711093</v>
      </c>
      <c r="F32">
        <f t="shared" si="3"/>
        <v>41.564458668921532</v>
      </c>
      <c r="G32" t="s">
        <v>1252</v>
      </c>
      <c r="H32" s="174">
        <v>2</v>
      </c>
      <c r="I32" s="66">
        <v>1</v>
      </c>
      <c r="J32" s="66">
        <v>1</v>
      </c>
      <c r="K32" s="66">
        <v>1</v>
      </c>
      <c r="L32" s="66">
        <v>1</v>
      </c>
      <c r="M32" s="66">
        <v>2</v>
      </c>
    </row>
    <row r="33" spans="1:13">
      <c r="A33" s="415">
        <v>2011</v>
      </c>
      <c r="B33" s="415">
        <v>56.366173369999998</v>
      </c>
      <c r="C33" s="509">
        <f t="shared" si="0"/>
        <v>0.90322376874503674</v>
      </c>
      <c r="D33">
        <f t="shared" si="1"/>
        <v>625.7624592242488</v>
      </c>
      <c r="E33">
        <f t="shared" si="2"/>
        <v>20.591844898197937</v>
      </c>
      <c r="F33">
        <f t="shared" si="3"/>
        <v>42.023316128328602</v>
      </c>
      <c r="G33" t="s">
        <v>1252</v>
      </c>
      <c r="H33" s="174">
        <v>2</v>
      </c>
      <c r="I33" s="66">
        <v>1</v>
      </c>
      <c r="J33" s="66">
        <v>1</v>
      </c>
      <c r="K33" s="66">
        <v>1</v>
      </c>
      <c r="L33" s="66">
        <v>1</v>
      </c>
      <c r="M33" s="66">
        <v>2</v>
      </c>
    </row>
    <row r="34" spans="1:13">
      <c r="A34" s="415">
        <v>2012</v>
      </c>
      <c r="B34" s="415">
        <v>56.799612029999999</v>
      </c>
      <c r="C34" s="509">
        <f t="shared" si="0"/>
        <v>0.91016928369839645</v>
      </c>
      <c r="D34">
        <f t="shared" si="1"/>
        <v>630.57438143908598</v>
      </c>
      <c r="E34">
        <f t="shared" si="2"/>
        <v>20.750189897086106</v>
      </c>
      <c r="F34">
        <f t="shared" si="3"/>
        <v>42.346462596190719</v>
      </c>
      <c r="G34" t="s">
        <v>1252</v>
      </c>
      <c r="H34" s="174">
        <v>2</v>
      </c>
      <c r="I34" s="66">
        <v>1</v>
      </c>
      <c r="J34" s="66">
        <v>1</v>
      </c>
      <c r="K34" s="66">
        <v>1</v>
      </c>
      <c r="L34" s="66">
        <v>1</v>
      </c>
      <c r="M34" s="66">
        <v>2</v>
      </c>
    </row>
    <row r="35" spans="1:13">
      <c r="A35" s="415">
        <v>2013</v>
      </c>
      <c r="B35" s="415">
        <v>57.459872150000002</v>
      </c>
      <c r="C35" s="509">
        <f t="shared" si="0"/>
        <v>0.92074943484727434</v>
      </c>
      <c r="D35">
        <f t="shared" si="1"/>
        <v>637.90441595654011</v>
      </c>
      <c r="E35">
        <f t="shared" si="2"/>
        <v>20.991397933229674</v>
      </c>
      <c r="F35">
        <f t="shared" si="3"/>
        <v>42.838713854184682</v>
      </c>
      <c r="G35" t="s">
        <v>1252</v>
      </c>
      <c r="H35" s="174">
        <v>2</v>
      </c>
      <c r="I35" s="66">
        <v>1</v>
      </c>
      <c r="J35" s="66">
        <v>1</v>
      </c>
      <c r="K35" s="66">
        <v>1</v>
      </c>
      <c r="L35" s="66">
        <v>1</v>
      </c>
      <c r="M35" s="66">
        <v>2</v>
      </c>
    </row>
    <row r="36" spans="1:13">
      <c r="A36" s="415">
        <v>2014</v>
      </c>
      <c r="B36" s="415">
        <v>56.68223965</v>
      </c>
      <c r="C36" s="509">
        <f t="shared" si="0"/>
        <v>0.90828848326310208</v>
      </c>
      <c r="D36">
        <f t="shared" si="1"/>
        <v>629.27134408950974</v>
      </c>
      <c r="E36">
        <f t="shared" si="2"/>
        <v>20.707311097625528</v>
      </c>
      <c r="F36">
        <f t="shared" si="3"/>
        <v>42.258956627014896</v>
      </c>
      <c r="G36" t="s">
        <v>1252</v>
      </c>
      <c r="H36" s="174">
        <v>2</v>
      </c>
      <c r="I36" s="66">
        <v>1</v>
      </c>
      <c r="J36" s="66">
        <v>1</v>
      </c>
      <c r="K36" s="66">
        <v>1</v>
      </c>
      <c r="L36" s="66">
        <v>1</v>
      </c>
      <c r="M36" s="66">
        <v>2</v>
      </c>
    </row>
    <row r="37" spans="1:13">
      <c r="A37" s="415">
        <v>2015</v>
      </c>
      <c r="B37" s="415">
        <v>56.774038679999997</v>
      </c>
      <c r="C37" s="509">
        <f t="shared" si="0"/>
        <v>0.90975949079982921</v>
      </c>
      <c r="D37">
        <f t="shared" si="1"/>
        <v>630.29047282102965</v>
      </c>
      <c r="E37">
        <f t="shared" si="2"/>
        <v>20.740847370793418</v>
      </c>
      <c r="F37">
        <f t="shared" si="3"/>
        <v>42.327396604883198</v>
      </c>
      <c r="G37" t="s">
        <v>1252</v>
      </c>
      <c r="H37" s="174">
        <v>2</v>
      </c>
      <c r="I37" s="66">
        <v>1</v>
      </c>
      <c r="J37" s="66">
        <v>1</v>
      </c>
      <c r="K37" s="66">
        <v>1</v>
      </c>
      <c r="L37" s="66">
        <v>1</v>
      </c>
      <c r="M37" s="66">
        <v>2</v>
      </c>
    </row>
    <row r="38" spans="1:13">
      <c r="A38" s="415">
        <v>2016</v>
      </c>
      <c r="B38" s="415">
        <v>58.404274020000003</v>
      </c>
      <c r="C38" s="509">
        <f t="shared" si="0"/>
        <v>0.93588273493191798</v>
      </c>
      <c r="D38">
        <f t="shared" si="1"/>
        <v>648.38891758818204</v>
      </c>
      <c r="E38">
        <f t="shared" si="2"/>
        <v>21.336409412028381</v>
      </c>
      <c r="F38">
        <f t="shared" si="3"/>
        <v>43.542804551892353</v>
      </c>
      <c r="G38" t="s">
        <v>1252</v>
      </c>
      <c r="H38" s="174">
        <v>2</v>
      </c>
      <c r="I38" s="66">
        <v>1</v>
      </c>
      <c r="J38" s="66">
        <v>1</v>
      </c>
      <c r="K38" s="66">
        <v>1</v>
      </c>
      <c r="L38" s="66">
        <v>1</v>
      </c>
      <c r="M38" s="66">
        <v>2</v>
      </c>
    </row>
    <row r="39" spans="1:13">
      <c r="A39" s="415">
        <v>2017</v>
      </c>
      <c r="B39" s="415">
        <v>60.762864729999997</v>
      </c>
      <c r="C39" s="509">
        <f t="shared" si="0"/>
        <v>0.97367730324559854</v>
      </c>
      <c r="D39">
        <f t="shared" si="1"/>
        <v>674.57337246158306</v>
      </c>
      <c r="E39">
        <f t="shared" si="2"/>
        <v>22.198056232717114</v>
      </c>
      <c r="F39">
        <f t="shared" si="3"/>
        <v>45.301231585302098</v>
      </c>
      <c r="G39" t="s">
        <v>1252</v>
      </c>
      <c r="H39" s="174">
        <v>2</v>
      </c>
      <c r="I39" s="66">
        <v>1</v>
      </c>
      <c r="J39" s="66">
        <v>1</v>
      </c>
      <c r="K39" s="66">
        <v>1</v>
      </c>
      <c r="L39" s="66">
        <v>1</v>
      </c>
      <c r="M39" s="66">
        <v>2</v>
      </c>
    </row>
    <row r="40" spans="1:13">
      <c r="A40" s="416">
        <v>2018</v>
      </c>
      <c r="B40" s="416">
        <v>62.40554702</v>
      </c>
      <c r="C40" s="510">
        <v>1</v>
      </c>
      <c r="D40" s="417">
        <f>In_EU_2018</f>
        <v>692.81</v>
      </c>
      <c r="E40" s="417">
        <f>In_NL_2018_low</f>
        <v>22.798165427830579</v>
      </c>
      <c r="F40" s="417">
        <f>IN_NL_2018_high</f>
        <v>46.525919248910952</v>
      </c>
      <c r="G40" t="s">
        <v>1252</v>
      </c>
      <c r="H40" s="174">
        <v>2</v>
      </c>
      <c r="I40" s="66">
        <v>1</v>
      </c>
      <c r="J40" s="66">
        <v>1</v>
      </c>
      <c r="K40" s="66">
        <v>1</v>
      </c>
      <c r="L40" s="66">
        <v>1</v>
      </c>
      <c r="M40" s="66">
        <v>2</v>
      </c>
    </row>
    <row r="41" spans="1:13">
      <c r="A41" s="416">
        <v>2019</v>
      </c>
      <c r="B41" s="416">
        <v>63.673394029999997</v>
      </c>
      <c r="C41" s="510">
        <v>1</v>
      </c>
      <c r="D41" s="417">
        <f>In_EU_2019</f>
        <v>695.5</v>
      </c>
      <c r="E41" s="417">
        <f>IN_NL_2019_low</f>
        <v>22.888549427830579</v>
      </c>
      <c r="F41" s="417">
        <f>IN_NL_2019_high</f>
        <v>46.706479507763902</v>
      </c>
      <c r="G41" t="s">
        <v>1252</v>
      </c>
      <c r="H41" s="174">
        <v>2</v>
      </c>
      <c r="I41" s="66">
        <v>1</v>
      </c>
      <c r="J41" s="66">
        <v>1</v>
      </c>
      <c r="K41" s="66">
        <v>1</v>
      </c>
      <c r="L41" s="66">
        <v>1</v>
      </c>
      <c r="M41" s="66">
        <v>2</v>
      </c>
    </row>
    <row r="42" spans="1:13">
      <c r="A42" s="415">
        <v>2020</v>
      </c>
      <c r="B42" s="415">
        <v>62.244721509999998</v>
      </c>
      <c r="C42" s="509">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1252</v>
      </c>
      <c r="H42" s="174">
        <v>2</v>
      </c>
      <c r="I42" s="66">
        <v>1</v>
      </c>
      <c r="J42" s="66">
        <v>1</v>
      </c>
      <c r="K42" s="66">
        <v>1</v>
      </c>
      <c r="L42" s="66">
        <v>1</v>
      </c>
      <c r="M42" s="66">
        <v>2</v>
      </c>
    </row>
    <row r="43" spans="1:13">
      <c r="A43" s="415">
        <v>2021</v>
      </c>
      <c r="B43" s="415">
        <v>62.751095020000001</v>
      </c>
      <c r="C43" s="509">
        <f t="shared" si="4"/>
        <v>0.98551515866163109</v>
      </c>
      <c r="D43">
        <f t="shared" si="5"/>
        <v>685.4257928491644</v>
      </c>
      <c r="E43">
        <f t="shared" si="6"/>
        <v>22.557012420903039</v>
      </c>
      <c r="F43">
        <f t="shared" si="7"/>
        <v>46.029943562620161</v>
      </c>
      <c r="G43" t="s">
        <v>1252</v>
      </c>
      <c r="H43" s="174">
        <v>2</v>
      </c>
      <c r="I43" s="66">
        <v>1</v>
      </c>
      <c r="J43" s="66">
        <v>1</v>
      </c>
      <c r="K43" s="66">
        <v>1</v>
      </c>
      <c r="L43" s="66">
        <v>1</v>
      </c>
      <c r="M43" s="66">
        <v>2</v>
      </c>
    </row>
    <row r="44" spans="1:13">
      <c r="A44" s="415">
        <v>2022</v>
      </c>
      <c r="B44" s="415">
        <v>63.284099789999999</v>
      </c>
      <c r="C44" s="509">
        <f t="shared" si="4"/>
        <v>0.99388607681543439</v>
      </c>
      <c r="D44">
        <f t="shared" si="5"/>
        <v>691.24776642513461</v>
      </c>
      <c r="E44">
        <f t="shared" si="6"/>
        <v>22.74861059482269</v>
      </c>
      <c r="F44">
        <f t="shared" si="7"/>
        <v>46.420919679831947</v>
      </c>
      <c r="G44" t="s">
        <v>1252</v>
      </c>
      <c r="H44" s="174">
        <v>2</v>
      </c>
      <c r="I44" s="66">
        <v>1</v>
      </c>
      <c r="J44" s="66">
        <v>1</v>
      </c>
      <c r="K44" s="66">
        <v>1</v>
      </c>
      <c r="L44" s="66">
        <v>1</v>
      </c>
      <c r="M44" s="66">
        <v>2</v>
      </c>
    </row>
    <row r="45" spans="1:13">
      <c r="A45" s="415">
        <v>2023</v>
      </c>
      <c r="B45" s="415">
        <v>63.887207420000003</v>
      </c>
      <c r="C45" s="509">
        <f t="shared" si="4"/>
        <v>1.0033579706760922</v>
      </c>
      <c r="D45">
        <f t="shared" si="5"/>
        <v>697.8354686052221</v>
      </c>
      <c r="E45">
        <f t="shared" si="6"/>
        <v>22.965408505627522</v>
      </c>
      <c r="F45">
        <f t="shared" si="7"/>
        <v>46.863318496334479</v>
      </c>
      <c r="G45" t="s">
        <v>1252</v>
      </c>
      <c r="H45" s="174">
        <v>2</v>
      </c>
      <c r="I45" s="66">
        <v>1</v>
      </c>
      <c r="J45" s="66">
        <v>1</v>
      </c>
      <c r="K45" s="66">
        <v>1</v>
      </c>
      <c r="L45" s="66">
        <v>1</v>
      </c>
      <c r="M45" s="66">
        <v>2</v>
      </c>
    </row>
    <row r="46" spans="1:13">
      <c r="A46" s="415">
        <v>2024</v>
      </c>
      <c r="B46" s="415">
        <v>64.615952640000003</v>
      </c>
      <c r="C46" s="509">
        <f t="shared" si="4"/>
        <v>1.0148030213303207</v>
      </c>
      <c r="D46">
        <f t="shared" si="5"/>
        <v>705.7955013352381</v>
      </c>
      <c r="E46">
        <f t="shared" si="6"/>
        <v>23.227369113230857</v>
      </c>
      <c r="F46">
        <f t="shared" si="7"/>
        <v>47.397876520181519</v>
      </c>
      <c r="G46" t="s">
        <v>1252</v>
      </c>
      <c r="H46" s="174">
        <v>2</v>
      </c>
      <c r="I46" s="66">
        <v>1</v>
      </c>
      <c r="J46" s="66">
        <v>1</v>
      </c>
      <c r="K46" s="66">
        <v>1</v>
      </c>
      <c r="L46" s="66">
        <v>1</v>
      </c>
      <c r="M46" s="66">
        <v>2</v>
      </c>
    </row>
    <row r="47" spans="1:13">
      <c r="A47" s="415">
        <v>2025</v>
      </c>
      <c r="B47" s="415">
        <v>65.465784360000001</v>
      </c>
      <c r="C47" s="509">
        <f t="shared" si="4"/>
        <v>1.0281497532416053</v>
      </c>
      <c r="D47">
        <f t="shared" si="5"/>
        <v>715.0781533795365</v>
      </c>
      <c r="E47">
        <f t="shared" si="6"/>
        <v>23.532856446282295</v>
      </c>
      <c r="F47">
        <f t="shared" si="7"/>
        <v>48.021255380691549</v>
      </c>
      <c r="G47" t="s">
        <v>1252</v>
      </c>
      <c r="H47" s="174">
        <v>2</v>
      </c>
      <c r="I47" s="66">
        <v>1</v>
      </c>
      <c r="J47" s="66">
        <v>1</v>
      </c>
      <c r="K47" s="66">
        <v>1</v>
      </c>
      <c r="L47" s="66">
        <v>1</v>
      </c>
      <c r="M47" s="66">
        <v>2</v>
      </c>
    </row>
    <row r="48" spans="1:13">
      <c r="A48" s="415">
        <v>2026</v>
      </c>
      <c r="B48" s="415">
        <v>66.419471389999998</v>
      </c>
      <c r="C48" s="509">
        <f t="shared" si="4"/>
        <v>1.0431275480415914</v>
      </c>
      <c r="D48">
        <f t="shared" si="5"/>
        <v>725.49520966292675</v>
      </c>
      <c r="E48">
        <f t="shared" si="6"/>
        <v>23.87567644288168</v>
      </c>
      <c r="F48">
        <f t="shared" si="7"/>
        <v>48.720815446588588</v>
      </c>
      <c r="G48" t="s">
        <v>1252</v>
      </c>
      <c r="H48" s="174">
        <v>2</v>
      </c>
      <c r="I48" s="66">
        <v>1</v>
      </c>
      <c r="J48" s="66">
        <v>1</v>
      </c>
      <c r="K48" s="66">
        <v>1</v>
      </c>
      <c r="L48" s="66">
        <v>1</v>
      </c>
      <c r="M48" s="66">
        <v>2</v>
      </c>
    </row>
    <row r="49" spans="1:13">
      <c r="A49" s="415">
        <v>2027</v>
      </c>
      <c r="B49" s="415">
        <v>67.380646179999999</v>
      </c>
      <c r="C49" s="509">
        <f t="shared" si="4"/>
        <v>1.0582229392115223</v>
      </c>
      <c r="D49">
        <f t="shared" si="5"/>
        <v>735.99405422161374</v>
      </c>
      <c r="E49">
        <f t="shared" si="6"/>
        <v>24.221188049807083</v>
      </c>
      <c r="F49">
        <f t="shared" si="7"/>
        <v>49.425868024928654</v>
      </c>
      <c r="G49" t="s">
        <v>1252</v>
      </c>
      <c r="H49" s="174">
        <v>2</v>
      </c>
      <c r="I49" s="66">
        <v>1</v>
      </c>
      <c r="J49" s="66">
        <v>1</v>
      </c>
      <c r="K49" s="66">
        <v>1</v>
      </c>
      <c r="L49" s="66">
        <v>1</v>
      </c>
      <c r="M49" s="66">
        <v>2</v>
      </c>
    </row>
    <row r="50" spans="1:13">
      <c r="A50" s="415">
        <v>2028</v>
      </c>
      <c r="B50" s="415">
        <v>68.443224400000005</v>
      </c>
      <c r="C50" s="509">
        <f t="shared" si="4"/>
        <v>1.074910886134838</v>
      </c>
      <c r="D50">
        <f t="shared" si="5"/>
        <v>747.6005213067798</v>
      </c>
      <c r="E50">
        <f t="shared" si="6"/>
        <v>24.603150947810406</v>
      </c>
      <c r="F50">
        <f t="shared" si="7"/>
        <v>50.205303275929147</v>
      </c>
      <c r="G50" t="s">
        <v>1252</v>
      </c>
      <c r="H50" s="174">
        <v>2</v>
      </c>
      <c r="I50" s="66">
        <v>1</v>
      </c>
      <c r="J50" s="66">
        <v>1</v>
      </c>
      <c r="K50" s="66">
        <v>1</v>
      </c>
      <c r="L50" s="66">
        <v>1</v>
      </c>
      <c r="M50" s="66">
        <v>2</v>
      </c>
    </row>
    <row r="51" spans="1:13">
      <c r="A51" s="415">
        <v>2029</v>
      </c>
      <c r="B51" s="415">
        <v>69.561988159999999</v>
      </c>
      <c r="C51" s="509">
        <f t="shared" si="4"/>
        <v>1.0924812352114537</v>
      </c>
      <c r="D51">
        <f t="shared" si="5"/>
        <v>759.82069908956601</v>
      </c>
      <c r="E51">
        <f t="shared" si="6"/>
        <v>25.005310751114763</v>
      </c>
      <c r="F51">
        <f t="shared" si="7"/>
        <v>51.025952425020357</v>
      </c>
      <c r="G51" t="s">
        <v>1252</v>
      </c>
      <c r="H51" s="174">
        <v>2</v>
      </c>
      <c r="I51" s="66">
        <v>1</v>
      </c>
      <c r="J51" s="66">
        <v>1</v>
      </c>
      <c r="K51" s="66">
        <v>1</v>
      </c>
      <c r="L51" s="66">
        <v>1</v>
      </c>
      <c r="M51" s="66">
        <v>2</v>
      </c>
    </row>
    <row r="52" spans="1:13">
      <c r="A52" s="415">
        <v>2030</v>
      </c>
      <c r="B52" s="415">
        <v>70.721950910000004</v>
      </c>
      <c r="C52" s="509">
        <f t="shared" si="4"/>
        <v>1.1106986204737106</v>
      </c>
      <c r="D52">
        <f t="shared" si="5"/>
        <v>772.49089053946568</v>
      </c>
      <c r="E52">
        <f t="shared" si="6"/>
        <v>25.422280274135762</v>
      </c>
      <c r="F52">
        <f t="shared" si="7"/>
        <v>51.876822356456998</v>
      </c>
      <c r="G52" t="s">
        <v>1252</v>
      </c>
      <c r="H52" s="174">
        <v>2</v>
      </c>
      <c r="I52" s="66">
        <v>1</v>
      </c>
      <c r="J52" s="66">
        <v>1</v>
      </c>
      <c r="K52" s="66">
        <v>1</v>
      </c>
      <c r="L52" s="66">
        <v>1</v>
      </c>
      <c r="M52" s="66">
        <v>2</v>
      </c>
    </row>
    <row r="53" spans="1:13">
      <c r="A53" s="415">
        <v>2031</v>
      </c>
      <c r="B53" s="415">
        <v>71.938240480000005</v>
      </c>
      <c r="C53" s="509">
        <f t="shared" si="4"/>
        <v>1.1298006267124066</v>
      </c>
      <c r="D53">
        <f t="shared" si="5"/>
        <v>785.77633587847879</v>
      </c>
      <c r="E53">
        <f t="shared" si="6"/>
        <v>25.859497488100882</v>
      </c>
      <c r="F53">
        <f t="shared" si="7"/>
        <v>52.76900981940183</v>
      </c>
      <c r="G53" t="s">
        <v>1252</v>
      </c>
      <c r="H53" s="174">
        <v>2</v>
      </c>
      <c r="I53" s="66">
        <v>1</v>
      </c>
      <c r="J53" s="66">
        <v>1</v>
      </c>
      <c r="K53" s="66">
        <v>1</v>
      </c>
      <c r="L53" s="66">
        <v>1</v>
      </c>
      <c r="M53" s="66">
        <v>2</v>
      </c>
    </row>
    <row r="54" spans="1:13">
      <c r="A54" s="415">
        <v>2032</v>
      </c>
      <c r="B54" s="415">
        <v>73.165602570000004</v>
      </c>
      <c r="C54" s="509">
        <f t="shared" si="4"/>
        <v>1.1490765285030622</v>
      </c>
      <c r="D54">
        <f t="shared" si="5"/>
        <v>799.18272557387979</v>
      </c>
      <c r="E54">
        <f t="shared" si="6"/>
        <v>26.300694919002311</v>
      </c>
      <c r="F54">
        <f t="shared" si="7"/>
        <v>53.669319331380756</v>
      </c>
      <c r="G54" t="s">
        <v>1252</v>
      </c>
      <c r="H54" s="174">
        <v>2</v>
      </c>
      <c r="I54" s="66">
        <v>1</v>
      </c>
      <c r="J54" s="66">
        <v>1</v>
      </c>
      <c r="K54" s="66">
        <v>1</v>
      </c>
      <c r="L54" s="66">
        <v>1</v>
      </c>
      <c r="M54" s="66">
        <v>2</v>
      </c>
    </row>
    <row r="55" spans="1:13">
      <c r="A55" s="415">
        <v>2033</v>
      </c>
      <c r="B55" s="415">
        <v>74.40693358</v>
      </c>
      <c r="C55" s="509">
        <f t="shared" si="4"/>
        <v>1.1685718142328465</v>
      </c>
      <c r="D55">
        <f t="shared" si="5"/>
        <v>812.74169679894476</v>
      </c>
      <c r="E55">
        <f t="shared" si="6"/>
        <v>26.746913730038163</v>
      </c>
      <c r="F55">
        <f t="shared" si="7"/>
        <v>54.579875494816932</v>
      </c>
      <c r="G55" t="s">
        <v>1252</v>
      </c>
      <c r="H55" s="174">
        <v>2</v>
      </c>
      <c r="I55" s="66">
        <v>1</v>
      </c>
      <c r="J55" s="66">
        <v>1</v>
      </c>
      <c r="K55" s="66">
        <v>1</v>
      </c>
      <c r="L55" s="66">
        <v>1</v>
      </c>
      <c r="M55" s="66">
        <v>2</v>
      </c>
    </row>
    <row r="56" spans="1:13">
      <c r="A56" s="415">
        <v>2034</v>
      </c>
      <c r="B56" s="415">
        <v>75.68639623</v>
      </c>
      <c r="C56" s="509">
        <f t="shared" si="4"/>
        <v>1.188665962966259</v>
      </c>
      <c r="D56">
        <f t="shared" si="5"/>
        <v>826.71717724303312</v>
      </c>
      <c r="E56">
        <f t="shared" si="6"/>
        <v>27.206839646533052</v>
      </c>
      <c r="F56">
        <f t="shared" si="7"/>
        <v>55.518402440860022</v>
      </c>
      <c r="G56" t="s">
        <v>1252</v>
      </c>
      <c r="H56" s="174">
        <v>2</v>
      </c>
      <c r="I56" s="66">
        <v>1</v>
      </c>
      <c r="J56" s="66">
        <v>1</v>
      </c>
      <c r="K56" s="66">
        <v>1</v>
      </c>
      <c r="L56" s="66">
        <v>1</v>
      </c>
      <c r="M56" s="66">
        <v>2</v>
      </c>
    </row>
    <row r="57" spans="1:13">
      <c r="A57" s="415">
        <v>2035</v>
      </c>
      <c r="B57" s="415">
        <v>76.9915685</v>
      </c>
      <c r="C57" s="509">
        <f t="shared" si="4"/>
        <v>1.2091638850557438</v>
      </c>
      <c r="D57">
        <f t="shared" si="5"/>
        <v>840.97348205626986</v>
      </c>
      <c r="E57">
        <f t="shared" si="6"/>
        <v>27.676007349446046</v>
      </c>
      <c r="F57">
        <f t="shared" si="7"/>
        <v>56.475788218884283</v>
      </c>
      <c r="G57" t="s">
        <v>1252</v>
      </c>
      <c r="H57" s="174">
        <v>2</v>
      </c>
      <c r="I57" s="66">
        <v>1</v>
      </c>
      <c r="J57" s="66">
        <v>1</v>
      </c>
      <c r="K57" s="66">
        <v>1</v>
      </c>
      <c r="L57" s="66">
        <v>1</v>
      </c>
      <c r="M57" s="66">
        <v>2</v>
      </c>
    </row>
    <row r="58" spans="1:13">
      <c r="A58" s="415">
        <v>2036</v>
      </c>
      <c r="B58" s="415">
        <v>78.336995779999995</v>
      </c>
      <c r="C58" s="509">
        <f t="shared" si="4"/>
        <v>1.2302940179864006</v>
      </c>
      <c r="D58">
        <f t="shared" si="5"/>
        <v>855.66948950954156</v>
      </c>
      <c r="E58">
        <f t="shared" si="6"/>
        <v>28.159645441446013</v>
      </c>
      <c r="F58">
        <f t="shared" si="7"/>
        <v>57.462702339606331</v>
      </c>
      <c r="G58" t="s">
        <v>1252</v>
      </c>
      <c r="H58" s="174">
        <v>2</v>
      </c>
      <c r="I58" s="66">
        <v>1</v>
      </c>
      <c r="J58" s="66">
        <v>1</v>
      </c>
      <c r="K58" s="66">
        <v>1</v>
      </c>
      <c r="L58" s="66">
        <v>1</v>
      </c>
      <c r="M58" s="66">
        <v>2</v>
      </c>
    </row>
    <row r="59" spans="1:13">
      <c r="A59" s="415">
        <v>2037</v>
      </c>
      <c r="B59" s="415">
        <v>79.702670609999998</v>
      </c>
      <c r="C59" s="509">
        <f t="shared" si="4"/>
        <v>1.2517421416619905</v>
      </c>
      <c r="D59">
        <f t="shared" si="5"/>
        <v>870.58665952591434</v>
      </c>
      <c r="E59">
        <f t="shared" si="6"/>
        <v>28.650561880328976</v>
      </c>
      <c r="F59">
        <f t="shared" si="7"/>
        <v>58.464468688540258</v>
      </c>
      <c r="G59" t="s">
        <v>1252</v>
      </c>
      <c r="H59" s="174">
        <v>2</v>
      </c>
      <c r="I59" s="66">
        <v>1</v>
      </c>
      <c r="J59" s="66">
        <v>1</v>
      </c>
      <c r="K59" s="66">
        <v>1</v>
      </c>
      <c r="L59" s="66">
        <v>1</v>
      </c>
      <c r="M59" s="66">
        <v>2</v>
      </c>
    </row>
    <row r="60" spans="1:13">
      <c r="A60" s="415">
        <v>2038</v>
      </c>
      <c r="B60" s="415">
        <v>81.100178380000003</v>
      </c>
      <c r="C60" s="509">
        <f t="shared" si="4"/>
        <v>1.2736902063331084</v>
      </c>
      <c r="D60">
        <f t="shared" si="5"/>
        <v>885.85153850467691</v>
      </c>
      <c r="E60">
        <f t="shared" si="6"/>
        <v>29.152921243399081</v>
      </c>
      <c r="F60">
        <f t="shared" si="7"/>
        <v>59.489585521336899</v>
      </c>
      <c r="G60" t="s">
        <v>1252</v>
      </c>
      <c r="H60" s="174">
        <v>2</v>
      </c>
      <c r="I60" s="66">
        <v>1</v>
      </c>
      <c r="J60" s="66">
        <v>1</v>
      </c>
      <c r="K60" s="66">
        <v>1</v>
      </c>
      <c r="L60" s="66">
        <v>1</v>
      </c>
      <c r="M60" s="66">
        <v>2</v>
      </c>
    </row>
    <row r="61" spans="1:13">
      <c r="A61" s="415">
        <v>2039</v>
      </c>
      <c r="B61" s="415">
        <v>82.544736630000003</v>
      </c>
      <c r="C61" s="509">
        <f t="shared" si="4"/>
        <v>1.2963772056992704</v>
      </c>
      <c r="D61">
        <f t="shared" si="5"/>
        <v>901.63034656384252</v>
      </c>
      <c r="E61">
        <f t="shared" si="6"/>
        <v>29.672193749760641</v>
      </c>
      <c r="F61">
        <f t="shared" si="7"/>
        <v>60.549215392325202</v>
      </c>
      <c r="G61" t="s">
        <v>1252</v>
      </c>
      <c r="H61" s="174">
        <v>2</v>
      </c>
      <c r="I61" s="66">
        <v>1</v>
      </c>
      <c r="J61" s="66">
        <v>1</v>
      </c>
      <c r="K61" s="66">
        <v>1</v>
      </c>
      <c r="L61" s="66">
        <v>1</v>
      </c>
      <c r="M61" s="66">
        <v>2</v>
      </c>
    </row>
    <row r="62" spans="1:13">
      <c r="A62" s="415">
        <v>2040</v>
      </c>
      <c r="B62" s="415">
        <v>84.02895925</v>
      </c>
      <c r="C62" s="509">
        <f t="shared" si="4"/>
        <v>1.3196871398187033</v>
      </c>
      <c r="D62">
        <f t="shared" si="5"/>
        <v>917.84240574390822</v>
      </c>
      <c r="E62">
        <f t="shared" si="6"/>
        <v>30.205724329012757</v>
      </c>
      <c r="F62">
        <f t="shared" si="7"/>
        <v>61.637940352601824</v>
      </c>
      <c r="G62" t="s">
        <v>1252</v>
      </c>
      <c r="H62" s="174">
        <v>2</v>
      </c>
      <c r="I62" s="66">
        <v>1</v>
      </c>
      <c r="J62" s="66">
        <v>1</v>
      </c>
      <c r="K62" s="66">
        <v>1</v>
      </c>
      <c r="L62" s="66">
        <v>1</v>
      </c>
      <c r="M62" s="66">
        <v>2</v>
      </c>
    </row>
    <row r="63" spans="1:13">
      <c r="A63" s="415">
        <v>2041</v>
      </c>
      <c r="B63" s="415">
        <v>85.572727369999996</v>
      </c>
      <c r="C63" s="509">
        <f t="shared" si="4"/>
        <v>1.3439322447564526</v>
      </c>
      <c r="D63">
        <f t="shared" si="5"/>
        <v>934.70487622811277</v>
      </c>
      <c r="E63">
        <f t="shared" si="6"/>
        <v>30.760659611763369</v>
      </c>
      <c r="F63">
        <f t="shared" si="7"/>
        <v>62.770343849540396</v>
      </c>
      <c r="G63" t="s">
        <v>1252</v>
      </c>
      <c r="H63" s="174">
        <v>2</v>
      </c>
      <c r="I63" s="66">
        <v>1</v>
      </c>
      <c r="J63" s="66">
        <v>1</v>
      </c>
      <c r="K63" s="66">
        <v>1</v>
      </c>
      <c r="L63" s="66">
        <v>1</v>
      </c>
      <c r="M63" s="66">
        <v>2</v>
      </c>
    </row>
    <row r="64" spans="1:13">
      <c r="A64" s="415">
        <v>2042</v>
      </c>
      <c r="B64" s="415">
        <v>87.157978889999995</v>
      </c>
      <c r="C64" s="509">
        <f t="shared" si="4"/>
        <v>1.368828852580642</v>
      </c>
      <c r="D64">
        <f t="shared" si="5"/>
        <v>952.02046696983655</v>
      </c>
      <c r="E64">
        <f t="shared" si="6"/>
        <v>31.330506850532643</v>
      </c>
      <c r="F64">
        <f t="shared" si="7"/>
        <v>63.933176752693733</v>
      </c>
      <c r="G64" t="s">
        <v>1252</v>
      </c>
      <c r="H64" s="174">
        <v>2</v>
      </c>
      <c r="I64" s="66">
        <v>1</v>
      </c>
      <c r="J64" s="66">
        <v>1</v>
      </c>
      <c r="K64" s="66">
        <v>1</v>
      </c>
      <c r="L64" s="66">
        <v>1</v>
      </c>
      <c r="M64" s="66">
        <v>2</v>
      </c>
    </row>
    <row r="65" spans="1:13">
      <c r="A65" s="415">
        <v>2043</v>
      </c>
      <c r="B65" s="415">
        <v>88.811835630000004</v>
      </c>
      <c r="C65" s="509">
        <f t="shared" si="4"/>
        <v>1.3948029154556443</v>
      </c>
      <c r="D65">
        <f t="shared" si="5"/>
        <v>970.08542769940061</v>
      </c>
      <c r="E65">
        <f t="shared" si="6"/>
        <v>31.92501547248871</v>
      </c>
      <c r="F65">
        <f t="shared" si="7"/>
        <v>65.146333788098389</v>
      </c>
      <c r="G65" t="s">
        <v>1252</v>
      </c>
      <c r="H65" s="174">
        <v>2</v>
      </c>
      <c r="I65" s="66">
        <v>1</v>
      </c>
      <c r="J65" s="66">
        <v>1</v>
      </c>
      <c r="K65" s="66">
        <v>1</v>
      </c>
      <c r="L65" s="66">
        <v>1</v>
      </c>
      <c r="M65" s="66">
        <v>2</v>
      </c>
    </row>
    <row r="66" spans="1:13">
      <c r="A66" s="415">
        <v>2044</v>
      </c>
      <c r="B66" s="415">
        <v>90.524344569999997</v>
      </c>
      <c r="C66" s="509">
        <f t="shared" si="4"/>
        <v>1.4216981197413328</v>
      </c>
      <c r="D66">
        <f t="shared" si="5"/>
        <v>988.79104228009692</v>
      </c>
      <c r="E66">
        <f t="shared" si="6"/>
        <v>32.54060768515329</v>
      </c>
      <c r="F66">
        <f t="shared" si="7"/>
        <v>66.402514095925028</v>
      </c>
      <c r="G66" t="s">
        <v>1252</v>
      </c>
      <c r="H66" s="174">
        <v>2</v>
      </c>
      <c r="I66" s="66">
        <v>1</v>
      </c>
      <c r="J66" s="66">
        <v>1</v>
      </c>
      <c r="K66" s="66">
        <v>1</v>
      </c>
      <c r="L66" s="66">
        <v>1</v>
      </c>
      <c r="M66" s="66">
        <v>2</v>
      </c>
    </row>
    <row r="67" spans="1:13">
      <c r="A67" s="415">
        <v>2045</v>
      </c>
      <c r="B67" s="415">
        <v>92.270779849999997</v>
      </c>
      <c r="C67" s="509">
        <f t="shared" si="4"/>
        <v>1.4491261421768442</v>
      </c>
      <c r="D67">
        <f t="shared" si="5"/>
        <v>1007.8672318839951</v>
      </c>
      <c r="E67">
        <f t="shared" si="6"/>
        <v>33.168395332376143</v>
      </c>
      <c r="F67">
        <f t="shared" si="7"/>
        <v>67.683580463747731</v>
      </c>
      <c r="G67" t="s">
        <v>1252</v>
      </c>
      <c r="H67" s="174">
        <v>2</v>
      </c>
      <c r="I67" s="66">
        <v>1</v>
      </c>
      <c r="J67" s="66">
        <v>1</v>
      </c>
      <c r="K67" s="66">
        <v>1</v>
      </c>
      <c r="L67" s="66">
        <v>1</v>
      </c>
      <c r="M67" s="66">
        <v>2</v>
      </c>
    </row>
    <row r="68" spans="1:13">
      <c r="A68" s="415">
        <v>2046</v>
      </c>
      <c r="B68" s="415">
        <v>94.077414829999995</v>
      </c>
      <c r="C68" s="509">
        <f t="shared" si="4"/>
        <v>1.4774996097377031</v>
      </c>
      <c r="D68">
        <f t="shared" si="5"/>
        <v>1027.6009785725726</v>
      </c>
      <c r="E68">
        <f t="shared" si="6"/>
        <v>33.817822847081807</v>
      </c>
      <c r="F68">
        <f t="shared" si="7"/>
        <v>69.00880524494319</v>
      </c>
      <c r="G68" t="s">
        <v>1252</v>
      </c>
      <c r="H68" s="174">
        <v>2</v>
      </c>
      <c r="I68" s="66">
        <v>1</v>
      </c>
      <c r="J68" s="66">
        <v>1</v>
      </c>
      <c r="K68" s="66">
        <v>1</v>
      </c>
      <c r="L68" s="66">
        <v>1</v>
      </c>
      <c r="M68" s="66">
        <v>2</v>
      </c>
    </row>
    <row r="69" spans="1:13">
      <c r="A69" s="415">
        <v>2047</v>
      </c>
      <c r="B69" s="415">
        <v>95.914050689999996</v>
      </c>
      <c r="C69" s="509">
        <f t="shared" si="4"/>
        <v>1.5063442455228579</v>
      </c>
      <c r="D69">
        <f t="shared" si="5"/>
        <v>1047.6624227611478</v>
      </c>
      <c r="E69">
        <f t="shared" si="6"/>
        <v>34.478034718978094</v>
      </c>
      <c r="F69">
        <f t="shared" si="7"/>
        <v>70.35603663515144</v>
      </c>
      <c r="G69" t="s">
        <v>1252</v>
      </c>
      <c r="H69" s="174">
        <v>2</v>
      </c>
      <c r="I69" s="66">
        <v>1</v>
      </c>
      <c r="J69" s="66">
        <v>1</v>
      </c>
      <c r="K69" s="66">
        <v>1</v>
      </c>
      <c r="L69" s="66">
        <v>1</v>
      </c>
      <c r="M69" s="66">
        <v>2</v>
      </c>
    </row>
    <row r="70" spans="1:13">
      <c r="A70" s="415">
        <v>2048</v>
      </c>
      <c r="B70" s="415">
        <v>97.822312159999996</v>
      </c>
      <c r="C70" s="509">
        <f t="shared" si="4"/>
        <v>1.5363137720271451</v>
      </c>
      <c r="D70">
        <f t="shared" si="5"/>
        <v>1068.5062284448795</v>
      </c>
      <c r="E70">
        <f t="shared" si="6"/>
        <v>35.163993707700151</v>
      </c>
      <c r="F70">
        <f t="shared" si="7"/>
        <v>71.755807710681324</v>
      </c>
      <c r="G70" t="s">
        <v>1252</v>
      </c>
      <c r="H70" s="174">
        <v>2</v>
      </c>
      <c r="I70" s="66">
        <v>1</v>
      </c>
      <c r="J70" s="66">
        <v>1</v>
      </c>
      <c r="K70" s="66">
        <v>1</v>
      </c>
      <c r="L70" s="66">
        <v>1</v>
      </c>
      <c r="M70" s="66">
        <v>2</v>
      </c>
    </row>
    <row r="71" spans="1:13">
      <c r="A71" s="415">
        <v>2049</v>
      </c>
      <c r="B71" s="415">
        <v>99.774037800000002</v>
      </c>
      <c r="C71" s="509">
        <f t="shared" si="4"/>
        <v>1.5669659097014843</v>
      </c>
      <c r="D71">
        <f t="shared" si="5"/>
        <v>1089.8247901973823</v>
      </c>
      <c r="E71">
        <f t="shared" si="6"/>
        <v>35.865576675927933</v>
      </c>
      <c r="F71">
        <f t="shared" si="7"/>
        <v>73.187461150836995</v>
      </c>
      <c r="G71" t="s">
        <v>1252</v>
      </c>
      <c r="H71" s="174">
        <v>2</v>
      </c>
      <c r="I71" s="66">
        <v>1</v>
      </c>
      <c r="J71" s="66">
        <v>1</v>
      </c>
      <c r="K71" s="66">
        <v>1</v>
      </c>
      <c r="L71" s="66">
        <v>1</v>
      </c>
      <c r="M71" s="66">
        <v>2</v>
      </c>
    </row>
    <row r="72" spans="1:13">
      <c r="A72" s="415">
        <v>2050</v>
      </c>
      <c r="B72" s="415">
        <v>101.7943732</v>
      </c>
      <c r="C72" s="509">
        <f t="shared" si="4"/>
        <v>1.5986955737280022</v>
      </c>
      <c r="D72">
        <f t="shared" si="5"/>
        <v>1111.8927715278255</v>
      </c>
      <c r="E72">
        <f t="shared" si="6"/>
        <v>36.591822659327342</v>
      </c>
      <c r="F72">
        <f t="shared" si="7"/>
        <v>74.669442053479784</v>
      </c>
      <c r="G72" t="s">
        <v>1252</v>
      </c>
      <c r="H72" s="174">
        <v>2</v>
      </c>
      <c r="I72" s="66">
        <v>1</v>
      </c>
      <c r="J72" s="66">
        <v>1</v>
      </c>
      <c r="K72" s="66">
        <v>1</v>
      </c>
      <c r="L72" s="66">
        <v>1</v>
      </c>
      <c r="M72" s="66">
        <v>2</v>
      </c>
    </row>
    <row r="73" spans="1:13">
      <c r="A73" s="415">
        <v>2051</v>
      </c>
      <c r="B73" s="415">
        <v>103.8311403</v>
      </c>
      <c r="C73" s="509">
        <f t="shared" si="4"/>
        <v>1.630683300015066</v>
      </c>
      <c r="D73">
        <f t="shared" si="5"/>
        <v>1134.1402351604784</v>
      </c>
      <c r="E73">
        <f t="shared" si="6"/>
        <v>37.323975313532721</v>
      </c>
      <c r="F73">
        <f t="shared" si="7"/>
        <v>76.163476135806491</v>
      </c>
      <c r="G73" t="s">
        <v>1252</v>
      </c>
      <c r="H73" s="174">
        <v>2</v>
      </c>
      <c r="I73" s="66">
        <v>1</v>
      </c>
      <c r="J73" s="66">
        <v>1</v>
      </c>
      <c r="K73" s="66">
        <v>1</v>
      </c>
      <c r="L73" s="66">
        <v>1</v>
      </c>
      <c r="M73" s="66">
        <v>2</v>
      </c>
    </row>
    <row r="74" spans="1:13">
      <c r="A74" s="415">
        <v>2052</v>
      </c>
      <c r="B74" s="415">
        <v>105.9148888</v>
      </c>
      <c r="C74" s="509">
        <f t="shared" si="4"/>
        <v>1.6634088760856338</v>
      </c>
      <c r="D74">
        <f t="shared" si="5"/>
        <v>1156.9008733175583</v>
      </c>
      <c r="E74">
        <f t="shared" si="6"/>
        <v>38.073016278978137</v>
      </c>
      <c r="F74">
        <f t="shared" si="7"/>
        <v>77.691972583926244</v>
      </c>
      <c r="G74" t="s">
        <v>1252</v>
      </c>
      <c r="H74" s="174">
        <v>2</v>
      </c>
      <c r="I74" s="66">
        <v>1</v>
      </c>
      <c r="J74" s="66">
        <v>1</v>
      </c>
      <c r="K74" s="66">
        <v>1</v>
      </c>
      <c r="L74" s="66">
        <v>1</v>
      </c>
      <c r="M74" s="66">
        <v>2</v>
      </c>
    </row>
    <row r="75" spans="1:13">
      <c r="A75" s="415">
        <v>2053</v>
      </c>
      <c r="B75" s="415">
        <v>108.06990879999999</v>
      </c>
      <c r="C75" s="509">
        <f t="shared" si="4"/>
        <v>1.6972537815258031</v>
      </c>
      <c r="D75">
        <f t="shared" si="5"/>
        <v>1180.4400050511961</v>
      </c>
      <c r="E75">
        <f t="shared" si="6"/>
        <v>38.847677070025711</v>
      </c>
      <c r="F75">
        <f t="shared" si="7"/>
        <v>79.272748966309706</v>
      </c>
      <c r="G75" t="s">
        <v>1252</v>
      </c>
      <c r="H75" s="174">
        <v>2</v>
      </c>
      <c r="I75" s="66">
        <v>1</v>
      </c>
      <c r="J75" s="66">
        <v>1</v>
      </c>
      <c r="K75" s="66">
        <v>1</v>
      </c>
      <c r="L75" s="66">
        <v>1</v>
      </c>
      <c r="M75" s="66">
        <v>2</v>
      </c>
    </row>
    <row r="76" spans="1:13">
      <c r="A76" s="415">
        <v>2054</v>
      </c>
      <c r="B76" s="415">
        <v>110.2730487</v>
      </c>
      <c r="C76" s="509">
        <f t="shared" si="4"/>
        <v>1.7318544170590997</v>
      </c>
      <c r="D76">
        <f t="shared" si="5"/>
        <v>1204.5047470646039</v>
      </c>
      <c r="E76">
        <f t="shared" si="6"/>
        <v>39.639635426663915</v>
      </c>
      <c r="F76">
        <f t="shared" si="7"/>
        <v>80.88882284080124</v>
      </c>
      <c r="G76" t="s">
        <v>1252</v>
      </c>
      <c r="H76" s="174">
        <v>2</v>
      </c>
      <c r="I76" s="66">
        <v>1</v>
      </c>
      <c r="J76" s="66">
        <v>1</v>
      </c>
      <c r="K76" s="66">
        <v>1</v>
      </c>
      <c r="L76" s="66">
        <v>1</v>
      </c>
      <c r="M76" s="66">
        <v>2</v>
      </c>
    </row>
    <row r="77" spans="1:13">
      <c r="A77" s="415">
        <v>2055</v>
      </c>
      <c r="B77" s="415">
        <v>112.5594547</v>
      </c>
      <c r="C77" s="509">
        <f t="shared" si="4"/>
        <v>1.7677627589157117</v>
      </c>
      <c r="D77">
        <f t="shared" si="5"/>
        <v>1229.4789988258774</v>
      </c>
      <c r="E77">
        <f t="shared" si="6"/>
        <v>40.46152528412042</v>
      </c>
      <c r="F77">
        <f t="shared" si="7"/>
        <v>82.565975073884871</v>
      </c>
      <c r="G77" t="s">
        <v>1252</v>
      </c>
      <c r="H77" s="174">
        <v>2</v>
      </c>
      <c r="I77" s="66">
        <v>1</v>
      </c>
      <c r="J77" s="66">
        <v>1</v>
      </c>
      <c r="K77" s="66">
        <v>1</v>
      </c>
      <c r="L77" s="66">
        <v>1</v>
      </c>
      <c r="M77" s="66">
        <v>2</v>
      </c>
    </row>
    <row r="78" spans="1:13">
      <c r="A78" s="415">
        <v>2056</v>
      </c>
      <c r="B78" s="415">
        <v>114.8965238</v>
      </c>
      <c r="C78" s="509">
        <f t="shared" si="4"/>
        <v>1.8044667721947725</v>
      </c>
      <c r="D78">
        <f t="shared" si="5"/>
        <v>1255.0066400614642</v>
      </c>
      <c r="E78">
        <f t="shared" si="6"/>
        <v>41.301626906257951</v>
      </c>
      <c r="F78">
        <f t="shared" si="7"/>
        <v>84.280290317956016</v>
      </c>
      <c r="G78" t="s">
        <v>1252</v>
      </c>
      <c r="H78" s="174">
        <v>2</v>
      </c>
      <c r="I78" s="66">
        <v>1</v>
      </c>
      <c r="J78" s="66">
        <v>1</v>
      </c>
      <c r="K78" s="66">
        <v>1</v>
      </c>
      <c r="L78" s="66">
        <v>1</v>
      </c>
      <c r="M78" s="66">
        <v>2</v>
      </c>
    </row>
    <row r="79" spans="1:13">
      <c r="A79" s="415">
        <v>2057</v>
      </c>
      <c r="B79" s="415">
        <v>117.3261189</v>
      </c>
      <c r="C79" s="509">
        <f t="shared" si="4"/>
        <v>1.8426239198859304</v>
      </c>
      <c r="D79">
        <f t="shared" si="5"/>
        <v>1281.5449362806646</v>
      </c>
      <c r="E79">
        <f t="shared" si="6"/>
        <v>42.174988667212055</v>
      </c>
      <c r="F79">
        <f t="shared" si="7"/>
        <v>86.062476354667808</v>
      </c>
      <c r="G79" t="s">
        <v>1252</v>
      </c>
      <c r="H79" s="174">
        <v>2</v>
      </c>
      <c r="I79" s="66">
        <v>1</v>
      </c>
      <c r="J79" s="66">
        <v>1</v>
      </c>
      <c r="K79" s="66">
        <v>1</v>
      </c>
      <c r="L79" s="66">
        <v>1</v>
      </c>
      <c r="M79" s="66">
        <v>2</v>
      </c>
    </row>
    <row r="80" spans="1:13">
      <c r="A80" s="415">
        <v>2058</v>
      </c>
      <c r="B80" s="415">
        <v>119.8032601</v>
      </c>
      <c r="C80" s="509">
        <f t="shared" si="4"/>
        <v>1.8815277860569859</v>
      </c>
      <c r="D80">
        <f t="shared" si="5"/>
        <v>1308.6025752026337</v>
      </c>
      <c r="E80">
        <f t="shared" si="6"/>
        <v>43.065441731001961</v>
      </c>
      <c r="F80">
        <f t="shared" si="7"/>
        <v>87.879538982759001</v>
      </c>
      <c r="G80" t="s">
        <v>1252</v>
      </c>
      <c r="H80" s="174">
        <v>2</v>
      </c>
      <c r="I80" s="66">
        <v>1</v>
      </c>
      <c r="J80" s="66">
        <v>1</v>
      </c>
      <c r="K80" s="66">
        <v>1</v>
      </c>
      <c r="L80" s="66">
        <v>1</v>
      </c>
      <c r="M80" s="66">
        <v>2</v>
      </c>
    </row>
    <row r="81" spans="1:13">
      <c r="A81" s="415">
        <v>2059</v>
      </c>
      <c r="B81" s="415">
        <v>122.38200670000001</v>
      </c>
      <c r="C81" s="509">
        <f t="shared" si="4"/>
        <v>1.9220273799499237</v>
      </c>
      <c r="D81">
        <f t="shared" si="5"/>
        <v>1336.770042755172</v>
      </c>
      <c r="E81">
        <f t="shared" si="6"/>
        <v>43.992418687627534</v>
      </c>
      <c r="F81">
        <f t="shared" si="7"/>
        <v>89.771132434992253</v>
      </c>
      <c r="G81" t="s">
        <v>1252</v>
      </c>
      <c r="H81" s="174">
        <v>2</v>
      </c>
      <c r="I81" s="66">
        <v>1</v>
      </c>
      <c r="J81" s="66">
        <v>1</v>
      </c>
      <c r="K81" s="66">
        <v>1</v>
      </c>
      <c r="L81" s="66">
        <v>1</v>
      </c>
      <c r="M81" s="66">
        <v>2</v>
      </c>
    </row>
    <row r="82" spans="1:13">
      <c r="A82" s="415">
        <v>2060</v>
      </c>
      <c r="B82" s="415">
        <v>124.8903523</v>
      </c>
      <c r="C82" s="509">
        <f t="shared" si="4"/>
        <v>1.9614213158035423</v>
      </c>
      <c r="D82">
        <f t="shared" si="5"/>
        <v>1364.1685251413637</v>
      </c>
      <c r="E82">
        <f t="shared" si="6"/>
        <v>44.894088735569866</v>
      </c>
      <c r="F82">
        <f t="shared" si="7"/>
        <v>91.611084492669463</v>
      </c>
      <c r="G82" t="s">
        <v>1252</v>
      </c>
      <c r="H82" s="174">
        <v>2</v>
      </c>
      <c r="I82" s="66">
        <v>1</v>
      </c>
      <c r="J82" s="66">
        <v>1</v>
      </c>
      <c r="K82" s="66">
        <v>1</v>
      </c>
      <c r="L82" s="66">
        <v>1</v>
      </c>
      <c r="M82" s="66">
        <v>2</v>
      </c>
    </row>
  </sheetData>
  <conditionalFormatting sqref="H2:M82">
    <cfRule type="containsBlanks" dxfId="25" priority="1">
      <formula>LEN(TRIM(H2))=0</formula>
    </cfRule>
    <cfRule type="cellIs" dxfId="24"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U1" zoomScale="80" zoomScaleNormal="80" workbookViewId="0">
      <selection activeCell="AA11" sqref="AA11"/>
    </sheetView>
  </sheetViews>
  <sheetFormatPr defaultRowHeight="15"/>
  <cols>
    <col min="1" max="1" width="20.7109375" customWidth="1"/>
    <col min="2" max="30" width="30.7109375" customWidth="1"/>
    <col min="31" max="33" width="30.7109375" style="983" customWidth="1"/>
    <col min="34" max="100" width="30.7109375" customWidth="1"/>
  </cols>
  <sheetData>
    <row r="1" spans="1:100" s="4" customFormat="1" ht="30" customHeight="1" thickBot="1">
      <c r="A1" s="555" t="s">
        <v>101</v>
      </c>
      <c r="B1" s="555" t="s">
        <v>984</v>
      </c>
      <c r="C1" s="555" t="s">
        <v>1253</v>
      </c>
      <c r="D1" s="555" t="s">
        <v>1160</v>
      </c>
      <c r="E1" s="555" t="s">
        <v>1163</v>
      </c>
      <c r="F1" s="555" t="s">
        <v>979</v>
      </c>
      <c r="G1" s="555" t="s">
        <v>1254</v>
      </c>
      <c r="H1" s="555" t="s">
        <v>1070</v>
      </c>
      <c r="I1" s="555" t="s">
        <v>1164</v>
      </c>
      <c r="J1" s="555" t="s">
        <v>1165</v>
      </c>
      <c r="K1" s="555" t="s">
        <v>1255</v>
      </c>
      <c r="L1" s="555" t="s">
        <v>1166</v>
      </c>
      <c r="M1" s="555" t="s">
        <v>1075</v>
      </c>
      <c r="N1" s="555" t="s">
        <v>1067</v>
      </c>
      <c r="O1" s="555" t="s">
        <v>1256</v>
      </c>
      <c r="P1" s="555" t="s">
        <v>1167</v>
      </c>
      <c r="Q1" s="555" t="s">
        <v>1168</v>
      </c>
      <c r="R1" s="555" t="s">
        <v>1169</v>
      </c>
      <c r="S1" s="555" t="s">
        <v>1257</v>
      </c>
      <c r="T1" s="555" t="s">
        <v>1258</v>
      </c>
      <c r="U1" s="555" t="s">
        <v>1079</v>
      </c>
      <c r="V1" s="555" t="s">
        <v>1259</v>
      </c>
      <c r="W1" s="555" t="s">
        <v>1260</v>
      </c>
      <c r="X1" s="927" t="s">
        <v>2153</v>
      </c>
      <c r="Y1" s="927" t="s">
        <v>2154</v>
      </c>
      <c r="Z1" s="927" t="s">
        <v>2155</v>
      </c>
      <c r="AA1" s="927" t="s">
        <v>2156</v>
      </c>
      <c r="AB1" s="927" t="s">
        <v>2157</v>
      </c>
      <c r="AC1" s="927" t="s">
        <v>2158</v>
      </c>
      <c r="AD1" s="927" t="s">
        <v>2159</v>
      </c>
      <c r="AE1" s="971" t="s">
        <v>1261</v>
      </c>
      <c r="AF1" s="972" t="s">
        <v>1262</v>
      </c>
      <c r="AG1" s="973" t="s">
        <v>1263</v>
      </c>
      <c r="AH1" s="556" t="s">
        <v>1264</v>
      </c>
      <c r="AI1" s="557" t="s">
        <v>1265</v>
      </c>
      <c r="AJ1" s="556" t="s">
        <v>1266</v>
      </c>
      <c r="AK1" s="557" t="s">
        <v>1267</v>
      </c>
      <c r="AL1" s="558" t="s">
        <v>1268</v>
      </c>
      <c r="AM1" s="558" t="s">
        <v>1269</v>
      </c>
      <c r="AN1" s="559" t="s">
        <v>1270</v>
      </c>
      <c r="AO1" s="558" t="s">
        <v>1271</v>
      </c>
      <c r="AP1" s="556" t="s">
        <v>1272</v>
      </c>
      <c r="AQ1" s="557" t="s">
        <v>1273</v>
      </c>
      <c r="AR1" s="556" t="s">
        <v>1274</v>
      </c>
      <c r="AS1" s="557" t="s">
        <v>1275</v>
      </c>
      <c r="AT1" s="558" t="s">
        <v>1276</v>
      </c>
      <c r="AU1" s="556" t="s">
        <v>1277</v>
      </c>
      <c r="AV1" s="557" t="s">
        <v>1278</v>
      </c>
      <c r="AW1" s="560" t="s">
        <v>1279</v>
      </c>
      <c r="AX1" s="561" t="s">
        <v>1280</v>
      </c>
      <c r="AY1" s="560" t="s">
        <v>1281</v>
      </c>
      <c r="AZ1" s="561" t="s">
        <v>1282</v>
      </c>
      <c r="BA1" s="562" t="s">
        <v>1283</v>
      </c>
      <c r="BB1" s="563" t="s">
        <v>1284</v>
      </c>
      <c r="BC1" s="562" t="s">
        <v>1285</v>
      </c>
      <c r="BD1" s="563" t="s">
        <v>1286</v>
      </c>
      <c r="BE1" s="562" t="s">
        <v>1287</v>
      </c>
      <c r="BF1" s="563" t="s">
        <v>1288</v>
      </c>
      <c r="BG1" s="562" t="s">
        <v>1289</v>
      </c>
      <c r="BH1" s="563" t="s">
        <v>1290</v>
      </c>
      <c r="BI1" s="560" t="s">
        <v>1291</v>
      </c>
      <c r="BJ1" s="561" t="s">
        <v>1292</v>
      </c>
      <c r="BK1" s="560" t="s">
        <v>1293</v>
      </c>
      <c r="BL1" s="561" t="s">
        <v>1294</v>
      </c>
      <c r="BM1" s="560" t="s">
        <v>1295</v>
      </c>
      <c r="BN1" s="561" t="s">
        <v>1296</v>
      </c>
      <c r="BO1" s="560" t="s">
        <v>1297</v>
      </c>
      <c r="BP1" s="561" t="s">
        <v>1298</v>
      </c>
      <c r="BQ1" s="560" t="s">
        <v>1299</v>
      </c>
      <c r="BR1" s="561" t="s">
        <v>1300</v>
      </c>
      <c r="BS1" s="560" t="s">
        <v>1301</v>
      </c>
      <c r="BT1" s="561" t="s">
        <v>1302</v>
      </c>
      <c r="BU1" s="560" t="s">
        <v>1303</v>
      </c>
      <c r="BV1" s="561" t="s">
        <v>1304</v>
      </c>
      <c r="BW1" s="560" t="s">
        <v>1305</v>
      </c>
      <c r="BX1" s="561" t="s">
        <v>1306</v>
      </c>
      <c r="BY1" s="560" t="s">
        <v>1307</v>
      </c>
      <c r="BZ1" s="561" t="s">
        <v>1308</v>
      </c>
      <c r="CA1" s="560" t="s">
        <v>1309</v>
      </c>
      <c r="CB1" s="561" t="s">
        <v>1310</v>
      </c>
      <c r="CC1" s="560" t="s">
        <v>1311</v>
      </c>
      <c r="CD1" s="561" t="s">
        <v>1312</v>
      </c>
      <c r="CE1" s="560" t="s">
        <v>1313</v>
      </c>
      <c r="CF1" s="561" t="s">
        <v>1314</v>
      </c>
      <c r="CG1" s="560" t="s">
        <v>1315</v>
      </c>
      <c r="CH1" s="561" t="s">
        <v>1316</v>
      </c>
      <c r="CI1" s="560" t="s">
        <v>1317</v>
      </c>
      <c r="CJ1" s="561" t="s">
        <v>1318</v>
      </c>
      <c r="CK1" s="560" t="s">
        <v>1319</v>
      </c>
      <c r="CL1" s="561" t="s">
        <v>1320</v>
      </c>
      <c r="CM1" s="560" t="s">
        <v>1321</v>
      </c>
      <c r="CN1" s="561" t="s">
        <v>1322</v>
      </c>
      <c r="CO1" s="562" t="s">
        <v>1323</v>
      </c>
      <c r="CP1" s="563" t="s">
        <v>1324</v>
      </c>
      <c r="CQ1" s="562" t="s">
        <v>1325</v>
      </c>
      <c r="CR1" s="563" t="s">
        <v>1326</v>
      </c>
      <c r="CS1" s="562" t="s">
        <v>1327</v>
      </c>
      <c r="CT1" s="563" t="s">
        <v>1328</v>
      </c>
      <c r="CU1" s="562" t="s">
        <v>1329</v>
      </c>
      <c r="CV1" s="563" t="s">
        <v>1330</v>
      </c>
    </row>
    <row r="2" spans="1:100">
      <c r="A2" s="460">
        <v>0</v>
      </c>
      <c r="B2" s="580">
        <v>0.25</v>
      </c>
      <c r="C2" s="580">
        <v>0.25</v>
      </c>
      <c r="D2" s="580">
        <v>0.9</v>
      </c>
      <c r="E2" s="580">
        <v>0.9</v>
      </c>
      <c r="F2" s="580">
        <f t="shared" ref="F2:F33" si="0">1/80</f>
        <v>1.2500000000000001E-2</v>
      </c>
      <c r="G2" s="580">
        <v>0</v>
      </c>
      <c r="H2" s="580">
        <v>0.9</v>
      </c>
      <c r="I2" s="580">
        <v>0.9</v>
      </c>
      <c r="J2" s="580">
        <v>0.9</v>
      </c>
      <c r="K2" s="580">
        <v>0.9</v>
      </c>
      <c r="L2" s="580">
        <v>0.9</v>
      </c>
      <c r="M2" s="580">
        <v>0.9</v>
      </c>
      <c r="N2" s="580">
        <v>0.43</v>
      </c>
      <c r="O2" s="580">
        <v>0.01</v>
      </c>
      <c r="P2" s="580">
        <v>0.9</v>
      </c>
      <c r="Q2" s="580">
        <v>0.9</v>
      </c>
      <c r="R2" s="580">
        <v>0.9</v>
      </c>
      <c r="S2" s="580">
        <v>0.01</v>
      </c>
      <c r="T2" s="580">
        <v>0</v>
      </c>
      <c r="U2" s="580">
        <v>0.9</v>
      </c>
      <c r="V2" s="580">
        <v>0</v>
      </c>
      <c r="W2" s="594">
        <v>0.12</v>
      </c>
      <c r="X2" s="678">
        <f>AE2+(SUM($AE$4:$AE$6)/2)</f>
        <v>0.44999999999999996</v>
      </c>
      <c r="Y2" s="930">
        <f>AE2+(SUM($AE$5:$AE$6)/3)</f>
        <v>0.35</v>
      </c>
      <c r="Z2" s="931">
        <f>AE2+(SUM($AE$6)/4)</f>
        <v>0.3125</v>
      </c>
      <c r="AA2" s="929">
        <v>0.3</v>
      </c>
      <c r="AB2" s="930">
        <f>Clothing!J744</f>
        <v>0.25</v>
      </c>
      <c r="AC2" s="930">
        <f>Clothing!K744</f>
        <v>0.2142857142857143</v>
      </c>
      <c r="AD2" s="930">
        <f>Clothing!L744</f>
        <v>0.1875</v>
      </c>
      <c r="AE2" s="974">
        <v>0.3</v>
      </c>
      <c r="AF2" s="975">
        <v>0.72</v>
      </c>
      <c r="AG2" s="976">
        <v>0.39</v>
      </c>
      <c r="AH2" s="678">
        <v>0.230763365</v>
      </c>
      <c r="AI2" s="677">
        <v>0.1</v>
      </c>
      <c r="AJ2" s="676">
        <v>0.230763365</v>
      </c>
      <c r="AK2" s="677">
        <v>0.1</v>
      </c>
      <c r="AL2" s="679">
        <v>0.9</v>
      </c>
      <c r="AM2" s="676">
        <v>0.25</v>
      </c>
      <c r="AN2" s="676">
        <v>0.25</v>
      </c>
      <c r="AO2" s="679">
        <v>0.05</v>
      </c>
      <c r="AP2" s="676">
        <v>0.15</v>
      </c>
      <c r="AQ2" s="677">
        <f>1/140</f>
        <v>7.1428571428571426E-3</v>
      </c>
      <c r="AR2" s="676">
        <v>1.7500000000000002E-2</v>
      </c>
      <c r="AS2" s="677">
        <f t="shared" ref="AS2:AS33" si="1">1/80</f>
        <v>1.2500000000000001E-2</v>
      </c>
      <c r="AT2" s="680">
        <v>0.27100000000000002</v>
      </c>
      <c r="AU2" s="676">
        <v>0.230763365</v>
      </c>
      <c r="AV2" s="677">
        <v>0.1</v>
      </c>
      <c r="AW2" s="681">
        <v>0</v>
      </c>
      <c r="AX2" s="682">
        <f t="shared" ref="AX2:AX12" si="2">1/11</f>
        <v>9.0909090909090912E-2</v>
      </c>
      <c r="AY2" s="681">
        <v>0</v>
      </c>
      <c r="AZ2" s="682">
        <f t="shared" ref="AZ2:AZ9" si="3">1/8</f>
        <v>0.125</v>
      </c>
      <c r="BA2" s="681">
        <v>0</v>
      </c>
      <c r="BB2" s="682">
        <f t="shared" ref="BB2:BB7" si="4">1/6</f>
        <v>0.16666666666666666</v>
      </c>
      <c r="BC2" s="683">
        <v>0</v>
      </c>
      <c r="BD2" s="684">
        <f>1/3</f>
        <v>0.33333333333333331</v>
      </c>
      <c r="BE2" s="681">
        <v>0</v>
      </c>
      <c r="BF2" s="682">
        <f t="shared" ref="BF2:BF17" si="5">1/16</f>
        <v>6.25E-2</v>
      </c>
      <c r="BG2" s="683">
        <v>0</v>
      </c>
      <c r="BH2" s="682">
        <f t="shared" ref="BH2:BH9" si="6">1/8</f>
        <v>0.125</v>
      </c>
      <c r="BI2" s="683">
        <v>0</v>
      </c>
      <c r="BJ2" s="682">
        <f t="shared" ref="BJ2:BJ8" si="7">1/7</f>
        <v>0.14285714285714285</v>
      </c>
      <c r="BK2" s="683">
        <v>0</v>
      </c>
      <c r="BL2" s="682">
        <v>0.2</v>
      </c>
      <c r="BM2" s="683">
        <v>0</v>
      </c>
      <c r="BN2" s="682">
        <f t="shared" ref="BN2:BN8" si="8">1/7</f>
        <v>0.14285714285714285</v>
      </c>
      <c r="BO2" s="683">
        <v>0</v>
      </c>
      <c r="BP2" s="682">
        <v>0.2</v>
      </c>
      <c r="BQ2" s="683">
        <v>0</v>
      </c>
      <c r="BR2" s="682">
        <f t="shared" ref="BR2:BR16" si="9">1/15</f>
        <v>6.6666666666666666E-2</v>
      </c>
      <c r="BS2" s="683">
        <v>0</v>
      </c>
      <c r="BT2" s="682">
        <v>0.1</v>
      </c>
      <c r="BU2" s="683">
        <v>0</v>
      </c>
      <c r="BV2" s="682">
        <f t="shared" ref="BV2:BV16" si="10">1/15</f>
        <v>6.6666666666666666E-2</v>
      </c>
      <c r="BW2" s="683">
        <v>0</v>
      </c>
      <c r="BX2" s="682">
        <v>0.1</v>
      </c>
      <c r="BY2" s="683">
        <v>0</v>
      </c>
      <c r="BZ2" s="682">
        <f t="shared" ref="BZ2:BZ21" si="11">1/20</f>
        <v>0.05</v>
      </c>
      <c r="CA2" s="683">
        <v>0</v>
      </c>
      <c r="CB2" s="682">
        <f t="shared" ref="CB2:CB16" si="12">1/15</f>
        <v>6.6666666666666666E-2</v>
      </c>
      <c r="CC2" s="681">
        <v>0</v>
      </c>
      <c r="CD2" s="684">
        <v>0.2</v>
      </c>
      <c r="CE2" s="681">
        <v>0</v>
      </c>
      <c r="CF2" s="684">
        <v>0.5</v>
      </c>
      <c r="CG2" s="681">
        <v>0</v>
      </c>
      <c r="CH2" s="684">
        <v>0.2</v>
      </c>
      <c r="CI2" s="681">
        <v>0</v>
      </c>
      <c r="CJ2" s="684">
        <v>0.2</v>
      </c>
      <c r="CK2" s="681">
        <v>0</v>
      </c>
      <c r="CL2" s="684">
        <v>0.1</v>
      </c>
      <c r="CM2" s="681">
        <v>0</v>
      </c>
      <c r="CN2" s="684">
        <f t="shared" ref="CN2:CN8" si="13">1/7</f>
        <v>0.14285714285714285</v>
      </c>
      <c r="CO2" s="681">
        <v>0</v>
      </c>
      <c r="CP2" s="684">
        <v>0.5</v>
      </c>
      <c r="CQ2" s="681">
        <v>0</v>
      </c>
      <c r="CR2" s="682">
        <v>0.25</v>
      </c>
      <c r="CS2" s="681">
        <v>0</v>
      </c>
      <c r="CT2" s="682">
        <f t="shared" ref="CT2:CT9" si="14">1/8</f>
        <v>0.125</v>
      </c>
      <c r="CU2" s="683">
        <v>0</v>
      </c>
      <c r="CV2" s="682">
        <v>0.1</v>
      </c>
    </row>
    <row r="3" spans="1:100">
      <c r="A3" s="460">
        <v>1</v>
      </c>
      <c r="B3" s="580">
        <v>0.25</v>
      </c>
      <c r="C3" s="580">
        <v>0.25</v>
      </c>
      <c r="D3" s="580">
        <v>0.1</v>
      </c>
      <c r="E3" s="580">
        <v>0.1</v>
      </c>
      <c r="F3" s="580">
        <f t="shared" si="0"/>
        <v>1.2500000000000001E-2</v>
      </c>
      <c r="G3" s="580">
        <v>0</v>
      </c>
      <c r="H3" s="580">
        <v>0.1</v>
      </c>
      <c r="I3" s="580">
        <v>0.1</v>
      </c>
      <c r="J3" s="580">
        <v>0.1</v>
      </c>
      <c r="K3" s="580">
        <v>0.1</v>
      </c>
      <c r="L3" s="580">
        <v>0.1</v>
      </c>
      <c r="M3" s="580">
        <v>0.1</v>
      </c>
      <c r="N3" s="580">
        <v>0.56999999999999995</v>
      </c>
      <c r="O3" s="580">
        <v>0.03</v>
      </c>
      <c r="P3" s="580">
        <v>0.1</v>
      </c>
      <c r="Q3" s="580">
        <v>0.1</v>
      </c>
      <c r="R3" s="580">
        <v>0.1</v>
      </c>
      <c r="S3" s="580">
        <v>0.03</v>
      </c>
      <c r="T3" s="580">
        <v>0</v>
      </c>
      <c r="U3" s="580">
        <v>0.1</v>
      </c>
      <c r="V3" s="580">
        <v>0</v>
      </c>
      <c r="W3" s="594">
        <v>0.11</v>
      </c>
      <c r="X3" s="928">
        <f>AE3+(SUM($AE$4:$AE$6)/2)</f>
        <v>0.55000000000000004</v>
      </c>
      <c r="Y3" s="686">
        <f t="shared" ref="Y3:Y4" si="15">AE3+(SUM($AE$5:$AE$6)/3)</f>
        <v>0.45</v>
      </c>
      <c r="Z3" s="932">
        <f t="shared" ref="Z3:Z5" si="16">AE3+(SUM($AE$6)/4)</f>
        <v>0.41250000000000003</v>
      </c>
      <c r="AA3" s="967">
        <v>0.4</v>
      </c>
      <c r="AB3" s="967">
        <f>Clothing!J745</f>
        <v>0.37333333333333335</v>
      </c>
      <c r="AC3" s="967">
        <f>Clothing!K745</f>
        <v>0.35342222222222225</v>
      </c>
      <c r="AD3" s="970">
        <f>Clothing!L745</f>
        <v>0.33780881382716055</v>
      </c>
      <c r="AE3" s="977">
        <v>0.4</v>
      </c>
      <c r="AF3" s="978">
        <v>0.12</v>
      </c>
      <c r="AG3" s="979">
        <v>0.16</v>
      </c>
      <c r="AH3" s="688">
        <v>0.20243269999999999</v>
      </c>
      <c r="AI3" s="687">
        <v>0.1</v>
      </c>
      <c r="AJ3" s="685">
        <v>0.20243269999999999</v>
      </c>
      <c r="AK3" s="687">
        <v>0.1</v>
      </c>
      <c r="AL3" s="689">
        <v>0.1</v>
      </c>
      <c r="AM3" s="685">
        <v>0.25</v>
      </c>
      <c r="AN3" s="685">
        <v>0.25</v>
      </c>
      <c r="AO3" s="689">
        <v>2.5000000000000001E-2</v>
      </c>
      <c r="AP3" s="690">
        <v>0.04</v>
      </c>
      <c r="AQ3" s="687">
        <f>1/140</f>
        <v>7.1428571428571426E-3</v>
      </c>
      <c r="AR3" s="685">
        <v>1.7500000000000002E-2</v>
      </c>
      <c r="AS3" s="687">
        <f t="shared" si="1"/>
        <v>1.2500000000000001E-2</v>
      </c>
      <c r="AT3" s="691">
        <v>0.14699999999999999</v>
      </c>
      <c r="AU3" s="685">
        <v>0.20243269999999999</v>
      </c>
      <c r="AV3" s="687">
        <v>0.1</v>
      </c>
      <c r="AW3" s="692">
        <v>0</v>
      </c>
      <c r="AX3" s="693">
        <f t="shared" si="2"/>
        <v>9.0909090909090912E-2</v>
      </c>
      <c r="AY3" s="692">
        <v>0</v>
      </c>
      <c r="AZ3" s="693">
        <f t="shared" si="3"/>
        <v>0.125</v>
      </c>
      <c r="BA3" s="692">
        <v>0</v>
      </c>
      <c r="BB3" s="693">
        <f t="shared" si="4"/>
        <v>0.16666666666666666</v>
      </c>
      <c r="BC3" s="694">
        <v>0</v>
      </c>
      <c r="BD3" s="695">
        <f>1/3</f>
        <v>0.33333333333333331</v>
      </c>
      <c r="BE3" s="692">
        <v>0</v>
      </c>
      <c r="BF3" s="693">
        <f t="shared" si="5"/>
        <v>6.25E-2</v>
      </c>
      <c r="BG3" s="694">
        <v>0</v>
      </c>
      <c r="BH3" s="693">
        <f t="shared" si="6"/>
        <v>0.125</v>
      </c>
      <c r="BI3" s="694">
        <v>0</v>
      </c>
      <c r="BJ3" s="693">
        <f t="shared" si="7"/>
        <v>0.14285714285714285</v>
      </c>
      <c r="BK3" s="694">
        <v>0</v>
      </c>
      <c r="BL3" s="693">
        <v>0.2</v>
      </c>
      <c r="BM3" s="694">
        <v>0</v>
      </c>
      <c r="BN3" s="693">
        <f t="shared" si="8"/>
        <v>0.14285714285714285</v>
      </c>
      <c r="BO3" s="694">
        <v>0</v>
      </c>
      <c r="BP3" s="693">
        <v>0.2</v>
      </c>
      <c r="BQ3" s="694">
        <v>0</v>
      </c>
      <c r="BR3" s="693">
        <f t="shared" si="9"/>
        <v>6.6666666666666666E-2</v>
      </c>
      <c r="BS3" s="694">
        <v>0</v>
      </c>
      <c r="BT3" s="693">
        <v>0.1</v>
      </c>
      <c r="BU3" s="694">
        <v>0</v>
      </c>
      <c r="BV3" s="693">
        <f t="shared" si="10"/>
        <v>6.6666666666666666E-2</v>
      </c>
      <c r="BW3" s="694">
        <v>0</v>
      </c>
      <c r="BX3" s="693">
        <v>0.1</v>
      </c>
      <c r="BY3" s="694">
        <v>0</v>
      </c>
      <c r="BZ3" s="693">
        <f t="shared" si="11"/>
        <v>0.05</v>
      </c>
      <c r="CA3" s="694">
        <v>0</v>
      </c>
      <c r="CB3" s="693">
        <f t="shared" si="12"/>
        <v>6.6666666666666666E-2</v>
      </c>
      <c r="CC3" s="692">
        <v>0</v>
      </c>
      <c r="CD3" s="695">
        <v>0.2</v>
      </c>
      <c r="CE3" s="692">
        <v>1</v>
      </c>
      <c r="CF3" s="695">
        <v>0.5</v>
      </c>
      <c r="CG3" s="692">
        <v>0</v>
      </c>
      <c r="CH3" s="695">
        <v>0.2</v>
      </c>
      <c r="CI3" s="692">
        <v>0</v>
      </c>
      <c r="CJ3" s="695">
        <v>0.2</v>
      </c>
      <c r="CK3" s="692">
        <v>0</v>
      </c>
      <c r="CL3" s="695">
        <v>0.1</v>
      </c>
      <c r="CM3" s="692">
        <v>0</v>
      </c>
      <c r="CN3" s="695">
        <f t="shared" si="13"/>
        <v>0.14285714285714285</v>
      </c>
      <c r="CO3" s="692">
        <v>1</v>
      </c>
      <c r="CP3" s="695">
        <v>0.5</v>
      </c>
      <c r="CQ3" s="692">
        <v>0</v>
      </c>
      <c r="CR3" s="693">
        <v>0.25</v>
      </c>
      <c r="CS3" s="692">
        <v>0</v>
      </c>
      <c r="CT3" s="693">
        <f t="shared" si="14"/>
        <v>0.125</v>
      </c>
      <c r="CU3" s="694">
        <v>0</v>
      </c>
      <c r="CV3" s="693">
        <v>0.1</v>
      </c>
    </row>
    <row r="4" spans="1:100">
      <c r="A4" s="460">
        <v>2</v>
      </c>
      <c r="B4" s="580">
        <v>0.25</v>
      </c>
      <c r="C4" s="580">
        <v>0.25</v>
      </c>
      <c r="D4" s="580">
        <v>0</v>
      </c>
      <c r="E4" s="580">
        <v>0</v>
      </c>
      <c r="F4" s="580">
        <f t="shared" si="0"/>
        <v>1.2500000000000001E-2</v>
      </c>
      <c r="G4" s="580">
        <v>0</v>
      </c>
      <c r="H4" s="580">
        <v>0</v>
      </c>
      <c r="I4" s="580">
        <v>0</v>
      </c>
      <c r="J4" s="580">
        <v>0</v>
      </c>
      <c r="K4" s="580">
        <v>0</v>
      </c>
      <c r="L4" s="580">
        <v>0</v>
      </c>
      <c r="M4" s="580">
        <v>0</v>
      </c>
      <c r="N4" s="580">
        <v>0</v>
      </c>
      <c r="O4" s="580">
        <v>0.08</v>
      </c>
      <c r="P4" s="580">
        <v>0</v>
      </c>
      <c r="Q4" s="580">
        <v>0</v>
      </c>
      <c r="R4" s="580">
        <v>0</v>
      </c>
      <c r="S4" s="580">
        <v>0.08</v>
      </c>
      <c r="T4" s="580">
        <v>0</v>
      </c>
      <c r="U4" s="580">
        <v>0</v>
      </c>
      <c r="V4" s="580">
        <v>0</v>
      </c>
      <c r="W4" s="594">
        <v>0.11</v>
      </c>
      <c r="X4" s="688">
        <v>0</v>
      </c>
      <c r="Y4" s="686">
        <f t="shared" si="15"/>
        <v>0.2</v>
      </c>
      <c r="Z4" s="932">
        <f t="shared" si="16"/>
        <v>0.16250000000000001</v>
      </c>
      <c r="AA4" s="967">
        <v>0.15</v>
      </c>
      <c r="AB4" s="967">
        <f>Clothing!J746</f>
        <v>0.14624999999999999</v>
      </c>
      <c r="AC4" s="967">
        <f>Clothing!K746</f>
        <v>0.14319441964285715</v>
      </c>
      <c r="AD4" s="970">
        <f>Clothing!L746</f>
        <v>0.14063133941575032</v>
      </c>
      <c r="AE4" s="977">
        <v>0.15</v>
      </c>
      <c r="AF4" s="978">
        <v>0.08</v>
      </c>
      <c r="AG4" s="979">
        <v>0.15</v>
      </c>
      <c r="AH4" s="688">
        <v>9.7155494999999994E-2</v>
      </c>
      <c r="AI4" s="687">
        <v>0.1</v>
      </c>
      <c r="AJ4" s="685">
        <v>9.7155494999999994E-2</v>
      </c>
      <c r="AK4" s="687">
        <v>0.1</v>
      </c>
      <c r="AL4" s="689">
        <v>0</v>
      </c>
      <c r="AM4" s="685">
        <v>0.25</v>
      </c>
      <c r="AN4" s="685">
        <v>0.25</v>
      </c>
      <c r="AO4" s="689">
        <v>2.5000000000000001E-2</v>
      </c>
      <c r="AP4" s="690">
        <v>0.04</v>
      </c>
      <c r="AQ4" s="687">
        <f t="shared" ref="AQ4:AQ67" si="17">1/140</f>
        <v>7.1428571428571426E-3</v>
      </c>
      <c r="AR4" s="685">
        <v>5.5555559999999997E-3</v>
      </c>
      <c r="AS4" s="687">
        <f t="shared" si="1"/>
        <v>1.2500000000000001E-2</v>
      </c>
      <c r="AT4" s="691">
        <v>7.400000000000001E-2</v>
      </c>
      <c r="AU4" s="685">
        <v>9.7155494999999994E-2</v>
      </c>
      <c r="AV4" s="687">
        <v>0.1</v>
      </c>
      <c r="AW4" s="692">
        <v>0</v>
      </c>
      <c r="AX4" s="693">
        <f t="shared" si="2"/>
        <v>9.0909090909090912E-2</v>
      </c>
      <c r="AY4" s="692">
        <v>0</v>
      </c>
      <c r="AZ4" s="693">
        <f t="shared" si="3"/>
        <v>0.125</v>
      </c>
      <c r="BA4" s="692">
        <v>0</v>
      </c>
      <c r="BB4" s="693">
        <f t="shared" si="4"/>
        <v>0.16666666666666666</v>
      </c>
      <c r="BC4" s="694">
        <v>1</v>
      </c>
      <c r="BD4" s="695">
        <f>1/3</f>
        <v>0.33333333333333331</v>
      </c>
      <c r="BE4" s="692">
        <v>0</v>
      </c>
      <c r="BF4" s="693">
        <f t="shared" si="5"/>
        <v>6.25E-2</v>
      </c>
      <c r="BG4" s="694">
        <v>0</v>
      </c>
      <c r="BH4" s="693">
        <f t="shared" si="6"/>
        <v>0.125</v>
      </c>
      <c r="BI4" s="694">
        <v>0</v>
      </c>
      <c r="BJ4" s="693">
        <f t="shared" si="7"/>
        <v>0.14285714285714285</v>
      </c>
      <c r="BK4" s="694">
        <v>0</v>
      </c>
      <c r="BL4" s="693">
        <v>0.2</v>
      </c>
      <c r="BM4" s="694">
        <v>0</v>
      </c>
      <c r="BN4" s="693">
        <f t="shared" si="8"/>
        <v>0.14285714285714285</v>
      </c>
      <c r="BO4" s="694">
        <v>0</v>
      </c>
      <c r="BP4" s="693">
        <v>0.2</v>
      </c>
      <c r="BQ4" s="694">
        <v>0</v>
      </c>
      <c r="BR4" s="693">
        <f t="shared" si="9"/>
        <v>6.6666666666666666E-2</v>
      </c>
      <c r="BS4" s="694">
        <v>0</v>
      </c>
      <c r="BT4" s="693">
        <v>0.1</v>
      </c>
      <c r="BU4" s="694">
        <v>0</v>
      </c>
      <c r="BV4" s="693">
        <f t="shared" si="10"/>
        <v>6.6666666666666666E-2</v>
      </c>
      <c r="BW4" s="694">
        <v>0</v>
      </c>
      <c r="BX4" s="693">
        <v>0.1</v>
      </c>
      <c r="BY4" s="694">
        <v>0</v>
      </c>
      <c r="BZ4" s="693">
        <f t="shared" si="11"/>
        <v>0.05</v>
      </c>
      <c r="CA4" s="694">
        <v>0</v>
      </c>
      <c r="CB4" s="693">
        <f t="shared" si="12"/>
        <v>6.6666666666666666E-2</v>
      </c>
      <c r="CC4" s="692">
        <v>0</v>
      </c>
      <c r="CD4" s="695">
        <v>0.2</v>
      </c>
      <c r="CE4" s="692">
        <v>0</v>
      </c>
      <c r="CF4" s="695">
        <v>0</v>
      </c>
      <c r="CG4" s="692">
        <v>0</v>
      </c>
      <c r="CH4" s="695">
        <v>0.2</v>
      </c>
      <c r="CI4" s="692">
        <v>0</v>
      </c>
      <c r="CJ4" s="695">
        <v>0.2</v>
      </c>
      <c r="CK4" s="692">
        <v>0</v>
      </c>
      <c r="CL4" s="695">
        <v>0.1</v>
      </c>
      <c r="CM4" s="692">
        <v>0</v>
      </c>
      <c r="CN4" s="695">
        <f t="shared" si="13"/>
        <v>0.14285714285714285</v>
      </c>
      <c r="CO4" s="692">
        <v>0</v>
      </c>
      <c r="CP4" s="695">
        <v>0</v>
      </c>
      <c r="CQ4" s="692">
        <v>0</v>
      </c>
      <c r="CR4" s="693">
        <v>0.25</v>
      </c>
      <c r="CS4" s="692">
        <v>0</v>
      </c>
      <c r="CT4" s="693">
        <f t="shared" si="14"/>
        <v>0.125</v>
      </c>
      <c r="CU4" s="694">
        <v>0</v>
      </c>
      <c r="CV4" s="693">
        <v>0.1</v>
      </c>
    </row>
    <row r="5" spans="1:100">
      <c r="A5" s="460">
        <v>3</v>
      </c>
      <c r="B5" s="580">
        <v>0.25</v>
      </c>
      <c r="C5" s="580">
        <v>0.25</v>
      </c>
      <c r="D5" s="580">
        <v>0</v>
      </c>
      <c r="E5" s="580">
        <v>0</v>
      </c>
      <c r="F5" s="580">
        <f t="shared" si="0"/>
        <v>1.2500000000000001E-2</v>
      </c>
      <c r="G5" s="580">
        <v>0</v>
      </c>
      <c r="H5" s="580">
        <v>0</v>
      </c>
      <c r="I5" s="580">
        <v>0</v>
      </c>
      <c r="J5" s="580">
        <v>0</v>
      </c>
      <c r="K5" s="580">
        <v>0</v>
      </c>
      <c r="L5" s="580">
        <v>0</v>
      </c>
      <c r="M5" s="580">
        <v>0</v>
      </c>
      <c r="N5" s="580">
        <v>0</v>
      </c>
      <c r="O5" s="580">
        <v>0.16</v>
      </c>
      <c r="P5" s="580">
        <v>0</v>
      </c>
      <c r="Q5" s="580">
        <v>0</v>
      </c>
      <c r="R5" s="580">
        <v>0</v>
      </c>
      <c r="S5" s="580">
        <v>0.16</v>
      </c>
      <c r="T5" s="580">
        <v>0</v>
      </c>
      <c r="U5" s="580">
        <v>0</v>
      </c>
      <c r="V5" s="580">
        <v>0</v>
      </c>
      <c r="W5" s="594">
        <v>0.11</v>
      </c>
      <c r="X5" s="688">
        <v>0</v>
      </c>
      <c r="Y5" s="688">
        <v>0</v>
      </c>
      <c r="Z5" s="932">
        <f t="shared" si="16"/>
        <v>0.1125</v>
      </c>
      <c r="AA5" s="967">
        <v>0.1</v>
      </c>
      <c r="AB5" s="967">
        <f>Clothing!J747</f>
        <v>9.8333333333333328E-2</v>
      </c>
      <c r="AC5" s="967">
        <f>Clothing!K747</f>
        <v>9.6951984126984123E-2</v>
      </c>
      <c r="AD5" s="970">
        <f>Clothing!L747</f>
        <v>9.5777023223714244E-2</v>
      </c>
      <c r="AE5" s="977">
        <v>0.1</v>
      </c>
      <c r="AF5" s="978">
        <v>0.04</v>
      </c>
      <c r="AG5" s="979">
        <v>0.15</v>
      </c>
      <c r="AH5" s="688">
        <v>9.7155494999999994E-2</v>
      </c>
      <c r="AI5" s="687">
        <v>0.1</v>
      </c>
      <c r="AJ5" s="685">
        <v>9.7155494999999994E-2</v>
      </c>
      <c r="AK5" s="687">
        <v>0.1</v>
      </c>
      <c r="AL5" s="689">
        <v>0</v>
      </c>
      <c r="AM5" s="685">
        <v>0.25</v>
      </c>
      <c r="AN5" s="685">
        <v>0.25</v>
      </c>
      <c r="AO5" s="689">
        <v>2.5000000000000001E-2</v>
      </c>
      <c r="AP5" s="690">
        <v>0.04</v>
      </c>
      <c r="AQ5" s="687">
        <f t="shared" si="17"/>
        <v>7.1428571428571426E-3</v>
      </c>
      <c r="AR5" s="685">
        <v>5.5555559999999997E-3</v>
      </c>
      <c r="AS5" s="687">
        <f t="shared" si="1"/>
        <v>1.2500000000000001E-2</v>
      </c>
      <c r="AT5" s="691">
        <v>7.400000000000001E-2</v>
      </c>
      <c r="AU5" s="685">
        <v>9.7155494999999994E-2</v>
      </c>
      <c r="AV5" s="687">
        <v>0.1</v>
      </c>
      <c r="AW5" s="692">
        <v>0</v>
      </c>
      <c r="AX5" s="693">
        <f t="shared" si="2"/>
        <v>9.0909090909090912E-2</v>
      </c>
      <c r="AY5" s="692">
        <v>0</v>
      </c>
      <c r="AZ5" s="693">
        <f t="shared" si="3"/>
        <v>0.125</v>
      </c>
      <c r="BA5" s="692">
        <v>0</v>
      </c>
      <c r="BB5" s="693">
        <f t="shared" si="4"/>
        <v>0.16666666666666666</v>
      </c>
      <c r="BC5" s="694">
        <v>0</v>
      </c>
      <c r="BD5" s="695">
        <v>0</v>
      </c>
      <c r="BE5" s="692">
        <v>0</v>
      </c>
      <c r="BF5" s="693">
        <f t="shared" si="5"/>
        <v>6.25E-2</v>
      </c>
      <c r="BG5" s="694">
        <v>0</v>
      </c>
      <c r="BH5" s="693">
        <f t="shared" si="6"/>
        <v>0.125</v>
      </c>
      <c r="BI5" s="694">
        <v>0</v>
      </c>
      <c r="BJ5" s="693">
        <f t="shared" si="7"/>
        <v>0.14285714285714285</v>
      </c>
      <c r="BK5" s="694">
        <v>0</v>
      </c>
      <c r="BL5" s="693">
        <v>0.2</v>
      </c>
      <c r="BM5" s="694">
        <v>0</v>
      </c>
      <c r="BN5" s="693">
        <f t="shared" si="8"/>
        <v>0.14285714285714285</v>
      </c>
      <c r="BO5" s="694">
        <v>0</v>
      </c>
      <c r="BP5" s="693">
        <v>0.2</v>
      </c>
      <c r="BQ5" s="694">
        <v>0</v>
      </c>
      <c r="BR5" s="693">
        <f t="shared" si="9"/>
        <v>6.6666666666666666E-2</v>
      </c>
      <c r="BS5" s="694">
        <v>0</v>
      </c>
      <c r="BT5" s="693">
        <v>0.1</v>
      </c>
      <c r="BU5" s="694">
        <v>0</v>
      </c>
      <c r="BV5" s="693">
        <f t="shared" si="10"/>
        <v>6.6666666666666666E-2</v>
      </c>
      <c r="BW5" s="694">
        <v>0</v>
      </c>
      <c r="BX5" s="693">
        <v>0.1</v>
      </c>
      <c r="BY5" s="694">
        <v>0</v>
      </c>
      <c r="BZ5" s="693">
        <f t="shared" si="11"/>
        <v>0.05</v>
      </c>
      <c r="CA5" s="694">
        <v>0</v>
      </c>
      <c r="CB5" s="693">
        <f t="shared" si="12"/>
        <v>6.6666666666666666E-2</v>
      </c>
      <c r="CC5" s="692">
        <v>0</v>
      </c>
      <c r="CD5" s="695">
        <v>0.2</v>
      </c>
      <c r="CE5" s="692">
        <v>0</v>
      </c>
      <c r="CF5" s="695">
        <v>0</v>
      </c>
      <c r="CG5" s="692">
        <v>0</v>
      </c>
      <c r="CH5" s="695">
        <v>0.2</v>
      </c>
      <c r="CI5" s="692">
        <v>0</v>
      </c>
      <c r="CJ5" s="695">
        <v>0.2</v>
      </c>
      <c r="CK5" s="692">
        <v>0</v>
      </c>
      <c r="CL5" s="695">
        <v>0.1</v>
      </c>
      <c r="CM5" s="692">
        <v>0</v>
      </c>
      <c r="CN5" s="695">
        <f t="shared" si="13"/>
        <v>0.14285714285714285</v>
      </c>
      <c r="CO5" s="692">
        <v>0</v>
      </c>
      <c r="CP5" s="695">
        <v>0</v>
      </c>
      <c r="CQ5" s="692">
        <v>1</v>
      </c>
      <c r="CR5" s="693">
        <v>0.25</v>
      </c>
      <c r="CS5" s="692">
        <v>0</v>
      </c>
      <c r="CT5" s="693">
        <f t="shared" si="14"/>
        <v>0.125</v>
      </c>
      <c r="CU5" s="694">
        <v>0</v>
      </c>
      <c r="CV5" s="693">
        <v>0.1</v>
      </c>
    </row>
    <row r="6" spans="1:100">
      <c r="A6" s="460">
        <v>4</v>
      </c>
      <c r="B6" s="580">
        <v>0</v>
      </c>
      <c r="C6" s="580">
        <v>0</v>
      </c>
      <c r="D6" s="580">
        <v>0</v>
      </c>
      <c r="E6" s="580">
        <v>0</v>
      </c>
      <c r="F6" s="580">
        <f t="shared" si="0"/>
        <v>1.2500000000000001E-2</v>
      </c>
      <c r="G6" s="580">
        <v>0</v>
      </c>
      <c r="H6" s="580">
        <v>0</v>
      </c>
      <c r="I6" s="580">
        <v>0</v>
      </c>
      <c r="J6" s="580">
        <v>0</v>
      </c>
      <c r="K6" s="580">
        <v>0</v>
      </c>
      <c r="L6" s="580">
        <v>0</v>
      </c>
      <c r="M6" s="580">
        <v>0</v>
      </c>
      <c r="N6" s="580">
        <v>0</v>
      </c>
      <c r="O6" s="580">
        <v>0.23</v>
      </c>
      <c r="P6" s="580">
        <v>0</v>
      </c>
      <c r="Q6" s="580">
        <v>0</v>
      </c>
      <c r="R6" s="580">
        <v>0</v>
      </c>
      <c r="S6" s="580">
        <v>0.23</v>
      </c>
      <c r="T6" s="580">
        <v>0</v>
      </c>
      <c r="U6" s="580">
        <v>0</v>
      </c>
      <c r="V6" s="580">
        <v>0.05</v>
      </c>
      <c r="W6" s="594">
        <v>0.1</v>
      </c>
      <c r="X6" s="688">
        <v>0</v>
      </c>
      <c r="Y6" s="688">
        <v>0</v>
      </c>
      <c r="Z6" s="688">
        <v>0</v>
      </c>
      <c r="AA6" s="967">
        <v>0.05</v>
      </c>
      <c r="AB6" s="967">
        <f>Clothing!J748</f>
        <v>4.958333333333334E-2</v>
      </c>
      <c r="AC6" s="967">
        <f>Clothing!K748</f>
        <v>4.9232118055555565E-2</v>
      </c>
      <c r="AD6" s="687">
        <f>Clothing!L748</f>
        <v>4.8929142874526044E-2</v>
      </c>
      <c r="AE6" s="977">
        <v>0.05</v>
      </c>
      <c r="AF6" s="978">
        <v>0.04</v>
      </c>
      <c r="AG6" s="979">
        <v>0.15</v>
      </c>
      <c r="AH6" s="688">
        <v>9.7155494999999994E-2</v>
      </c>
      <c r="AI6" s="687">
        <v>0.1</v>
      </c>
      <c r="AJ6" s="685">
        <v>9.7155494999999994E-2</v>
      </c>
      <c r="AK6" s="687">
        <v>0.1</v>
      </c>
      <c r="AL6" s="689">
        <v>0</v>
      </c>
      <c r="AM6" s="685">
        <v>0</v>
      </c>
      <c r="AN6" s="685">
        <v>0</v>
      </c>
      <c r="AO6" s="689">
        <v>2.5000000000000001E-2</v>
      </c>
      <c r="AP6" s="690">
        <v>0.04</v>
      </c>
      <c r="AQ6" s="687">
        <f t="shared" si="17"/>
        <v>7.1428571428571426E-3</v>
      </c>
      <c r="AR6" s="685">
        <v>5.5555559999999997E-3</v>
      </c>
      <c r="AS6" s="687">
        <f t="shared" si="1"/>
        <v>1.2500000000000001E-2</v>
      </c>
      <c r="AT6" s="691">
        <v>3.7999999999999999E-2</v>
      </c>
      <c r="AU6" s="685">
        <v>9.7155494999999994E-2</v>
      </c>
      <c r="AV6" s="687">
        <v>0.1</v>
      </c>
      <c r="AW6" s="692">
        <v>0</v>
      </c>
      <c r="AX6" s="693">
        <f t="shared" si="2"/>
        <v>9.0909090909090912E-2</v>
      </c>
      <c r="AY6" s="692">
        <v>0</v>
      </c>
      <c r="AZ6" s="693">
        <f t="shared" si="3"/>
        <v>0.125</v>
      </c>
      <c r="BA6" s="692">
        <v>0</v>
      </c>
      <c r="BB6" s="693">
        <f t="shared" si="4"/>
        <v>0.16666666666666666</v>
      </c>
      <c r="BC6" s="694">
        <v>0</v>
      </c>
      <c r="BD6" s="695">
        <v>0</v>
      </c>
      <c r="BE6" s="692">
        <v>0</v>
      </c>
      <c r="BF6" s="693">
        <f t="shared" si="5"/>
        <v>6.25E-2</v>
      </c>
      <c r="BG6" s="694">
        <v>0</v>
      </c>
      <c r="BH6" s="693">
        <f t="shared" si="6"/>
        <v>0.125</v>
      </c>
      <c r="BI6" s="694">
        <v>0</v>
      </c>
      <c r="BJ6" s="693">
        <f t="shared" si="7"/>
        <v>0.14285714285714285</v>
      </c>
      <c r="BK6" s="694">
        <v>1</v>
      </c>
      <c r="BL6" s="693">
        <v>0.2</v>
      </c>
      <c r="BM6" s="694">
        <v>0</v>
      </c>
      <c r="BN6" s="693">
        <f t="shared" si="8"/>
        <v>0.14285714285714285</v>
      </c>
      <c r="BO6" s="694">
        <v>1</v>
      </c>
      <c r="BP6" s="693">
        <v>0.2</v>
      </c>
      <c r="BQ6" s="694">
        <v>0</v>
      </c>
      <c r="BR6" s="693">
        <f t="shared" si="9"/>
        <v>6.6666666666666666E-2</v>
      </c>
      <c r="BS6" s="694">
        <v>0</v>
      </c>
      <c r="BT6" s="693">
        <v>0.1</v>
      </c>
      <c r="BU6" s="694">
        <v>0</v>
      </c>
      <c r="BV6" s="693">
        <f t="shared" si="10"/>
        <v>6.6666666666666666E-2</v>
      </c>
      <c r="BW6" s="694">
        <v>0</v>
      </c>
      <c r="BX6" s="693">
        <v>0.1</v>
      </c>
      <c r="BY6" s="694">
        <v>0</v>
      </c>
      <c r="BZ6" s="693">
        <f t="shared" si="11"/>
        <v>0.05</v>
      </c>
      <c r="CA6" s="694">
        <v>0</v>
      </c>
      <c r="CB6" s="693">
        <f t="shared" si="12"/>
        <v>6.6666666666666666E-2</v>
      </c>
      <c r="CC6" s="692">
        <v>1</v>
      </c>
      <c r="CD6" s="695">
        <v>0.2</v>
      </c>
      <c r="CE6" s="692">
        <v>0</v>
      </c>
      <c r="CF6" s="695">
        <v>0</v>
      </c>
      <c r="CG6" s="692">
        <v>1</v>
      </c>
      <c r="CH6" s="695">
        <v>0.2</v>
      </c>
      <c r="CI6" s="692">
        <v>1</v>
      </c>
      <c r="CJ6" s="695">
        <v>0.2</v>
      </c>
      <c r="CK6" s="692">
        <v>0</v>
      </c>
      <c r="CL6" s="695">
        <v>0.1</v>
      </c>
      <c r="CM6" s="692">
        <v>0</v>
      </c>
      <c r="CN6" s="695">
        <f t="shared" si="13"/>
        <v>0.14285714285714285</v>
      </c>
      <c r="CO6" s="692">
        <v>0</v>
      </c>
      <c r="CP6" s="695">
        <v>0</v>
      </c>
      <c r="CQ6" s="692">
        <v>0</v>
      </c>
      <c r="CR6" s="693">
        <v>0</v>
      </c>
      <c r="CS6" s="692">
        <v>0</v>
      </c>
      <c r="CT6" s="693">
        <f t="shared" si="14"/>
        <v>0.125</v>
      </c>
      <c r="CU6" s="694">
        <v>0</v>
      </c>
      <c r="CV6" s="693">
        <v>0.1</v>
      </c>
    </row>
    <row r="7" spans="1:100">
      <c r="A7" s="460">
        <v>5</v>
      </c>
      <c r="B7" s="580">
        <v>0</v>
      </c>
      <c r="C7" s="580">
        <v>0</v>
      </c>
      <c r="D7" s="580">
        <v>0</v>
      </c>
      <c r="E7" s="580">
        <v>0</v>
      </c>
      <c r="F7" s="580">
        <f t="shared" si="0"/>
        <v>1.2500000000000001E-2</v>
      </c>
      <c r="G7" s="580">
        <v>0</v>
      </c>
      <c r="H7" s="580">
        <v>0</v>
      </c>
      <c r="I7" s="580">
        <v>0</v>
      </c>
      <c r="J7" s="580">
        <v>0</v>
      </c>
      <c r="K7" s="580">
        <v>0</v>
      </c>
      <c r="L7" s="580">
        <v>0</v>
      </c>
      <c r="M7" s="580">
        <v>0</v>
      </c>
      <c r="N7" s="580">
        <v>0</v>
      </c>
      <c r="O7" s="580">
        <v>0.23</v>
      </c>
      <c r="P7" s="580">
        <v>0</v>
      </c>
      <c r="Q7" s="580">
        <v>0</v>
      </c>
      <c r="R7" s="580">
        <v>0</v>
      </c>
      <c r="S7" s="580">
        <v>0.23</v>
      </c>
      <c r="T7" s="580">
        <v>0</v>
      </c>
      <c r="U7" s="580">
        <v>0</v>
      </c>
      <c r="V7" s="580">
        <v>0.05</v>
      </c>
      <c r="W7" s="594">
        <v>0.1</v>
      </c>
      <c r="X7" s="688">
        <v>0</v>
      </c>
      <c r="Y7" s="688">
        <v>0</v>
      </c>
      <c r="Z7" s="688">
        <v>0</v>
      </c>
      <c r="AA7" s="688">
        <v>0</v>
      </c>
      <c r="AB7" s="968">
        <f>Clothing!J749</f>
        <v>8.2500000000000018E-2</v>
      </c>
      <c r="AC7" s="967">
        <f>Clothing!K749</f>
        <v>8.1527678571428591E-2</v>
      </c>
      <c r="AD7" s="970">
        <f>Clothing!L749</f>
        <v>8.0696833274772811E-2</v>
      </c>
      <c r="AE7" s="977">
        <v>0</v>
      </c>
      <c r="AF7" s="978">
        <v>0</v>
      </c>
      <c r="AG7" s="979">
        <v>0</v>
      </c>
      <c r="AH7" s="688">
        <v>5.5540304000000013E-2</v>
      </c>
      <c r="AI7" s="687">
        <v>0.1</v>
      </c>
      <c r="AJ7" s="685">
        <v>5.5540304000000013E-2</v>
      </c>
      <c r="AK7" s="687">
        <v>0.1</v>
      </c>
      <c r="AL7" s="689">
        <v>0</v>
      </c>
      <c r="AM7" s="685">
        <v>0</v>
      </c>
      <c r="AN7" s="685">
        <v>0</v>
      </c>
      <c r="AO7" s="689">
        <v>0.08</v>
      </c>
      <c r="AP7" s="690">
        <v>0.04</v>
      </c>
      <c r="AQ7" s="687">
        <f t="shared" si="17"/>
        <v>7.1428571428571426E-3</v>
      </c>
      <c r="AR7" s="685">
        <v>0.03</v>
      </c>
      <c r="AS7" s="687">
        <f t="shared" si="1"/>
        <v>1.2500000000000001E-2</v>
      </c>
      <c r="AT7" s="691">
        <v>2.9000000000000001E-2</v>
      </c>
      <c r="AU7" s="685">
        <v>5.5540304000000013E-2</v>
      </c>
      <c r="AV7" s="687">
        <v>0.1</v>
      </c>
      <c r="AW7" s="692">
        <v>0</v>
      </c>
      <c r="AX7" s="693">
        <f t="shared" si="2"/>
        <v>9.0909090909090912E-2</v>
      </c>
      <c r="AY7" s="692">
        <v>0</v>
      </c>
      <c r="AZ7" s="693">
        <f t="shared" si="3"/>
        <v>0.125</v>
      </c>
      <c r="BA7" s="692">
        <v>1</v>
      </c>
      <c r="BB7" s="693">
        <f t="shared" si="4"/>
        <v>0.16666666666666666</v>
      </c>
      <c r="BC7" s="694">
        <v>0</v>
      </c>
      <c r="BD7" s="695">
        <v>0</v>
      </c>
      <c r="BE7" s="692">
        <v>0</v>
      </c>
      <c r="BF7" s="693">
        <f t="shared" si="5"/>
        <v>6.25E-2</v>
      </c>
      <c r="BG7" s="694">
        <v>0</v>
      </c>
      <c r="BH7" s="693">
        <f t="shared" si="6"/>
        <v>0.125</v>
      </c>
      <c r="BI7" s="694">
        <v>0</v>
      </c>
      <c r="BJ7" s="693">
        <f t="shared" si="7"/>
        <v>0.14285714285714285</v>
      </c>
      <c r="BK7" s="694">
        <v>0</v>
      </c>
      <c r="BL7" s="693">
        <v>0</v>
      </c>
      <c r="BM7" s="694">
        <v>0</v>
      </c>
      <c r="BN7" s="693">
        <f t="shared" si="8"/>
        <v>0.14285714285714285</v>
      </c>
      <c r="BO7" s="694">
        <v>0</v>
      </c>
      <c r="BP7" s="693">
        <v>0</v>
      </c>
      <c r="BQ7" s="694">
        <v>0</v>
      </c>
      <c r="BR7" s="693">
        <f t="shared" si="9"/>
        <v>6.6666666666666666E-2</v>
      </c>
      <c r="BS7" s="694">
        <v>0</v>
      </c>
      <c r="BT7" s="693">
        <v>0.1</v>
      </c>
      <c r="BU7" s="694">
        <v>0</v>
      </c>
      <c r="BV7" s="693">
        <f t="shared" si="10"/>
        <v>6.6666666666666666E-2</v>
      </c>
      <c r="BW7" s="694">
        <v>0</v>
      </c>
      <c r="BX7" s="693">
        <v>0.1</v>
      </c>
      <c r="BY7" s="694">
        <v>0</v>
      </c>
      <c r="BZ7" s="693">
        <f t="shared" si="11"/>
        <v>0.05</v>
      </c>
      <c r="CA7" s="694">
        <v>0</v>
      </c>
      <c r="CB7" s="693">
        <f t="shared" si="12"/>
        <v>6.6666666666666666E-2</v>
      </c>
      <c r="CC7" s="692">
        <v>0</v>
      </c>
      <c r="CD7" s="695">
        <v>0</v>
      </c>
      <c r="CE7" s="692">
        <v>0</v>
      </c>
      <c r="CF7" s="695">
        <v>0</v>
      </c>
      <c r="CG7" s="692">
        <v>0</v>
      </c>
      <c r="CH7" s="695">
        <v>0</v>
      </c>
      <c r="CI7" s="692">
        <v>0</v>
      </c>
      <c r="CJ7" s="695">
        <v>0</v>
      </c>
      <c r="CK7" s="692">
        <v>0</v>
      </c>
      <c r="CL7" s="695">
        <v>0.1</v>
      </c>
      <c r="CM7" s="692">
        <v>0</v>
      </c>
      <c r="CN7" s="695">
        <f t="shared" si="13"/>
        <v>0.14285714285714285</v>
      </c>
      <c r="CO7" s="692">
        <v>0</v>
      </c>
      <c r="CP7" s="695">
        <v>0</v>
      </c>
      <c r="CQ7" s="692">
        <v>0</v>
      </c>
      <c r="CR7" s="693">
        <v>0</v>
      </c>
      <c r="CS7" s="692">
        <v>0</v>
      </c>
      <c r="CT7" s="693">
        <f t="shared" si="14"/>
        <v>0.125</v>
      </c>
      <c r="CU7" s="694">
        <v>0</v>
      </c>
      <c r="CV7" s="693">
        <v>0.1</v>
      </c>
    </row>
    <row r="8" spans="1:100">
      <c r="A8" s="460">
        <v>6</v>
      </c>
      <c r="B8" s="580">
        <v>0</v>
      </c>
      <c r="C8" s="580">
        <v>0</v>
      </c>
      <c r="D8" s="580">
        <v>0</v>
      </c>
      <c r="E8" s="580">
        <v>0</v>
      </c>
      <c r="F8" s="580">
        <f t="shared" si="0"/>
        <v>1.2500000000000001E-2</v>
      </c>
      <c r="G8" s="580">
        <v>0</v>
      </c>
      <c r="H8" s="580">
        <v>0</v>
      </c>
      <c r="I8" s="580">
        <v>0</v>
      </c>
      <c r="J8" s="580">
        <v>0</v>
      </c>
      <c r="K8" s="580">
        <v>0</v>
      </c>
      <c r="L8" s="580">
        <v>0</v>
      </c>
      <c r="M8" s="580">
        <v>0</v>
      </c>
      <c r="N8" s="580">
        <v>0</v>
      </c>
      <c r="O8" s="580">
        <v>0.16</v>
      </c>
      <c r="P8" s="580">
        <v>0</v>
      </c>
      <c r="Q8" s="580">
        <v>0</v>
      </c>
      <c r="R8" s="580">
        <v>0</v>
      </c>
      <c r="S8" s="580">
        <v>0.16</v>
      </c>
      <c r="T8" s="580">
        <v>0</v>
      </c>
      <c r="U8" s="580">
        <v>0</v>
      </c>
      <c r="V8" s="580">
        <v>0.05</v>
      </c>
      <c r="W8" s="594">
        <f t="shared" ref="W8" si="18">1/15</f>
        <v>6.6666666666666666E-2</v>
      </c>
      <c r="X8" s="688">
        <v>0</v>
      </c>
      <c r="Y8" s="688">
        <v>0</v>
      </c>
      <c r="Z8" s="688">
        <v>0</v>
      </c>
      <c r="AA8" s="688">
        <v>0</v>
      </c>
      <c r="AB8" s="688">
        <v>0</v>
      </c>
      <c r="AC8" s="967">
        <f>Clothing!K750</f>
        <v>6.1385863095237969E-2</v>
      </c>
      <c r="AD8" s="970">
        <f>Clothing!L750</f>
        <v>6.0914835071744562E-2</v>
      </c>
      <c r="AE8" s="977">
        <v>0</v>
      </c>
      <c r="AF8" s="978">
        <v>0</v>
      </c>
      <c r="AG8" s="979">
        <v>0</v>
      </c>
      <c r="AH8" s="688">
        <v>5.5540304000000013E-2</v>
      </c>
      <c r="AI8" s="687">
        <v>0.1</v>
      </c>
      <c r="AJ8" s="685">
        <v>5.5540304000000013E-2</v>
      </c>
      <c r="AK8" s="687">
        <v>0.1</v>
      </c>
      <c r="AL8" s="689">
        <v>0</v>
      </c>
      <c r="AM8" s="685">
        <v>0</v>
      </c>
      <c r="AN8" s="685">
        <v>0</v>
      </c>
      <c r="AO8" s="689">
        <v>0.08</v>
      </c>
      <c r="AP8" s="690">
        <v>0</v>
      </c>
      <c r="AQ8" s="687">
        <f t="shared" si="17"/>
        <v>7.1428571428571426E-3</v>
      </c>
      <c r="AR8" s="685">
        <v>0.03</v>
      </c>
      <c r="AS8" s="687">
        <f t="shared" si="1"/>
        <v>1.2500000000000001E-2</v>
      </c>
      <c r="AT8" s="691">
        <v>2.4E-2</v>
      </c>
      <c r="AU8" s="685">
        <v>5.5540304000000013E-2</v>
      </c>
      <c r="AV8" s="687">
        <v>0.1</v>
      </c>
      <c r="AW8" s="692">
        <v>0</v>
      </c>
      <c r="AX8" s="693">
        <f t="shared" si="2"/>
        <v>9.0909090909090912E-2</v>
      </c>
      <c r="AY8" s="692">
        <v>0</v>
      </c>
      <c r="AZ8" s="693">
        <f t="shared" si="3"/>
        <v>0.125</v>
      </c>
      <c r="BA8" s="692">
        <v>0</v>
      </c>
      <c r="BB8" s="693">
        <v>0</v>
      </c>
      <c r="BC8" s="694">
        <v>0</v>
      </c>
      <c r="BD8" s="695">
        <v>0</v>
      </c>
      <c r="BE8" s="692">
        <v>0</v>
      </c>
      <c r="BF8" s="693">
        <f t="shared" si="5"/>
        <v>6.25E-2</v>
      </c>
      <c r="BG8" s="694">
        <v>0</v>
      </c>
      <c r="BH8" s="693">
        <f t="shared" si="6"/>
        <v>0.125</v>
      </c>
      <c r="BI8" s="694">
        <v>1</v>
      </c>
      <c r="BJ8" s="693">
        <f t="shared" si="7"/>
        <v>0.14285714285714285</v>
      </c>
      <c r="BK8" s="694">
        <v>0</v>
      </c>
      <c r="BL8" s="693">
        <v>0</v>
      </c>
      <c r="BM8" s="694">
        <v>1</v>
      </c>
      <c r="BN8" s="693">
        <f t="shared" si="8"/>
        <v>0.14285714285714285</v>
      </c>
      <c r="BO8" s="694">
        <v>0</v>
      </c>
      <c r="BP8" s="693">
        <v>0</v>
      </c>
      <c r="BQ8" s="694">
        <v>0</v>
      </c>
      <c r="BR8" s="693">
        <f t="shared" si="9"/>
        <v>6.6666666666666666E-2</v>
      </c>
      <c r="BS8" s="694">
        <v>0</v>
      </c>
      <c r="BT8" s="693">
        <v>0.1</v>
      </c>
      <c r="BU8" s="694">
        <v>0</v>
      </c>
      <c r="BV8" s="693">
        <f t="shared" si="10"/>
        <v>6.6666666666666666E-2</v>
      </c>
      <c r="BW8" s="694">
        <v>0</v>
      </c>
      <c r="BX8" s="693">
        <v>0.1</v>
      </c>
      <c r="BY8" s="694">
        <v>0</v>
      </c>
      <c r="BZ8" s="693">
        <f t="shared" si="11"/>
        <v>0.05</v>
      </c>
      <c r="CA8" s="694">
        <v>0</v>
      </c>
      <c r="CB8" s="693">
        <f t="shared" si="12"/>
        <v>6.6666666666666666E-2</v>
      </c>
      <c r="CC8" s="692">
        <v>0</v>
      </c>
      <c r="CD8" s="695">
        <v>0</v>
      </c>
      <c r="CE8" s="692">
        <v>0</v>
      </c>
      <c r="CF8" s="695">
        <v>0</v>
      </c>
      <c r="CG8" s="692">
        <v>0</v>
      </c>
      <c r="CH8" s="695">
        <v>0</v>
      </c>
      <c r="CI8" s="692">
        <v>0</v>
      </c>
      <c r="CJ8" s="695">
        <v>0</v>
      </c>
      <c r="CK8" s="692">
        <v>0</v>
      </c>
      <c r="CL8" s="695">
        <v>0.1</v>
      </c>
      <c r="CM8" s="692">
        <v>1</v>
      </c>
      <c r="CN8" s="695">
        <f t="shared" si="13"/>
        <v>0.14285714285714285</v>
      </c>
      <c r="CO8" s="692">
        <v>0</v>
      </c>
      <c r="CP8" s="695">
        <v>0</v>
      </c>
      <c r="CQ8" s="692">
        <v>0</v>
      </c>
      <c r="CR8" s="693">
        <v>0</v>
      </c>
      <c r="CS8" s="692">
        <v>0</v>
      </c>
      <c r="CT8" s="693">
        <f t="shared" si="14"/>
        <v>0.125</v>
      </c>
      <c r="CU8" s="694">
        <v>0</v>
      </c>
      <c r="CV8" s="693">
        <v>0.1</v>
      </c>
    </row>
    <row r="9" spans="1:100">
      <c r="A9" s="460">
        <v>7</v>
      </c>
      <c r="B9" s="580">
        <v>0</v>
      </c>
      <c r="C9" s="580">
        <v>0</v>
      </c>
      <c r="D9" s="580">
        <v>0</v>
      </c>
      <c r="E9" s="580">
        <v>0</v>
      </c>
      <c r="F9" s="580">
        <f t="shared" si="0"/>
        <v>1.2500000000000001E-2</v>
      </c>
      <c r="G9" s="580">
        <v>0</v>
      </c>
      <c r="H9" s="580">
        <v>0</v>
      </c>
      <c r="I9" s="580">
        <v>0</v>
      </c>
      <c r="J9" s="580">
        <v>0</v>
      </c>
      <c r="K9" s="580">
        <v>0</v>
      </c>
      <c r="L9" s="580">
        <v>0</v>
      </c>
      <c r="M9" s="580">
        <v>0</v>
      </c>
      <c r="N9" s="580">
        <v>0</v>
      </c>
      <c r="O9" s="580">
        <v>0.08</v>
      </c>
      <c r="P9" s="580">
        <v>0</v>
      </c>
      <c r="Q9" s="580">
        <v>0</v>
      </c>
      <c r="R9" s="580">
        <v>0</v>
      </c>
      <c r="S9" s="580">
        <v>0.08</v>
      </c>
      <c r="T9" s="580">
        <v>0</v>
      </c>
      <c r="U9" s="580">
        <v>0</v>
      </c>
      <c r="V9" s="580">
        <v>0.1</v>
      </c>
      <c r="W9" s="594">
        <v>7.0000000000000007E-2</v>
      </c>
      <c r="X9" s="688">
        <v>0</v>
      </c>
      <c r="Y9" s="688">
        <v>0</v>
      </c>
      <c r="Z9" s="688">
        <v>0</v>
      </c>
      <c r="AA9" s="688">
        <v>0</v>
      </c>
      <c r="AB9" s="969">
        <v>0</v>
      </c>
      <c r="AC9" s="688">
        <v>0</v>
      </c>
      <c r="AD9" s="687">
        <f>Clothing!L751</f>
        <v>4.7742012312331328E-2</v>
      </c>
      <c r="AE9" s="977">
        <v>0</v>
      </c>
      <c r="AF9" s="978">
        <v>0</v>
      </c>
      <c r="AG9" s="979">
        <v>0</v>
      </c>
      <c r="AH9" s="688">
        <v>5.5540304000000013E-2</v>
      </c>
      <c r="AI9" s="687">
        <v>0.1</v>
      </c>
      <c r="AJ9" s="685">
        <v>5.5540304000000013E-2</v>
      </c>
      <c r="AK9" s="687">
        <v>0.1</v>
      </c>
      <c r="AL9" s="689">
        <v>0</v>
      </c>
      <c r="AM9" s="685">
        <v>0</v>
      </c>
      <c r="AN9" s="685">
        <v>0</v>
      </c>
      <c r="AO9" s="689">
        <v>0.08</v>
      </c>
      <c r="AP9" s="690">
        <v>0</v>
      </c>
      <c r="AQ9" s="687">
        <f t="shared" si="17"/>
        <v>7.1428571428571426E-3</v>
      </c>
      <c r="AR9" s="685">
        <v>0.03</v>
      </c>
      <c r="AS9" s="687">
        <f t="shared" si="1"/>
        <v>1.2500000000000001E-2</v>
      </c>
      <c r="AT9" s="691">
        <v>2.4E-2</v>
      </c>
      <c r="AU9" s="685">
        <v>5.5540304000000013E-2</v>
      </c>
      <c r="AV9" s="687">
        <v>0.1</v>
      </c>
      <c r="AW9" s="692">
        <v>0</v>
      </c>
      <c r="AX9" s="693">
        <f t="shared" si="2"/>
        <v>9.0909090909090912E-2</v>
      </c>
      <c r="AY9" s="692">
        <v>1</v>
      </c>
      <c r="AZ9" s="693">
        <f t="shared" si="3"/>
        <v>0.125</v>
      </c>
      <c r="BA9" s="692">
        <v>0</v>
      </c>
      <c r="BB9" s="693">
        <v>0</v>
      </c>
      <c r="BC9" s="694">
        <v>0</v>
      </c>
      <c r="BD9" s="695">
        <v>0</v>
      </c>
      <c r="BE9" s="692">
        <v>0</v>
      </c>
      <c r="BF9" s="693">
        <f t="shared" si="5"/>
        <v>6.25E-2</v>
      </c>
      <c r="BG9" s="694">
        <v>1</v>
      </c>
      <c r="BH9" s="693">
        <f t="shared" si="6"/>
        <v>0.125</v>
      </c>
      <c r="BI9" s="694">
        <v>0</v>
      </c>
      <c r="BJ9" s="693">
        <v>0</v>
      </c>
      <c r="BK9" s="694">
        <v>0</v>
      </c>
      <c r="BL9" s="693">
        <v>0</v>
      </c>
      <c r="BM9" s="694">
        <v>0</v>
      </c>
      <c r="BN9" s="693">
        <v>0</v>
      </c>
      <c r="BO9" s="694">
        <v>0</v>
      </c>
      <c r="BP9" s="693">
        <v>0</v>
      </c>
      <c r="BQ9" s="694">
        <v>0</v>
      </c>
      <c r="BR9" s="693">
        <f t="shared" si="9"/>
        <v>6.6666666666666666E-2</v>
      </c>
      <c r="BS9" s="694">
        <v>0</v>
      </c>
      <c r="BT9" s="693">
        <v>0.1</v>
      </c>
      <c r="BU9" s="694">
        <v>0</v>
      </c>
      <c r="BV9" s="693">
        <f t="shared" si="10"/>
        <v>6.6666666666666666E-2</v>
      </c>
      <c r="BW9" s="694">
        <v>0</v>
      </c>
      <c r="BX9" s="693">
        <v>0.1</v>
      </c>
      <c r="BY9" s="694">
        <v>0</v>
      </c>
      <c r="BZ9" s="693">
        <f t="shared" si="11"/>
        <v>0.05</v>
      </c>
      <c r="CA9" s="694">
        <v>0</v>
      </c>
      <c r="CB9" s="693">
        <f t="shared" si="12"/>
        <v>6.6666666666666666E-2</v>
      </c>
      <c r="CC9" s="692">
        <v>0</v>
      </c>
      <c r="CD9" s="695">
        <v>0</v>
      </c>
      <c r="CE9" s="692">
        <v>0</v>
      </c>
      <c r="CF9" s="695">
        <v>0</v>
      </c>
      <c r="CG9" s="692">
        <v>0</v>
      </c>
      <c r="CH9" s="695">
        <v>0</v>
      </c>
      <c r="CI9" s="692">
        <v>0</v>
      </c>
      <c r="CJ9" s="695">
        <v>0</v>
      </c>
      <c r="CK9" s="692">
        <v>0</v>
      </c>
      <c r="CL9" s="695">
        <v>0.1</v>
      </c>
      <c r="CM9" s="692">
        <v>0</v>
      </c>
      <c r="CN9" s="695">
        <v>0</v>
      </c>
      <c r="CO9" s="692">
        <v>0</v>
      </c>
      <c r="CP9" s="695">
        <v>0</v>
      </c>
      <c r="CQ9" s="692">
        <v>0</v>
      </c>
      <c r="CR9" s="693">
        <v>0</v>
      </c>
      <c r="CS9" s="692">
        <v>1</v>
      </c>
      <c r="CT9" s="693">
        <f t="shared" si="14"/>
        <v>0.125</v>
      </c>
      <c r="CU9" s="694">
        <v>0</v>
      </c>
      <c r="CV9" s="693">
        <v>0.1</v>
      </c>
    </row>
    <row r="10" spans="1:100">
      <c r="A10" s="460">
        <v>8</v>
      </c>
      <c r="B10" s="580">
        <v>0</v>
      </c>
      <c r="C10" s="580">
        <v>0</v>
      </c>
      <c r="D10" s="580">
        <v>0</v>
      </c>
      <c r="E10" s="580">
        <v>0</v>
      </c>
      <c r="F10" s="580">
        <f t="shared" si="0"/>
        <v>1.2500000000000001E-2</v>
      </c>
      <c r="G10" s="580">
        <v>0</v>
      </c>
      <c r="H10" s="580">
        <v>0</v>
      </c>
      <c r="I10" s="580">
        <v>0</v>
      </c>
      <c r="J10" s="580">
        <v>0</v>
      </c>
      <c r="K10" s="580">
        <v>0</v>
      </c>
      <c r="L10" s="580">
        <v>0</v>
      </c>
      <c r="M10" s="580">
        <v>0</v>
      </c>
      <c r="N10" s="580">
        <v>0</v>
      </c>
      <c r="O10" s="580">
        <v>0.02</v>
      </c>
      <c r="P10" s="580">
        <v>0</v>
      </c>
      <c r="Q10" s="580">
        <v>0</v>
      </c>
      <c r="R10" s="580">
        <v>0</v>
      </c>
      <c r="S10" s="580">
        <v>0.02</v>
      </c>
      <c r="T10" s="580">
        <v>0</v>
      </c>
      <c r="U10" s="580">
        <v>0</v>
      </c>
      <c r="V10" s="580">
        <v>0.15</v>
      </c>
      <c r="W10" s="594">
        <v>0.06</v>
      </c>
      <c r="X10" s="688">
        <v>0</v>
      </c>
      <c r="Y10" s="688">
        <v>0</v>
      </c>
      <c r="Z10" s="688">
        <v>0</v>
      </c>
      <c r="AA10" s="688">
        <v>0</v>
      </c>
      <c r="AB10" s="688">
        <v>0</v>
      </c>
      <c r="AC10" s="688">
        <v>0</v>
      </c>
      <c r="AD10" s="688">
        <v>0</v>
      </c>
      <c r="AE10" s="977">
        <v>0</v>
      </c>
      <c r="AF10" s="978">
        <v>0</v>
      </c>
      <c r="AG10" s="979">
        <v>0</v>
      </c>
      <c r="AH10" s="688">
        <v>5.5540304000000013E-2</v>
      </c>
      <c r="AI10" s="687">
        <v>0.1</v>
      </c>
      <c r="AJ10" s="685">
        <v>5.5540304000000013E-2</v>
      </c>
      <c r="AK10" s="687">
        <v>0.1</v>
      </c>
      <c r="AL10" s="689">
        <v>0</v>
      </c>
      <c r="AM10" s="685">
        <v>0</v>
      </c>
      <c r="AN10" s="685">
        <v>0</v>
      </c>
      <c r="AO10" s="689">
        <v>0.08</v>
      </c>
      <c r="AP10" s="690">
        <v>0</v>
      </c>
      <c r="AQ10" s="687">
        <f t="shared" si="17"/>
        <v>7.1428571428571426E-3</v>
      </c>
      <c r="AR10" s="685">
        <v>0.03</v>
      </c>
      <c r="AS10" s="687">
        <f t="shared" si="1"/>
        <v>1.2500000000000001E-2</v>
      </c>
      <c r="AT10" s="691">
        <v>2.4E-2</v>
      </c>
      <c r="AU10" s="685">
        <v>5.5540304000000013E-2</v>
      </c>
      <c r="AV10" s="687">
        <v>0.1</v>
      </c>
      <c r="AW10" s="692">
        <v>0</v>
      </c>
      <c r="AX10" s="693">
        <f t="shared" si="2"/>
        <v>9.0909090909090912E-2</v>
      </c>
      <c r="AY10" s="692">
        <v>0</v>
      </c>
      <c r="AZ10" s="693">
        <v>0</v>
      </c>
      <c r="BA10" s="692">
        <v>0</v>
      </c>
      <c r="BB10" s="693">
        <v>0</v>
      </c>
      <c r="BC10" s="694">
        <v>0</v>
      </c>
      <c r="BD10" s="695">
        <v>0</v>
      </c>
      <c r="BE10" s="692">
        <v>0</v>
      </c>
      <c r="BF10" s="693">
        <f t="shared" si="5"/>
        <v>6.25E-2</v>
      </c>
      <c r="BG10" s="694">
        <v>0</v>
      </c>
      <c r="BH10" s="693">
        <v>0</v>
      </c>
      <c r="BI10" s="694">
        <v>0</v>
      </c>
      <c r="BJ10" s="693">
        <v>0</v>
      </c>
      <c r="BK10" s="694">
        <v>0</v>
      </c>
      <c r="BL10" s="693">
        <v>0</v>
      </c>
      <c r="BM10" s="694">
        <v>0</v>
      </c>
      <c r="BN10" s="693">
        <v>0</v>
      </c>
      <c r="BO10" s="694">
        <v>0</v>
      </c>
      <c r="BP10" s="693">
        <v>0</v>
      </c>
      <c r="BQ10" s="694">
        <v>0</v>
      </c>
      <c r="BR10" s="693">
        <f t="shared" si="9"/>
        <v>6.6666666666666666E-2</v>
      </c>
      <c r="BS10" s="694">
        <v>0</v>
      </c>
      <c r="BT10" s="693">
        <v>0.1</v>
      </c>
      <c r="BU10" s="694">
        <v>0</v>
      </c>
      <c r="BV10" s="693">
        <f t="shared" si="10"/>
        <v>6.6666666666666666E-2</v>
      </c>
      <c r="BW10" s="694">
        <v>0</v>
      </c>
      <c r="BX10" s="693">
        <v>0.1</v>
      </c>
      <c r="BY10" s="694">
        <v>0</v>
      </c>
      <c r="BZ10" s="693">
        <f t="shared" si="11"/>
        <v>0.05</v>
      </c>
      <c r="CA10" s="694">
        <v>0</v>
      </c>
      <c r="CB10" s="693">
        <f t="shared" si="12"/>
        <v>6.6666666666666666E-2</v>
      </c>
      <c r="CC10" s="692">
        <v>0</v>
      </c>
      <c r="CD10" s="695">
        <v>0</v>
      </c>
      <c r="CE10" s="692">
        <v>0</v>
      </c>
      <c r="CF10" s="695">
        <v>0</v>
      </c>
      <c r="CG10" s="692">
        <v>0</v>
      </c>
      <c r="CH10" s="695">
        <v>0</v>
      </c>
      <c r="CI10" s="692">
        <v>0</v>
      </c>
      <c r="CJ10" s="695">
        <v>0</v>
      </c>
      <c r="CK10" s="692">
        <v>0</v>
      </c>
      <c r="CL10" s="695">
        <v>0.1</v>
      </c>
      <c r="CM10" s="692">
        <v>0</v>
      </c>
      <c r="CN10" s="695">
        <v>0</v>
      </c>
      <c r="CO10" s="692">
        <v>0</v>
      </c>
      <c r="CP10" s="695">
        <v>0</v>
      </c>
      <c r="CQ10" s="692">
        <v>0</v>
      </c>
      <c r="CR10" s="693">
        <v>0</v>
      </c>
      <c r="CS10" s="692">
        <v>0</v>
      </c>
      <c r="CT10" s="693">
        <v>0</v>
      </c>
      <c r="CU10" s="694">
        <v>0</v>
      </c>
      <c r="CV10" s="693">
        <v>0.1</v>
      </c>
    </row>
    <row r="11" spans="1:100">
      <c r="A11" s="460">
        <v>9</v>
      </c>
      <c r="B11" s="580">
        <v>0</v>
      </c>
      <c r="C11" s="580">
        <v>0</v>
      </c>
      <c r="D11" s="580">
        <v>0</v>
      </c>
      <c r="E11" s="580">
        <v>0</v>
      </c>
      <c r="F11" s="580">
        <f t="shared" si="0"/>
        <v>1.2500000000000001E-2</v>
      </c>
      <c r="G11" s="580">
        <v>0</v>
      </c>
      <c r="H11" s="580">
        <v>0</v>
      </c>
      <c r="I11" s="580">
        <v>0</v>
      </c>
      <c r="J11" s="580">
        <v>0</v>
      </c>
      <c r="K11" s="580">
        <v>0</v>
      </c>
      <c r="L11" s="580">
        <v>0</v>
      </c>
      <c r="M11" s="580">
        <v>0</v>
      </c>
      <c r="N11" s="580">
        <v>0</v>
      </c>
      <c r="O11" s="580">
        <v>0</v>
      </c>
      <c r="P11" s="580">
        <v>0</v>
      </c>
      <c r="Q11" s="580">
        <v>0</v>
      </c>
      <c r="R11" s="580">
        <v>0</v>
      </c>
      <c r="S11" s="580">
        <v>0</v>
      </c>
      <c r="T11" s="580">
        <v>0</v>
      </c>
      <c r="U11" s="580">
        <v>0</v>
      </c>
      <c r="V11" s="580">
        <v>0.4</v>
      </c>
      <c r="W11" s="594">
        <v>0.05</v>
      </c>
      <c r="X11" s="688">
        <v>0</v>
      </c>
      <c r="Y11" s="688">
        <v>0</v>
      </c>
      <c r="Z11" s="688">
        <v>0</v>
      </c>
      <c r="AA11" s="688">
        <v>0</v>
      </c>
      <c r="AB11" s="688">
        <v>0</v>
      </c>
      <c r="AC11" s="688">
        <v>0</v>
      </c>
      <c r="AD11" s="688">
        <v>0</v>
      </c>
      <c r="AE11" s="977">
        <v>0</v>
      </c>
      <c r="AF11" s="978">
        <v>0</v>
      </c>
      <c r="AG11" s="979">
        <v>0</v>
      </c>
      <c r="AH11" s="688">
        <v>5.3176234000000155E-2</v>
      </c>
      <c r="AI11" s="687">
        <v>0.1</v>
      </c>
      <c r="AJ11" s="685">
        <v>5.3176234000000155E-2</v>
      </c>
      <c r="AK11" s="687">
        <v>0.1</v>
      </c>
      <c r="AL11" s="689">
        <v>0</v>
      </c>
      <c r="AM11" s="685">
        <v>0</v>
      </c>
      <c r="AN11" s="685">
        <v>0</v>
      </c>
      <c r="AO11" s="689">
        <v>0.08</v>
      </c>
      <c r="AP11" s="690">
        <v>0</v>
      </c>
      <c r="AQ11" s="687">
        <f t="shared" si="17"/>
        <v>7.1428571428571426E-3</v>
      </c>
      <c r="AR11" s="685">
        <v>0.03</v>
      </c>
      <c r="AS11" s="687">
        <f t="shared" si="1"/>
        <v>1.2500000000000001E-2</v>
      </c>
      <c r="AT11" s="691">
        <v>2.4E-2</v>
      </c>
      <c r="AU11" s="685">
        <v>5.3176234000000155E-2</v>
      </c>
      <c r="AV11" s="687">
        <v>0.1</v>
      </c>
      <c r="AW11" s="692">
        <v>0</v>
      </c>
      <c r="AX11" s="693">
        <f t="shared" si="2"/>
        <v>9.0909090909090912E-2</v>
      </c>
      <c r="AY11" s="692">
        <v>0</v>
      </c>
      <c r="AZ11" s="693">
        <v>0</v>
      </c>
      <c r="BA11" s="692">
        <v>0</v>
      </c>
      <c r="BB11" s="693">
        <v>0</v>
      </c>
      <c r="BC11" s="694">
        <v>0</v>
      </c>
      <c r="BD11" s="695">
        <v>0</v>
      </c>
      <c r="BE11" s="692">
        <v>0</v>
      </c>
      <c r="BF11" s="693">
        <f t="shared" si="5"/>
        <v>6.25E-2</v>
      </c>
      <c r="BG11" s="694">
        <v>0</v>
      </c>
      <c r="BH11" s="693">
        <v>0</v>
      </c>
      <c r="BI11" s="694">
        <v>0</v>
      </c>
      <c r="BJ11" s="693">
        <v>0</v>
      </c>
      <c r="BK11" s="694">
        <v>0</v>
      </c>
      <c r="BL11" s="693">
        <v>0</v>
      </c>
      <c r="BM11" s="694">
        <v>0</v>
      </c>
      <c r="BN11" s="693">
        <v>0</v>
      </c>
      <c r="BO11" s="694">
        <v>0</v>
      </c>
      <c r="BP11" s="693">
        <v>0</v>
      </c>
      <c r="BQ11" s="694">
        <v>0</v>
      </c>
      <c r="BR11" s="693">
        <f t="shared" si="9"/>
        <v>6.6666666666666666E-2</v>
      </c>
      <c r="BS11" s="694">
        <v>1</v>
      </c>
      <c r="BT11" s="693">
        <v>0.1</v>
      </c>
      <c r="BU11" s="694">
        <v>0</v>
      </c>
      <c r="BV11" s="693">
        <f t="shared" si="10"/>
        <v>6.6666666666666666E-2</v>
      </c>
      <c r="BW11" s="694">
        <v>1</v>
      </c>
      <c r="BX11" s="693">
        <v>0.1</v>
      </c>
      <c r="BY11" s="694">
        <v>0</v>
      </c>
      <c r="BZ11" s="693">
        <f t="shared" si="11"/>
        <v>0.05</v>
      </c>
      <c r="CA11" s="694">
        <v>0</v>
      </c>
      <c r="CB11" s="693">
        <f t="shared" si="12"/>
        <v>6.6666666666666666E-2</v>
      </c>
      <c r="CC11" s="692">
        <v>0</v>
      </c>
      <c r="CD11" s="695">
        <v>0</v>
      </c>
      <c r="CE11" s="692">
        <v>0</v>
      </c>
      <c r="CF11" s="695">
        <v>0</v>
      </c>
      <c r="CG11" s="692">
        <v>0</v>
      </c>
      <c r="CH11" s="695">
        <v>0</v>
      </c>
      <c r="CI11" s="692">
        <v>0</v>
      </c>
      <c r="CJ11" s="695">
        <v>0</v>
      </c>
      <c r="CK11" s="692">
        <v>1</v>
      </c>
      <c r="CL11" s="695">
        <v>0.1</v>
      </c>
      <c r="CM11" s="692">
        <v>0</v>
      </c>
      <c r="CN11" s="695">
        <v>0</v>
      </c>
      <c r="CO11" s="692">
        <v>0</v>
      </c>
      <c r="CP11" s="695">
        <v>0</v>
      </c>
      <c r="CQ11" s="692">
        <v>0</v>
      </c>
      <c r="CR11" s="693">
        <v>0</v>
      </c>
      <c r="CS11" s="692">
        <v>0</v>
      </c>
      <c r="CT11" s="693">
        <v>0</v>
      </c>
      <c r="CU11" s="694">
        <v>1</v>
      </c>
      <c r="CV11" s="693">
        <v>0.1</v>
      </c>
    </row>
    <row r="12" spans="1:100">
      <c r="A12" s="460">
        <v>10</v>
      </c>
      <c r="B12" s="580">
        <v>0</v>
      </c>
      <c r="C12" s="580">
        <v>0</v>
      </c>
      <c r="D12" s="580">
        <v>0</v>
      </c>
      <c r="E12" s="580">
        <v>0</v>
      </c>
      <c r="F12" s="580">
        <f t="shared" si="0"/>
        <v>1.2500000000000001E-2</v>
      </c>
      <c r="G12" s="580">
        <v>0</v>
      </c>
      <c r="H12" s="580">
        <v>0</v>
      </c>
      <c r="I12" s="580">
        <v>0</v>
      </c>
      <c r="J12" s="580">
        <v>0</v>
      </c>
      <c r="K12" s="580">
        <v>0</v>
      </c>
      <c r="L12" s="580">
        <v>0</v>
      </c>
      <c r="M12" s="580">
        <v>0</v>
      </c>
      <c r="N12" s="580">
        <v>0</v>
      </c>
      <c r="O12" s="580">
        <v>0</v>
      </c>
      <c r="P12" s="580">
        <v>0</v>
      </c>
      <c r="Q12" s="580">
        <v>0</v>
      </c>
      <c r="R12" s="580">
        <v>0</v>
      </c>
      <c r="S12" s="580">
        <v>0</v>
      </c>
      <c r="T12" s="580">
        <v>0</v>
      </c>
      <c r="U12" s="580">
        <v>0</v>
      </c>
      <c r="V12" s="580">
        <v>0.15</v>
      </c>
      <c r="W12" s="594">
        <v>0.05</v>
      </c>
      <c r="X12" s="688">
        <v>0</v>
      </c>
      <c r="Y12" s="688">
        <v>0</v>
      </c>
      <c r="Z12" s="688">
        <v>0</v>
      </c>
      <c r="AA12" s="688">
        <v>0</v>
      </c>
      <c r="AB12" s="688">
        <v>0</v>
      </c>
      <c r="AC12" s="688">
        <v>0</v>
      </c>
      <c r="AD12" s="688">
        <v>0</v>
      </c>
      <c r="AE12" s="977">
        <v>0</v>
      </c>
      <c r="AF12" s="978">
        <v>0</v>
      </c>
      <c r="AG12" s="979">
        <v>0</v>
      </c>
      <c r="AH12" s="688">
        <v>0</v>
      </c>
      <c r="AI12" s="687">
        <v>0</v>
      </c>
      <c r="AJ12" s="685">
        <v>0</v>
      </c>
      <c r="AK12" s="687">
        <v>0</v>
      </c>
      <c r="AL12" s="689">
        <v>0</v>
      </c>
      <c r="AM12" s="685">
        <v>0</v>
      </c>
      <c r="AN12" s="685">
        <v>0</v>
      </c>
      <c r="AO12" s="689">
        <v>0.08</v>
      </c>
      <c r="AP12" s="690">
        <v>0.01</v>
      </c>
      <c r="AQ12" s="687">
        <f t="shared" si="17"/>
        <v>7.1428571428571426E-3</v>
      </c>
      <c r="AR12" s="685">
        <v>2.8000000000000001E-2</v>
      </c>
      <c r="AS12" s="687">
        <f t="shared" si="1"/>
        <v>1.2500000000000001E-2</v>
      </c>
      <c r="AT12" s="691">
        <v>1.6E-2</v>
      </c>
      <c r="AU12" s="685">
        <v>0</v>
      </c>
      <c r="AV12" s="687">
        <v>0</v>
      </c>
      <c r="AW12" s="692">
        <v>1</v>
      </c>
      <c r="AX12" s="693">
        <f t="shared" si="2"/>
        <v>9.0909090909090912E-2</v>
      </c>
      <c r="AY12" s="692">
        <v>0</v>
      </c>
      <c r="AZ12" s="693">
        <v>0</v>
      </c>
      <c r="BA12" s="692">
        <v>0</v>
      </c>
      <c r="BB12" s="693">
        <v>0</v>
      </c>
      <c r="BC12" s="694">
        <v>0</v>
      </c>
      <c r="BD12" s="695">
        <v>0</v>
      </c>
      <c r="BE12" s="692">
        <v>0</v>
      </c>
      <c r="BF12" s="693">
        <f t="shared" si="5"/>
        <v>6.25E-2</v>
      </c>
      <c r="BG12" s="694">
        <v>0</v>
      </c>
      <c r="BH12" s="693">
        <v>0</v>
      </c>
      <c r="BI12" s="694">
        <v>0</v>
      </c>
      <c r="BJ12" s="693">
        <v>0</v>
      </c>
      <c r="BK12" s="694">
        <v>0</v>
      </c>
      <c r="BL12" s="693">
        <v>0</v>
      </c>
      <c r="BM12" s="694">
        <v>0</v>
      </c>
      <c r="BN12" s="693">
        <v>0</v>
      </c>
      <c r="BO12" s="694">
        <v>0</v>
      </c>
      <c r="BP12" s="693">
        <v>0</v>
      </c>
      <c r="BQ12" s="694">
        <v>0</v>
      </c>
      <c r="BR12" s="693">
        <f t="shared" si="9"/>
        <v>6.6666666666666666E-2</v>
      </c>
      <c r="BS12" s="694">
        <v>0</v>
      </c>
      <c r="BT12" s="693">
        <v>0</v>
      </c>
      <c r="BU12" s="694">
        <v>0</v>
      </c>
      <c r="BV12" s="693">
        <f t="shared" si="10"/>
        <v>6.6666666666666666E-2</v>
      </c>
      <c r="BW12" s="694">
        <v>0</v>
      </c>
      <c r="BX12" s="693">
        <v>0</v>
      </c>
      <c r="BY12" s="694">
        <v>0</v>
      </c>
      <c r="BZ12" s="693">
        <f t="shared" si="11"/>
        <v>0.05</v>
      </c>
      <c r="CA12" s="694">
        <v>0</v>
      </c>
      <c r="CB12" s="693">
        <f t="shared" si="12"/>
        <v>6.6666666666666666E-2</v>
      </c>
      <c r="CC12" s="692">
        <v>0</v>
      </c>
      <c r="CD12" s="695">
        <v>0</v>
      </c>
      <c r="CE12" s="692">
        <v>0</v>
      </c>
      <c r="CF12" s="695">
        <v>0</v>
      </c>
      <c r="CG12" s="692">
        <v>0</v>
      </c>
      <c r="CH12" s="695">
        <v>0</v>
      </c>
      <c r="CI12" s="692">
        <v>0</v>
      </c>
      <c r="CJ12" s="695">
        <v>0</v>
      </c>
      <c r="CK12" s="692">
        <v>0</v>
      </c>
      <c r="CL12" s="695">
        <v>0</v>
      </c>
      <c r="CM12" s="692">
        <v>0</v>
      </c>
      <c r="CN12" s="695">
        <v>0</v>
      </c>
      <c r="CO12" s="692">
        <v>0</v>
      </c>
      <c r="CP12" s="695">
        <v>0</v>
      </c>
      <c r="CQ12" s="692">
        <v>0</v>
      </c>
      <c r="CR12" s="693">
        <v>0</v>
      </c>
      <c r="CS12" s="692">
        <v>0</v>
      </c>
      <c r="CT12" s="693">
        <v>0</v>
      </c>
      <c r="CU12" s="694">
        <v>0</v>
      </c>
      <c r="CV12" s="693">
        <v>0</v>
      </c>
    </row>
    <row r="13" spans="1:100">
      <c r="A13" s="460">
        <v>11</v>
      </c>
      <c r="B13" s="580">
        <v>0</v>
      </c>
      <c r="C13" s="580">
        <v>0</v>
      </c>
      <c r="D13" s="580">
        <v>0</v>
      </c>
      <c r="E13" s="580">
        <v>0</v>
      </c>
      <c r="F13" s="580">
        <f t="shared" si="0"/>
        <v>1.2500000000000001E-2</v>
      </c>
      <c r="G13" s="580">
        <v>0</v>
      </c>
      <c r="H13" s="580">
        <v>0</v>
      </c>
      <c r="I13" s="580">
        <v>0</v>
      </c>
      <c r="J13" s="580">
        <v>0</v>
      </c>
      <c r="K13" s="580">
        <v>0</v>
      </c>
      <c r="L13" s="580">
        <v>0</v>
      </c>
      <c r="M13" s="580">
        <v>0</v>
      </c>
      <c r="N13" s="580">
        <v>0</v>
      </c>
      <c r="O13" s="580">
        <v>0</v>
      </c>
      <c r="P13" s="580">
        <v>0</v>
      </c>
      <c r="Q13" s="580">
        <v>0</v>
      </c>
      <c r="R13" s="580">
        <v>0</v>
      </c>
      <c r="S13" s="580">
        <v>0</v>
      </c>
      <c r="T13" s="580">
        <v>0</v>
      </c>
      <c r="U13" s="580">
        <v>0</v>
      </c>
      <c r="V13" s="580">
        <v>0.05</v>
      </c>
      <c r="W13" s="594">
        <v>0.05</v>
      </c>
      <c r="X13" s="688">
        <v>0</v>
      </c>
      <c r="Y13" s="688">
        <v>0</v>
      </c>
      <c r="Z13" s="688">
        <v>0</v>
      </c>
      <c r="AA13" s="688">
        <v>0</v>
      </c>
      <c r="AB13" s="688">
        <v>0</v>
      </c>
      <c r="AC13" s="688">
        <v>0</v>
      </c>
      <c r="AD13" s="688">
        <v>0</v>
      </c>
      <c r="AE13" s="977">
        <v>0</v>
      </c>
      <c r="AF13" s="978">
        <v>0</v>
      </c>
      <c r="AG13" s="979">
        <v>0</v>
      </c>
      <c r="AH13" s="688">
        <v>0</v>
      </c>
      <c r="AI13" s="687">
        <v>0</v>
      </c>
      <c r="AJ13" s="685">
        <v>0</v>
      </c>
      <c r="AK13" s="687">
        <v>0</v>
      </c>
      <c r="AL13" s="689">
        <v>0</v>
      </c>
      <c r="AM13" s="685">
        <v>0</v>
      </c>
      <c r="AN13" s="685">
        <v>0</v>
      </c>
      <c r="AO13" s="689">
        <v>0.08</v>
      </c>
      <c r="AP13" s="690">
        <v>0.01</v>
      </c>
      <c r="AQ13" s="687">
        <f t="shared" si="17"/>
        <v>7.1428571428571426E-3</v>
      </c>
      <c r="AR13" s="685">
        <v>2.8000000000000001E-2</v>
      </c>
      <c r="AS13" s="687">
        <f t="shared" si="1"/>
        <v>1.2500000000000001E-2</v>
      </c>
      <c r="AT13" s="691">
        <v>1.6E-2</v>
      </c>
      <c r="AU13" s="685">
        <v>0</v>
      </c>
      <c r="AV13" s="687">
        <v>0</v>
      </c>
      <c r="AW13" s="692">
        <v>0</v>
      </c>
      <c r="AX13" s="693">
        <v>0</v>
      </c>
      <c r="AY13" s="692">
        <v>0</v>
      </c>
      <c r="AZ13" s="693">
        <v>0</v>
      </c>
      <c r="BA13" s="692">
        <v>0</v>
      </c>
      <c r="BB13" s="693">
        <v>0</v>
      </c>
      <c r="BC13" s="694">
        <v>0</v>
      </c>
      <c r="BD13" s="695">
        <v>0</v>
      </c>
      <c r="BE13" s="692">
        <v>0</v>
      </c>
      <c r="BF13" s="693">
        <f t="shared" si="5"/>
        <v>6.25E-2</v>
      </c>
      <c r="BG13" s="694">
        <v>0</v>
      </c>
      <c r="BH13" s="693">
        <v>0</v>
      </c>
      <c r="BI13" s="694">
        <v>0</v>
      </c>
      <c r="BJ13" s="693">
        <v>0</v>
      </c>
      <c r="BK13" s="694">
        <v>0</v>
      </c>
      <c r="BL13" s="693">
        <v>0</v>
      </c>
      <c r="BM13" s="694">
        <v>0</v>
      </c>
      <c r="BN13" s="693">
        <v>0</v>
      </c>
      <c r="BO13" s="694">
        <v>0</v>
      </c>
      <c r="BP13" s="693">
        <v>0</v>
      </c>
      <c r="BQ13" s="694">
        <v>0</v>
      </c>
      <c r="BR13" s="693">
        <f t="shared" si="9"/>
        <v>6.6666666666666666E-2</v>
      </c>
      <c r="BS13" s="694">
        <v>0</v>
      </c>
      <c r="BT13" s="693">
        <v>0</v>
      </c>
      <c r="BU13" s="694">
        <v>0</v>
      </c>
      <c r="BV13" s="693">
        <f t="shared" si="10"/>
        <v>6.6666666666666666E-2</v>
      </c>
      <c r="BW13" s="694">
        <v>0</v>
      </c>
      <c r="BX13" s="693">
        <v>0</v>
      </c>
      <c r="BY13" s="694">
        <v>0</v>
      </c>
      <c r="BZ13" s="693">
        <f t="shared" si="11"/>
        <v>0.05</v>
      </c>
      <c r="CA13" s="694">
        <v>0</v>
      </c>
      <c r="CB13" s="693">
        <f t="shared" si="12"/>
        <v>6.6666666666666666E-2</v>
      </c>
      <c r="CC13" s="692">
        <v>0</v>
      </c>
      <c r="CD13" s="695">
        <v>0</v>
      </c>
      <c r="CE13" s="692">
        <v>0</v>
      </c>
      <c r="CF13" s="695">
        <v>0</v>
      </c>
      <c r="CG13" s="692">
        <v>0</v>
      </c>
      <c r="CH13" s="695">
        <v>0</v>
      </c>
      <c r="CI13" s="692">
        <v>0</v>
      </c>
      <c r="CJ13" s="695">
        <v>0</v>
      </c>
      <c r="CK13" s="692">
        <v>0</v>
      </c>
      <c r="CL13" s="695">
        <v>0</v>
      </c>
      <c r="CM13" s="692">
        <v>0</v>
      </c>
      <c r="CN13" s="695">
        <v>0</v>
      </c>
      <c r="CO13" s="692">
        <v>0</v>
      </c>
      <c r="CP13" s="695">
        <v>0</v>
      </c>
      <c r="CQ13" s="692">
        <v>0</v>
      </c>
      <c r="CR13" s="693">
        <v>0</v>
      </c>
      <c r="CS13" s="692">
        <v>0</v>
      </c>
      <c r="CT13" s="693">
        <v>0</v>
      </c>
      <c r="CU13" s="694">
        <v>0</v>
      </c>
      <c r="CV13" s="693">
        <v>0</v>
      </c>
    </row>
    <row r="14" spans="1:100">
      <c r="A14" s="460">
        <v>12</v>
      </c>
      <c r="B14" s="580">
        <v>0</v>
      </c>
      <c r="C14" s="580">
        <v>0</v>
      </c>
      <c r="D14" s="580">
        <v>0</v>
      </c>
      <c r="E14" s="580">
        <v>0</v>
      </c>
      <c r="F14" s="580">
        <f t="shared" si="0"/>
        <v>1.2500000000000001E-2</v>
      </c>
      <c r="G14" s="580">
        <v>0</v>
      </c>
      <c r="H14" s="580">
        <v>0</v>
      </c>
      <c r="I14" s="580">
        <v>0</v>
      </c>
      <c r="J14" s="580">
        <v>0</v>
      </c>
      <c r="K14" s="580">
        <v>0</v>
      </c>
      <c r="L14" s="580">
        <v>0</v>
      </c>
      <c r="M14" s="580">
        <v>0</v>
      </c>
      <c r="N14" s="580">
        <v>0</v>
      </c>
      <c r="O14" s="580">
        <v>0</v>
      </c>
      <c r="P14" s="580">
        <v>0</v>
      </c>
      <c r="Q14" s="580">
        <v>0</v>
      </c>
      <c r="R14" s="580">
        <v>0</v>
      </c>
      <c r="S14" s="580">
        <v>0</v>
      </c>
      <c r="T14" s="580">
        <v>0</v>
      </c>
      <c r="U14" s="580">
        <v>0</v>
      </c>
      <c r="V14" s="580">
        <v>0</v>
      </c>
      <c r="W14" s="594">
        <v>0</v>
      </c>
      <c r="X14" s="688">
        <v>0</v>
      </c>
      <c r="Y14" s="688">
        <v>0</v>
      </c>
      <c r="Z14" s="688">
        <v>0</v>
      </c>
      <c r="AA14" s="688">
        <v>0</v>
      </c>
      <c r="AB14" s="688">
        <v>0</v>
      </c>
      <c r="AC14" s="688">
        <v>0</v>
      </c>
      <c r="AD14" s="688">
        <v>0</v>
      </c>
      <c r="AE14" s="977">
        <v>0</v>
      </c>
      <c r="AF14" s="978">
        <v>0</v>
      </c>
      <c r="AG14" s="979">
        <v>0</v>
      </c>
      <c r="AH14" s="688">
        <v>0</v>
      </c>
      <c r="AI14" s="687">
        <v>0</v>
      </c>
      <c r="AJ14" s="685">
        <v>0</v>
      </c>
      <c r="AK14" s="687">
        <v>0</v>
      </c>
      <c r="AL14" s="689">
        <v>0</v>
      </c>
      <c r="AM14" s="685">
        <v>0</v>
      </c>
      <c r="AN14" s="685">
        <v>0</v>
      </c>
      <c r="AO14" s="689">
        <v>0.08</v>
      </c>
      <c r="AP14" s="690">
        <v>0.01</v>
      </c>
      <c r="AQ14" s="687">
        <f t="shared" si="17"/>
        <v>7.1428571428571426E-3</v>
      </c>
      <c r="AR14" s="685">
        <v>2.8000000000000001E-2</v>
      </c>
      <c r="AS14" s="687">
        <f t="shared" si="1"/>
        <v>1.2500000000000001E-2</v>
      </c>
      <c r="AT14" s="691">
        <v>1.6E-2</v>
      </c>
      <c r="AU14" s="685">
        <v>0</v>
      </c>
      <c r="AV14" s="687">
        <v>0</v>
      </c>
      <c r="AW14" s="692">
        <v>0</v>
      </c>
      <c r="AX14" s="693">
        <v>0</v>
      </c>
      <c r="AY14" s="692">
        <v>0</v>
      </c>
      <c r="AZ14" s="693">
        <v>0</v>
      </c>
      <c r="BA14" s="692">
        <v>0</v>
      </c>
      <c r="BB14" s="693">
        <v>0</v>
      </c>
      <c r="BC14" s="694">
        <v>0</v>
      </c>
      <c r="BD14" s="695">
        <v>0</v>
      </c>
      <c r="BE14" s="692">
        <v>0</v>
      </c>
      <c r="BF14" s="693">
        <f t="shared" si="5"/>
        <v>6.25E-2</v>
      </c>
      <c r="BG14" s="694">
        <v>0</v>
      </c>
      <c r="BH14" s="693">
        <v>0</v>
      </c>
      <c r="BI14" s="694">
        <v>0</v>
      </c>
      <c r="BJ14" s="693">
        <v>0</v>
      </c>
      <c r="BK14" s="694">
        <v>0</v>
      </c>
      <c r="BL14" s="693">
        <v>0</v>
      </c>
      <c r="BM14" s="694">
        <v>0</v>
      </c>
      <c r="BN14" s="693">
        <v>0</v>
      </c>
      <c r="BO14" s="694">
        <v>0</v>
      </c>
      <c r="BP14" s="693">
        <v>0</v>
      </c>
      <c r="BQ14" s="694">
        <v>0</v>
      </c>
      <c r="BR14" s="693">
        <f t="shared" si="9"/>
        <v>6.6666666666666666E-2</v>
      </c>
      <c r="BS14" s="694">
        <v>0</v>
      </c>
      <c r="BT14" s="693">
        <v>0</v>
      </c>
      <c r="BU14" s="694">
        <v>0</v>
      </c>
      <c r="BV14" s="693">
        <f t="shared" si="10"/>
        <v>6.6666666666666666E-2</v>
      </c>
      <c r="BW14" s="694">
        <v>0</v>
      </c>
      <c r="BX14" s="693">
        <v>0</v>
      </c>
      <c r="BY14" s="694">
        <v>0</v>
      </c>
      <c r="BZ14" s="693">
        <f t="shared" si="11"/>
        <v>0.05</v>
      </c>
      <c r="CA14" s="694">
        <v>0</v>
      </c>
      <c r="CB14" s="693">
        <f t="shared" si="12"/>
        <v>6.6666666666666666E-2</v>
      </c>
      <c r="CC14" s="692">
        <v>0</v>
      </c>
      <c r="CD14" s="695">
        <v>0</v>
      </c>
      <c r="CE14" s="692">
        <v>0</v>
      </c>
      <c r="CF14" s="695">
        <v>0</v>
      </c>
      <c r="CG14" s="692">
        <v>0</v>
      </c>
      <c r="CH14" s="695">
        <v>0</v>
      </c>
      <c r="CI14" s="692">
        <v>0</v>
      </c>
      <c r="CJ14" s="695">
        <v>0</v>
      </c>
      <c r="CK14" s="692">
        <v>0</v>
      </c>
      <c r="CL14" s="695">
        <v>0</v>
      </c>
      <c r="CM14" s="692">
        <v>0</v>
      </c>
      <c r="CN14" s="695">
        <v>0</v>
      </c>
      <c r="CO14" s="692">
        <v>0</v>
      </c>
      <c r="CP14" s="695">
        <v>0</v>
      </c>
      <c r="CQ14" s="692">
        <v>0</v>
      </c>
      <c r="CR14" s="693">
        <v>0</v>
      </c>
      <c r="CS14" s="692">
        <v>0</v>
      </c>
      <c r="CT14" s="693">
        <v>0</v>
      </c>
      <c r="CU14" s="694">
        <v>0</v>
      </c>
      <c r="CV14" s="693">
        <v>0</v>
      </c>
    </row>
    <row r="15" spans="1:100">
      <c r="A15" s="460">
        <v>13</v>
      </c>
      <c r="B15" s="580">
        <v>0</v>
      </c>
      <c r="C15" s="580">
        <v>0</v>
      </c>
      <c r="D15" s="580">
        <v>0</v>
      </c>
      <c r="E15" s="580">
        <v>0</v>
      </c>
      <c r="F15" s="580">
        <f t="shared" si="0"/>
        <v>1.2500000000000001E-2</v>
      </c>
      <c r="G15" s="580">
        <v>0</v>
      </c>
      <c r="H15" s="580">
        <v>0</v>
      </c>
      <c r="I15" s="580">
        <v>0</v>
      </c>
      <c r="J15" s="580">
        <v>0</v>
      </c>
      <c r="K15" s="580">
        <v>0</v>
      </c>
      <c r="L15" s="580">
        <v>0</v>
      </c>
      <c r="M15" s="580">
        <v>0</v>
      </c>
      <c r="N15" s="580">
        <v>0</v>
      </c>
      <c r="O15" s="580">
        <v>0</v>
      </c>
      <c r="P15" s="580">
        <v>0</v>
      </c>
      <c r="Q15" s="580">
        <v>0</v>
      </c>
      <c r="R15" s="580">
        <v>0</v>
      </c>
      <c r="S15" s="580">
        <v>0</v>
      </c>
      <c r="T15" s="580">
        <v>0</v>
      </c>
      <c r="U15" s="580">
        <v>0</v>
      </c>
      <c r="V15" s="580">
        <v>0</v>
      </c>
      <c r="W15" s="594">
        <v>0</v>
      </c>
      <c r="X15" s="688">
        <v>0</v>
      </c>
      <c r="Y15" s="688">
        <v>0</v>
      </c>
      <c r="Z15" s="688">
        <v>0</v>
      </c>
      <c r="AA15" s="688">
        <v>0</v>
      </c>
      <c r="AB15" s="688">
        <v>0</v>
      </c>
      <c r="AC15" s="688">
        <v>0</v>
      </c>
      <c r="AD15" s="688">
        <v>0</v>
      </c>
      <c r="AE15" s="977">
        <v>0</v>
      </c>
      <c r="AF15" s="978">
        <v>0</v>
      </c>
      <c r="AG15" s="979">
        <v>0</v>
      </c>
      <c r="AH15" s="688">
        <v>0</v>
      </c>
      <c r="AI15" s="687">
        <v>0</v>
      </c>
      <c r="AJ15" s="685">
        <v>0</v>
      </c>
      <c r="AK15" s="687">
        <v>0</v>
      </c>
      <c r="AL15" s="689">
        <v>0</v>
      </c>
      <c r="AM15" s="685">
        <v>0</v>
      </c>
      <c r="AN15" s="685">
        <v>0</v>
      </c>
      <c r="AO15" s="689">
        <v>0.08</v>
      </c>
      <c r="AP15" s="690">
        <v>0.01</v>
      </c>
      <c r="AQ15" s="687">
        <f t="shared" si="17"/>
        <v>7.1428571428571426E-3</v>
      </c>
      <c r="AR15" s="685">
        <v>2.8000000000000001E-2</v>
      </c>
      <c r="AS15" s="687">
        <f t="shared" si="1"/>
        <v>1.2500000000000001E-2</v>
      </c>
      <c r="AT15" s="691">
        <v>1.6E-2</v>
      </c>
      <c r="AU15" s="685">
        <v>0</v>
      </c>
      <c r="AV15" s="687">
        <v>0</v>
      </c>
      <c r="AW15" s="692">
        <v>0</v>
      </c>
      <c r="AX15" s="693">
        <v>0</v>
      </c>
      <c r="AY15" s="692">
        <v>0</v>
      </c>
      <c r="AZ15" s="693">
        <v>0</v>
      </c>
      <c r="BA15" s="692">
        <v>0</v>
      </c>
      <c r="BB15" s="693">
        <v>0</v>
      </c>
      <c r="BC15" s="694">
        <v>0</v>
      </c>
      <c r="BD15" s="695">
        <v>0</v>
      </c>
      <c r="BE15" s="692">
        <v>0</v>
      </c>
      <c r="BF15" s="693">
        <f t="shared" si="5"/>
        <v>6.25E-2</v>
      </c>
      <c r="BG15" s="694">
        <v>0</v>
      </c>
      <c r="BH15" s="693">
        <v>0</v>
      </c>
      <c r="BI15" s="694">
        <v>0</v>
      </c>
      <c r="BJ15" s="693">
        <v>0</v>
      </c>
      <c r="BK15" s="694">
        <v>0</v>
      </c>
      <c r="BL15" s="693">
        <v>0</v>
      </c>
      <c r="BM15" s="694">
        <v>0</v>
      </c>
      <c r="BN15" s="693">
        <v>0</v>
      </c>
      <c r="BO15" s="694">
        <v>0</v>
      </c>
      <c r="BP15" s="693">
        <v>0</v>
      </c>
      <c r="BQ15" s="694">
        <v>0</v>
      </c>
      <c r="BR15" s="693">
        <f t="shared" si="9"/>
        <v>6.6666666666666666E-2</v>
      </c>
      <c r="BS15" s="694">
        <v>0</v>
      </c>
      <c r="BT15" s="693">
        <v>0</v>
      </c>
      <c r="BU15" s="694">
        <v>0</v>
      </c>
      <c r="BV15" s="693">
        <f t="shared" si="10"/>
        <v>6.6666666666666666E-2</v>
      </c>
      <c r="BW15" s="694">
        <v>0</v>
      </c>
      <c r="BX15" s="693">
        <v>0</v>
      </c>
      <c r="BY15" s="694">
        <v>0</v>
      </c>
      <c r="BZ15" s="693">
        <f t="shared" si="11"/>
        <v>0.05</v>
      </c>
      <c r="CA15" s="694">
        <v>0</v>
      </c>
      <c r="CB15" s="693">
        <f t="shared" si="12"/>
        <v>6.6666666666666666E-2</v>
      </c>
      <c r="CC15" s="692">
        <v>0</v>
      </c>
      <c r="CD15" s="695">
        <v>0</v>
      </c>
      <c r="CE15" s="692">
        <v>0</v>
      </c>
      <c r="CF15" s="695">
        <v>0</v>
      </c>
      <c r="CG15" s="692">
        <v>0</v>
      </c>
      <c r="CH15" s="695">
        <v>0</v>
      </c>
      <c r="CI15" s="692">
        <v>0</v>
      </c>
      <c r="CJ15" s="695">
        <v>0</v>
      </c>
      <c r="CK15" s="692">
        <v>0</v>
      </c>
      <c r="CL15" s="695">
        <v>0</v>
      </c>
      <c r="CM15" s="692">
        <v>0</v>
      </c>
      <c r="CN15" s="695">
        <v>0</v>
      </c>
      <c r="CO15" s="692">
        <v>0</v>
      </c>
      <c r="CP15" s="695">
        <v>0</v>
      </c>
      <c r="CQ15" s="692">
        <v>0</v>
      </c>
      <c r="CR15" s="693">
        <v>0</v>
      </c>
      <c r="CS15" s="692">
        <v>0</v>
      </c>
      <c r="CT15" s="693">
        <v>0</v>
      </c>
      <c r="CU15" s="694">
        <v>0</v>
      </c>
      <c r="CV15" s="693">
        <v>0</v>
      </c>
    </row>
    <row r="16" spans="1:100">
      <c r="A16" s="460">
        <v>14</v>
      </c>
      <c r="B16" s="580">
        <v>0</v>
      </c>
      <c r="C16" s="580">
        <v>0</v>
      </c>
      <c r="D16" s="580">
        <v>0</v>
      </c>
      <c r="E16" s="580">
        <v>0</v>
      </c>
      <c r="F16" s="580">
        <f t="shared" si="0"/>
        <v>1.2500000000000001E-2</v>
      </c>
      <c r="G16" s="580">
        <v>0</v>
      </c>
      <c r="H16" s="580">
        <v>0</v>
      </c>
      <c r="I16" s="580">
        <v>0</v>
      </c>
      <c r="J16" s="580">
        <v>0</v>
      </c>
      <c r="K16" s="580">
        <v>0</v>
      </c>
      <c r="L16" s="580">
        <v>0</v>
      </c>
      <c r="M16" s="580">
        <v>0</v>
      </c>
      <c r="N16" s="580">
        <v>0</v>
      </c>
      <c r="O16" s="580">
        <v>0</v>
      </c>
      <c r="P16" s="580">
        <v>0</v>
      </c>
      <c r="Q16" s="580">
        <v>0</v>
      </c>
      <c r="R16" s="580">
        <v>0</v>
      </c>
      <c r="S16" s="580">
        <v>0</v>
      </c>
      <c r="T16" s="580">
        <v>0</v>
      </c>
      <c r="U16" s="580">
        <v>0</v>
      </c>
      <c r="V16" s="580">
        <v>0</v>
      </c>
      <c r="W16" s="594">
        <v>0</v>
      </c>
      <c r="X16" s="688">
        <v>0</v>
      </c>
      <c r="Y16" s="688">
        <v>0</v>
      </c>
      <c r="Z16" s="688">
        <v>0</v>
      </c>
      <c r="AA16" s="688">
        <v>0</v>
      </c>
      <c r="AB16" s="688">
        <v>0</v>
      </c>
      <c r="AC16" s="688">
        <v>0</v>
      </c>
      <c r="AD16" s="688">
        <v>0</v>
      </c>
      <c r="AE16" s="977">
        <v>0</v>
      </c>
      <c r="AF16" s="978">
        <v>0</v>
      </c>
      <c r="AG16" s="979">
        <v>0</v>
      </c>
      <c r="AH16" s="688">
        <v>0</v>
      </c>
      <c r="AI16" s="687">
        <v>0</v>
      </c>
      <c r="AJ16" s="685">
        <v>0</v>
      </c>
      <c r="AK16" s="687">
        <v>0</v>
      </c>
      <c r="AL16" s="689">
        <v>0</v>
      </c>
      <c r="AM16" s="685">
        <v>0</v>
      </c>
      <c r="AN16" s="685">
        <v>0</v>
      </c>
      <c r="AO16" s="689">
        <v>0.08</v>
      </c>
      <c r="AP16" s="690">
        <v>0.01</v>
      </c>
      <c r="AQ16" s="687">
        <f t="shared" si="17"/>
        <v>7.1428571428571426E-3</v>
      </c>
      <c r="AR16" s="685">
        <v>2.8000000000000001E-2</v>
      </c>
      <c r="AS16" s="687">
        <f t="shared" si="1"/>
        <v>1.2500000000000001E-2</v>
      </c>
      <c r="AT16" s="691">
        <v>1.6E-2</v>
      </c>
      <c r="AU16" s="685">
        <v>0</v>
      </c>
      <c r="AV16" s="687">
        <v>0</v>
      </c>
      <c r="AW16" s="692">
        <v>0</v>
      </c>
      <c r="AX16" s="693">
        <v>0</v>
      </c>
      <c r="AY16" s="692">
        <v>0</v>
      </c>
      <c r="AZ16" s="693">
        <v>0</v>
      </c>
      <c r="BA16" s="692">
        <v>0</v>
      </c>
      <c r="BB16" s="693">
        <v>0</v>
      </c>
      <c r="BC16" s="694">
        <v>0</v>
      </c>
      <c r="BD16" s="695">
        <v>0</v>
      </c>
      <c r="BE16" s="692">
        <v>0</v>
      </c>
      <c r="BF16" s="693">
        <f t="shared" si="5"/>
        <v>6.25E-2</v>
      </c>
      <c r="BG16" s="694">
        <v>0</v>
      </c>
      <c r="BH16" s="693">
        <v>0</v>
      </c>
      <c r="BI16" s="694">
        <v>0</v>
      </c>
      <c r="BJ16" s="693">
        <v>0</v>
      </c>
      <c r="BK16" s="694">
        <v>0</v>
      </c>
      <c r="BL16" s="693">
        <v>0</v>
      </c>
      <c r="BM16" s="694">
        <v>0</v>
      </c>
      <c r="BN16" s="693">
        <v>0</v>
      </c>
      <c r="BO16" s="694">
        <v>0</v>
      </c>
      <c r="BP16" s="693">
        <v>0</v>
      </c>
      <c r="BQ16" s="694">
        <v>1</v>
      </c>
      <c r="BR16" s="693">
        <f t="shared" si="9"/>
        <v>6.6666666666666666E-2</v>
      </c>
      <c r="BS16" s="694">
        <v>0</v>
      </c>
      <c r="BT16" s="693">
        <v>0</v>
      </c>
      <c r="BU16" s="694">
        <v>1</v>
      </c>
      <c r="BV16" s="693">
        <f t="shared" si="10"/>
        <v>6.6666666666666666E-2</v>
      </c>
      <c r="BW16" s="694">
        <v>0</v>
      </c>
      <c r="BX16" s="693">
        <v>0</v>
      </c>
      <c r="BY16" s="694">
        <v>0</v>
      </c>
      <c r="BZ16" s="693">
        <f t="shared" si="11"/>
        <v>0.05</v>
      </c>
      <c r="CA16" s="694">
        <v>1</v>
      </c>
      <c r="CB16" s="693">
        <f t="shared" si="12"/>
        <v>6.6666666666666666E-2</v>
      </c>
      <c r="CC16" s="692">
        <v>0</v>
      </c>
      <c r="CD16" s="695">
        <v>0</v>
      </c>
      <c r="CE16" s="692">
        <v>0</v>
      </c>
      <c r="CF16" s="695">
        <v>0</v>
      </c>
      <c r="CG16" s="692">
        <v>0</v>
      </c>
      <c r="CH16" s="695">
        <v>0</v>
      </c>
      <c r="CI16" s="692">
        <v>0</v>
      </c>
      <c r="CJ16" s="695">
        <v>0</v>
      </c>
      <c r="CK16" s="692">
        <v>0</v>
      </c>
      <c r="CL16" s="695">
        <v>0</v>
      </c>
      <c r="CM16" s="692">
        <v>0</v>
      </c>
      <c r="CN16" s="695">
        <v>0</v>
      </c>
      <c r="CO16" s="692">
        <v>0</v>
      </c>
      <c r="CP16" s="695">
        <v>0</v>
      </c>
      <c r="CQ16" s="692">
        <v>0</v>
      </c>
      <c r="CR16" s="693">
        <v>0</v>
      </c>
      <c r="CS16" s="692">
        <v>0</v>
      </c>
      <c r="CT16" s="693">
        <v>0</v>
      </c>
      <c r="CU16" s="694">
        <v>0</v>
      </c>
      <c r="CV16" s="693">
        <v>0</v>
      </c>
    </row>
    <row r="17" spans="1:100">
      <c r="A17" s="460">
        <v>15</v>
      </c>
      <c r="B17" s="580">
        <v>0</v>
      </c>
      <c r="C17" s="580">
        <v>0</v>
      </c>
      <c r="D17" s="580">
        <v>0</v>
      </c>
      <c r="E17" s="580">
        <v>0</v>
      </c>
      <c r="F17" s="580">
        <f t="shared" si="0"/>
        <v>1.2500000000000001E-2</v>
      </c>
      <c r="G17" s="580">
        <v>0</v>
      </c>
      <c r="H17" s="580">
        <v>0</v>
      </c>
      <c r="I17" s="580">
        <v>0</v>
      </c>
      <c r="J17" s="580">
        <v>0</v>
      </c>
      <c r="K17" s="580">
        <v>0</v>
      </c>
      <c r="L17" s="580">
        <v>0</v>
      </c>
      <c r="M17" s="580">
        <v>0</v>
      </c>
      <c r="N17" s="580">
        <v>0</v>
      </c>
      <c r="O17" s="580">
        <v>0</v>
      </c>
      <c r="P17" s="580">
        <v>0</v>
      </c>
      <c r="Q17" s="580">
        <v>0</v>
      </c>
      <c r="R17" s="580">
        <v>0</v>
      </c>
      <c r="S17" s="580">
        <v>0</v>
      </c>
      <c r="T17" s="580">
        <v>0</v>
      </c>
      <c r="U17" s="580">
        <v>0</v>
      </c>
      <c r="V17" s="580">
        <v>0</v>
      </c>
      <c r="W17" s="595">
        <v>0</v>
      </c>
      <c r="X17" s="688">
        <v>0</v>
      </c>
      <c r="Y17" s="688">
        <v>0</v>
      </c>
      <c r="Z17" s="688">
        <v>0</v>
      </c>
      <c r="AA17" s="688">
        <v>0</v>
      </c>
      <c r="AB17" s="688">
        <v>0</v>
      </c>
      <c r="AC17" s="688">
        <v>0</v>
      </c>
      <c r="AD17" s="688">
        <v>0</v>
      </c>
      <c r="AE17" s="977">
        <v>0</v>
      </c>
      <c r="AF17" s="978">
        <v>0</v>
      </c>
      <c r="AG17" s="979">
        <v>0</v>
      </c>
      <c r="AH17" s="688">
        <v>0</v>
      </c>
      <c r="AI17" s="687">
        <v>0</v>
      </c>
      <c r="AJ17" s="685">
        <v>0</v>
      </c>
      <c r="AK17" s="687">
        <v>0</v>
      </c>
      <c r="AL17" s="689">
        <v>0</v>
      </c>
      <c r="AM17" s="685">
        <v>0</v>
      </c>
      <c r="AN17" s="685">
        <v>0</v>
      </c>
      <c r="AO17" s="689">
        <v>0.01</v>
      </c>
      <c r="AP17" s="690">
        <v>0.01</v>
      </c>
      <c r="AQ17" s="687">
        <f t="shared" si="17"/>
        <v>7.1428571428571426E-3</v>
      </c>
      <c r="AR17" s="685">
        <v>2.8000000000000001E-2</v>
      </c>
      <c r="AS17" s="687">
        <f t="shared" si="1"/>
        <v>1.2500000000000001E-2</v>
      </c>
      <c r="AT17" s="691">
        <v>6.0000000000000001E-3</v>
      </c>
      <c r="AU17" s="685">
        <v>0</v>
      </c>
      <c r="AV17" s="687">
        <v>0</v>
      </c>
      <c r="AW17" s="692">
        <v>0</v>
      </c>
      <c r="AX17" s="693">
        <v>0</v>
      </c>
      <c r="AY17" s="692">
        <v>0</v>
      </c>
      <c r="AZ17" s="693">
        <v>0</v>
      </c>
      <c r="BA17" s="692">
        <v>0</v>
      </c>
      <c r="BB17" s="693">
        <v>0</v>
      </c>
      <c r="BC17" s="694">
        <v>0</v>
      </c>
      <c r="BD17" s="695">
        <v>0</v>
      </c>
      <c r="BE17" s="692">
        <v>1</v>
      </c>
      <c r="BF17" s="693">
        <f t="shared" si="5"/>
        <v>6.25E-2</v>
      </c>
      <c r="BG17" s="694">
        <v>0</v>
      </c>
      <c r="BH17" s="693">
        <v>0</v>
      </c>
      <c r="BI17" s="694">
        <v>0</v>
      </c>
      <c r="BJ17" s="693">
        <v>0</v>
      </c>
      <c r="BK17" s="694">
        <v>0</v>
      </c>
      <c r="BL17" s="693">
        <v>0</v>
      </c>
      <c r="BM17" s="694">
        <v>0</v>
      </c>
      <c r="BN17" s="693">
        <v>0</v>
      </c>
      <c r="BO17" s="694">
        <v>0</v>
      </c>
      <c r="BP17" s="693">
        <v>0</v>
      </c>
      <c r="BQ17" s="694">
        <v>0</v>
      </c>
      <c r="BR17" s="693">
        <v>0</v>
      </c>
      <c r="BS17" s="694">
        <v>0</v>
      </c>
      <c r="BT17" s="693">
        <v>0</v>
      </c>
      <c r="BU17" s="694">
        <v>0</v>
      </c>
      <c r="BV17" s="693">
        <v>0</v>
      </c>
      <c r="BW17" s="694">
        <v>0</v>
      </c>
      <c r="BX17" s="693">
        <v>0</v>
      </c>
      <c r="BY17" s="694">
        <v>0</v>
      </c>
      <c r="BZ17" s="693">
        <f t="shared" si="11"/>
        <v>0.05</v>
      </c>
      <c r="CA17" s="694">
        <v>0</v>
      </c>
      <c r="CB17" s="693">
        <v>0</v>
      </c>
      <c r="CC17" s="692">
        <v>0</v>
      </c>
      <c r="CD17" s="695">
        <v>0</v>
      </c>
      <c r="CE17" s="692">
        <v>0</v>
      </c>
      <c r="CF17" s="695">
        <v>0</v>
      </c>
      <c r="CG17" s="692">
        <v>0</v>
      </c>
      <c r="CH17" s="695">
        <v>0</v>
      </c>
      <c r="CI17" s="692">
        <v>0</v>
      </c>
      <c r="CJ17" s="695">
        <v>0</v>
      </c>
      <c r="CK17" s="692">
        <v>0</v>
      </c>
      <c r="CL17" s="695">
        <v>0</v>
      </c>
      <c r="CM17" s="692">
        <v>0</v>
      </c>
      <c r="CN17" s="695">
        <v>0</v>
      </c>
      <c r="CO17" s="692">
        <v>0</v>
      </c>
      <c r="CP17" s="695">
        <v>0</v>
      </c>
      <c r="CQ17" s="692">
        <v>0</v>
      </c>
      <c r="CR17" s="693">
        <v>0</v>
      </c>
      <c r="CS17" s="692">
        <v>0</v>
      </c>
      <c r="CT17" s="693">
        <v>0</v>
      </c>
      <c r="CU17" s="694">
        <v>0</v>
      </c>
      <c r="CV17" s="693">
        <v>0</v>
      </c>
    </row>
    <row r="18" spans="1:100">
      <c r="A18" s="460">
        <v>16</v>
      </c>
      <c r="B18" s="580">
        <v>0</v>
      </c>
      <c r="C18" s="580">
        <v>0</v>
      </c>
      <c r="D18" s="580">
        <v>0</v>
      </c>
      <c r="E18" s="580">
        <v>0</v>
      </c>
      <c r="F18" s="580">
        <f t="shared" si="0"/>
        <v>1.2500000000000001E-2</v>
      </c>
      <c r="G18" s="580">
        <v>0</v>
      </c>
      <c r="H18" s="580">
        <v>0</v>
      </c>
      <c r="I18" s="580">
        <v>0</v>
      </c>
      <c r="J18" s="580">
        <v>0</v>
      </c>
      <c r="K18" s="580">
        <v>0</v>
      </c>
      <c r="L18" s="580">
        <v>0</v>
      </c>
      <c r="M18" s="580">
        <v>0</v>
      </c>
      <c r="N18" s="580">
        <v>0</v>
      </c>
      <c r="O18" s="580">
        <v>0</v>
      </c>
      <c r="P18" s="580">
        <v>0</v>
      </c>
      <c r="Q18" s="580">
        <v>0</v>
      </c>
      <c r="R18" s="580">
        <v>0</v>
      </c>
      <c r="S18" s="580">
        <v>0</v>
      </c>
      <c r="T18" s="580">
        <v>0</v>
      </c>
      <c r="U18" s="580">
        <v>0</v>
      </c>
      <c r="V18" s="580">
        <v>0</v>
      </c>
      <c r="W18" s="595">
        <v>0</v>
      </c>
      <c r="X18" s="688">
        <v>0</v>
      </c>
      <c r="Y18" s="688">
        <v>0</v>
      </c>
      <c r="Z18" s="688">
        <v>0</v>
      </c>
      <c r="AA18" s="688">
        <v>0</v>
      </c>
      <c r="AB18" s="688">
        <v>0</v>
      </c>
      <c r="AC18" s="688">
        <v>0</v>
      </c>
      <c r="AD18" s="688">
        <v>0</v>
      </c>
      <c r="AE18" s="977">
        <v>0</v>
      </c>
      <c r="AF18" s="978">
        <v>0</v>
      </c>
      <c r="AG18" s="979">
        <v>0</v>
      </c>
      <c r="AH18" s="688">
        <v>0</v>
      </c>
      <c r="AI18" s="687">
        <v>0</v>
      </c>
      <c r="AJ18" s="685">
        <v>0</v>
      </c>
      <c r="AK18" s="687">
        <v>0</v>
      </c>
      <c r="AL18" s="689">
        <v>0</v>
      </c>
      <c r="AM18" s="685">
        <v>0</v>
      </c>
      <c r="AN18" s="685">
        <v>0</v>
      </c>
      <c r="AO18" s="689">
        <v>0.01</v>
      </c>
      <c r="AP18" s="690">
        <v>0.01</v>
      </c>
      <c r="AQ18" s="687">
        <f t="shared" si="17"/>
        <v>7.1428571428571426E-3</v>
      </c>
      <c r="AR18" s="685">
        <v>2.8000000000000001E-2</v>
      </c>
      <c r="AS18" s="687">
        <f t="shared" si="1"/>
        <v>1.2500000000000001E-2</v>
      </c>
      <c r="AT18" s="691">
        <v>6.0000000000000001E-3</v>
      </c>
      <c r="AU18" s="685">
        <v>0</v>
      </c>
      <c r="AV18" s="687">
        <v>0</v>
      </c>
      <c r="AW18" s="692">
        <v>0</v>
      </c>
      <c r="AX18" s="693">
        <v>0</v>
      </c>
      <c r="AY18" s="692">
        <v>0</v>
      </c>
      <c r="AZ18" s="693">
        <v>0</v>
      </c>
      <c r="BA18" s="692">
        <v>0</v>
      </c>
      <c r="BB18" s="693">
        <v>0</v>
      </c>
      <c r="BC18" s="694">
        <v>0</v>
      </c>
      <c r="BD18" s="695">
        <v>0</v>
      </c>
      <c r="BE18" s="692">
        <v>0</v>
      </c>
      <c r="BF18" s="693">
        <v>0</v>
      </c>
      <c r="BG18" s="694">
        <v>0</v>
      </c>
      <c r="BH18" s="693">
        <v>0</v>
      </c>
      <c r="BI18" s="694">
        <v>0</v>
      </c>
      <c r="BJ18" s="693">
        <v>0</v>
      </c>
      <c r="BK18" s="694">
        <v>0</v>
      </c>
      <c r="BL18" s="693">
        <v>0</v>
      </c>
      <c r="BM18" s="694">
        <v>0</v>
      </c>
      <c r="BN18" s="693">
        <v>0</v>
      </c>
      <c r="BO18" s="694">
        <v>0</v>
      </c>
      <c r="BP18" s="693">
        <v>0</v>
      </c>
      <c r="BQ18" s="694">
        <v>0</v>
      </c>
      <c r="BR18" s="693">
        <v>0</v>
      </c>
      <c r="BS18" s="694">
        <v>0</v>
      </c>
      <c r="BT18" s="693">
        <v>0</v>
      </c>
      <c r="BU18" s="694">
        <v>0</v>
      </c>
      <c r="BV18" s="693">
        <v>0</v>
      </c>
      <c r="BW18" s="694">
        <v>0</v>
      </c>
      <c r="BX18" s="693">
        <v>0</v>
      </c>
      <c r="BY18" s="694">
        <v>0</v>
      </c>
      <c r="BZ18" s="693">
        <f t="shared" si="11"/>
        <v>0.05</v>
      </c>
      <c r="CA18" s="694">
        <v>0</v>
      </c>
      <c r="CB18" s="693">
        <v>0</v>
      </c>
      <c r="CC18" s="692">
        <v>0</v>
      </c>
      <c r="CD18" s="695">
        <v>0</v>
      </c>
      <c r="CE18" s="692">
        <v>0</v>
      </c>
      <c r="CF18" s="695">
        <v>0</v>
      </c>
      <c r="CG18" s="692">
        <v>0</v>
      </c>
      <c r="CH18" s="695">
        <v>0</v>
      </c>
      <c r="CI18" s="692">
        <v>0</v>
      </c>
      <c r="CJ18" s="695">
        <v>0</v>
      </c>
      <c r="CK18" s="692">
        <v>0</v>
      </c>
      <c r="CL18" s="695">
        <v>0</v>
      </c>
      <c r="CM18" s="692">
        <v>0</v>
      </c>
      <c r="CN18" s="695">
        <v>0</v>
      </c>
      <c r="CO18" s="692">
        <v>0</v>
      </c>
      <c r="CP18" s="695">
        <v>0</v>
      </c>
      <c r="CQ18" s="692">
        <v>0</v>
      </c>
      <c r="CR18" s="693">
        <v>0</v>
      </c>
      <c r="CS18" s="692">
        <v>0</v>
      </c>
      <c r="CT18" s="693">
        <v>0</v>
      </c>
      <c r="CU18" s="694">
        <v>0</v>
      </c>
      <c r="CV18" s="693">
        <v>0</v>
      </c>
    </row>
    <row r="19" spans="1:100">
      <c r="A19" s="460">
        <v>17</v>
      </c>
      <c r="B19" s="580">
        <v>0</v>
      </c>
      <c r="C19" s="580">
        <v>0</v>
      </c>
      <c r="D19" s="580">
        <v>0</v>
      </c>
      <c r="E19" s="580">
        <v>0</v>
      </c>
      <c r="F19" s="580">
        <f t="shared" si="0"/>
        <v>1.2500000000000001E-2</v>
      </c>
      <c r="G19" s="580">
        <v>0</v>
      </c>
      <c r="H19" s="580">
        <v>0</v>
      </c>
      <c r="I19" s="580">
        <v>0</v>
      </c>
      <c r="J19" s="580">
        <v>0</v>
      </c>
      <c r="K19" s="580">
        <v>0</v>
      </c>
      <c r="L19" s="580">
        <v>0</v>
      </c>
      <c r="M19" s="580">
        <v>0</v>
      </c>
      <c r="N19" s="580">
        <v>0</v>
      </c>
      <c r="O19" s="580">
        <v>0</v>
      </c>
      <c r="P19" s="580">
        <v>0</v>
      </c>
      <c r="Q19" s="580">
        <v>0</v>
      </c>
      <c r="R19" s="580">
        <v>0</v>
      </c>
      <c r="S19" s="580">
        <v>0</v>
      </c>
      <c r="T19" s="580">
        <v>0</v>
      </c>
      <c r="U19" s="580">
        <v>0</v>
      </c>
      <c r="V19" s="580">
        <v>0</v>
      </c>
      <c r="W19" s="595">
        <v>0</v>
      </c>
      <c r="X19" s="688">
        <v>0</v>
      </c>
      <c r="Y19" s="688">
        <v>0</v>
      </c>
      <c r="Z19" s="688">
        <v>0</v>
      </c>
      <c r="AA19" s="688">
        <v>0</v>
      </c>
      <c r="AB19" s="688">
        <v>0</v>
      </c>
      <c r="AC19" s="688">
        <v>0</v>
      </c>
      <c r="AD19" s="688">
        <v>0</v>
      </c>
      <c r="AE19" s="977">
        <v>0</v>
      </c>
      <c r="AF19" s="978">
        <v>0</v>
      </c>
      <c r="AG19" s="979">
        <v>0</v>
      </c>
      <c r="AH19" s="688">
        <v>0</v>
      </c>
      <c r="AI19" s="687">
        <v>0</v>
      </c>
      <c r="AJ19" s="685">
        <v>0</v>
      </c>
      <c r="AK19" s="687">
        <v>0</v>
      </c>
      <c r="AL19" s="689">
        <v>0</v>
      </c>
      <c r="AM19" s="685">
        <v>0</v>
      </c>
      <c r="AN19" s="685">
        <v>0</v>
      </c>
      <c r="AO19" s="689">
        <v>0.01</v>
      </c>
      <c r="AP19" s="690">
        <v>0.01</v>
      </c>
      <c r="AQ19" s="687">
        <f t="shared" si="17"/>
        <v>7.1428571428571426E-3</v>
      </c>
      <c r="AR19" s="685">
        <v>2.8000000000000001E-2</v>
      </c>
      <c r="AS19" s="687">
        <f t="shared" si="1"/>
        <v>1.2500000000000001E-2</v>
      </c>
      <c r="AT19" s="691">
        <v>6.0000000000000001E-3</v>
      </c>
      <c r="AU19" s="685">
        <v>0</v>
      </c>
      <c r="AV19" s="687">
        <v>0</v>
      </c>
      <c r="AW19" s="692">
        <v>0</v>
      </c>
      <c r="AX19" s="693">
        <v>0</v>
      </c>
      <c r="AY19" s="692">
        <v>0</v>
      </c>
      <c r="AZ19" s="693">
        <v>0</v>
      </c>
      <c r="BA19" s="692">
        <v>0</v>
      </c>
      <c r="BB19" s="693">
        <v>0</v>
      </c>
      <c r="BC19" s="694">
        <v>0</v>
      </c>
      <c r="BD19" s="695">
        <v>0</v>
      </c>
      <c r="BE19" s="692">
        <v>0</v>
      </c>
      <c r="BF19" s="693">
        <v>0</v>
      </c>
      <c r="BG19" s="694">
        <v>0</v>
      </c>
      <c r="BH19" s="693">
        <v>0</v>
      </c>
      <c r="BI19" s="694">
        <v>0</v>
      </c>
      <c r="BJ19" s="693">
        <v>0</v>
      </c>
      <c r="BK19" s="694">
        <v>0</v>
      </c>
      <c r="BL19" s="693">
        <v>0</v>
      </c>
      <c r="BM19" s="694">
        <v>0</v>
      </c>
      <c r="BN19" s="693">
        <v>0</v>
      </c>
      <c r="BO19" s="694">
        <v>0</v>
      </c>
      <c r="BP19" s="693">
        <v>0</v>
      </c>
      <c r="BQ19" s="694">
        <v>0</v>
      </c>
      <c r="BR19" s="693">
        <v>0</v>
      </c>
      <c r="BS19" s="694">
        <v>0</v>
      </c>
      <c r="BT19" s="693">
        <v>0</v>
      </c>
      <c r="BU19" s="694">
        <v>0</v>
      </c>
      <c r="BV19" s="693">
        <v>0</v>
      </c>
      <c r="BW19" s="694">
        <v>0</v>
      </c>
      <c r="BX19" s="693">
        <v>0</v>
      </c>
      <c r="BY19" s="694">
        <v>0</v>
      </c>
      <c r="BZ19" s="693">
        <f t="shared" si="11"/>
        <v>0.05</v>
      </c>
      <c r="CA19" s="694">
        <v>0</v>
      </c>
      <c r="CB19" s="693">
        <v>0</v>
      </c>
      <c r="CC19" s="692">
        <v>0</v>
      </c>
      <c r="CD19" s="695">
        <v>0</v>
      </c>
      <c r="CE19" s="692">
        <v>0</v>
      </c>
      <c r="CF19" s="695">
        <v>0</v>
      </c>
      <c r="CG19" s="692">
        <v>0</v>
      </c>
      <c r="CH19" s="695">
        <v>0</v>
      </c>
      <c r="CI19" s="692">
        <v>0</v>
      </c>
      <c r="CJ19" s="695">
        <v>0</v>
      </c>
      <c r="CK19" s="692">
        <v>0</v>
      </c>
      <c r="CL19" s="695">
        <v>0</v>
      </c>
      <c r="CM19" s="692">
        <v>0</v>
      </c>
      <c r="CN19" s="695">
        <v>0</v>
      </c>
      <c r="CO19" s="692">
        <v>0</v>
      </c>
      <c r="CP19" s="695">
        <v>0</v>
      </c>
      <c r="CQ19" s="692">
        <v>0</v>
      </c>
      <c r="CR19" s="693">
        <v>0</v>
      </c>
      <c r="CS19" s="692">
        <v>0</v>
      </c>
      <c r="CT19" s="693">
        <v>0</v>
      </c>
      <c r="CU19" s="694">
        <v>0</v>
      </c>
      <c r="CV19" s="693">
        <v>0</v>
      </c>
    </row>
    <row r="20" spans="1:100">
      <c r="A20" s="460">
        <v>18</v>
      </c>
      <c r="B20" s="580">
        <v>0</v>
      </c>
      <c r="C20" s="580">
        <v>0</v>
      </c>
      <c r="D20" s="580">
        <v>0</v>
      </c>
      <c r="E20" s="580">
        <v>0</v>
      </c>
      <c r="F20" s="580">
        <f t="shared" si="0"/>
        <v>1.2500000000000001E-2</v>
      </c>
      <c r="G20" s="580">
        <v>0</v>
      </c>
      <c r="H20" s="580">
        <v>0</v>
      </c>
      <c r="I20" s="580">
        <v>0</v>
      </c>
      <c r="J20" s="580">
        <v>0</v>
      </c>
      <c r="K20" s="580">
        <v>0</v>
      </c>
      <c r="L20" s="580">
        <v>0</v>
      </c>
      <c r="M20" s="580">
        <v>0</v>
      </c>
      <c r="N20" s="580">
        <v>0</v>
      </c>
      <c r="O20" s="580">
        <v>0</v>
      </c>
      <c r="P20" s="580">
        <v>0</v>
      </c>
      <c r="Q20" s="580">
        <v>0</v>
      </c>
      <c r="R20" s="580">
        <v>0</v>
      </c>
      <c r="S20" s="580">
        <v>0</v>
      </c>
      <c r="T20" s="580">
        <v>0</v>
      </c>
      <c r="U20" s="580">
        <v>0</v>
      </c>
      <c r="V20" s="580">
        <v>0</v>
      </c>
      <c r="W20" s="595">
        <v>0</v>
      </c>
      <c r="X20" s="688">
        <v>0</v>
      </c>
      <c r="Y20" s="688">
        <v>0</v>
      </c>
      <c r="Z20" s="688">
        <v>0</v>
      </c>
      <c r="AA20" s="688">
        <v>0</v>
      </c>
      <c r="AB20" s="688">
        <v>0</v>
      </c>
      <c r="AC20" s="688">
        <v>0</v>
      </c>
      <c r="AD20" s="688">
        <v>0</v>
      </c>
      <c r="AE20" s="977">
        <v>0</v>
      </c>
      <c r="AF20" s="978">
        <v>0</v>
      </c>
      <c r="AG20" s="979">
        <v>0</v>
      </c>
      <c r="AH20" s="688">
        <v>0</v>
      </c>
      <c r="AI20" s="687">
        <v>0</v>
      </c>
      <c r="AJ20" s="685">
        <v>0</v>
      </c>
      <c r="AK20" s="687">
        <v>0</v>
      </c>
      <c r="AL20" s="689">
        <v>0</v>
      </c>
      <c r="AM20" s="685">
        <v>0</v>
      </c>
      <c r="AN20" s="685">
        <v>0</v>
      </c>
      <c r="AO20" s="689">
        <v>0.01</v>
      </c>
      <c r="AP20" s="690">
        <v>0.01</v>
      </c>
      <c r="AQ20" s="687">
        <f t="shared" si="17"/>
        <v>7.1428571428571426E-3</v>
      </c>
      <c r="AR20" s="685">
        <v>2.8000000000000001E-2</v>
      </c>
      <c r="AS20" s="687">
        <f t="shared" si="1"/>
        <v>1.2500000000000001E-2</v>
      </c>
      <c r="AT20" s="691">
        <v>6.0000000000000001E-3</v>
      </c>
      <c r="AU20" s="685">
        <v>0</v>
      </c>
      <c r="AV20" s="687">
        <v>0</v>
      </c>
      <c r="AW20" s="692">
        <v>0</v>
      </c>
      <c r="AX20" s="693">
        <v>0</v>
      </c>
      <c r="AY20" s="692">
        <v>0</v>
      </c>
      <c r="AZ20" s="693">
        <v>0</v>
      </c>
      <c r="BA20" s="692">
        <v>0</v>
      </c>
      <c r="BB20" s="693">
        <v>0</v>
      </c>
      <c r="BC20" s="694">
        <v>0</v>
      </c>
      <c r="BD20" s="695">
        <v>0</v>
      </c>
      <c r="BE20" s="692">
        <v>0</v>
      </c>
      <c r="BF20" s="693">
        <v>0</v>
      </c>
      <c r="BG20" s="694">
        <v>0</v>
      </c>
      <c r="BH20" s="693">
        <v>0</v>
      </c>
      <c r="BI20" s="694">
        <v>0</v>
      </c>
      <c r="BJ20" s="693">
        <v>0</v>
      </c>
      <c r="BK20" s="694">
        <v>0</v>
      </c>
      <c r="BL20" s="693">
        <v>0</v>
      </c>
      <c r="BM20" s="694">
        <v>0</v>
      </c>
      <c r="BN20" s="693">
        <v>0</v>
      </c>
      <c r="BO20" s="694">
        <v>0</v>
      </c>
      <c r="BP20" s="693">
        <v>0</v>
      </c>
      <c r="BQ20" s="694">
        <v>0</v>
      </c>
      <c r="BR20" s="693">
        <v>0</v>
      </c>
      <c r="BS20" s="694">
        <v>0</v>
      </c>
      <c r="BT20" s="693">
        <v>0</v>
      </c>
      <c r="BU20" s="694">
        <v>0</v>
      </c>
      <c r="BV20" s="693">
        <v>0</v>
      </c>
      <c r="BW20" s="694">
        <v>0</v>
      </c>
      <c r="BX20" s="693">
        <v>0</v>
      </c>
      <c r="BY20" s="694">
        <v>0</v>
      </c>
      <c r="BZ20" s="693">
        <f t="shared" si="11"/>
        <v>0.05</v>
      </c>
      <c r="CA20" s="694">
        <v>0</v>
      </c>
      <c r="CB20" s="693">
        <v>0</v>
      </c>
      <c r="CC20" s="692">
        <v>0</v>
      </c>
      <c r="CD20" s="695">
        <v>0</v>
      </c>
      <c r="CE20" s="692">
        <v>0</v>
      </c>
      <c r="CF20" s="695">
        <v>0</v>
      </c>
      <c r="CG20" s="692">
        <v>0</v>
      </c>
      <c r="CH20" s="695">
        <v>0</v>
      </c>
      <c r="CI20" s="692">
        <v>0</v>
      </c>
      <c r="CJ20" s="695">
        <v>0</v>
      </c>
      <c r="CK20" s="692">
        <v>0</v>
      </c>
      <c r="CL20" s="695">
        <v>0</v>
      </c>
      <c r="CM20" s="692">
        <v>0</v>
      </c>
      <c r="CN20" s="695">
        <v>0</v>
      </c>
      <c r="CO20" s="692">
        <v>0</v>
      </c>
      <c r="CP20" s="695">
        <v>0</v>
      </c>
      <c r="CQ20" s="692">
        <v>0</v>
      </c>
      <c r="CR20" s="693">
        <v>0</v>
      </c>
      <c r="CS20" s="692">
        <v>0</v>
      </c>
      <c r="CT20" s="693">
        <v>0</v>
      </c>
      <c r="CU20" s="694">
        <v>0</v>
      </c>
      <c r="CV20" s="693">
        <v>0</v>
      </c>
    </row>
    <row r="21" spans="1:100">
      <c r="A21" s="460">
        <v>19</v>
      </c>
      <c r="B21" s="580">
        <v>0</v>
      </c>
      <c r="C21" s="580">
        <v>0</v>
      </c>
      <c r="D21" s="580">
        <v>0</v>
      </c>
      <c r="E21" s="580">
        <v>0</v>
      </c>
      <c r="F21" s="580">
        <f t="shared" si="0"/>
        <v>1.2500000000000001E-2</v>
      </c>
      <c r="G21" s="580">
        <v>0</v>
      </c>
      <c r="H21" s="580">
        <v>0</v>
      </c>
      <c r="I21" s="580">
        <v>0</v>
      </c>
      <c r="J21" s="580">
        <v>0</v>
      </c>
      <c r="K21" s="580">
        <v>0</v>
      </c>
      <c r="L21" s="580">
        <v>0</v>
      </c>
      <c r="M21" s="580">
        <v>0</v>
      </c>
      <c r="N21" s="580">
        <v>0</v>
      </c>
      <c r="O21" s="580">
        <v>0</v>
      </c>
      <c r="P21" s="580">
        <v>0</v>
      </c>
      <c r="Q21" s="580">
        <v>0</v>
      </c>
      <c r="R21" s="580">
        <v>0</v>
      </c>
      <c r="S21" s="580">
        <v>0</v>
      </c>
      <c r="T21" s="580">
        <v>0</v>
      </c>
      <c r="U21" s="580">
        <v>0</v>
      </c>
      <c r="V21" s="580">
        <v>0</v>
      </c>
      <c r="W21" s="595">
        <v>0</v>
      </c>
      <c r="X21" s="688">
        <v>0</v>
      </c>
      <c r="Y21" s="688">
        <v>0</v>
      </c>
      <c r="Z21" s="688">
        <v>0</v>
      </c>
      <c r="AA21" s="688">
        <v>0</v>
      </c>
      <c r="AB21" s="688">
        <v>0</v>
      </c>
      <c r="AC21" s="688">
        <v>0</v>
      </c>
      <c r="AD21" s="688">
        <v>0</v>
      </c>
      <c r="AE21" s="977">
        <v>0</v>
      </c>
      <c r="AF21" s="978">
        <v>0</v>
      </c>
      <c r="AG21" s="979">
        <v>0</v>
      </c>
      <c r="AH21" s="688">
        <v>0</v>
      </c>
      <c r="AI21" s="687">
        <v>0</v>
      </c>
      <c r="AJ21" s="685">
        <v>0</v>
      </c>
      <c r="AK21" s="687">
        <v>0</v>
      </c>
      <c r="AL21" s="689">
        <v>0</v>
      </c>
      <c r="AM21" s="685">
        <v>0</v>
      </c>
      <c r="AN21" s="685">
        <v>0</v>
      </c>
      <c r="AO21" s="689">
        <v>0.01</v>
      </c>
      <c r="AP21" s="690">
        <v>0.01</v>
      </c>
      <c r="AQ21" s="687">
        <f t="shared" si="17"/>
        <v>7.1428571428571426E-3</v>
      </c>
      <c r="AR21" s="685">
        <v>2.8000000000000001E-2</v>
      </c>
      <c r="AS21" s="687">
        <f t="shared" si="1"/>
        <v>1.2500000000000001E-2</v>
      </c>
      <c r="AT21" s="691">
        <v>6.0000000000000001E-3</v>
      </c>
      <c r="AU21" s="685">
        <v>0</v>
      </c>
      <c r="AV21" s="687">
        <v>0</v>
      </c>
      <c r="AW21" s="692">
        <v>0</v>
      </c>
      <c r="AX21" s="693">
        <v>0</v>
      </c>
      <c r="AY21" s="692">
        <v>0</v>
      </c>
      <c r="AZ21" s="693">
        <v>0</v>
      </c>
      <c r="BA21" s="692">
        <v>0</v>
      </c>
      <c r="BB21" s="693">
        <v>0</v>
      </c>
      <c r="BC21" s="694">
        <v>0</v>
      </c>
      <c r="BD21" s="695">
        <v>0</v>
      </c>
      <c r="BE21" s="692">
        <v>0</v>
      </c>
      <c r="BF21" s="693">
        <v>0</v>
      </c>
      <c r="BG21" s="694">
        <v>0</v>
      </c>
      <c r="BH21" s="693">
        <v>0</v>
      </c>
      <c r="BI21" s="694">
        <v>0</v>
      </c>
      <c r="BJ21" s="693">
        <v>0</v>
      </c>
      <c r="BK21" s="694">
        <v>0</v>
      </c>
      <c r="BL21" s="693">
        <v>0</v>
      </c>
      <c r="BM21" s="694">
        <v>0</v>
      </c>
      <c r="BN21" s="693">
        <v>0</v>
      </c>
      <c r="BO21" s="694">
        <v>0</v>
      </c>
      <c r="BP21" s="693">
        <v>0</v>
      </c>
      <c r="BQ21" s="694">
        <v>0</v>
      </c>
      <c r="BR21" s="693">
        <v>0</v>
      </c>
      <c r="BS21" s="694">
        <v>0</v>
      </c>
      <c r="BT21" s="693">
        <v>0</v>
      </c>
      <c r="BU21" s="694">
        <v>0</v>
      </c>
      <c r="BV21" s="693">
        <v>0</v>
      </c>
      <c r="BW21" s="694">
        <v>0</v>
      </c>
      <c r="BX21" s="693">
        <v>0</v>
      </c>
      <c r="BY21" s="694">
        <v>1</v>
      </c>
      <c r="BZ21" s="693">
        <f t="shared" si="11"/>
        <v>0.05</v>
      </c>
      <c r="CA21" s="694">
        <v>0</v>
      </c>
      <c r="CB21" s="693">
        <v>0</v>
      </c>
      <c r="CC21" s="692">
        <v>0</v>
      </c>
      <c r="CD21" s="695">
        <v>0</v>
      </c>
      <c r="CE21" s="692">
        <v>0</v>
      </c>
      <c r="CF21" s="695">
        <v>0</v>
      </c>
      <c r="CG21" s="692">
        <v>0</v>
      </c>
      <c r="CH21" s="695">
        <v>0</v>
      </c>
      <c r="CI21" s="692">
        <v>0</v>
      </c>
      <c r="CJ21" s="695">
        <v>0</v>
      </c>
      <c r="CK21" s="692">
        <v>0</v>
      </c>
      <c r="CL21" s="695">
        <v>0</v>
      </c>
      <c r="CM21" s="692">
        <v>0</v>
      </c>
      <c r="CN21" s="695">
        <v>0</v>
      </c>
      <c r="CO21" s="692">
        <v>0</v>
      </c>
      <c r="CP21" s="695">
        <v>0</v>
      </c>
      <c r="CQ21" s="692">
        <v>0</v>
      </c>
      <c r="CR21" s="693">
        <v>0</v>
      </c>
      <c r="CS21" s="692">
        <v>0</v>
      </c>
      <c r="CT21" s="693">
        <v>0</v>
      </c>
      <c r="CU21" s="694">
        <v>0</v>
      </c>
      <c r="CV21" s="693">
        <v>0</v>
      </c>
    </row>
    <row r="22" spans="1:100">
      <c r="A22" s="460">
        <v>20</v>
      </c>
      <c r="B22" s="580">
        <v>0</v>
      </c>
      <c r="C22" s="580">
        <v>0</v>
      </c>
      <c r="D22" s="580">
        <v>0</v>
      </c>
      <c r="E22" s="580">
        <v>0</v>
      </c>
      <c r="F22" s="580">
        <f t="shared" si="0"/>
        <v>1.2500000000000001E-2</v>
      </c>
      <c r="G22" s="580">
        <v>0.01</v>
      </c>
      <c r="H22" s="580">
        <v>0</v>
      </c>
      <c r="I22" s="580">
        <v>0</v>
      </c>
      <c r="J22" s="580">
        <v>0</v>
      </c>
      <c r="K22" s="580">
        <v>0</v>
      </c>
      <c r="L22" s="580">
        <v>0</v>
      </c>
      <c r="M22" s="580">
        <v>0</v>
      </c>
      <c r="N22" s="580">
        <v>0</v>
      </c>
      <c r="O22" s="580">
        <v>0</v>
      </c>
      <c r="P22" s="580">
        <v>0</v>
      </c>
      <c r="Q22" s="580">
        <v>0</v>
      </c>
      <c r="R22" s="580">
        <v>0</v>
      </c>
      <c r="S22" s="580">
        <v>0</v>
      </c>
      <c r="T22" s="580">
        <v>0.01</v>
      </c>
      <c r="U22" s="580">
        <v>0</v>
      </c>
      <c r="V22" s="580">
        <v>0</v>
      </c>
      <c r="W22" s="595">
        <v>0</v>
      </c>
      <c r="X22" s="688">
        <v>0</v>
      </c>
      <c r="Y22" s="688">
        <v>0</v>
      </c>
      <c r="Z22" s="688">
        <v>0</v>
      </c>
      <c r="AA22" s="688">
        <v>0</v>
      </c>
      <c r="AB22" s="688">
        <v>0</v>
      </c>
      <c r="AC22" s="688">
        <v>0</v>
      </c>
      <c r="AD22" s="688">
        <v>0</v>
      </c>
      <c r="AE22" s="977">
        <v>0</v>
      </c>
      <c r="AF22" s="978">
        <v>0</v>
      </c>
      <c r="AG22" s="979">
        <v>0</v>
      </c>
      <c r="AH22" s="688">
        <v>0</v>
      </c>
      <c r="AI22" s="687">
        <v>0</v>
      </c>
      <c r="AJ22" s="685">
        <v>0</v>
      </c>
      <c r="AK22" s="687">
        <v>0</v>
      </c>
      <c r="AL22" s="689">
        <v>0</v>
      </c>
      <c r="AM22" s="685">
        <v>0</v>
      </c>
      <c r="AN22" s="685">
        <v>0</v>
      </c>
      <c r="AO22" s="689">
        <v>0</v>
      </c>
      <c r="AP22" s="690">
        <v>0.01</v>
      </c>
      <c r="AQ22" s="687">
        <f t="shared" si="17"/>
        <v>7.1428571428571426E-3</v>
      </c>
      <c r="AR22" s="685">
        <v>1.6250000000000001E-2</v>
      </c>
      <c r="AS22" s="687">
        <f t="shared" si="1"/>
        <v>1.2500000000000001E-2</v>
      </c>
      <c r="AT22" s="691">
        <v>5.0000000000000001E-3</v>
      </c>
      <c r="AU22" s="685">
        <v>0</v>
      </c>
      <c r="AV22" s="687">
        <v>0</v>
      </c>
      <c r="AW22" s="692">
        <v>0</v>
      </c>
      <c r="AX22" s="693">
        <v>0</v>
      </c>
      <c r="AY22" s="692">
        <v>0</v>
      </c>
      <c r="AZ22" s="693">
        <v>0</v>
      </c>
      <c r="BA22" s="692">
        <v>0</v>
      </c>
      <c r="BB22" s="693">
        <v>0</v>
      </c>
      <c r="BC22" s="694">
        <v>0</v>
      </c>
      <c r="BD22" s="695">
        <v>0</v>
      </c>
      <c r="BE22" s="692">
        <v>0</v>
      </c>
      <c r="BF22" s="693">
        <v>0</v>
      </c>
      <c r="BG22" s="694">
        <v>0</v>
      </c>
      <c r="BH22" s="693">
        <v>0</v>
      </c>
      <c r="BI22" s="694">
        <v>0</v>
      </c>
      <c r="BJ22" s="693">
        <v>0</v>
      </c>
      <c r="BK22" s="694">
        <v>0</v>
      </c>
      <c r="BL22" s="693">
        <v>0</v>
      </c>
      <c r="BM22" s="694">
        <v>0</v>
      </c>
      <c r="BN22" s="693">
        <v>0</v>
      </c>
      <c r="BO22" s="694">
        <v>0</v>
      </c>
      <c r="BP22" s="693">
        <v>0</v>
      </c>
      <c r="BQ22" s="694">
        <v>0</v>
      </c>
      <c r="BR22" s="693">
        <v>0</v>
      </c>
      <c r="BS22" s="694">
        <v>0</v>
      </c>
      <c r="BT22" s="693">
        <v>0</v>
      </c>
      <c r="BU22" s="694">
        <v>0</v>
      </c>
      <c r="BV22" s="693">
        <v>0</v>
      </c>
      <c r="BW22" s="694">
        <v>0</v>
      </c>
      <c r="BX22" s="693">
        <v>0</v>
      </c>
      <c r="BY22" s="694">
        <v>0</v>
      </c>
      <c r="BZ22" s="693">
        <v>0</v>
      </c>
      <c r="CA22" s="694">
        <v>0</v>
      </c>
      <c r="CB22" s="693">
        <v>0</v>
      </c>
      <c r="CC22" s="692">
        <v>0</v>
      </c>
      <c r="CD22" s="695">
        <v>0</v>
      </c>
      <c r="CE22" s="692">
        <v>0</v>
      </c>
      <c r="CF22" s="695">
        <v>0</v>
      </c>
      <c r="CG22" s="692">
        <v>0</v>
      </c>
      <c r="CH22" s="695">
        <v>0</v>
      </c>
      <c r="CI22" s="692">
        <v>0</v>
      </c>
      <c r="CJ22" s="695">
        <v>0</v>
      </c>
      <c r="CK22" s="692">
        <v>0</v>
      </c>
      <c r="CL22" s="695">
        <v>0</v>
      </c>
      <c r="CM22" s="692">
        <v>0</v>
      </c>
      <c r="CN22" s="695">
        <v>0</v>
      </c>
      <c r="CO22" s="692">
        <v>0</v>
      </c>
      <c r="CP22" s="695">
        <v>0</v>
      </c>
      <c r="CQ22" s="692">
        <v>0</v>
      </c>
      <c r="CR22" s="693">
        <v>0</v>
      </c>
      <c r="CS22" s="692">
        <v>0</v>
      </c>
      <c r="CT22" s="693">
        <v>0</v>
      </c>
      <c r="CU22" s="694">
        <v>0</v>
      </c>
      <c r="CV22" s="693">
        <v>0</v>
      </c>
    </row>
    <row r="23" spans="1:100">
      <c r="A23" s="460">
        <v>21</v>
      </c>
      <c r="B23" s="580">
        <v>0</v>
      </c>
      <c r="C23" s="580">
        <v>0</v>
      </c>
      <c r="D23" s="580">
        <v>0</v>
      </c>
      <c r="E23" s="580">
        <v>0</v>
      </c>
      <c r="F23" s="580">
        <f t="shared" si="0"/>
        <v>1.2500000000000001E-2</v>
      </c>
      <c r="G23" s="580">
        <v>0.01</v>
      </c>
      <c r="H23" s="580">
        <v>0</v>
      </c>
      <c r="I23" s="580">
        <v>0</v>
      </c>
      <c r="J23" s="580">
        <v>0</v>
      </c>
      <c r="K23" s="580">
        <v>0</v>
      </c>
      <c r="L23" s="580">
        <v>0</v>
      </c>
      <c r="M23" s="580">
        <v>0</v>
      </c>
      <c r="N23" s="580">
        <v>0</v>
      </c>
      <c r="O23" s="580">
        <v>0</v>
      </c>
      <c r="P23" s="580">
        <v>0</v>
      </c>
      <c r="Q23" s="580">
        <v>0</v>
      </c>
      <c r="R23" s="580">
        <v>0</v>
      </c>
      <c r="S23" s="580">
        <v>0</v>
      </c>
      <c r="T23" s="580">
        <v>0.01</v>
      </c>
      <c r="U23" s="580">
        <v>0</v>
      </c>
      <c r="V23" s="580">
        <v>0</v>
      </c>
      <c r="W23" s="595">
        <v>0</v>
      </c>
      <c r="X23" s="688">
        <v>0</v>
      </c>
      <c r="Y23" s="688">
        <v>0</v>
      </c>
      <c r="Z23" s="688">
        <v>0</v>
      </c>
      <c r="AA23" s="688">
        <v>0</v>
      </c>
      <c r="AB23" s="688">
        <v>0</v>
      </c>
      <c r="AC23" s="688">
        <v>0</v>
      </c>
      <c r="AD23" s="688">
        <v>0</v>
      </c>
      <c r="AE23" s="977">
        <v>0</v>
      </c>
      <c r="AF23" s="978">
        <v>0</v>
      </c>
      <c r="AG23" s="979">
        <v>0</v>
      </c>
      <c r="AH23" s="688">
        <v>0</v>
      </c>
      <c r="AI23" s="687">
        <v>0</v>
      </c>
      <c r="AJ23" s="685">
        <v>0</v>
      </c>
      <c r="AK23" s="687">
        <v>0</v>
      </c>
      <c r="AL23" s="689">
        <v>0</v>
      </c>
      <c r="AM23" s="685">
        <v>0</v>
      </c>
      <c r="AN23" s="685">
        <v>0</v>
      </c>
      <c r="AO23" s="689">
        <v>0</v>
      </c>
      <c r="AP23" s="690">
        <v>0.01</v>
      </c>
      <c r="AQ23" s="687">
        <f t="shared" si="17"/>
        <v>7.1428571428571426E-3</v>
      </c>
      <c r="AR23" s="685">
        <v>1.6250000000000001E-2</v>
      </c>
      <c r="AS23" s="687">
        <f t="shared" si="1"/>
        <v>1.2500000000000001E-2</v>
      </c>
      <c r="AT23" s="691">
        <v>3.0000000000000001E-3</v>
      </c>
      <c r="AU23" s="685">
        <v>0</v>
      </c>
      <c r="AV23" s="687">
        <v>0</v>
      </c>
      <c r="AW23" s="692">
        <v>0</v>
      </c>
      <c r="AX23" s="693">
        <v>0</v>
      </c>
      <c r="AY23" s="692">
        <v>0</v>
      </c>
      <c r="AZ23" s="693">
        <v>0</v>
      </c>
      <c r="BA23" s="692">
        <v>0</v>
      </c>
      <c r="BB23" s="693">
        <v>0</v>
      </c>
      <c r="BC23" s="694">
        <v>0</v>
      </c>
      <c r="BD23" s="695">
        <v>0</v>
      </c>
      <c r="BE23" s="692">
        <v>0</v>
      </c>
      <c r="BF23" s="693">
        <v>0</v>
      </c>
      <c r="BG23" s="694">
        <v>0</v>
      </c>
      <c r="BH23" s="693">
        <v>0</v>
      </c>
      <c r="BI23" s="694">
        <v>0</v>
      </c>
      <c r="BJ23" s="693">
        <v>0</v>
      </c>
      <c r="BK23" s="694">
        <v>0</v>
      </c>
      <c r="BL23" s="693">
        <v>0</v>
      </c>
      <c r="BM23" s="694">
        <v>0</v>
      </c>
      <c r="BN23" s="693">
        <v>0</v>
      </c>
      <c r="BO23" s="694">
        <v>0</v>
      </c>
      <c r="BP23" s="693">
        <v>0</v>
      </c>
      <c r="BQ23" s="694">
        <v>0</v>
      </c>
      <c r="BR23" s="693">
        <v>0</v>
      </c>
      <c r="BS23" s="694">
        <v>0</v>
      </c>
      <c r="BT23" s="693">
        <v>0</v>
      </c>
      <c r="BU23" s="694">
        <v>0</v>
      </c>
      <c r="BV23" s="693">
        <v>0</v>
      </c>
      <c r="BW23" s="694">
        <v>0</v>
      </c>
      <c r="BX23" s="693">
        <v>0</v>
      </c>
      <c r="BY23" s="694">
        <v>0</v>
      </c>
      <c r="BZ23" s="693">
        <v>0</v>
      </c>
      <c r="CA23" s="694">
        <v>0</v>
      </c>
      <c r="CB23" s="693">
        <v>0</v>
      </c>
      <c r="CC23" s="692">
        <v>0</v>
      </c>
      <c r="CD23" s="695">
        <v>0</v>
      </c>
      <c r="CE23" s="692">
        <v>0</v>
      </c>
      <c r="CF23" s="695">
        <v>0</v>
      </c>
      <c r="CG23" s="692">
        <v>0</v>
      </c>
      <c r="CH23" s="695">
        <v>0</v>
      </c>
      <c r="CI23" s="692">
        <v>0</v>
      </c>
      <c r="CJ23" s="695">
        <v>0</v>
      </c>
      <c r="CK23" s="692">
        <v>0</v>
      </c>
      <c r="CL23" s="695">
        <v>0</v>
      </c>
      <c r="CM23" s="692">
        <v>0</v>
      </c>
      <c r="CN23" s="695">
        <v>0</v>
      </c>
      <c r="CO23" s="692">
        <v>0</v>
      </c>
      <c r="CP23" s="695">
        <v>0</v>
      </c>
      <c r="CQ23" s="692">
        <v>0</v>
      </c>
      <c r="CR23" s="693">
        <v>0</v>
      </c>
      <c r="CS23" s="692">
        <v>0</v>
      </c>
      <c r="CT23" s="693">
        <v>0</v>
      </c>
      <c r="CU23" s="694">
        <v>0</v>
      </c>
      <c r="CV23" s="693">
        <v>0</v>
      </c>
    </row>
    <row r="24" spans="1:100">
      <c r="A24" s="460">
        <v>22</v>
      </c>
      <c r="B24" s="580">
        <v>0</v>
      </c>
      <c r="C24" s="580">
        <v>0</v>
      </c>
      <c r="D24" s="580">
        <v>0</v>
      </c>
      <c r="E24" s="580">
        <v>0</v>
      </c>
      <c r="F24" s="580">
        <f t="shared" si="0"/>
        <v>1.2500000000000001E-2</v>
      </c>
      <c r="G24" s="580">
        <v>0.01</v>
      </c>
      <c r="H24" s="580">
        <v>0</v>
      </c>
      <c r="I24" s="580">
        <v>0</v>
      </c>
      <c r="J24" s="580">
        <v>0</v>
      </c>
      <c r="K24" s="580">
        <v>0</v>
      </c>
      <c r="L24" s="580">
        <v>0</v>
      </c>
      <c r="M24" s="580">
        <v>0</v>
      </c>
      <c r="N24" s="580">
        <v>0</v>
      </c>
      <c r="O24" s="580">
        <v>0</v>
      </c>
      <c r="P24" s="580">
        <v>0</v>
      </c>
      <c r="Q24" s="580">
        <v>0</v>
      </c>
      <c r="R24" s="580">
        <v>0</v>
      </c>
      <c r="S24" s="580">
        <v>0</v>
      </c>
      <c r="T24" s="580">
        <v>0.01</v>
      </c>
      <c r="U24" s="580">
        <v>0</v>
      </c>
      <c r="V24" s="580">
        <v>0</v>
      </c>
      <c r="W24" s="595">
        <v>0</v>
      </c>
      <c r="X24" s="688">
        <v>0</v>
      </c>
      <c r="Y24" s="688">
        <v>0</v>
      </c>
      <c r="Z24" s="688">
        <v>0</v>
      </c>
      <c r="AA24" s="688">
        <v>0</v>
      </c>
      <c r="AB24" s="688">
        <v>0</v>
      </c>
      <c r="AC24" s="688">
        <v>0</v>
      </c>
      <c r="AD24" s="688">
        <v>0</v>
      </c>
      <c r="AE24" s="977">
        <v>0</v>
      </c>
      <c r="AF24" s="978">
        <v>0</v>
      </c>
      <c r="AG24" s="979">
        <v>0</v>
      </c>
      <c r="AH24" s="688">
        <v>0</v>
      </c>
      <c r="AI24" s="687">
        <v>0</v>
      </c>
      <c r="AJ24" s="685">
        <v>0</v>
      </c>
      <c r="AK24" s="687">
        <v>0</v>
      </c>
      <c r="AL24" s="689">
        <v>0</v>
      </c>
      <c r="AM24" s="685">
        <v>0</v>
      </c>
      <c r="AN24" s="685">
        <v>0</v>
      </c>
      <c r="AO24" s="689">
        <v>0</v>
      </c>
      <c r="AP24" s="690">
        <v>0.01</v>
      </c>
      <c r="AQ24" s="687">
        <f t="shared" si="17"/>
        <v>7.1428571428571426E-3</v>
      </c>
      <c r="AR24" s="685">
        <v>1.6250000000000001E-2</v>
      </c>
      <c r="AS24" s="687">
        <f t="shared" si="1"/>
        <v>1.2500000000000001E-2</v>
      </c>
      <c r="AT24" s="691">
        <v>3.0000000000000001E-3</v>
      </c>
      <c r="AU24" s="685">
        <v>0</v>
      </c>
      <c r="AV24" s="687">
        <v>0</v>
      </c>
      <c r="AW24" s="692">
        <v>0</v>
      </c>
      <c r="AX24" s="693">
        <v>0</v>
      </c>
      <c r="AY24" s="692">
        <v>0</v>
      </c>
      <c r="AZ24" s="693">
        <v>0</v>
      </c>
      <c r="BA24" s="692">
        <v>0</v>
      </c>
      <c r="BB24" s="693">
        <v>0</v>
      </c>
      <c r="BC24" s="694">
        <v>0</v>
      </c>
      <c r="BD24" s="695">
        <v>0</v>
      </c>
      <c r="BE24" s="692">
        <v>0</v>
      </c>
      <c r="BF24" s="693">
        <v>0</v>
      </c>
      <c r="BG24" s="694">
        <v>0</v>
      </c>
      <c r="BH24" s="693">
        <v>0</v>
      </c>
      <c r="BI24" s="694">
        <v>0</v>
      </c>
      <c r="BJ24" s="693">
        <v>0</v>
      </c>
      <c r="BK24" s="694">
        <v>0</v>
      </c>
      <c r="BL24" s="693">
        <v>0</v>
      </c>
      <c r="BM24" s="694">
        <v>0</v>
      </c>
      <c r="BN24" s="693">
        <v>0</v>
      </c>
      <c r="BO24" s="694">
        <v>0</v>
      </c>
      <c r="BP24" s="693">
        <v>0</v>
      </c>
      <c r="BQ24" s="694">
        <v>0</v>
      </c>
      <c r="BR24" s="693">
        <v>0</v>
      </c>
      <c r="BS24" s="694">
        <v>0</v>
      </c>
      <c r="BT24" s="693">
        <v>0</v>
      </c>
      <c r="BU24" s="694">
        <v>0</v>
      </c>
      <c r="BV24" s="693">
        <v>0</v>
      </c>
      <c r="BW24" s="694">
        <v>0</v>
      </c>
      <c r="BX24" s="693">
        <v>0</v>
      </c>
      <c r="BY24" s="694">
        <v>0</v>
      </c>
      <c r="BZ24" s="693">
        <v>0</v>
      </c>
      <c r="CA24" s="694">
        <v>0</v>
      </c>
      <c r="CB24" s="693">
        <v>0</v>
      </c>
      <c r="CC24" s="692">
        <v>0</v>
      </c>
      <c r="CD24" s="695">
        <v>0</v>
      </c>
      <c r="CE24" s="692">
        <v>0</v>
      </c>
      <c r="CF24" s="695">
        <v>0</v>
      </c>
      <c r="CG24" s="692">
        <v>0</v>
      </c>
      <c r="CH24" s="695">
        <v>0</v>
      </c>
      <c r="CI24" s="692">
        <v>0</v>
      </c>
      <c r="CJ24" s="695">
        <v>0</v>
      </c>
      <c r="CK24" s="692">
        <v>0</v>
      </c>
      <c r="CL24" s="695">
        <v>0</v>
      </c>
      <c r="CM24" s="692">
        <v>0</v>
      </c>
      <c r="CN24" s="695">
        <v>0</v>
      </c>
      <c r="CO24" s="692">
        <v>0</v>
      </c>
      <c r="CP24" s="695">
        <v>0</v>
      </c>
      <c r="CQ24" s="692">
        <v>0</v>
      </c>
      <c r="CR24" s="693">
        <v>0</v>
      </c>
      <c r="CS24" s="692">
        <v>0</v>
      </c>
      <c r="CT24" s="693">
        <v>0</v>
      </c>
      <c r="CU24" s="694">
        <v>0</v>
      </c>
      <c r="CV24" s="693">
        <v>0</v>
      </c>
    </row>
    <row r="25" spans="1:100">
      <c r="A25" s="460">
        <v>23</v>
      </c>
      <c r="B25" s="580">
        <v>0</v>
      </c>
      <c r="C25" s="580">
        <v>0</v>
      </c>
      <c r="D25" s="580">
        <v>0</v>
      </c>
      <c r="E25" s="580">
        <v>0</v>
      </c>
      <c r="F25" s="580">
        <f t="shared" si="0"/>
        <v>1.2500000000000001E-2</v>
      </c>
      <c r="G25" s="580">
        <v>0.01</v>
      </c>
      <c r="H25" s="580">
        <v>0</v>
      </c>
      <c r="I25" s="580">
        <v>0</v>
      </c>
      <c r="J25" s="580">
        <v>0</v>
      </c>
      <c r="K25" s="580">
        <v>0</v>
      </c>
      <c r="L25" s="580">
        <v>0</v>
      </c>
      <c r="M25" s="580">
        <v>0</v>
      </c>
      <c r="N25" s="580">
        <v>0</v>
      </c>
      <c r="O25" s="580">
        <v>0</v>
      </c>
      <c r="P25" s="580">
        <v>0</v>
      </c>
      <c r="Q25" s="580">
        <v>0</v>
      </c>
      <c r="R25" s="580">
        <v>0</v>
      </c>
      <c r="S25" s="580">
        <v>0</v>
      </c>
      <c r="T25" s="580">
        <v>0.01</v>
      </c>
      <c r="U25" s="580">
        <v>0</v>
      </c>
      <c r="V25" s="580">
        <v>0</v>
      </c>
      <c r="W25" s="595">
        <v>0</v>
      </c>
      <c r="X25" s="688">
        <v>0</v>
      </c>
      <c r="Y25" s="688">
        <v>0</v>
      </c>
      <c r="Z25" s="688">
        <v>0</v>
      </c>
      <c r="AA25" s="688">
        <v>0</v>
      </c>
      <c r="AB25" s="688">
        <v>0</v>
      </c>
      <c r="AC25" s="688">
        <v>0</v>
      </c>
      <c r="AD25" s="688">
        <v>0</v>
      </c>
      <c r="AE25" s="977">
        <v>0</v>
      </c>
      <c r="AF25" s="978">
        <v>0</v>
      </c>
      <c r="AG25" s="979">
        <v>0</v>
      </c>
      <c r="AH25" s="688">
        <v>0</v>
      </c>
      <c r="AI25" s="687">
        <v>0</v>
      </c>
      <c r="AJ25" s="685">
        <v>0</v>
      </c>
      <c r="AK25" s="687">
        <v>0</v>
      </c>
      <c r="AL25" s="689">
        <v>0</v>
      </c>
      <c r="AM25" s="685">
        <v>0</v>
      </c>
      <c r="AN25" s="685">
        <v>0</v>
      </c>
      <c r="AO25" s="689">
        <v>0</v>
      </c>
      <c r="AP25" s="690">
        <v>0.01</v>
      </c>
      <c r="AQ25" s="687">
        <f t="shared" si="17"/>
        <v>7.1428571428571426E-3</v>
      </c>
      <c r="AR25" s="685">
        <v>1.6250000000000001E-2</v>
      </c>
      <c r="AS25" s="687">
        <f t="shared" si="1"/>
        <v>1.2500000000000001E-2</v>
      </c>
      <c r="AT25" s="691">
        <v>3.0000000000000001E-3</v>
      </c>
      <c r="AU25" s="685">
        <v>0</v>
      </c>
      <c r="AV25" s="687">
        <v>0</v>
      </c>
      <c r="AW25" s="692">
        <v>0</v>
      </c>
      <c r="AX25" s="693">
        <v>0</v>
      </c>
      <c r="AY25" s="692">
        <v>0</v>
      </c>
      <c r="AZ25" s="693">
        <v>0</v>
      </c>
      <c r="BA25" s="692">
        <v>0</v>
      </c>
      <c r="BB25" s="693">
        <v>0</v>
      </c>
      <c r="BC25" s="694">
        <v>0</v>
      </c>
      <c r="BD25" s="695">
        <v>0</v>
      </c>
      <c r="BE25" s="692">
        <v>0</v>
      </c>
      <c r="BF25" s="693">
        <v>0</v>
      </c>
      <c r="BG25" s="694">
        <v>0</v>
      </c>
      <c r="BH25" s="693">
        <v>0</v>
      </c>
      <c r="BI25" s="694">
        <v>0</v>
      </c>
      <c r="BJ25" s="693">
        <v>0</v>
      </c>
      <c r="BK25" s="694">
        <v>0</v>
      </c>
      <c r="BL25" s="693">
        <v>0</v>
      </c>
      <c r="BM25" s="694">
        <v>0</v>
      </c>
      <c r="BN25" s="693">
        <v>0</v>
      </c>
      <c r="BO25" s="694">
        <v>0</v>
      </c>
      <c r="BP25" s="693">
        <v>0</v>
      </c>
      <c r="BQ25" s="694">
        <v>0</v>
      </c>
      <c r="BR25" s="693">
        <v>0</v>
      </c>
      <c r="BS25" s="694">
        <v>0</v>
      </c>
      <c r="BT25" s="693">
        <v>0</v>
      </c>
      <c r="BU25" s="694">
        <v>0</v>
      </c>
      <c r="BV25" s="693">
        <v>0</v>
      </c>
      <c r="BW25" s="694">
        <v>0</v>
      </c>
      <c r="BX25" s="693">
        <v>0</v>
      </c>
      <c r="BY25" s="694">
        <v>0</v>
      </c>
      <c r="BZ25" s="693">
        <v>0</v>
      </c>
      <c r="CA25" s="694">
        <v>0</v>
      </c>
      <c r="CB25" s="693">
        <v>0</v>
      </c>
      <c r="CC25" s="692">
        <v>0</v>
      </c>
      <c r="CD25" s="695">
        <v>0</v>
      </c>
      <c r="CE25" s="692">
        <v>0</v>
      </c>
      <c r="CF25" s="695">
        <v>0</v>
      </c>
      <c r="CG25" s="692">
        <v>0</v>
      </c>
      <c r="CH25" s="695">
        <v>0</v>
      </c>
      <c r="CI25" s="692">
        <v>0</v>
      </c>
      <c r="CJ25" s="695">
        <v>0</v>
      </c>
      <c r="CK25" s="692">
        <v>0</v>
      </c>
      <c r="CL25" s="695">
        <v>0</v>
      </c>
      <c r="CM25" s="692">
        <v>0</v>
      </c>
      <c r="CN25" s="695">
        <v>0</v>
      </c>
      <c r="CO25" s="692">
        <v>0</v>
      </c>
      <c r="CP25" s="695">
        <v>0</v>
      </c>
      <c r="CQ25" s="692">
        <v>0</v>
      </c>
      <c r="CR25" s="693">
        <v>0</v>
      </c>
      <c r="CS25" s="692">
        <v>0</v>
      </c>
      <c r="CT25" s="693">
        <v>0</v>
      </c>
      <c r="CU25" s="694">
        <v>0</v>
      </c>
      <c r="CV25" s="693">
        <v>0</v>
      </c>
    </row>
    <row r="26" spans="1:100">
      <c r="A26" s="460">
        <v>24</v>
      </c>
      <c r="B26" s="580">
        <v>0</v>
      </c>
      <c r="C26" s="580">
        <v>0</v>
      </c>
      <c r="D26" s="580">
        <v>0</v>
      </c>
      <c r="E26" s="580">
        <v>0</v>
      </c>
      <c r="F26" s="580">
        <f t="shared" si="0"/>
        <v>1.2500000000000001E-2</v>
      </c>
      <c r="G26" s="580">
        <v>0.01</v>
      </c>
      <c r="H26" s="580">
        <v>0</v>
      </c>
      <c r="I26" s="580">
        <v>0</v>
      </c>
      <c r="J26" s="580">
        <v>0</v>
      </c>
      <c r="K26" s="580">
        <v>0</v>
      </c>
      <c r="L26" s="580">
        <v>0</v>
      </c>
      <c r="M26" s="580">
        <v>0</v>
      </c>
      <c r="N26" s="580">
        <v>0</v>
      </c>
      <c r="O26" s="580">
        <v>0</v>
      </c>
      <c r="P26" s="580">
        <v>0</v>
      </c>
      <c r="Q26" s="580">
        <v>0</v>
      </c>
      <c r="R26" s="580">
        <v>0</v>
      </c>
      <c r="S26" s="580">
        <v>0</v>
      </c>
      <c r="T26" s="580">
        <v>0.01</v>
      </c>
      <c r="U26" s="580">
        <v>0</v>
      </c>
      <c r="V26" s="580">
        <v>0</v>
      </c>
      <c r="W26" s="595">
        <v>0</v>
      </c>
      <c r="X26" s="688">
        <v>0</v>
      </c>
      <c r="Y26" s="688">
        <v>0</v>
      </c>
      <c r="Z26" s="688">
        <v>0</v>
      </c>
      <c r="AA26" s="688">
        <v>0</v>
      </c>
      <c r="AB26" s="688">
        <v>0</v>
      </c>
      <c r="AC26" s="688">
        <v>0</v>
      </c>
      <c r="AD26" s="688">
        <v>0</v>
      </c>
      <c r="AE26" s="977">
        <v>0</v>
      </c>
      <c r="AF26" s="978">
        <v>0</v>
      </c>
      <c r="AG26" s="979">
        <v>0</v>
      </c>
      <c r="AH26" s="688">
        <v>0</v>
      </c>
      <c r="AI26" s="687">
        <v>0</v>
      </c>
      <c r="AJ26" s="685">
        <v>0</v>
      </c>
      <c r="AK26" s="687">
        <v>0</v>
      </c>
      <c r="AL26" s="689">
        <v>0</v>
      </c>
      <c r="AM26" s="685">
        <v>0</v>
      </c>
      <c r="AN26" s="685">
        <v>0</v>
      </c>
      <c r="AO26" s="689">
        <v>0</v>
      </c>
      <c r="AP26" s="690">
        <v>0.01</v>
      </c>
      <c r="AQ26" s="687">
        <f t="shared" si="17"/>
        <v>7.1428571428571426E-3</v>
      </c>
      <c r="AR26" s="685">
        <v>1.6250000000000001E-2</v>
      </c>
      <c r="AS26" s="687">
        <f t="shared" si="1"/>
        <v>1.2500000000000001E-2</v>
      </c>
      <c r="AT26" s="691">
        <v>3.0000000000000001E-3</v>
      </c>
      <c r="AU26" s="685">
        <v>0</v>
      </c>
      <c r="AV26" s="687">
        <v>0</v>
      </c>
      <c r="AW26" s="692">
        <v>0</v>
      </c>
      <c r="AX26" s="693">
        <v>0</v>
      </c>
      <c r="AY26" s="692">
        <v>0</v>
      </c>
      <c r="AZ26" s="693">
        <v>0</v>
      </c>
      <c r="BA26" s="692">
        <v>0</v>
      </c>
      <c r="BB26" s="693">
        <v>0</v>
      </c>
      <c r="BC26" s="694">
        <v>0</v>
      </c>
      <c r="BD26" s="695">
        <v>0</v>
      </c>
      <c r="BE26" s="692">
        <v>0</v>
      </c>
      <c r="BF26" s="693">
        <v>0</v>
      </c>
      <c r="BG26" s="694">
        <v>0</v>
      </c>
      <c r="BH26" s="693">
        <v>0</v>
      </c>
      <c r="BI26" s="694">
        <v>0</v>
      </c>
      <c r="BJ26" s="693">
        <v>0</v>
      </c>
      <c r="BK26" s="694">
        <v>0</v>
      </c>
      <c r="BL26" s="693">
        <v>0</v>
      </c>
      <c r="BM26" s="694">
        <v>0</v>
      </c>
      <c r="BN26" s="693">
        <v>0</v>
      </c>
      <c r="BO26" s="694">
        <v>0</v>
      </c>
      <c r="BP26" s="693">
        <v>0</v>
      </c>
      <c r="BQ26" s="694">
        <v>0</v>
      </c>
      <c r="BR26" s="693">
        <v>0</v>
      </c>
      <c r="BS26" s="694">
        <v>0</v>
      </c>
      <c r="BT26" s="693">
        <v>0</v>
      </c>
      <c r="BU26" s="694">
        <v>0</v>
      </c>
      <c r="BV26" s="693">
        <v>0</v>
      </c>
      <c r="BW26" s="694">
        <v>0</v>
      </c>
      <c r="BX26" s="693">
        <v>0</v>
      </c>
      <c r="BY26" s="694">
        <v>0</v>
      </c>
      <c r="BZ26" s="693">
        <v>0</v>
      </c>
      <c r="CA26" s="694">
        <v>0</v>
      </c>
      <c r="CB26" s="693">
        <v>0</v>
      </c>
      <c r="CC26" s="692">
        <v>0</v>
      </c>
      <c r="CD26" s="695">
        <v>0</v>
      </c>
      <c r="CE26" s="692">
        <v>0</v>
      </c>
      <c r="CF26" s="695">
        <v>0</v>
      </c>
      <c r="CG26" s="692">
        <v>0</v>
      </c>
      <c r="CH26" s="695">
        <v>0</v>
      </c>
      <c r="CI26" s="692">
        <v>0</v>
      </c>
      <c r="CJ26" s="695">
        <v>0</v>
      </c>
      <c r="CK26" s="692">
        <v>0</v>
      </c>
      <c r="CL26" s="695">
        <v>0</v>
      </c>
      <c r="CM26" s="692">
        <v>0</v>
      </c>
      <c r="CN26" s="695">
        <v>0</v>
      </c>
      <c r="CO26" s="692">
        <v>0</v>
      </c>
      <c r="CP26" s="695">
        <v>0</v>
      </c>
      <c r="CQ26" s="692">
        <v>0</v>
      </c>
      <c r="CR26" s="693">
        <v>0</v>
      </c>
      <c r="CS26" s="692">
        <v>0</v>
      </c>
      <c r="CT26" s="693">
        <v>0</v>
      </c>
      <c r="CU26" s="694">
        <v>0</v>
      </c>
      <c r="CV26" s="693">
        <v>0</v>
      </c>
    </row>
    <row r="27" spans="1:100">
      <c r="A27" s="460">
        <v>25</v>
      </c>
      <c r="B27" s="580">
        <v>0</v>
      </c>
      <c r="C27" s="580">
        <v>0</v>
      </c>
      <c r="D27" s="580">
        <v>0</v>
      </c>
      <c r="E27" s="580">
        <v>0</v>
      </c>
      <c r="F27" s="580">
        <f t="shared" si="0"/>
        <v>1.2500000000000001E-2</v>
      </c>
      <c r="G27" s="580">
        <v>0.01</v>
      </c>
      <c r="H27" s="580">
        <v>0</v>
      </c>
      <c r="I27" s="580">
        <v>0</v>
      </c>
      <c r="J27" s="580">
        <v>0</v>
      </c>
      <c r="K27" s="580">
        <v>0</v>
      </c>
      <c r="L27" s="580">
        <v>0</v>
      </c>
      <c r="M27" s="580">
        <v>0</v>
      </c>
      <c r="N27" s="580">
        <v>0</v>
      </c>
      <c r="O27" s="580">
        <v>0</v>
      </c>
      <c r="P27" s="580">
        <v>0</v>
      </c>
      <c r="Q27" s="580">
        <v>0</v>
      </c>
      <c r="R27" s="580">
        <v>0</v>
      </c>
      <c r="S27" s="580">
        <v>0</v>
      </c>
      <c r="T27" s="580">
        <v>0.01</v>
      </c>
      <c r="U27" s="580">
        <v>0</v>
      </c>
      <c r="V27" s="580">
        <v>0</v>
      </c>
      <c r="W27" s="595">
        <v>0</v>
      </c>
      <c r="X27" s="688">
        <v>0</v>
      </c>
      <c r="Y27" s="688">
        <v>0</v>
      </c>
      <c r="Z27" s="688">
        <v>0</v>
      </c>
      <c r="AA27" s="688">
        <v>0</v>
      </c>
      <c r="AB27" s="688">
        <v>0</v>
      </c>
      <c r="AC27" s="688">
        <v>0</v>
      </c>
      <c r="AD27" s="688">
        <v>0</v>
      </c>
      <c r="AE27" s="977">
        <v>0</v>
      </c>
      <c r="AF27" s="978">
        <v>0</v>
      </c>
      <c r="AG27" s="979">
        <v>0</v>
      </c>
      <c r="AH27" s="688">
        <v>0</v>
      </c>
      <c r="AI27" s="687">
        <v>0</v>
      </c>
      <c r="AJ27" s="685">
        <v>0</v>
      </c>
      <c r="AK27" s="687">
        <v>0</v>
      </c>
      <c r="AL27" s="689">
        <v>0</v>
      </c>
      <c r="AM27" s="685">
        <v>0</v>
      </c>
      <c r="AN27" s="685">
        <v>0</v>
      </c>
      <c r="AO27" s="689">
        <v>0</v>
      </c>
      <c r="AP27" s="690">
        <v>0</v>
      </c>
      <c r="AQ27" s="687">
        <f t="shared" si="17"/>
        <v>7.1428571428571426E-3</v>
      </c>
      <c r="AR27" s="685">
        <v>1.6250000000000001E-2</v>
      </c>
      <c r="AS27" s="687">
        <f t="shared" si="1"/>
        <v>1.2500000000000001E-2</v>
      </c>
      <c r="AT27" s="691">
        <v>2E-3</v>
      </c>
      <c r="AU27" s="685">
        <v>0</v>
      </c>
      <c r="AV27" s="687">
        <v>0</v>
      </c>
      <c r="AW27" s="692">
        <v>0</v>
      </c>
      <c r="AX27" s="693">
        <v>0</v>
      </c>
      <c r="AY27" s="692">
        <v>0</v>
      </c>
      <c r="AZ27" s="693">
        <v>0</v>
      </c>
      <c r="BA27" s="692">
        <v>0</v>
      </c>
      <c r="BB27" s="693">
        <v>0</v>
      </c>
      <c r="BC27" s="694">
        <v>0</v>
      </c>
      <c r="BD27" s="695">
        <v>0</v>
      </c>
      <c r="BE27" s="692">
        <v>0</v>
      </c>
      <c r="BF27" s="693">
        <v>0</v>
      </c>
      <c r="BG27" s="694">
        <v>0</v>
      </c>
      <c r="BH27" s="693">
        <v>0</v>
      </c>
      <c r="BI27" s="694">
        <v>0</v>
      </c>
      <c r="BJ27" s="693">
        <v>0</v>
      </c>
      <c r="BK27" s="694">
        <v>0</v>
      </c>
      <c r="BL27" s="693">
        <v>0</v>
      </c>
      <c r="BM27" s="694">
        <v>0</v>
      </c>
      <c r="BN27" s="693">
        <v>0</v>
      </c>
      <c r="BO27" s="694">
        <v>0</v>
      </c>
      <c r="BP27" s="693">
        <v>0</v>
      </c>
      <c r="BQ27" s="694">
        <v>0</v>
      </c>
      <c r="BR27" s="693">
        <v>0</v>
      </c>
      <c r="BS27" s="694">
        <v>0</v>
      </c>
      <c r="BT27" s="693">
        <v>0</v>
      </c>
      <c r="BU27" s="694">
        <v>0</v>
      </c>
      <c r="BV27" s="693">
        <v>0</v>
      </c>
      <c r="BW27" s="694">
        <v>0</v>
      </c>
      <c r="BX27" s="693">
        <v>0</v>
      </c>
      <c r="BY27" s="694">
        <v>0</v>
      </c>
      <c r="BZ27" s="693">
        <v>0</v>
      </c>
      <c r="CA27" s="694">
        <v>0</v>
      </c>
      <c r="CB27" s="693">
        <v>0</v>
      </c>
      <c r="CC27" s="692">
        <v>0</v>
      </c>
      <c r="CD27" s="695">
        <v>0</v>
      </c>
      <c r="CE27" s="692">
        <v>0</v>
      </c>
      <c r="CF27" s="695">
        <v>0</v>
      </c>
      <c r="CG27" s="692">
        <v>0</v>
      </c>
      <c r="CH27" s="695">
        <v>0</v>
      </c>
      <c r="CI27" s="692">
        <v>0</v>
      </c>
      <c r="CJ27" s="695">
        <v>0</v>
      </c>
      <c r="CK27" s="692">
        <v>0</v>
      </c>
      <c r="CL27" s="695">
        <v>0</v>
      </c>
      <c r="CM27" s="692">
        <v>0</v>
      </c>
      <c r="CN27" s="695">
        <v>0</v>
      </c>
      <c r="CO27" s="692">
        <v>0</v>
      </c>
      <c r="CP27" s="695">
        <v>0</v>
      </c>
      <c r="CQ27" s="692">
        <v>0</v>
      </c>
      <c r="CR27" s="693">
        <v>0</v>
      </c>
      <c r="CS27" s="692">
        <v>0</v>
      </c>
      <c r="CT27" s="693">
        <v>0</v>
      </c>
      <c r="CU27" s="694">
        <v>0</v>
      </c>
      <c r="CV27" s="693">
        <v>0</v>
      </c>
    </row>
    <row r="28" spans="1:100">
      <c r="A28" s="460">
        <v>26</v>
      </c>
      <c r="B28" s="580">
        <v>0</v>
      </c>
      <c r="C28" s="580">
        <v>0</v>
      </c>
      <c r="D28" s="580">
        <v>0</v>
      </c>
      <c r="E28" s="580">
        <v>0</v>
      </c>
      <c r="F28" s="580">
        <f t="shared" si="0"/>
        <v>1.2500000000000001E-2</v>
      </c>
      <c r="G28" s="580">
        <v>0.01</v>
      </c>
      <c r="H28" s="580">
        <v>0</v>
      </c>
      <c r="I28" s="580">
        <v>0</v>
      </c>
      <c r="J28" s="580">
        <v>0</v>
      </c>
      <c r="K28" s="580">
        <v>0</v>
      </c>
      <c r="L28" s="580">
        <v>0</v>
      </c>
      <c r="M28" s="580">
        <v>0</v>
      </c>
      <c r="N28" s="580">
        <v>0</v>
      </c>
      <c r="O28" s="580">
        <v>0</v>
      </c>
      <c r="P28" s="580">
        <v>0</v>
      </c>
      <c r="Q28" s="580">
        <v>0</v>
      </c>
      <c r="R28" s="580">
        <v>0</v>
      </c>
      <c r="S28" s="580">
        <v>0</v>
      </c>
      <c r="T28" s="580">
        <v>0.01</v>
      </c>
      <c r="U28" s="580">
        <v>0</v>
      </c>
      <c r="V28" s="580">
        <v>0</v>
      </c>
      <c r="W28" s="595">
        <v>0</v>
      </c>
      <c r="X28" s="688">
        <v>0</v>
      </c>
      <c r="Y28" s="688">
        <v>0</v>
      </c>
      <c r="Z28" s="688">
        <v>0</v>
      </c>
      <c r="AA28" s="688">
        <v>0</v>
      </c>
      <c r="AB28" s="688">
        <v>0</v>
      </c>
      <c r="AC28" s="688">
        <v>0</v>
      </c>
      <c r="AD28" s="688">
        <v>0</v>
      </c>
      <c r="AE28" s="977">
        <v>0</v>
      </c>
      <c r="AF28" s="978">
        <v>0</v>
      </c>
      <c r="AG28" s="979">
        <v>0</v>
      </c>
      <c r="AH28" s="688">
        <v>0</v>
      </c>
      <c r="AI28" s="687">
        <v>0</v>
      </c>
      <c r="AJ28" s="685">
        <v>0</v>
      </c>
      <c r="AK28" s="687">
        <v>0</v>
      </c>
      <c r="AL28" s="689">
        <v>0</v>
      </c>
      <c r="AM28" s="685">
        <v>0</v>
      </c>
      <c r="AN28" s="685">
        <v>0</v>
      </c>
      <c r="AO28" s="689">
        <v>0</v>
      </c>
      <c r="AP28" s="690">
        <v>0</v>
      </c>
      <c r="AQ28" s="687">
        <f t="shared" si="17"/>
        <v>7.1428571428571426E-3</v>
      </c>
      <c r="AR28" s="685">
        <v>1.6250000000000001E-2</v>
      </c>
      <c r="AS28" s="687">
        <f t="shared" si="1"/>
        <v>1.2500000000000001E-2</v>
      </c>
      <c r="AT28" s="691">
        <v>2E-3</v>
      </c>
      <c r="AU28" s="685">
        <v>0</v>
      </c>
      <c r="AV28" s="687">
        <v>0</v>
      </c>
      <c r="AW28" s="692">
        <v>0</v>
      </c>
      <c r="AX28" s="693">
        <v>0</v>
      </c>
      <c r="AY28" s="692">
        <v>0</v>
      </c>
      <c r="AZ28" s="693">
        <v>0</v>
      </c>
      <c r="BA28" s="692">
        <v>0</v>
      </c>
      <c r="BB28" s="693">
        <v>0</v>
      </c>
      <c r="BC28" s="694">
        <v>0</v>
      </c>
      <c r="BD28" s="695">
        <v>0</v>
      </c>
      <c r="BE28" s="692">
        <v>0</v>
      </c>
      <c r="BF28" s="693">
        <v>0</v>
      </c>
      <c r="BG28" s="694">
        <v>0</v>
      </c>
      <c r="BH28" s="693">
        <v>0</v>
      </c>
      <c r="BI28" s="694">
        <v>0</v>
      </c>
      <c r="BJ28" s="693">
        <v>0</v>
      </c>
      <c r="BK28" s="694">
        <v>0</v>
      </c>
      <c r="BL28" s="693">
        <v>0</v>
      </c>
      <c r="BM28" s="694">
        <v>0</v>
      </c>
      <c r="BN28" s="693">
        <v>0</v>
      </c>
      <c r="BO28" s="694">
        <v>0</v>
      </c>
      <c r="BP28" s="693">
        <v>0</v>
      </c>
      <c r="BQ28" s="694">
        <v>0</v>
      </c>
      <c r="BR28" s="693">
        <v>0</v>
      </c>
      <c r="BS28" s="694">
        <v>0</v>
      </c>
      <c r="BT28" s="693">
        <v>0</v>
      </c>
      <c r="BU28" s="694">
        <v>0</v>
      </c>
      <c r="BV28" s="693">
        <v>0</v>
      </c>
      <c r="BW28" s="694">
        <v>0</v>
      </c>
      <c r="BX28" s="693">
        <v>0</v>
      </c>
      <c r="BY28" s="694">
        <v>0</v>
      </c>
      <c r="BZ28" s="693">
        <v>0</v>
      </c>
      <c r="CA28" s="694">
        <v>0</v>
      </c>
      <c r="CB28" s="693">
        <v>0</v>
      </c>
      <c r="CC28" s="692">
        <v>0</v>
      </c>
      <c r="CD28" s="695">
        <v>0</v>
      </c>
      <c r="CE28" s="692">
        <v>0</v>
      </c>
      <c r="CF28" s="695">
        <v>0</v>
      </c>
      <c r="CG28" s="692">
        <v>0</v>
      </c>
      <c r="CH28" s="695">
        <v>0</v>
      </c>
      <c r="CI28" s="692">
        <v>0</v>
      </c>
      <c r="CJ28" s="695">
        <v>0</v>
      </c>
      <c r="CK28" s="692">
        <v>0</v>
      </c>
      <c r="CL28" s="695">
        <v>0</v>
      </c>
      <c r="CM28" s="692">
        <v>0</v>
      </c>
      <c r="CN28" s="695">
        <v>0</v>
      </c>
      <c r="CO28" s="692">
        <v>0</v>
      </c>
      <c r="CP28" s="695">
        <v>0</v>
      </c>
      <c r="CQ28" s="692">
        <v>0</v>
      </c>
      <c r="CR28" s="693">
        <v>0</v>
      </c>
      <c r="CS28" s="692">
        <v>0</v>
      </c>
      <c r="CT28" s="693">
        <v>0</v>
      </c>
      <c r="CU28" s="694">
        <v>0</v>
      </c>
      <c r="CV28" s="693">
        <v>0</v>
      </c>
    </row>
    <row r="29" spans="1:100">
      <c r="A29" s="460">
        <v>27</v>
      </c>
      <c r="B29" s="580">
        <v>0</v>
      </c>
      <c r="C29" s="580">
        <v>0</v>
      </c>
      <c r="D29" s="580">
        <v>0</v>
      </c>
      <c r="E29" s="580">
        <v>0</v>
      </c>
      <c r="F29" s="580">
        <f t="shared" si="0"/>
        <v>1.2500000000000001E-2</v>
      </c>
      <c r="G29" s="580">
        <v>0.01</v>
      </c>
      <c r="H29" s="580">
        <v>0</v>
      </c>
      <c r="I29" s="580">
        <v>0</v>
      </c>
      <c r="J29" s="580">
        <v>0</v>
      </c>
      <c r="K29" s="580">
        <v>0</v>
      </c>
      <c r="L29" s="580">
        <v>0</v>
      </c>
      <c r="M29" s="580">
        <v>0</v>
      </c>
      <c r="N29" s="580">
        <v>0</v>
      </c>
      <c r="O29" s="580">
        <v>0</v>
      </c>
      <c r="P29" s="580">
        <v>0</v>
      </c>
      <c r="Q29" s="580">
        <v>0</v>
      </c>
      <c r="R29" s="580">
        <v>0</v>
      </c>
      <c r="S29" s="580">
        <v>0</v>
      </c>
      <c r="T29" s="580">
        <v>0.01</v>
      </c>
      <c r="U29" s="580">
        <v>0</v>
      </c>
      <c r="V29" s="580">
        <v>0</v>
      </c>
      <c r="W29" s="595">
        <v>0</v>
      </c>
      <c r="X29" s="688">
        <v>0</v>
      </c>
      <c r="Y29" s="688">
        <v>0</v>
      </c>
      <c r="Z29" s="688">
        <v>0</v>
      </c>
      <c r="AA29" s="688">
        <v>0</v>
      </c>
      <c r="AB29" s="688">
        <v>0</v>
      </c>
      <c r="AC29" s="688">
        <v>0</v>
      </c>
      <c r="AD29" s="688">
        <v>0</v>
      </c>
      <c r="AE29" s="977">
        <v>0</v>
      </c>
      <c r="AF29" s="978">
        <v>0</v>
      </c>
      <c r="AG29" s="979">
        <v>0</v>
      </c>
      <c r="AH29" s="688">
        <v>0</v>
      </c>
      <c r="AI29" s="687">
        <v>0</v>
      </c>
      <c r="AJ29" s="685">
        <v>0</v>
      </c>
      <c r="AK29" s="687">
        <v>0</v>
      </c>
      <c r="AL29" s="689">
        <v>0</v>
      </c>
      <c r="AM29" s="685">
        <v>0</v>
      </c>
      <c r="AN29" s="685">
        <v>0</v>
      </c>
      <c r="AO29" s="689">
        <v>0</v>
      </c>
      <c r="AP29" s="690">
        <v>0</v>
      </c>
      <c r="AQ29" s="687">
        <f t="shared" si="17"/>
        <v>7.1428571428571426E-3</v>
      </c>
      <c r="AR29" s="685">
        <v>1.6250000000000001E-2</v>
      </c>
      <c r="AS29" s="687">
        <f t="shared" si="1"/>
        <v>1.2500000000000001E-2</v>
      </c>
      <c r="AT29" s="691">
        <v>2E-3</v>
      </c>
      <c r="AU29" s="685">
        <v>0</v>
      </c>
      <c r="AV29" s="687">
        <v>0</v>
      </c>
      <c r="AW29" s="692">
        <v>0</v>
      </c>
      <c r="AX29" s="693">
        <v>0</v>
      </c>
      <c r="AY29" s="692">
        <v>0</v>
      </c>
      <c r="AZ29" s="693">
        <v>0</v>
      </c>
      <c r="BA29" s="692">
        <v>0</v>
      </c>
      <c r="BB29" s="693">
        <v>0</v>
      </c>
      <c r="BC29" s="694">
        <v>0</v>
      </c>
      <c r="BD29" s="695">
        <v>0</v>
      </c>
      <c r="BE29" s="692">
        <v>0</v>
      </c>
      <c r="BF29" s="693">
        <v>0</v>
      </c>
      <c r="BG29" s="694">
        <v>0</v>
      </c>
      <c r="BH29" s="693">
        <v>0</v>
      </c>
      <c r="BI29" s="694">
        <v>0</v>
      </c>
      <c r="BJ29" s="693">
        <v>0</v>
      </c>
      <c r="BK29" s="694">
        <v>0</v>
      </c>
      <c r="BL29" s="693">
        <v>0</v>
      </c>
      <c r="BM29" s="694">
        <v>0</v>
      </c>
      <c r="BN29" s="693">
        <v>0</v>
      </c>
      <c r="BO29" s="694">
        <v>0</v>
      </c>
      <c r="BP29" s="693">
        <v>0</v>
      </c>
      <c r="BQ29" s="694">
        <v>0</v>
      </c>
      <c r="BR29" s="693">
        <v>0</v>
      </c>
      <c r="BS29" s="694">
        <v>0</v>
      </c>
      <c r="BT29" s="693">
        <v>0</v>
      </c>
      <c r="BU29" s="694">
        <v>0</v>
      </c>
      <c r="BV29" s="693">
        <v>0</v>
      </c>
      <c r="BW29" s="694">
        <v>0</v>
      </c>
      <c r="BX29" s="693">
        <v>0</v>
      </c>
      <c r="BY29" s="694">
        <v>0</v>
      </c>
      <c r="BZ29" s="693">
        <v>0</v>
      </c>
      <c r="CA29" s="694">
        <v>0</v>
      </c>
      <c r="CB29" s="693">
        <v>0</v>
      </c>
      <c r="CC29" s="692">
        <v>0</v>
      </c>
      <c r="CD29" s="695">
        <v>0</v>
      </c>
      <c r="CE29" s="692">
        <v>0</v>
      </c>
      <c r="CF29" s="695">
        <v>0</v>
      </c>
      <c r="CG29" s="692">
        <v>0</v>
      </c>
      <c r="CH29" s="695">
        <v>0</v>
      </c>
      <c r="CI29" s="692">
        <v>0</v>
      </c>
      <c r="CJ29" s="695">
        <v>0</v>
      </c>
      <c r="CK29" s="692">
        <v>0</v>
      </c>
      <c r="CL29" s="695">
        <v>0</v>
      </c>
      <c r="CM29" s="692">
        <v>0</v>
      </c>
      <c r="CN29" s="695">
        <v>0</v>
      </c>
      <c r="CO29" s="692">
        <v>0</v>
      </c>
      <c r="CP29" s="695">
        <v>0</v>
      </c>
      <c r="CQ29" s="692">
        <v>0</v>
      </c>
      <c r="CR29" s="693">
        <v>0</v>
      </c>
      <c r="CS29" s="692">
        <v>0</v>
      </c>
      <c r="CT29" s="693">
        <v>0</v>
      </c>
      <c r="CU29" s="694">
        <v>0</v>
      </c>
      <c r="CV29" s="693">
        <v>0</v>
      </c>
    </row>
    <row r="30" spans="1:100">
      <c r="A30" s="460">
        <v>28</v>
      </c>
      <c r="B30" s="580">
        <v>0</v>
      </c>
      <c r="C30" s="580">
        <v>0</v>
      </c>
      <c r="D30" s="580">
        <v>0</v>
      </c>
      <c r="E30" s="580">
        <v>0</v>
      </c>
      <c r="F30" s="580">
        <f t="shared" si="0"/>
        <v>1.2500000000000001E-2</v>
      </c>
      <c r="G30" s="580">
        <v>0.01</v>
      </c>
      <c r="H30" s="580">
        <v>0</v>
      </c>
      <c r="I30" s="580">
        <v>0</v>
      </c>
      <c r="J30" s="580">
        <v>0</v>
      </c>
      <c r="K30" s="580">
        <v>0</v>
      </c>
      <c r="L30" s="580">
        <v>0</v>
      </c>
      <c r="M30" s="580">
        <v>0</v>
      </c>
      <c r="N30" s="580">
        <v>0</v>
      </c>
      <c r="O30" s="580">
        <v>0</v>
      </c>
      <c r="P30" s="580">
        <v>0</v>
      </c>
      <c r="Q30" s="580">
        <v>0</v>
      </c>
      <c r="R30" s="580">
        <v>0</v>
      </c>
      <c r="S30" s="580">
        <v>0</v>
      </c>
      <c r="T30" s="580">
        <v>0.01</v>
      </c>
      <c r="U30" s="580">
        <v>0</v>
      </c>
      <c r="V30" s="580">
        <v>0</v>
      </c>
      <c r="W30" s="595">
        <v>0</v>
      </c>
      <c r="X30" s="688">
        <v>0</v>
      </c>
      <c r="Y30" s="688">
        <v>0</v>
      </c>
      <c r="Z30" s="688">
        <v>0</v>
      </c>
      <c r="AA30" s="688">
        <v>0</v>
      </c>
      <c r="AB30" s="688">
        <v>0</v>
      </c>
      <c r="AC30" s="688">
        <v>0</v>
      </c>
      <c r="AD30" s="688">
        <v>0</v>
      </c>
      <c r="AE30" s="977">
        <v>0</v>
      </c>
      <c r="AF30" s="978">
        <v>0</v>
      </c>
      <c r="AG30" s="979">
        <v>0</v>
      </c>
      <c r="AH30" s="688">
        <v>0</v>
      </c>
      <c r="AI30" s="687">
        <v>0</v>
      </c>
      <c r="AJ30" s="685">
        <v>0</v>
      </c>
      <c r="AK30" s="687">
        <v>0</v>
      </c>
      <c r="AL30" s="689">
        <v>0</v>
      </c>
      <c r="AM30" s="685">
        <v>0</v>
      </c>
      <c r="AN30" s="685">
        <v>0</v>
      </c>
      <c r="AO30" s="689">
        <v>0</v>
      </c>
      <c r="AP30" s="690">
        <v>0</v>
      </c>
      <c r="AQ30" s="687">
        <f t="shared" si="17"/>
        <v>7.1428571428571426E-3</v>
      </c>
      <c r="AR30" s="685">
        <v>1.6250000000000001E-2</v>
      </c>
      <c r="AS30" s="687">
        <f t="shared" si="1"/>
        <v>1.2500000000000001E-2</v>
      </c>
      <c r="AT30" s="691">
        <v>2E-3</v>
      </c>
      <c r="AU30" s="685">
        <v>0</v>
      </c>
      <c r="AV30" s="687">
        <v>0</v>
      </c>
      <c r="AW30" s="692">
        <v>0</v>
      </c>
      <c r="AX30" s="693">
        <v>0</v>
      </c>
      <c r="AY30" s="692">
        <v>0</v>
      </c>
      <c r="AZ30" s="693">
        <v>0</v>
      </c>
      <c r="BA30" s="692">
        <v>0</v>
      </c>
      <c r="BB30" s="693">
        <v>0</v>
      </c>
      <c r="BC30" s="694">
        <v>0</v>
      </c>
      <c r="BD30" s="695">
        <v>0</v>
      </c>
      <c r="BE30" s="692">
        <v>0</v>
      </c>
      <c r="BF30" s="693">
        <v>0</v>
      </c>
      <c r="BG30" s="694">
        <v>0</v>
      </c>
      <c r="BH30" s="693">
        <v>0</v>
      </c>
      <c r="BI30" s="694">
        <v>0</v>
      </c>
      <c r="BJ30" s="693">
        <v>0</v>
      </c>
      <c r="BK30" s="694">
        <v>0</v>
      </c>
      <c r="BL30" s="693">
        <v>0</v>
      </c>
      <c r="BM30" s="694">
        <v>0</v>
      </c>
      <c r="BN30" s="693">
        <v>0</v>
      </c>
      <c r="BO30" s="694">
        <v>0</v>
      </c>
      <c r="BP30" s="693">
        <v>0</v>
      </c>
      <c r="BQ30" s="694">
        <v>0</v>
      </c>
      <c r="BR30" s="693">
        <v>0</v>
      </c>
      <c r="BS30" s="694">
        <v>0</v>
      </c>
      <c r="BT30" s="693">
        <v>0</v>
      </c>
      <c r="BU30" s="694">
        <v>0</v>
      </c>
      <c r="BV30" s="693">
        <v>0</v>
      </c>
      <c r="BW30" s="694">
        <v>0</v>
      </c>
      <c r="BX30" s="693">
        <v>0</v>
      </c>
      <c r="BY30" s="694">
        <v>0</v>
      </c>
      <c r="BZ30" s="693">
        <v>0</v>
      </c>
      <c r="CA30" s="694">
        <v>0</v>
      </c>
      <c r="CB30" s="693">
        <v>0</v>
      </c>
      <c r="CC30" s="692">
        <v>0</v>
      </c>
      <c r="CD30" s="695">
        <v>0</v>
      </c>
      <c r="CE30" s="692">
        <v>0</v>
      </c>
      <c r="CF30" s="695">
        <v>0</v>
      </c>
      <c r="CG30" s="692">
        <v>0</v>
      </c>
      <c r="CH30" s="695">
        <v>0</v>
      </c>
      <c r="CI30" s="692">
        <v>0</v>
      </c>
      <c r="CJ30" s="695">
        <v>0</v>
      </c>
      <c r="CK30" s="692">
        <v>0</v>
      </c>
      <c r="CL30" s="695">
        <v>0</v>
      </c>
      <c r="CM30" s="692">
        <v>0</v>
      </c>
      <c r="CN30" s="695">
        <v>0</v>
      </c>
      <c r="CO30" s="692">
        <v>0</v>
      </c>
      <c r="CP30" s="695">
        <v>0</v>
      </c>
      <c r="CQ30" s="692">
        <v>0</v>
      </c>
      <c r="CR30" s="693">
        <v>0</v>
      </c>
      <c r="CS30" s="692">
        <v>0</v>
      </c>
      <c r="CT30" s="693">
        <v>0</v>
      </c>
      <c r="CU30" s="694">
        <v>0</v>
      </c>
      <c r="CV30" s="693">
        <v>0</v>
      </c>
    </row>
    <row r="31" spans="1:100">
      <c r="A31" s="460">
        <v>29</v>
      </c>
      <c r="B31" s="580">
        <v>0</v>
      </c>
      <c r="C31" s="580">
        <v>0</v>
      </c>
      <c r="D31" s="580">
        <v>0</v>
      </c>
      <c r="E31" s="580">
        <v>0</v>
      </c>
      <c r="F31" s="580">
        <f t="shared" si="0"/>
        <v>1.2500000000000001E-2</v>
      </c>
      <c r="G31" s="580">
        <v>0.01</v>
      </c>
      <c r="H31" s="580">
        <v>0</v>
      </c>
      <c r="I31" s="580">
        <v>0</v>
      </c>
      <c r="J31" s="580">
        <v>0</v>
      </c>
      <c r="K31" s="580">
        <v>0</v>
      </c>
      <c r="L31" s="580">
        <v>0</v>
      </c>
      <c r="M31" s="580">
        <v>0</v>
      </c>
      <c r="N31" s="580">
        <v>0</v>
      </c>
      <c r="O31" s="580">
        <v>0</v>
      </c>
      <c r="P31" s="580">
        <v>0</v>
      </c>
      <c r="Q31" s="580">
        <v>0</v>
      </c>
      <c r="R31" s="580">
        <v>0</v>
      </c>
      <c r="S31" s="580">
        <v>0</v>
      </c>
      <c r="T31" s="580">
        <v>0.01</v>
      </c>
      <c r="U31" s="580">
        <v>0</v>
      </c>
      <c r="V31" s="580">
        <v>0</v>
      </c>
      <c r="W31" s="595">
        <v>0</v>
      </c>
      <c r="X31" s="688">
        <v>0</v>
      </c>
      <c r="Y31" s="688">
        <v>0</v>
      </c>
      <c r="Z31" s="688">
        <v>0</v>
      </c>
      <c r="AA31" s="688">
        <v>0</v>
      </c>
      <c r="AB31" s="688">
        <v>0</v>
      </c>
      <c r="AC31" s="688">
        <v>0</v>
      </c>
      <c r="AD31" s="688">
        <v>0</v>
      </c>
      <c r="AE31" s="977">
        <v>0</v>
      </c>
      <c r="AF31" s="978">
        <v>0</v>
      </c>
      <c r="AG31" s="979">
        <v>0</v>
      </c>
      <c r="AH31" s="688">
        <v>0</v>
      </c>
      <c r="AI31" s="687">
        <v>0</v>
      </c>
      <c r="AJ31" s="685">
        <v>0</v>
      </c>
      <c r="AK31" s="687">
        <v>0</v>
      </c>
      <c r="AL31" s="689">
        <v>0</v>
      </c>
      <c r="AM31" s="685">
        <v>0</v>
      </c>
      <c r="AN31" s="685">
        <v>0</v>
      </c>
      <c r="AO31" s="689">
        <v>0</v>
      </c>
      <c r="AP31" s="690">
        <v>0</v>
      </c>
      <c r="AQ31" s="687">
        <f t="shared" si="17"/>
        <v>7.1428571428571426E-3</v>
      </c>
      <c r="AR31" s="685">
        <v>1.6250000000000001E-2</v>
      </c>
      <c r="AS31" s="687">
        <f t="shared" si="1"/>
        <v>1.2500000000000001E-2</v>
      </c>
      <c r="AT31" s="691">
        <v>2E-3</v>
      </c>
      <c r="AU31" s="685">
        <v>0</v>
      </c>
      <c r="AV31" s="687">
        <v>0</v>
      </c>
      <c r="AW31" s="692">
        <v>0</v>
      </c>
      <c r="AX31" s="693">
        <v>0</v>
      </c>
      <c r="AY31" s="692">
        <v>0</v>
      </c>
      <c r="AZ31" s="693">
        <v>0</v>
      </c>
      <c r="BA31" s="692">
        <v>0</v>
      </c>
      <c r="BB31" s="693">
        <v>0</v>
      </c>
      <c r="BC31" s="694">
        <v>0</v>
      </c>
      <c r="BD31" s="695">
        <v>0</v>
      </c>
      <c r="BE31" s="692">
        <v>0</v>
      </c>
      <c r="BF31" s="693">
        <v>0</v>
      </c>
      <c r="BG31" s="694">
        <v>0</v>
      </c>
      <c r="BH31" s="693">
        <v>0</v>
      </c>
      <c r="BI31" s="694">
        <v>0</v>
      </c>
      <c r="BJ31" s="693">
        <v>0</v>
      </c>
      <c r="BK31" s="694">
        <v>0</v>
      </c>
      <c r="BL31" s="693">
        <v>0</v>
      </c>
      <c r="BM31" s="694">
        <v>0</v>
      </c>
      <c r="BN31" s="693">
        <v>0</v>
      </c>
      <c r="BO31" s="694">
        <v>0</v>
      </c>
      <c r="BP31" s="693">
        <v>0</v>
      </c>
      <c r="BQ31" s="694">
        <v>0</v>
      </c>
      <c r="BR31" s="693">
        <v>0</v>
      </c>
      <c r="BS31" s="694">
        <v>0</v>
      </c>
      <c r="BT31" s="693">
        <v>0</v>
      </c>
      <c r="BU31" s="694">
        <v>0</v>
      </c>
      <c r="BV31" s="693">
        <v>0</v>
      </c>
      <c r="BW31" s="694">
        <v>0</v>
      </c>
      <c r="BX31" s="693">
        <v>0</v>
      </c>
      <c r="BY31" s="694">
        <v>0</v>
      </c>
      <c r="BZ31" s="693">
        <v>0</v>
      </c>
      <c r="CA31" s="694">
        <v>0</v>
      </c>
      <c r="CB31" s="693">
        <v>0</v>
      </c>
      <c r="CC31" s="692">
        <v>0</v>
      </c>
      <c r="CD31" s="695">
        <v>0</v>
      </c>
      <c r="CE31" s="692">
        <v>0</v>
      </c>
      <c r="CF31" s="695">
        <v>0</v>
      </c>
      <c r="CG31" s="692">
        <v>0</v>
      </c>
      <c r="CH31" s="695">
        <v>0</v>
      </c>
      <c r="CI31" s="692">
        <v>0</v>
      </c>
      <c r="CJ31" s="695">
        <v>0</v>
      </c>
      <c r="CK31" s="692">
        <v>0</v>
      </c>
      <c r="CL31" s="695">
        <v>0</v>
      </c>
      <c r="CM31" s="692">
        <v>0</v>
      </c>
      <c r="CN31" s="695">
        <v>0</v>
      </c>
      <c r="CO31" s="692">
        <v>0</v>
      </c>
      <c r="CP31" s="695">
        <v>0</v>
      </c>
      <c r="CQ31" s="692">
        <v>0</v>
      </c>
      <c r="CR31" s="693">
        <v>0</v>
      </c>
      <c r="CS31" s="692">
        <v>0</v>
      </c>
      <c r="CT31" s="693">
        <v>0</v>
      </c>
      <c r="CU31" s="694">
        <v>0</v>
      </c>
      <c r="CV31" s="693">
        <v>0</v>
      </c>
    </row>
    <row r="32" spans="1:100">
      <c r="A32" s="460">
        <v>30</v>
      </c>
      <c r="B32" s="580">
        <v>0</v>
      </c>
      <c r="C32" s="580">
        <v>0</v>
      </c>
      <c r="D32" s="580">
        <v>0</v>
      </c>
      <c r="E32" s="580">
        <v>0</v>
      </c>
      <c r="F32" s="580">
        <f t="shared" si="0"/>
        <v>1.2500000000000001E-2</v>
      </c>
      <c r="G32" s="580">
        <v>0.01</v>
      </c>
      <c r="H32" s="580">
        <v>0</v>
      </c>
      <c r="I32" s="580">
        <v>0</v>
      </c>
      <c r="J32" s="580">
        <v>0</v>
      </c>
      <c r="K32" s="580">
        <v>0</v>
      </c>
      <c r="L32" s="580">
        <v>0</v>
      </c>
      <c r="M32" s="580">
        <v>0</v>
      </c>
      <c r="N32" s="580">
        <v>0</v>
      </c>
      <c r="O32" s="580">
        <v>0</v>
      </c>
      <c r="P32" s="580">
        <v>0</v>
      </c>
      <c r="Q32" s="580">
        <v>0</v>
      </c>
      <c r="R32" s="580">
        <v>0</v>
      </c>
      <c r="S32" s="580">
        <v>0</v>
      </c>
      <c r="T32" s="580">
        <v>0.01</v>
      </c>
      <c r="U32" s="580">
        <v>0</v>
      </c>
      <c r="V32" s="580">
        <v>0</v>
      </c>
      <c r="W32" s="595">
        <v>0</v>
      </c>
      <c r="X32" s="688">
        <v>0</v>
      </c>
      <c r="Y32" s="688">
        <v>0</v>
      </c>
      <c r="Z32" s="688">
        <v>0</v>
      </c>
      <c r="AA32" s="688">
        <v>0</v>
      </c>
      <c r="AB32" s="688">
        <v>0</v>
      </c>
      <c r="AC32" s="688">
        <v>0</v>
      </c>
      <c r="AD32" s="688">
        <v>0</v>
      </c>
      <c r="AE32" s="977">
        <v>0</v>
      </c>
      <c r="AF32" s="978">
        <v>0</v>
      </c>
      <c r="AG32" s="979">
        <v>0</v>
      </c>
      <c r="AH32" s="688">
        <v>0</v>
      </c>
      <c r="AI32" s="687">
        <v>0</v>
      </c>
      <c r="AJ32" s="685">
        <v>0</v>
      </c>
      <c r="AK32" s="687">
        <v>0</v>
      </c>
      <c r="AL32" s="689">
        <v>0</v>
      </c>
      <c r="AM32" s="685">
        <v>0</v>
      </c>
      <c r="AN32" s="685">
        <v>0</v>
      </c>
      <c r="AO32" s="689">
        <v>0</v>
      </c>
      <c r="AP32" s="690">
        <v>0</v>
      </c>
      <c r="AQ32" s="687">
        <f t="shared" si="17"/>
        <v>7.1428571428571426E-3</v>
      </c>
      <c r="AR32" s="685">
        <v>1.6E-2</v>
      </c>
      <c r="AS32" s="687">
        <f t="shared" si="1"/>
        <v>1.2500000000000001E-2</v>
      </c>
      <c r="AT32" s="691">
        <v>2E-3</v>
      </c>
      <c r="AU32" s="685">
        <v>0</v>
      </c>
      <c r="AV32" s="687">
        <v>0</v>
      </c>
      <c r="AW32" s="692">
        <v>0</v>
      </c>
      <c r="AX32" s="693">
        <v>0</v>
      </c>
      <c r="AY32" s="692">
        <v>0</v>
      </c>
      <c r="AZ32" s="693">
        <v>0</v>
      </c>
      <c r="BA32" s="692">
        <v>0</v>
      </c>
      <c r="BB32" s="693">
        <v>0</v>
      </c>
      <c r="BC32" s="694">
        <v>0</v>
      </c>
      <c r="BD32" s="695">
        <v>0</v>
      </c>
      <c r="BE32" s="692">
        <v>0</v>
      </c>
      <c r="BF32" s="693">
        <v>0</v>
      </c>
      <c r="BG32" s="694">
        <v>0</v>
      </c>
      <c r="BH32" s="693">
        <v>0</v>
      </c>
      <c r="BI32" s="694">
        <v>0</v>
      </c>
      <c r="BJ32" s="693">
        <v>0</v>
      </c>
      <c r="BK32" s="694">
        <v>0</v>
      </c>
      <c r="BL32" s="693">
        <v>0</v>
      </c>
      <c r="BM32" s="694">
        <v>0</v>
      </c>
      <c r="BN32" s="693">
        <v>0</v>
      </c>
      <c r="BO32" s="694">
        <v>0</v>
      </c>
      <c r="BP32" s="693">
        <v>0</v>
      </c>
      <c r="BQ32" s="694">
        <v>0</v>
      </c>
      <c r="BR32" s="693">
        <v>0</v>
      </c>
      <c r="BS32" s="694">
        <v>0</v>
      </c>
      <c r="BT32" s="693">
        <v>0</v>
      </c>
      <c r="BU32" s="694">
        <v>0</v>
      </c>
      <c r="BV32" s="693">
        <v>0</v>
      </c>
      <c r="BW32" s="694">
        <v>0</v>
      </c>
      <c r="BX32" s="693">
        <v>0</v>
      </c>
      <c r="BY32" s="694">
        <v>0</v>
      </c>
      <c r="BZ32" s="693">
        <v>0</v>
      </c>
      <c r="CA32" s="694">
        <v>0</v>
      </c>
      <c r="CB32" s="693">
        <v>0</v>
      </c>
      <c r="CC32" s="692">
        <v>0</v>
      </c>
      <c r="CD32" s="695">
        <v>0</v>
      </c>
      <c r="CE32" s="692">
        <v>0</v>
      </c>
      <c r="CF32" s="695">
        <v>0</v>
      </c>
      <c r="CG32" s="692">
        <v>0</v>
      </c>
      <c r="CH32" s="695">
        <v>0</v>
      </c>
      <c r="CI32" s="692">
        <v>0</v>
      </c>
      <c r="CJ32" s="695">
        <v>0</v>
      </c>
      <c r="CK32" s="692">
        <v>0</v>
      </c>
      <c r="CL32" s="695">
        <v>0</v>
      </c>
      <c r="CM32" s="692">
        <v>0</v>
      </c>
      <c r="CN32" s="695">
        <v>0</v>
      </c>
      <c r="CO32" s="692">
        <v>0</v>
      </c>
      <c r="CP32" s="695">
        <v>0</v>
      </c>
      <c r="CQ32" s="692">
        <v>0</v>
      </c>
      <c r="CR32" s="693">
        <v>0</v>
      </c>
      <c r="CS32" s="692">
        <v>0</v>
      </c>
      <c r="CT32" s="693">
        <v>0</v>
      </c>
      <c r="CU32" s="694">
        <v>0</v>
      </c>
      <c r="CV32" s="693">
        <v>0</v>
      </c>
    </row>
    <row r="33" spans="1:100">
      <c r="A33" s="460">
        <v>31</v>
      </c>
      <c r="B33" s="580">
        <v>0</v>
      </c>
      <c r="C33" s="580">
        <v>0</v>
      </c>
      <c r="D33" s="580">
        <v>0</v>
      </c>
      <c r="E33" s="580">
        <v>0</v>
      </c>
      <c r="F33" s="580">
        <f t="shared" si="0"/>
        <v>1.2500000000000001E-2</v>
      </c>
      <c r="G33" s="580">
        <v>0.01</v>
      </c>
      <c r="H33" s="580">
        <v>0</v>
      </c>
      <c r="I33" s="580">
        <v>0</v>
      </c>
      <c r="J33" s="580">
        <v>0</v>
      </c>
      <c r="K33" s="580">
        <v>0</v>
      </c>
      <c r="L33" s="580">
        <v>0</v>
      </c>
      <c r="M33" s="580">
        <v>0</v>
      </c>
      <c r="N33" s="580">
        <v>0</v>
      </c>
      <c r="O33" s="580">
        <v>0</v>
      </c>
      <c r="P33" s="580">
        <v>0</v>
      </c>
      <c r="Q33" s="580">
        <v>0</v>
      </c>
      <c r="R33" s="580">
        <v>0</v>
      </c>
      <c r="S33" s="580">
        <v>0</v>
      </c>
      <c r="T33" s="580">
        <v>0.01</v>
      </c>
      <c r="U33" s="580">
        <v>0</v>
      </c>
      <c r="V33" s="580">
        <v>0</v>
      </c>
      <c r="W33" s="595">
        <v>0</v>
      </c>
      <c r="X33" s="688">
        <v>0</v>
      </c>
      <c r="Y33" s="688">
        <v>0</v>
      </c>
      <c r="Z33" s="688">
        <v>0</v>
      </c>
      <c r="AA33" s="688">
        <v>0</v>
      </c>
      <c r="AB33" s="688">
        <v>0</v>
      </c>
      <c r="AC33" s="688">
        <v>0</v>
      </c>
      <c r="AD33" s="688">
        <v>0</v>
      </c>
      <c r="AE33" s="977">
        <v>0</v>
      </c>
      <c r="AF33" s="978">
        <v>0</v>
      </c>
      <c r="AG33" s="979">
        <v>0</v>
      </c>
      <c r="AH33" s="688">
        <v>0</v>
      </c>
      <c r="AI33" s="687">
        <v>0</v>
      </c>
      <c r="AJ33" s="685">
        <v>0</v>
      </c>
      <c r="AK33" s="687">
        <v>0</v>
      </c>
      <c r="AL33" s="689">
        <v>0</v>
      </c>
      <c r="AM33" s="685">
        <v>0</v>
      </c>
      <c r="AN33" s="685">
        <v>0</v>
      </c>
      <c r="AO33" s="689">
        <v>0</v>
      </c>
      <c r="AP33" s="690">
        <v>0</v>
      </c>
      <c r="AQ33" s="687">
        <f t="shared" si="17"/>
        <v>7.1428571428571426E-3</v>
      </c>
      <c r="AR33" s="685">
        <v>1.6E-2</v>
      </c>
      <c r="AS33" s="687">
        <f t="shared" si="1"/>
        <v>1.2500000000000001E-2</v>
      </c>
      <c r="AT33" s="691">
        <v>2E-3</v>
      </c>
      <c r="AU33" s="685">
        <v>0</v>
      </c>
      <c r="AV33" s="687">
        <v>0</v>
      </c>
      <c r="AW33" s="692">
        <v>0</v>
      </c>
      <c r="AX33" s="693">
        <v>0</v>
      </c>
      <c r="AY33" s="692">
        <v>0</v>
      </c>
      <c r="AZ33" s="693">
        <v>0</v>
      </c>
      <c r="BA33" s="692">
        <v>0</v>
      </c>
      <c r="BB33" s="693">
        <v>0</v>
      </c>
      <c r="BC33" s="694">
        <v>0</v>
      </c>
      <c r="BD33" s="695">
        <v>0</v>
      </c>
      <c r="BE33" s="692">
        <v>0</v>
      </c>
      <c r="BF33" s="693">
        <v>0</v>
      </c>
      <c r="BG33" s="694">
        <v>0</v>
      </c>
      <c r="BH33" s="693">
        <v>0</v>
      </c>
      <c r="BI33" s="694">
        <v>0</v>
      </c>
      <c r="BJ33" s="693">
        <v>0</v>
      </c>
      <c r="BK33" s="694">
        <v>0</v>
      </c>
      <c r="BL33" s="693">
        <v>0</v>
      </c>
      <c r="BM33" s="694">
        <v>0</v>
      </c>
      <c r="BN33" s="693">
        <v>0</v>
      </c>
      <c r="BO33" s="694">
        <v>0</v>
      </c>
      <c r="BP33" s="693">
        <v>0</v>
      </c>
      <c r="BQ33" s="694">
        <v>0</v>
      </c>
      <c r="BR33" s="693">
        <v>0</v>
      </c>
      <c r="BS33" s="694">
        <v>0</v>
      </c>
      <c r="BT33" s="693">
        <v>0</v>
      </c>
      <c r="BU33" s="694">
        <v>0</v>
      </c>
      <c r="BV33" s="693">
        <v>0</v>
      </c>
      <c r="BW33" s="694">
        <v>0</v>
      </c>
      <c r="BX33" s="693">
        <v>0</v>
      </c>
      <c r="BY33" s="694">
        <v>0</v>
      </c>
      <c r="BZ33" s="693">
        <v>0</v>
      </c>
      <c r="CA33" s="694">
        <v>0</v>
      </c>
      <c r="CB33" s="693">
        <v>0</v>
      </c>
      <c r="CC33" s="692">
        <v>0</v>
      </c>
      <c r="CD33" s="695">
        <v>0</v>
      </c>
      <c r="CE33" s="692">
        <v>0</v>
      </c>
      <c r="CF33" s="695">
        <v>0</v>
      </c>
      <c r="CG33" s="692">
        <v>0</v>
      </c>
      <c r="CH33" s="695">
        <v>0</v>
      </c>
      <c r="CI33" s="692">
        <v>0</v>
      </c>
      <c r="CJ33" s="695">
        <v>0</v>
      </c>
      <c r="CK33" s="692">
        <v>0</v>
      </c>
      <c r="CL33" s="695">
        <v>0</v>
      </c>
      <c r="CM33" s="692">
        <v>0</v>
      </c>
      <c r="CN33" s="695">
        <v>0</v>
      </c>
      <c r="CO33" s="692">
        <v>0</v>
      </c>
      <c r="CP33" s="695">
        <v>0</v>
      </c>
      <c r="CQ33" s="692">
        <v>0</v>
      </c>
      <c r="CR33" s="693">
        <v>0</v>
      </c>
      <c r="CS33" s="692">
        <v>0</v>
      </c>
      <c r="CT33" s="693">
        <v>0</v>
      </c>
      <c r="CU33" s="694">
        <v>0</v>
      </c>
      <c r="CV33" s="693">
        <v>0</v>
      </c>
    </row>
    <row r="34" spans="1:100">
      <c r="A34" s="460">
        <v>32</v>
      </c>
      <c r="B34" s="580">
        <v>0</v>
      </c>
      <c r="C34" s="580">
        <v>0</v>
      </c>
      <c r="D34" s="580">
        <v>0</v>
      </c>
      <c r="E34" s="580">
        <v>0</v>
      </c>
      <c r="F34" s="580">
        <f t="shared" ref="F34:F65" si="19">1/80</f>
        <v>1.2500000000000001E-2</v>
      </c>
      <c r="G34" s="580">
        <v>0.01</v>
      </c>
      <c r="H34" s="580">
        <v>0</v>
      </c>
      <c r="I34" s="580">
        <v>0</v>
      </c>
      <c r="J34" s="580">
        <v>0</v>
      </c>
      <c r="K34" s="580">
        <v>0</v>
      </c>
      <c r="L34" s="580">
        <v>0</v>
      </c>
      <c r="M34" s="580">
        <v>0</v>
      </c>
      <c r="N34" s="580">
        <v>0</v>
      </c>
      <c r="O34" s="580">
        <v>0</v>
      </c>
      <c r="P34" s="580">
        <v>0</v>
      </c>
      <c r="Q34" s="580">
        <v>0</v>
      </c>
      <c r="R34" s="580">
        <v>0</v>
      </c>
      <c r="S34" s="580">
        <v>0</v>
      </c>
      <c r="T34" s="580">
        <v>0.01</v>
      </c>
      <c r="U34" s="580">
        <v>0</v>
      </c>
      <c r="V34" s="580">
        <v>0</v>
      </c>
      <c r="W34" s="595">
        <v>0</v>
      </c>
      <c r="X34" s="688">
        <v>0</v>
      </c>
      <c r="Y34" s="688">
        <v>0</v>
      </c>
      <c r="Z34" s="688">
        <v>0</v>
      </c>
      <c r="AA34" s="688">
        <v>0</v>
      </c>
      <c r="AB34" s="688">
        <v>0</v>
      </c>
      <c r="AC34" s="688">
        <v>0</v>
      </c>
      <c r="AD34" s="688">
        <v>0</v>
      </c>
      <c r="AE34" s="977">
        <v>0</v>
      </c>
      <c r="AF34" s="978">
        <v>0</v>
      </c>
      <c r="AG34" s="979">
        <v>0</v>
      </c>
      <c r="AH34" s="688">
        <v>0</v>
      </c>
      <c r="AI34" s="687">
        <v>0</v>
      </c>
      <c r="AJ34" s="685">
        <v>0</v>
      </c>
      <c r="AK34" s="687">
        <v>0</v>
      </c>
      <c r="AL34" s="689">
        <v>0</v>
      </c>
      <c r="AM34" s="685">
        <v>0</v>
      </c>
      <c r="AN34" s="685">
        <v>0</v>
      </c>
      <c r="AO34" s="689">
        <v>0</v>
      </c>
      <c r="AP34" s="690">
        <v>0</v>
      </c>
      <c r="AQ34" s="687">
        <f t="shared" si="17"/>
        <v>7.1428571428571426E-3</v>
      </c>
      <c r="AR34" s="685">
        <v>1.6E-2</v>
      </c>
      <c r="AS34" s="687">
        <f t="shared" ref="AS34:AS65" si="20">1/80</f>
        <v>1.2500000000000001E-2</v>
      </c>
      <c r="AT34" s="691">
        <v>2E-3</v>
      </c>
      <c r="AU34" s="685">
        <v>0</v>
      </c>
      <c r="AV34" s="687">
        <v>0</v>
      </c>
      <c r="AW34" s="692">
        <v>0</v>
      </c>
      <c r="AX34" s="693">
        <v>0</v>
      </c>
      <c r="AY34" s="692">
        <v>0</v>
      </c>
      <c r="AZ34" s="693">
        <v>0</v>
      </c>
      <c r="BA34" s="692">
        <v>0</v>
      </c>
      <c r="BB34" s="693">
        <v>0</v>
      </c>
      <c r="BC34" s="694">
        <v>0</v>
      </c>
      <c r="BD34" s="695">
        <v>0</v>
      </c>
      <c r="BE34" s="692">
        <v>0</v>
      </c>
      <c r="BF34" s="693">
        <v>0</v>
      </c>
      <c r="BG34" s="694">
        <v>0</v>
      </c>
      <c r="BH34" s="693">
        <v>0</v>
      </c>
      <c r="BI34" s="694">
        <v>0</v>
      </c>
      <c r="BJ34" s="693">
        <v>0</v>
      </c>
      <c r="BK34" s="694">
        <v>0</v>
      </c>
      <c r="BL34" s="693">
        <v>0</v>
      </c>
      <c r="BM34" s="694">
        <v>0</v>
      </c>
      <c r="BN34" s="693">
        <v>0</v>
      </c>
      <c r="BO34" s="694">
        <v>0</v>
      </c>
      <c r="BP34" s="693">
        <v>0</v>
      </c>
      <c r="BQ34" s="694">
        <v>0</v>
      </c>
      <c r="BR34" s="693">
        <v>0</v>
      </c>
      <c r="BS34" s="694">
        <v>0</v>
      </c>
      <c r="BT34" s="693">
        <v>0</v>
      </c>
      <c r="BU34" s="694">
        <v>0</v>
      </c>
      <c r="BV34" s="693">
        <v>0</v>
      </c>
      <c r="BW34" s="694">
        <v>0</v>
      </c>
      <c r="BX34" s="693">
        <v>0</v>
      </c>
      <c r="BY34" s="694">
        <v>0</v>
      </c>
      <c r="BZ34" s="693">
        <v>0</v>
      </c>
      <c r="CA34" s="694">
        <v>0</v>
      </c>
      <c r="CB34" s="693">
        <v>0</v>
      </c>
      <c r="CC34" s="692">
        <v>0</v>
      </c>
      <c r="CD34" s="695">
        <v>0</v>
      </c>
      <c r="CE34" s="692">
        <v>0</v>
      </c>
      <c r="CF34" s="695">
        <v>0</v>
      </c>
      <c r="CG34" s="692">
        <v>0</v>
      </c>
      <c r="CH34" s="695">
        <v>0</v>
      </c>
      <c r="CI34" s="692">
        <v>0</v>
      </c>
      <c r="CJ34" s="695">
        <v>0</v>
      </c>
      <c r="CK34" s="692">
        <v>0</v>
      </c>
      <c r="CL34" s="695">
        <v>0</v>
      </c>
      <c r="CM34" s="692">
        <v>0</v>
      </c>
      <c r="CN34" s="695">
        <v>0</v>
      </c>
      <c r="CO34" s="692">
        <v>0</v>
      </c>
      <c r="CP34" s="695">
        <v>0</v>
      </c>
      <c r="CQ34" s="692">
        <v>0</v>
      </c>
      <c r="CR34" s="693">
        <v>0</v>
      </c>
      <c r="CS34" s="692">
        <v>0</v>
      </c>
      <c r="CT34" s="693">
        <v>0</v>
      </c>
      <c r="CU34" s="694">
        <v>0</v>
      </c>
      <c r="CV34" s="693">
        <v>0</v>
      </c>
    </row>
    <row r="35" spans="1:100">
      <c r="A35" s="460">
        <v>33</v>
      </c>
      <c r="B35" s="580">
        <v>0</v>
      </c>
      <c r="C35" s="580">
        <v>0</v>
      </c>
      <c r="D35" s="580">
        <v>0</v>
      </c>
      <c r="E35" s="580">
        <v>0</v>
      </c>
      <c r="F35" s="580">
        <f t="shared" si="19"/>
        <v>1.2500000000000001E-2</v>
      </c>
      <c r="G35" s="580">
        <v>0.01</v>
      </c>
      <c r="H35" s="580">
        <v>0</v>
      </c>
      <c r="I35" s="580">
        <v>0</v>
      </c>
      <c r="J35" s="580">
        <v>0</v>
      </c>
      <c r="K35" s="580">
        <v>0</v>
      </c>
      <c r="L35" s="580">
        <v>0</v>
      </c>
      <c r="M35" s="580">
        <v>0</v>
      </c>
      <c r="N35" s="580">
        <v>0</v>
      </c>
      <c r="O35" s="580">
        <v>0</v>
      </c>
      <c r="P35" s="580">
        <v>0</v>
      </c>
      <c r="Q35" s="580">
        <v>0</v>
      </c>
      <c r="R35" s="580">
        <v>0</v>
      </c>
      <c r="S35" s="580">
        <v>0</v>
      </c>
      <c r="T35" s="580">
        <v>0.01</v>
      </c>
      <c r="U35" s="580">
        <v>0</v>
      </c>
      <c r="V35" s="580">
        <v>0</v>
      </c>
      <c r="W35" s="595">
        <v>0</v>
      </c>
      <c r="X35" s="688">
        <v>0</v>
      </c>
      <c r="Y35" s="688">
        <v>0</v>
      </c>
      <c r="Z35" s="688">
        <v>0</v>
      </c>
      <c r="AA35" s="688">
        <v>0</v>
      </c>
      <c r="AB35" s="688">
        <v>0</v>
      </c>
      <c r="AC35" s="688">
        <v>0</v>
      </c>
      <c r="AD35" s="688">
        <v>0</v>
      </c>
      <c r="AE35" s="977">
        <v>0</v>
      </c>
      <c r="AF35" s="978">
        <v>0</v>
      </c>
      <c r="AG35" s="979">
        <v>0</v>
      </c>
      <c r="AH35" s="688">
        <v>0</v>
      </c>
      <c r="AI35" s="687">
        <v>0</v>
      </c>
      <c r="AJ35" s="685">
        <v>0</v>
      </c>
      <c r="AK35" s="687">
        <v>0</v>
      </c>
      <c r="AL35" s="689">
        <v>0</v>
      </c>
      <c r="AM35" s="685">
        <v>0</v>
      </c>
      <c r="AN35" s="685">
        <v>0</v>
      </c>
      <c r="AO35" s="689">
        <v>0</v>
      </c>
      <c r="AP35" s="690">
        <v>0</v>
      </c>
      <c r="AQ35" s="687">
        <f t="shared" si="17"/>
        <v>7.1428571428571426E-3</v>
      </c>
      <c r="AR35" s="685">
        <v>1.6E-2</v>
      </c>
      <c r="AS35" s="687">
        <f t="shared" si="20"/>
        <v>1.2500000000000001E-2</v>
      </c>
      <c r="AT35" s="691">
        <v>2E-3</v>
      </c>
      <c r="AU35" s="685">
        <v>0</v>
      </c>
      <c r="AV35" s="687">
        <v>0</v>
      </c>
      <c r="AW35" s="692">
        <v>0</v>
      </c>
      <c r="AX35" s="693">
        <v>0</v>
      </c>
      <c r="AY35" s="692">
        <v>0</v>
      </c>
      <c r="AZ35" s="693">
        <v>0</v>
      </c>
      <c r="BA35" s="692">
        <v>0</v>
      </c>
      <c r="BB35" s="693">
        <v>0</v>
      </c>
      <c r="BC35" s="694">
        <v>0</v>
      </c>
      <c r="BD35" s="695">
        <v>0</v>
      </c>
      <c r="BE35" s="692">
        <v>0</v>
      </c>
      <c r="BF35" s="693">
        <v>0</v>
      </c>
      <c r="BG35" s="694">
        <v>0</v>
      </c>
      <c r="BH35" s="693">
        <v>0</v>
      </c>
      <c r="BI35" s="694">
        <v>0</v>
      </c>
      <c r="BJ35" s="693">
        <v>0</v>
      </c>
      <c r="BK35" s="694">
        <v>0</v>
      </c>
      <c r="BL35" s="693">
        <v>0</v>
      </c>
      <c r="BM35" s="694">
        <v>0</v>
      </c>
      <c r="BN35" s="693">
        <v>0</v>
      </c>
      <c r="BO35" s="694">
        <v>0</v>
      </c>
      <c r="BP35" s="693">
        <v>0</v>
      </c>
      <c r="BQ35" s="694">
        <v>0</v>
      </c>
      <c r="BR35" s="693">
        <v>0</v>
      </c>
      <c r="BS35" s="694">
        <v>0</v>
      </c>
      <c r="BT35" s="693">
        <v>0</v>
      </c>
      <c r="BU35" s="694">
        <v>0</v>
      </c>
      <c r="BV35" s="693">
        <v>0</v>
      </c>
      <c r="BW35" s="694">
        <v>0</v>
      </c>
      <c r="BX35" s="693">
        <v>0</v>
      </c>
      <c r="BY35" s="694">
        <v>0</v>
      </c>
      <c r="BZ35" s="693">
        <v>0</v>
      </c>
      <c r="CA35" s="694">
        <v>0</v>
      </c>
      <c r="CB35" s="693">
        <v>0</v>
      </c>
      <c r="CC35" s="692">
        <v>0</v>
      </c>
      <c r="CD35" s="695">
        <v>0</v>
      </c>
      <c r="CE35" s="692">
        <v>0</v>
      </c>
      <c r="CF35" s="695">
        <v>0</v>
      </c>
      <c r="CG35" s="692">
        <v>0</v>
      </c>
      <c r="CH35" s="695">
        <v>0</v>
      </c>
      <c r="CI35" s="692">
        <v>0</v>
      </c>
      <c r="CJ35" s="695">
        <v>0</v>
      </c>
      <c r="CK35" s="692">
        <v>0</v>
      </c>
      <c r="CL35" s="695">
        <v>0</v>
      </c>
      <c r="CM35" s="692">
        <v>0</v>
      </c>
      <c r="CN35" s="695">
        <v>0</v>
      </c>
      <c r="CO35" s="692">
        <v>0</v>
      </c>
      <c r="CP35" s="695">
        <v>0</v>
      </c>
      <c r="CQ35" s="692">
        <v>0</v>
      </c>
      <c r="CR35" s="693">
        <v>0</v>
      </c>
      <c r="CS35" s="692">
        <v>0</v>
      </c>
      <c r="CT35" s="693">
        <v>0</v>
      </c>
      <c r="CU35" s="694">
        <v>0</v>
      </c>
      <c r="CV35" s="693">
        <v>0</v>
      </c>
    </row>
    <row r="36" spans="1:100">
      <c r="A36" s="460">
        <v>34</v>
      </c>
      <c r="B36" s="580">
        <v>0</v>
      </c>
      <c r="C36" s="580">
        <v>0</v>
      </c>
      <c r="D36" s="580">
        <v>0</v>
      </c>
      <c r="E36" s="580">
        <v>0</v>
      </c>
      <c r="F36" s="580">
        <f t="shared" si="19"/>
        <v>1.2500000000000001E-2</v>
      </c>
      <c r="G36" s="580">
        <v>0.01</v>
      </c>
      <c r="H36" s="580">
        <v>0</v>
      </c>
      <c r="I36" s="580">
        <v>0</v>
      </c>
      <c r="J36" s="580">
        <v>0</v>
      </c>
      <c r="K36" s="580">
        <v>0</v>
      </c>
      <c r="L36" s="580">
        <v>0</v>
      </c>
      <c r="M36" s="580">
        <v>0</v>
      </c>
      <c r="N36" s="580">
        <v>0</v>
      </c>
      <c r="O36" s="580">
        <v>0</v>
      </c>
      <c r="P36" s="580">
        <v>0</v>
      </c>
      <c r="Q36" s="580">
        <v>0</v>
      </c>
      <c r="R36" s="580">
        <v>0</v>
      </c>
      <c r="S36" s="580">
        <v>0</v>
      </c>
      <c r="T36" s="580">
        <v>0.01</v>
      </c>
      <c r="U36" s="580">
        <v>0</v>
      </c>
      <c r="V36" s="580">
        <v>0</v>
      </c>
      <c r="W36" s="595">
        <v>0</v>
      </c>
      <c r="X36" s="688">
        <v>0</v>
      </c>
      <c r="Y36" s="688">
        <v>0</v>
      </c>
      <c r="Z36" s="688">
        <v>0</v>
      </c>
      <c r="AA36" s="688">
        <v>0</v>
      </c>
      <c r="AB36" s="688">
        <v>0</v>
      </c>
      <c r="AC36" s="688">
        <v>0</v>
      </c>
      <c r="AD36" s="688">
        <v>0</v>
      </c>
      <c r="AE36" s="977">
        <v>0</v>
      </c>
      <c r="AF36" s="978">
        <v>0</v>
      </c>
      <c r="AG36" s="979">
        <v>0</v>
      </c>
      <c r="AH36" s="688">
        <v>0</v>
      </c>
      <c r="AI36" s="687">
        <v>0</v>
      </c>
      <c r="AJ36" s="685">
        <v>0</v>
      </c>
      <c r="AK36" s="687">
        <v>0</v>
      </c>
      <c r="AL36" s="689">
        <v>0</v>
      </c>
      <c r="AM36" s="685">
        <v>0</v>
      </c>
      <c r="AN36" s="685">
        <v>0</v>
      </c>
      <c r="AO36" s="689">
        <v>0</v>
      </c>
      <c r="AP36" s="690">
        <v>0</v>
      </c>
      <c r="AQ36" s="687">
        <f t="shared" si="17"/>
        <v>7.1428571428571426E-3</v>
      </c>
      <c r="AR36" s="685">
        <v>1.6E-2</v>
      </c>
      <c r="AS36" s="687">
        <f t="shared" si="20"/>
        <v>1.2500000000000001E-2</v>
      </c>
      <c r="AT36" s="691">
        <v>2E-3</v>
      </c>
      <c r="AU36" s="685">
        <v>0</v>
      </c>
      <c r="AV36" s="687">
        <v>0</v>
      </c>
      <c r="AW36" s="692">
        <v>0</v>
      </c>
      <c r="AX36" s="693">
        <v>0</v>
      </c>
      <c r="AY36" s="692">
        <v>0</v>
      </c>
      <c r="AZ36" s="693">
        <v>0</v>
      </c>
      <c r="BA36" s="692">
        <v>0</v>
      </c>
      <c r="BB36" s="693">
        <v>0</v>
      </c>
      <c r="BC36" s="694">
        <v>0</v>
      </c>
      <c r="BD36" s="695">
        <v>0</v>
      </c>
      <c r="BE36" s="692">
        <v>0</v>
      </c>
      <c r="BF36" s="693">
        <v>0</v>
      </c>
      <c r="BG36" s="694">
        <v>0</v>
      </c>
      <c r="BH36" s="693">
        <v>0</v>
      </c>
      <c r="BI36" s="694">
        <v>0</v>
      </c>
      <c r="BJ36" s="693">
        <v>0</v>
      </c>
      <c r="BK36" s="694">
        <v>0</v>
      </c>
      <c r="BL36" s="693">
        <v>0</v>
      </c>
      <c r="BM36" s="694">
        <v>0</v>
      </c>
      <c r="BN36" s="693">
        <v>0</v>
      </c>
      <c r="BO36" s="694">
        <v>0</v>
      </c>
      <c r="BP36" s="693">
        <v>0</v>
      </c>
      <c r="BQ36" s="694">
        <v>0</v>
      </c>
      <c r="BR36" s="693">
        <v>0</v>
      </c>
      <c r="BS36" s="694">
        <v>0</v>
      </c>
      <c r="BT36" s="693">
        <v>0</v>
      </c>
      <c r="BU36" s="694">
        <v>0</v>
      </c>
      <c r="BV36" s="693">
        <v>0</v>
      </c>
      <c r="BW36" s="694">
        <v>0</v>
      </c>
      <c r="BX36" s="693">
        <v>0</v>
      </c>
      <c r="BY36" s="694">
        <v>0</v>
      </c>
      <c r="BZ36" s="693">
        <v>0</v>
      </c>
      <c r="CA36" s="694">
        <v>0</v>
      </c>
      <c r="CB36" s="693">
        <v>0</v>
      </c>
      <c r="CC36" s="692">
        <v>0</v>
      </c>
      <c r="CD36" s="695">
        <v>0</v>
      </c>
      <c r="CE36" s="692">
        <v>0</v>
      </c>
      <c r="CF36" s="695">
        <v>0</v>
      </c>
      <c r="CG36" s="692">
        <v>0</v>
      </c>
      <c r="CH36" s="695">
        <v>0</v>
      </c>
      <c r="CI36" s="692">
        <v>0</v>
      </c>
      <c r="CJ36" s="695">
        <v>0</v>
      </c>
      <c r="CK36" s="692">
        <v>0</v>
      </c>
      <c r="CL36" s="695">
        <v>0</v>
      </c>
      <c r="CM36" s="692">
        <v>0</v>
      </c>
      <c r="CN36" s="695">
        <v>0</v>
      </c>
      <c r="CO36" s="692">
        <v>0</v>
      </c>
      <c r="CP36" s="695">
        <v>0</v>
      </c>
      <c r="CQ36" s="692">
        <v>0</v>
      </c>
      <c r="CR36" s="693">
        <v>0</v>
      </c>
      <c r="CS36" s="692">
        <v>0</v>
      </c>
      <c r="CT36" s="693">
        <v>0</v>
      </c>
      <c r="CU36" s="694">
        <v>0</v>
      </c>
      <c r="CV36" s="693">
        <v>0</v>
      </c>
    </row>
    <row r="37" spans="1:100">
      <c r="A37" s="460">
        <v>35</v>
      </c>
      <c r="B37" s="580">
        <v>0</v>
      </c>
      <c r="C37" s="580">
        <v>0</v>
      </c>
      <c r="D37" s="580">
        <v>0</v>
      </c>
      <c r="E37" s="580">
        <v>0</v>
      </c>
      <c r="F37" s="580">
        <f t="shared" si="19"/>
        <v>1.2500000000000001E-2</v>
      </c>
      <c r="G37" s="580">
        <v>0.01</v>
      </c>
      <c r="H37" s="580">
        <v>0</v>
      </c>
      <c r="I37" s="580">
        <v>0</v>
      </c>
      <c r="J37" s="580">
        <v>0</v>
      </c>
      <c r="K37" s="580">
        <v>0</v>
      </c>
      <c r="L37" s="580">
        <v>0</v>
      </c>
      <c r="M37" s="580">
        <v>0</v>
      </c>
      <c r="N37" s="580">
        <v>0</v>
      </c>
      <c r="O37" s="580">
        <v>0</v>
      </c>
      <c r="P37" s="580">
        <v>0</v>
      </c>
      <c r="Q37" s="580">
        <v>0</v>
      </c>
      <c r="R37" s="580">
        <v>0</v>
      </c>
      <c r="S37" s="580">
        <v>0</v>
      </c>
      <c r="T37" s="580">
        <v>0.01</v>
      </c>
      <c r="U37" s="580">
        <v>0</v>
      </c>
      <c r="V37" s="580">
        <v>0</v>
      </c>
      <c r="W37" s="595">
        <v>0</v>
      </c>
      <c r="X37" s="688">
        <v>0</v>
      </c>
      <c r="Y37" s="688">
        <v>0</v>
      </c>
      <c r="Z37" s="688">
        <v>0</v>
      </c>
      <c r="AA37" s="688">
        <v>0</v>
      </c>
      <c r="AB37" s="688">
        <v>0</v>
      </c>
      <c r="AC37" s="688">
        <v>0</v>
      </c>
      <c r="AD37" s="688">
        <v>0</v>
      </c>
      <c r="AE37" s="977">
        <v>0</v>
      </c>
      <c r="AF37" s="978">
        <v>0</v>
      </c>
      <c r="AG37" s="979">
        <v>0</v>
      </c>
      <c r="AH37" s="688">
        <v>0</v>
      </c>
      <c r="AI37" s="687">
        <v>0</v>
      </c>
      <c r="AJ37" s="685">
        <v>0</v>
      </c>
      <c r="AK37" s="687">
        <v>0</v>
      </c>
      <c r="AL37" s="689">
        <v>0</v>
      </c>
      <c r="AM37" s="685">
        <v>0</v>
      </c>
      <c r="AN37" s="685">
        <v>0</v>
      </c>
      <c r="AO37" s="689">
        <v>0</v>
      </c>
      <c r="AP37" s="690">
        <v>0</v>
      </c>
      <c r="AQ37" s="687">
        <f t="shared" si="17"/>
        <v>7.1428571428571426E-3</v>
      </c>
      <c r="AR37" s="685">
        <v>1.6E-2</v>
      </c>
      <c r="AS37" s="687">
        <f t="shared" si="20"/>
        <v>1.2500000000000001E-2</v>
      </c>
      <c r="AT37" s="691">
        <v>2E-3</v>
      </c>
      <c r="AU37" s="685">
        <v>0</v>
      </c>
      <c r="AV37" s="687">
        <v>0</v>
      </c>
      <c r="AW37" s="692">
        <v>0</v>
      </c>
      <c r="AX37" s="693">
        <v>0</v>
      </c>
      <c r="AY37" s="692">
        <v>0</v>
      </c>
      <c r="AZ37" s="693">
        <v>0</v>
      </c>
      <c r="BA37" s="692">
        <v>0</v>
      </c>
      <c r="BB37" s="693">
        <v>0</v>
      </c>
      <c r="BC37" s="694">
        <v>0</v>
      </c>
      <c r="BD37" s="695">
        <v>0</v>
      </c>
      <c r="BE37" s="692">
        <v>0</v>
      </c>
      <c r="BF37" s="693">
        <v>0</v>
      </c>
      <c r="BG37" s="694">
        <v>0</v>
      </c>
      <c r="BH37" s="693">
        <v>0</v>
      </c>
      <c r="BI37" s="694">
        <v>0</v>
      </c>
      <c r="BJ37" s="693">
        <v>0</v>
      </c>
      <c r="BK37" s="694">
        <v>0</v>
      </c>
      <c r="BL37" s="693">
        <v>0</v>
      </c>
      <c r="BM37" s="694">
        <v>0</v>
      </c>
      <c r="BN37" s="693">
        <v>0</v>
      </c>
      <c r="BO37" s="694">
        <v>0</v>
      </c>
      <c r="BP37" s="693">
        <v>0</v>
      </c>
      <c r="BQ37" s="694">
        <v>0</v>
      </c>
      <c r="BR37" s="693">
        <v>0</v>
      </c>
      <c r="BS37" s="694">
        <v>0</v>
      </c>
      <c r="BT37" s="693">
        <v>0</v>
      </c>
      <c r="BU37" s="694">
        <v>0</v>
      </c>
      <c r="BV37" s="693">
        <v>0</v>
      </c>
      <c r="BW37" s="694">
        <v>0</v>
      </c>
      <c r="BX37" s="693">
        <v>0</v>
      </c>
      <c r="BY37" s="694">
        <v>0</v>
      </c>
      <c r="BZ37" s="693">
        <v>0</v>
      </c>
      <c r="CA37" s="694">
        <v>0</v>
      </c>
      <c r="CB37" s="693">
        <v>0</v>
      </c>
      <c r="CC37" s="692">
        <v>0</v>
      </c>
      <c r="CD37" s="695">
        <v>0</v>
      </c>
      <c r="CE37" s="692">
        <v>0</v>
      </c>
      <c r="CF37" s="695">
        <v>0</v>
      </c>
      <c r="CG37" s="692">
        <v>0</v>
      </c>
      <c r="CH37" s="695">
        <v>0</v>
      </c>
      <c r="CI37" s="692">
        <v>0</v>
      </c>
      <c r="CJ37" s="695">
        <v>0</v>
      </c>
      <c r="CK37" s="692">
        <v>0</v>
      </c>
      <c r="CL37" s="695">
        <v>0</v>
      </c>
      <c r="CM37" s="692">
        <v>0</v>
      </c>
      <c r="CN37" s="695">
        <v>0</v>
      </c>
      <c r="CO37" s="692">
        <v>0</v>
      </c>
      <c r="CP37" s="695">
        <v>0</v>
      </c>
      <c r="CQ37" s="692">
        <v>0</v>
      </c>
      <c r="CR37" s="693">
        <v>0</v>
      </c>
      <c r="CS37" s="692">
        <v>0</v>
      </c>
      <c r="CT37" s="693">
        <v>0</v>
      </c>
      <c r="CU37" s="694">
        <v>0</v>
      </c>
      <c r="CV37" s="693">
        <v>0</v>
      </c>
    </row>
    <row r="38" spans="1:100">
      <c r="A38" s="460">
        <v>36</v>
      </c>
      <c r="B38" s="580">
        <v>0</v>
      </c>
      <c r="C38" s="580">
        <v>0</v>
      </c>
      <c r="D38" s="580">
        <v>0</v>
      </c>
      <c r="E38" s="580">
        <v>0</v>
      </c>
      <c r="F38" s="580">
        <f t="shared" si="19"/>
        <v>1.2500000000000001E-2</v>
      </c>
      <c r="G38" s="580">
        <v>0.01</v>
      </c>
      <c r="H38" s="580">
        <v>0</v>
      </c>
      <c r="I38" s="580">
        <v>0</v>
      </c>
      <c r="J38" s="580">
        <v>0</v>
      </c>
      <c r="K38" s="580">
        <v>0</v>
      </c>
      <c r="L38" s="580">
        <v>0</v>
      </c>
      <c r="M38" s="580">
        <v>0</v>
      </c>
      <c r="N38" s="580">
        <v>0</v>
      </c>
      <c r="O38" s="580">
        <v>0</v>
      </c>
      <c r="P38" s="580">
        <v>0</v>
      </c>
      <c r="Q38" s="580">
        <v>0</v>
      </c>
      <c r="R38" s="580">
        <v>0</v>
      </c>
      <c r="S38" s="580">
        <v>0</v>
      </c>
      <c r="T38" s="580">
        <v>0.01</v>
      </c>
      <c r="U38" s="580">
        <v>0</v>
      </c>
      <c r="V38" s="580">
        <v>0</v>
      </c>
      <c r="W38" s="595">
        <v>0</v>
      </c>
      <c r="X38" s="688">
        <v>0</v>
      </c>
      <c r="Y38" s="688">
        <v>0</v>
      </c>
      <c r="Z38" s="688">
        <v>0</v>
      </c>
      <c r="AA38" s="688">
        <v>0</v>
      </c>
      <c r="AB38" s="688">
        <v>0</v>
      </c>
      <c r="AC38" s="688">
        <v>0</v>
      </c>
      <c r="AD38" s="688">
        <v>0</v>
      </c>
      <c r="AE38" s="977">
        <v>0</v>
      </c>
      <c r="AF38" s="978">
        <v>0</v>
      </c>
      <c r="AG38" s="979">
        <v>0</v>
      </c>
      <c r="AH38" s="688">
        <v>0</v>
      </c>
      <c r="AI38" s="687">
        <v>0</v>
      </c>
      <c r="AJ38" s="685">
        <v>0</v>
      </c>
      <c r="AK38" s="687">
        <v>0</v>
      </c>
      <c r="AL38" s="689">
        <v>0</v>
      </c>
      <c r="AM38" s="685">
        <v>0</v>
      </c>
      <c r="AN38" s="685">
        <v>0</v>
      </c>
      <c r="AO38" s="689">
        <v>0</v>
      </c>
      <c r="AP38" s="690">
        <v>0</v>
      </c>
      <c r="AQ38" s="687">
        <f t="shared" si="17"/>
        <v>7.1428571428571426E-3</v>
      </c>
      <c r="AR38" s="685">
        <v>1.6E-2</v>
      </c>
      <c r="AS38" s="687">
        <f t="shared" si="20"/>
        <v>1.2500000000000001E-2</v>
      </c>
      <c r="AT38" s="691">
        <v>2E-3</v>
      </c>
      <c r="AU38" s="685">
        <v>0</v>
      </c>
      <c r="AV38" s="687">
        <v>0</v>
      </c>
      <c r="AW38" s="692">
        <v>0</v>
      </c>
      <c r="AX38" s="693">
        <v>0</v>
      </c>
      <c r="AY38" s="692">
        <v>0</v>
      </c>
      <c r="AZ38" s="693">
        <v>0</v>
      </c>
      <c r="BA38" s="692">
        <v>0</v>
      </c>
      <c r="BB38" s="693">
        <v>0</v>
      </c>
      <c r="BC38" s="694">
        <v>0</v>
      </c>
      <c r="BD38" s="695">
        <v>0</v>
      </c>
      <c r="BE38" s="692">
        <v>0</v>
      </c>
      <c r="BF38" s="693">
        <v>0</v>
      </c>
      <c r="BG38" s="694">
        <v>0</v>
      </c>
      <c r="BH38" s="693">
        <v>0</v>
      </c>
      <c r="BI38" s="694">
        <v>0</v>
      </c>
      <c r="BJ38" s="693">
        <v>0</v>
      </c>
      <c r="BK38" s="694">
        <v>0</v>
      </c>
      <c r="BL38" s="693">
        <v>0</v>
      </c>
      <c r="BM38" s="694">
        <v>0</v>
      </c>
      <c r="BN38" s="693">
        <v>0</v>
      </c>
      <c r="BO38" s="694">
        <v>0</v>
      </c>
      <c r="BP38" s="693">
        <v>0</v>
      </c>
      <c r="BQ38" s="694">
        <v>0</v>
      </c>
      <c r="BR38" s="693">
        <v>0</v>
      </c>
      <c r="BS38" s="694">
        <v>0</v>
      </c>
      <c r="BT38" s="693">
        <v>0</v>
      </c>
      <c r="BU38" s="694">
        <v>0</v>
      </c>
      <c r="BV38" s="693">
        <v>0</v>
      </c>
      <c r="BW38" s="694">
        <v>0</v>
      </c>
      <c r="BX38" s="693">
        <v>0</v>
      </c>
      <c r="BY38" s="694">
        <v>0</v>
      </c>
      <c r="BZ38" s="693">
        <v>0</v>
      </c>
      <c r="CA38" s="694">
        <v>0</v>
      </c>
      <c r="CB38" s="693">
        <v>0</v>
      </c>
      <c r="CC38" s="692">
        <v>0</v>
      </c>
      <c r="CD38" s="695">
        <v>0</v>
      </c>
      <c r="CE38" s="692">
        <v>0</v>
      </c>
      <c r="CF38" s="695">
        <v>0</v>
      </c>
      <c r="CG38" s="692">
        <v>0</v>
      </c>
      <c r="CH38" s="695">
        <v>0</v>
      </c>
      <c r="CI38" s="692">
        <v>0</v>
      </c>
      <c r="CJ38" s="695">
        <v>0</v>
      </c>
      <c r="CK38" s="692">
        <v>0</v>
      </c>
      <c r="CL38" s="695">
        <v>0</v>
      </c>
      <c r="CM38" s="692">
        <v>0</v>
      </c>
      <c r="CN38" s="695">
        <v>0</v>
      </c>
      <c r="CO38" s="692">
        <v>0</v>
      </c>
      <c r="CP38" s="695">
        <v>0</v>
      </c>
      <c r="CQ38" s="692">
        <v>0</v>
      </c>
      <c r="CR38" s="693">
        <v>0</v>
      </c>
      <c r="CS38" s="692">
        <v>0</v>
      </c>
      <c r="CT38" s="693">
        <v>0</v>
      </c>
      <c r="CU38" s="694">
        <v>0</v>
      </c>
      <c r="CV38" s="693">
        <v>0</v>
      </c>
    </row>
    <row r="39" spans="1:100">
      <c r="A39" s="460">
        <v>37</v>
      </c>
      <c r="B39" s="580">
        <v>0</v>
      </c>
      <c r="C39" s="580">
        <v>0</v>
      </c>
      <c r="D39" s="580">
        <v>0</v>
      </c>
      <c r="E39" s="580">
        <v>0</v>
      </c>
      <c r="F39" s="580">
        <f t="shared" si="19"/>
        <v>1.2500000000000001E-2</v>
      </c>
      <c r="G39" s="580">
        <v>0.01</v>
      </c>
      <c r="H39" s="580">
        <v>0</v>
      </c>
      <c r="I39" s="580">
        <v>0</v>
      </c>
      <c r="J39" s="580">
        <v>0</v>
      </c>
      <c r="K39" s="580">
        <v>0</v>
      </c>
      <c r="L39" s="580">
        <v>0</v>
      </c>
      <c r="M39" s="580">
        <v>0</v>
      </c>
      <c r="N39" s="580">
        <v>0</v>
      </c>
      <c r="O39" s="580">
        <v>0</v>
      </c>
      <c r="P39" s="580">
        <v>0</v>
      </c>
      <c r="Q39" s="580">
        <v>0</v>
      </c>
      <c r="R39" s="580">
        <v>0</v>
      </c>
      <c r="S39" s="580">
        <v>0</v>
      </c>
      <c r="T39" s="580">
        <v>0.01</v>
      </c>
      <c r="U39" s="580">
        <v>0</v>
      </c>
      <c r="V39" s="580">
        <v>0</v>
      </c>
      <c r="W39" s="595">
        <v>0</v>
      </c>
      <c r="X39" s="688">
        <v>0</v>
      </c>
      <c r="Y39" s="688">
        <v>0</v>
      </c>
      <c r="Z39" s="688">
        <v>0</v>
      </c>
      <c r="AA39" s="688">
        <v>0</v>
      </c>
      <c r="AB39" s="688">
        <v>0</v>
      </c>
      <c r="AC39" s="688">
        <v>0</v>
      </c>
      <c r="AD39" s="688">
        <v>0</v>
      </c>
      <c r="AE39" s="977">
        <v>0</v>
      </c>
      <c r="AF39" s="978">
        <v>0</v>
      </c>
      <c r="AG39" s="979">
        <v>0</v>
      </c>
      <c r="AH39" s="688">
        <v>0</v>
      </c>
      <c r="AI39" s="687">
        <v>0</v>
      </c>
      <c r="AJ39" s="685">
        <v>0</v>
      </c>
      <c r="AK39" s="687">
        <v>0</v>
      </c>
      <c r="AL39" s="689">
        <v>0</v>
      </c>
      <c r="AM39" s="685">
        <v>0</v>
      </c>
      <c r="AN39" s="685">
        <v>0</v>
      </c>
      <c r="AO39" s="689">
        <v>0</v>
      </c>
      <c r="AP39" s="690">
        <v>0</v>
      </c>
      <c r="AQ39" s="687">
        <f t="shared" si="17"/>
        <v>7.1428571428571426E-3</v>
      </c>
      <c r="AR39" s="685">
        <v>1.6E-2</v>
      </c>
      <c r="AS39" s="687">
        <f t="shared" si="20"/>
        <v>1.2500000000000001E-2</v>
      </c>
      <c r="AT39" s="691">
        <v>2E-3</v>
      </c>
      <c r="AU39" s="685">
        <v>0</v>
      </c>
      <c r="AV39" s="687">
        <v>0</v>
      </c>
      <c r="AW39" s="692">
        <v>0</v>
      </c>
      <c r="AX39" s="693">
        <v>0</v>
      </c>
      <c r="AY39" s="692">
        <v>0</v>
      </c>
      <c r="AZ39" s="693">
        <v>0</v>
      </c>
      <c r="BA39" s="692">
        <v>0</v>
      </c>
      <c r="BB39" s="693">
        <v>0</v>
      </c>
      <c r="BC39" s="694">
        <v>0</v>
      </c>
      <c r="BD39" s="695">
        <v>0</v>
      </c>
      <c r="BE39" s="692">
        <v>0</v>
      </c>
      <c r="BF39" s="693">
        <v>0</v>
      </c>
      <c r="BG39" s="694">
        <v>0</v>
      </c>
      <c r="BH39" s="693">
        <v>0</v>
      </c>
      <c r="BI39" s="694">
        <v>0</v>
      </c>
      <c r="BJ39" s="693">
        <v>0</v>
      </c>
      <c r="BK39" s="694">
        <v>0</v>
      </c>
      <c r="BL39" s="693">
        <v>0</v>
      </c>
      <c r="BM39" s="694">
        <v>0</v>
      </c>
      <c r="BN39" s="693">
        <v>0</v>
      </c>
      <c r="BO39" s="694">
        <v>0</v>
      </c>
      <c r="BP39" s="693">
        <v>0</v>
      </c>
      <c r="BQ39" s="694">
        <v>0</v>
      </c>
      <c r="BR39" s="693">
        <v>0</v>
      </c>
      <c r="BS39" s="694">
        <v>0</v>
      </c>
      <c r="BT39" s="693">
        <v>0</v>
      </c>
      <c r="BU39" s="694">
        <v>0</v>
      </c>
      <c r="BV39" s="693">
        <v>0</v>
      </c>
      <c r="BW39" s="694">
        <v>0</v>
      </c>
      <c r="BX39" s="693">
        <v>0</v>
      </c>
      <c r="BY39" s="694">
        <v>0</v>
      </c>
      <c r="BZ39" s="693">
        <v>0</v>
      </c>
      <c r="CA39" s="694">
        <v>0</v>
      </c>
      <c r="CB39" s="693">
        <v>0</v>
      </c>
      <c r="CC39" s="692">
        <v>0</v>
      </c>
      <c r="CD39" s="695">
        <v>0</v>
      </c>
      <c r="CE39" s="692">
        <v>0</v>
      </c>
      <c r="CF39" s="695">
        <v>0</v>
      </c>
      <c r="CG39" s="692">
        <v>0</v>
      </c>
      <c r="CH39" s="695">
        <v>0</v>
      </c>
      <c r="CI39" s="692">
        <v>0</v>
      </c>
      <c r="CJ39" s="695">
        <v>0</v>
      </c>
      <c r="CK39" s="692">
        <v>0</v>
      </c>
      <c r="CL39" s="695">
        <v>0</v>
      </c>
      <c r="CM39" s="692">
        <v>0</v>
      </c>
      <c r="CN39" s="695">
        <v>0</v>
      </c>
      <c r="CO39" s="692">
        <v>0</v>
      </c>
      <c r="CP39" s="695">
        <v>0</v>
      </c>
      <c r="CQ39" s="692">
        <v>0</v>
      </c>
      <c r="CR39" s="693">
        <v>0</v>
      </c>
      <c r="CS39" s="692">
        <v>0</v>
      </c>
      <c r="CT39" s="693">
        <v>0</v>
      </c>
      <c r="CU39" s="694">
        <v>0</v>
      </c>
      <c r="CV39" s="693">
        <v>0</v>
      </c>
    </row>
    <row r="40" spans="1:100">
      <c r="A40" s="460">
        <v>38</v>
      </c>
      <c r="B40" s="580">
        <v>0</v>
      </c>
      <c r="C40" s="580">
        <v>0</v>
      </c>
      <c r="D40" s="580">
        <v>0</v>
      </c>
      <c r="E40" s="580">
        <v>0</v>
      </c>
      <c r="F40" s="580">
        <f t="shared" si="19"/>
        <v>1.2500000000000001E-2</v>
      </c>
      <c r="G40" s="580">
        <v>0.01</v>
      </c>
      <c r="H40" s="580">
        <v>0</v>
      </c>
      <c r="I40" s="580">
        <v>0</v>
      </c>
      <c r="J40" s="580">
        <v>0</v>
      </c>
      <c r="K40" s="580">
        <v>0</v>
      </c>
      <c r="L40" s="580">
        <v>0</v>
      </c>
      <c r="M40" s="580">
        <v>0</v>
      </c>
      <c r="N40" s="580">
        <v>0</v>
      </c>
      <c r="O40" s="580">
        <v>0</v>
      </c>
      <c r="P40" s="580">
        <v>0</v>
      </c>
      <c r="Q40" s="580">
        <v>0</v>
      </c>
      <c r="R40" s="580">
        <v>0</v>
      </c>
      <c r="S40" s="580">
        <v>0</v>
      </c>
      <c r="T40" s="580">
        <v>0.01</v>
      </c>
      <c r="U40" s="580">
        <v>0</v>
      </c>
      <c r="V40" s="580">
        <v>0</v>
      </c>
      <c r="W40" s="595">
        <v>0</v>
      </c>
      <c r="X40" s="688">
        <v>0</v>
      </c>
      <c r="Y40" s="688">
        <v>0</v>
      </c>
      <c r="Z40" s="688">
        <v>0</v>
      </c>
      <c r="AA40" s="688">
        <v>0</v>
      </c>
      <c r="AB40" s="688">
        <v>0</v>
      </c>
      <c r="AC40" s="688">
        <v>0</v>
      </c>
      <c r="AD40" s="688">
        <v>0</v>
      </c>
      <c r="AE40" s="977">
        <v>0</v>
      </c>
      <c r="AF40" s="978">
        <v>0</v>
      </c>
      <c r="AG40" s="979">
        <v>0</v>
      </c>
      <c r="AH40" s="688">
        <v>0</v>
      </c>
      <c r="AI40" s="687">
        <v>0</v>
      </c>
      <c r="AJ40" s="685">
        <v>0</v>
      </c>
      <c r="AK40" s="687">
        <v>0</v>
      </c>
      <c r="AL40" s="689">
        <v>0</v>
      </c>
      <c r="AM40" s="685">
        <v>0</v>
      </c>
      <c r="AN40" s="685">
        <v>0</v>
      </c>
      <c r="AO40" s="689">
        <v>0</v>
      </c>
      <c r="AP40" s="690">
        <v>0</v>
      </c>
      <c r="AQ40" s="687">
        <f t="shared" si="17"/>
        <v>7.1428571428571426E-3</v>
      </c>
      <c r="AR40" s="685">
        <v>1.6E-2</v>
      </c>
      <c r="AS40" s="687">
        <f t="shared" si="20"/>
        <v>1.2500000000000001E-2</v>
      </c>
      <c r="AT40" s="691">
        <v>2E-3</v>
      </c>
      <c r="AU40" s="685">
        <v>0</v>
      </c>
      <c r="AV40" s="687">
        <v>0</v>
      </c>
      <c r="AW40" s="692">
        <v>0</v>
      </c>
      <c r="AX40" s="693">
        <v>0</v>
      </c>
      <c r="AY40" s="692">
        <v>0</v>
      </c>
      <c r="AZ40" s="693">
        <v>0</v>
      </c>
      <c r="BA40" s="692">
        <v>0</v>
      </c>
      <c r="BB40" s="693">
        <v>0</v>
      </c>
      <c r="BC40" s="694">
        <v>0</v>
      </c>
      <c r="BD40" s="695">
        <v>0</v>
      </c>
      <c r="BE40" s="692">
        <v>0</v>
      </c>
      <c r="BF40" s="693">
        <v>0</v>
      </c>
      <c r="BG40" s="694">
        <v>0</v>
      </c>
      <c r="BH40" s="693">
        <v>0</v>
      </c>
      <c r="BI40" s="694">
        <v>0</v>
      </c>
      <c r="BJ40" s="693">
        <v>0</v>
      </c>
      <c r="BK40" s="694">
        <v>0</v>
      </c>
      <c r="BL40" s="693">
        <v>0</v>
      </c>
      <c r="BM40" s="694">
        <v>0</v>
      </c>
      <c r="BN40" s="693">
        <v>0</v>
      </c>
      <c r="BO40" s="694">
        <v>0</v>
      </c>
      <c r="BP40" s="693">
        <v>0</v>
      </c>
      <c r="BQ40" s="694">
        <v>0</v>
      </c>
      <c r="BR40" s="693">
        <v>0</v>
      </c>
      <c r="BS40" s="694">
        <v>0</v>
      </c>
      <c r="BT40" s="693">
        <v>0</v>
      </c>
      <c r="BU40" s="694">
        <v>0</v>
      </c>
      <c r="BV40" s="693">
        <v>0</v>
      </c>
      <c r="BW40" s="694">
        <v>0</v>
      </c>
      <c r="BX40" s="693">
        <v>0</v>
      </c>
      <c r="BY40" s="694">
        <v>0</v>
      </c>
      <c r="BZ40" s="693">
        <v>0</v>
      </c>
      <c r="CA40" s="694">
        <v>0</v>
      </c>
      <c r="CB40" s="693">
        <v>0</v>
      </c>
      <c r="CC40" s="692">
        <v>0</v>
      </c>
      <c r="CD40" s="695">
        <v>0</v>
      </c>
      <c r="CE40" s="692">
        <v>0</v>
      </c>
      <c r="CF40" s="695">
        <v>0</v>
      </c>
      <c r="CG40" s="692">
        <v>0</v>
      </c>
      <c r="CH40" s="695">
        <v>0</v>
      </c>
      <c r="CI40" s="692">
        <v>0</v>
      </c>
      <c r="CJ40" s="695">
        <v>0</v>
      </c>
      <c r="CK40" s="692">
        <v>0</v>
      </c>
      <c r="CL40" s="695">
        <v>0</v>
      </c>
      <c r="CM40" s="692">
        <v>0</v>
      </c>
      <c r="CN40" s="695">
        <v>0</v>
      </c>
      <c r="CO40" s="692">
        <v>0</v>
      </c>
      <c r="CP40" s="695">
        <v>0</v>
      </c>
      <c r="CQ40" s="692">
        <v>0</v>
      </c>
      <c r="CR40" s="693">
        <v>0</v>
      </c>
      <c r="CS40" s="692">
        <v>0</v>
      </c>
      <c r="CT40" s="693">
        <v>0</v>
      </c>
      <c r="CU40" s="694">
        <v>0</v>
      </c>
      <c r="CV40" s="693">
        <v>0</v>
      </c>
    </row>
    <row r="41" spans="1:100">
      <c r="A41" s="460">
        <v>39</v>
      </c>
      <c r="B41" s="580">
        <v>0</v>
      </c>
      <c r="C41" s="580">
        <v>0</v>
      </c>
      <c r="D41" s="580">
        <v>0</v>
      </c>
      <c r="E41" s="580">
        <v>0</v>
      </c>
      <c r="F41" s="580">
        <f t="shared" si="19"/>
        <v>1.2500000000000001E-2</v>
      </c>
      <c r="G41" s="580">
        <v>0.01</v>
      </c>
      <c r="H41" s="580">
        <v>0</v>
      </c>
      <c r="I41" s="580">
        <v>0</v>
      </c>
      <c r="J41" s="580">
        <v>0</v>
      </c>
      <c r="K41" s="580">
        <v>0</v>
      </c>
      <c r="L41" s="580">
        <v>0</v>
      </c>
      <c r="M41" s="580">
        <v>0</v>
      </c>
      <c r="N41" s="580">
        <v>0</v>
      </c>
      <c r="O41" s="580">
        <v>0</v>
      </c>
      <c r="P41" s="580">
        <v>0</v>
      </c>
      <c r="Q41" s="580">
        <v>0</v>
      </c>
      <c r="R41" s="580">
        <v>0</v>
      </c>
      <c r="S41" s="580">
        <v>0</v>
      </c>
      <c r="T41" s="580">
        <v>0.01</v>
      </c>
      <c r="U41" s="580">
        <v>0</v>
      </c>
      <c r="V41" s="580">
        <v>0</v>
      </c>
      <c r="W41" s="595">
        <v>0</v>
      </c>
      <c r="X41" s="688">
        <v>0</v>
      </c>
      <c r="Y41" s="688">
        <v>0</v>
      </c>
      <c r="Z41" s="688">
        <v>0</v>
      </c>
      <c r="AA41" s="688">
        <v>0</v>
      </c>
      <c r="AB41" s="688">
        <v>0</v>
      </c>
      <c r="AC41" s="688">
        <v>0</v>
      </c>
      <c r="AD41" s="688">
        <v>0</v>
      </c>
      <c r="AE41" s="977">
        <v>0</v>
      </c>
      <c r="AF41" s="978">
        <v>0</v>
      </c>
      <c r="AG41" s="979">
        <v>0</v>
      </c>
      <c r="AH41" s="688">
        <v>0</v>
      </c>
      <c r="AI41" s="687">
        <v>0</v>
      </c>
      <c r="AJ41" s="685">
        <v>0</v>
      </c>
      <c r="AK41" s="687">
        <v>0</v>
      </c>
      <c r="AL41" s="689">
        <v>0</v>
      </c>
      <c r="AM41" s="685">
        <v>0</v>
      </c>
      <c r="AN41" s="685">
        <v>0</v>
      </c>
      <c r="AO41" s="689">
        <v>0</v>
      </c>
      <c r="AP41" s="690">
        <v>0</v>
      </c>
      <c r="AQ41" s="687">
        <f t="shared" si="17"/>
        <v>7.1428571428571426E-3</v>
      </c>
      <c r="AR41" s="685">
        <v>1.6E-2</v>
      </c>
      <c r="AS41" s="687">
        <f t="shared" si="20"/>
        <v>1.2500000000000001E-2</v>
      </c>
      <c r="AT41" s="691">
        <v>2E-3</v>
      </c>
      <c r="AU41" s="685">
        <v>0</v>
      </c>
      <c r="AV41" s="687">
        <v>0</v>
      </c>
      <c r="AW41" s="692">
        <v>0</v>
      </c>
      <c r="AX41" s="693">
        <v>0</v>
      </c>
      <c r="AY41" s="692">
        <v>0</v>
      </c>
      <c r="AZ41" s="693">
        <v>0</v>
      </c>
      <c r="BA41" s="692">
        <v>0</v>
      </c>
      <c r="BB41" s="693">
        <v>0</v>
      </c>
      <c r="BC41" s="694">
        <v>0</v>
      </c>
      <c r="BD41" s="695">
        <v>0</v>
      </c>
      <c r="BE41" s="692">
        <v>0</v>
      </c>
      <c r="BF41" s="693">
        <v>0</v>
      </c>
      <c r="BG41" s="694">
        <v>0</v>
      </c>
      <c r="BH41" s="693">
        <v>0</v>
      </c>
      <c r="BI41" s="694">
        <v>0</v>
      </c>
      <c r="BJ41" s="693">
        <v>0</v>
      </c>
      <c r="BK41" s="694">
        <v>0</v>
      </c>
      <c r="BL41" s="693">
        <v>0</v>
      </c>
      <c r="BM41" s="694">
        <v>0</v>
      </c>
      <c r="BN41" s="693">
        <v>0</v>
      </c>
      <c r="BO41" s="694">
        <v>0</v>
      </c>
      <c r="BP41" s="693">
        <v>0</v>
      </c>
      <c r="BQ41" s="694">
        <v>0</v>
      </c>
      <c r="BR41" s="693">
        <v>0</v>
      </c>
      <c r="BS41" s="694">
        <v>0</v>
      </c>
      <c r="BT41" s="693">
        <v>0</v>
      </c>
      <c r="BU41" s="694">
        <v>0</v>
      </c>
      <c r="BV41" s="693">
        <v>0</v>
      </c>
      <c r="BW41" s="694">
        <v>0</v>
      </c>
      <c r="BX41" s="693">
        <v>0</v>
      </c>
      <c r="BY41" s="694">
        <v>0</v>
      </c>
      <c r="BZ41" s="693">
        <v>0</v>
      </c>
      <c r="CA41" s="694">
        <v>0</v>
      </c>
      <c r="CB41" s="693">
        <v>0</v>
      </c>
      <c r="CC41" s="692">
        <v>0</v>
      </c>
      <c r="CD41" s="695">
        <v>0</v>
      </c>
      <c r="CE41" s="692">
        <v>0</v>
      </c>
      <c r="CF41" s="695">
        <v>0</v>
      </c>
      <c r="CG41" s="692">
        <v>0</v>
      </c>
      <c r="CH41" s="695">
        <v>0</v>
      </c>
      <c r="CI41" s="692">
        <v>0</v>
      </c>
      <c r="CJ41" s="695">
        <v>0</v>
      </c>
      <c r="CK41" s="692">
        <v>0</v>
      </c>
      <c r="CL41" s="695">
        <v>0</v>
      </c>
      <c r="CM41" s="692">
        <v>0</v>
      </c>
      <c r="CN41" s="695">
        <v>0</v>
      </c>
      <c r="CO41" s="692">
        <v>0</v>
      </c>
      <c r="CP41" s="695">
        <v>0</v>
      </c>
      <c r="CQ41" s="692">
        <v>0</v>
      </c>
      <c r="CR41" s="693">
        <v>0</v>
      </c>
      <c r="CS41" s="692">
        <v>0</v>
      </c>
      <c r="CT41" s="693">
        <v>0</v>
      </c>
      <c r="CU41" s="694">
        <v>0</v>
      </c>
      <c r="CV41" s="693">
        <v>0</v>
      </c>
    </row>
    <row r="42" spans="1:100">
      <c r="A42" s="460">
        <v>40</v>
      </c>
      <c r="B42" s="580">
        <v>0</v>
      </c>
      <c r="C42" s="580">
        <v>0</v>
      </c>
      <c r="D42" s="580">
        <v>0</v>
      </c>
      <c r="E42" s="580">
        <v>0</v>
      </c>
      <c r="F42" s="580">
        <f t="shared" si="19"/>
        <v>1.2500000000000001E-2</v>
      </c>
      <c r="G42" s="580">
        <v>0.02</v>
      </c>
      <c r="H42" s="580">
        <v>0</v>
      </c>
      <c r="I42" s="580">
        <v>0</v>
      </c>
      <c r="J42" s="580">
        <v>0</v>
      </c>
      <c r="K42" s="580">
        <v>0</v>
      </c>
      <c r="L42" s="580">
        <v>0</v>
      </c>
      <c r="M42" s="580">
        <v>0</v>
      </c>
      <c r="N42" s="580">
        <v>0</v>
      </c>
      <c r="O42" s="580">
        <v>0</v>
      </c>
      <c r="P42" s="580">
        <v>0</v>
      </c>
      <c r="Q42" s="580">
        <v>0</v>
      </c>
      <c r="R42" s="580">
        <v>0</v>
      </c>
      <c r="S42" s="580">
        <v>0</v>
      </c>
      <c r="T42" s="580">
        <v>0.02</v>
      </c>
      <c r="U42" s="580">
        <v>0</v>
      </c>
      <c r="V42" s="580">
        <v>0</v>
      </c>
      <c r="W42" s="595">
        <v>0</v>
      </c>
      <c r="X42" s="688">
        <v>0</v>
      </c>
      <c r="Y42" s="688">
        <v>0</v>
      </c>
      <c r="Z42" s="688">
        <v>0</v>
      </c>
      <c r="AA42" s="688">
        <v>0</v>
      </c>
      <c r="AB42" s="688">
        <v>0</v>
      </c>
      <c r="AC42" s="688">
        <v>0</v>
      </c>
      <c r="AD42" s="688">
        <v>0</v>
      </c>
      <c r="AE42" s="977">
        <v>0</v>
      </c>
      <c r="AF42" s="978">
        <v>0</v>
      </c>
      <c r="AG42" s="979">
        <v>0</v>
      </c>
      <c r="AH42" s="688">
        <v>0</v>
      </c>
      <c r="AI42" s="687">
        <v>0</v>
      </c>
      <c r="AJ42" s="685">
        <v>0</v>
      </c>
      <c r="AK42" s="687">
        <v>0</v>
      </c>
      <c r="AL42" s="689">
        <v>0</v>
      </c>
      <c r="AM42" s="685">
        <v>0</v>
      </c>
      <c r="AN42" s="685">
        <v>0</v>
      </c>
      <c r="AO42" s="689">
        <v>0</v>
      </c>
      <c r="AP42" s="690">
        <v>0</v>
      </c>
      <c r="AQ42" s="687">
        <f t="shared" si="17"/>
        <v>7.1428571428571426E-3</v>
      </c>
      <c r="AR42" s="685">
        <v>5.0000000000000001E-3</v>
      </c>
      <c r="AS42" s="687">
        <f t="shared" si="20"/>
        <v>1.2500000000000001E-2</v>
      </c>
      <c r="AT42" s="691">
        <v>1E-3</v>
      </c>
      <c r="AU42" s="685">
        <v>0</v>
      </c>
      <c r="AV42" s="687">
        <v>0</v>
      </c>
      <c r="AW42" s="692">
        <v>0</v>
      </c>
      <c r="AX42" s="693">
        <v>0</v>
      </c>
      <c r="AY42" s="692">
        <v>0</v>
      </c>
      <c r="AZ42" s="693">
        <v>0</v>
      </c>
      <c r="BA42" s="692">
        <v>0</v>
      </c>
      <c r="BB42" s="693">
        <v>0</v>
      </c>
      <c r="BC42" s="694">
        <v>0</v>
      </c>
      <c r="BD42" s="695">
        <v>0</v>
      </c>
      <c r="BE42" s="692">
        <v>0</v>
      </c>
      <c r="BF42" s="693">
        <v>0</v>
      </c>
      <c r="BG42" s="694">
        <v>0</v>
      </c>
      <c r="BH42" s="693">
        <v>0</v>
      </c>
      <c r="BI42" s="694">
        <v>0</v>
      </c>
      <c r="BJ42" s="693">
        <v>0</v>
      </c>
      <c r="BK42" s="694">
        <v>0</v>
      </c>
      <c r="BL42" s="693">
        <v>0</v>
      </c>
      <c r="BM42" s="694">
        <v>0</v>
      </c>
      <c r="BN42" s="693">
        <v>0</v>
      </c>
      <c r="BO42" s="694">
        <v>0</v>
      </c>
      <c r="BP42" s="693">
        <v>0</v>
      </c>
      <c r="BQ42" s="694">
        <v>0</v>
      </c>
      <c r="BR42" s="693">
        <v>0</v>
      </c>
      <c r="BS42" s="694">
        <v>0</v>
      </c>
      <c r="BT42" s="693">
        <v>0</v>
      </c>
      <c r="BU42" s="694">
        <v>0</v>
      </c>
      <c r="BV42" s="693">
        <v>0</v>
      </c>
      <c r="BW42" s="694">
        <v>0</v>
      </c>
      <c r="BX42" s="693">
        <v>0</v>
      </c>
      <c r="BY42" s="694">
        <v>0</v>
      </c>
      <c r="BZ42" s="693">
        <v>0</v>
      </c>
      <c r="CA42" s="694">
        <v>0</v>
      </c>
      <c r="CB42" s="693">
        <v>0</v>
      </c>
      <c r="CC42" s="692">
        <v>0</v>
      </c>
      <c r="CD42" s="695">
        <v>0</v>
      </c>
      <c r="CE42" s="692">
        <v>0</v>
      </c>
      <c r="CF42" s="695">
        <v>0</v>
      </c>
      <c r="CG42" s="692">
        <v>0</v>
      </c>
      <c r="CH42" s="695">
        <v>0</v>
      </c>
      <c r="CI42" s="692">
        <v>0</v>
      </c>
      <c r="CJ42" s="695">
        <v>0</v>
      </c>
      <c r="CK42" s="692">
        <v>0</v>
      </c>
      <c r="CL42" s="695">
        <v>0</v>
      </c>
      <c r="CM42" s="692">
        <v>0</v>
      </c>
      <c r="CN42" s="695">
        <v>0</v>
      </c>
      <c r="CO42" s="692">
        <v>0</v>
      </c>
      <c r="CP42" s="695">
        <v>0</v>
      </c>
      <c r="CQ42" s="692">
        <v>0</v>
      </c>
      <c r="CR42" s="693">
        <v>0</v>
      </c>
      <c r="CS42" s="692">
        <v>0</v>
      </c>
      <c r="CT42" s="693">
        <v>0</v>
      </c>
      <c r="CU42" s="694">
        <v>0</v>
      </c>
      <c r="CV42" s="693">
        <v>0</v>
      </c>
    </row>
    <row r="43" spans="1:100">
      <c r="A43" s="460">
        <v>41</v>
      </c>
      <c r="B43" s="580">
        <v>0</v>
      </c>
      <c r="C43" s="580">
        <v>0</v>
      </c>
      <c r="D43" s="580">
        <v>0</v>
      </c>
      <c r="E43" s="580">
        <v>0</v>
      </c>
      <c r="F43" s="580">
        <f t="shared" si="19"/>
        <v>1.2500000000000001E-2</v>
      </c>
      <c r="G43" s="580">
        <v>0.02</v>
      </c>
      <c r="H43" s="580">
        <v>0</v>
      </c>
      <c r="I43" s="580">
        <v>0</v>
      </c>
      <c r="J43" s="580">
        <v>0</v>
      </c>
      <c r="K43" s="580">
        <v>0</v>
      </c>
      <c r="L43" s="580">
        <v>0</v>
      </c>
      <c r="M43" s="580">
        <v>0</v>
      </c>
      <c r="N43" s="580">
        <v>0</v>
      </c>
      <c r="O43" s="580">
        <v>0</v>
      </c>
      <c r="P43" s="580">
        <v>0</v>
      </c>
      <c r="Q43" s="580">
        <v>0</v>
      </c>
      <c r="R43" s="580">
        <v>0</v>
      </c>
      <c r="S43" s="580">
        <v>0</v>
      </c>
      <c r="T43" s="580">
        <v>0.02</v>
      </c>
      <c r="U43" s="580">
        <v>0</v>
      </c>
      <c r="V43" s="580">
        <v>0</v>
      </c>
      <c r="W43" s="595">
        <v>0</v>
      </c>
      <c r="X43" s="688">
        <v>0</v>
      </c>
      <c r="Y43" s="688">
        <v>0</v>
      </c>
      <c r="Z43" s="688">
        <v>0</v>
      </c>
      <c r="AA43" s="688">
        <v>0</v>
      </c>
      <c r="AB43" s="688">
        <v>0</v>
      </c>
      <c r="AC43" s="688">
        <v>0</v>
      </c>
      <c r="AD43" s="688">
        <v>0</v>
      </c>
      <c r="AE43" s="977">
        <v>0</v>
      </c>
      <c r="AF43" s="978">
        <v>0</v>
      </c>
      <c r="AG43" s="979">
        <v>0</v>
      </c>
      <c r="AH43" s="688">
        <v>0</v>
      </c>
      <c r="AI43" s="687">
        <v>0</v>
      </c>
      <c r="AJ43" s="685">
        <v>0</v>
      </c>
      <c r="AK43" s="687">
        <v>0</v>
      </c>
      <c r="AL43" s="689">
        <v>0</v>
      </c>
      <c r="AM43" s="685">
        <v>0</v>
      </c>
      <c r="AN43" s="685">
        <v>0</v>
      </c>
      <c r="AO43" s="689">
        <v>0</v>
      </c>
      <c r="AP43" s="690">
        <v>0</v>
      </c>
      <c r="AQ43" s="687">
        <f t="shared" si="17"/>
        <v>7.1428571428571426E-3</v>
      </c>
      <c r="AR43" s="685">
        <v>5.0000000000000001E-3</v>
      </c>
      <c r="AS43" s="687">
        <f t="shared" si="20"/>
        <v>1.2500000000000001E-2</v>
      </c>
      <c r="AT43" s="691">
        <v>1E-3</v>
      </c>
      <c r="AU43" s="685">
        <v>0</v>
      </c>
      <c r="AV43" s="687">
        <v>0</v>
      </c>
      <c r="AW43" s="692">
        <v>0</v>
      </c>
      <c r="AX43" s="693">
        <v>0</v>
      </c>
      <c r="AY43" s="692">
        <v>0</v>
      </c>
      <c r="AZ43" s="693">
        <v>0</v>
      </c>
      <c r="BA43" s="692">
        <v>0</v>
      </c>
      <c r="BB43" s="693">
        <v>0</v>
      </c>
      <c r="BC43" s="694">
        <v>0</v>
      </c>
      <c r="BD43" s="695">
        <v>0</v>
      </c>
      <c r="BE43" s="692">
        <v>0</v>
      </c>
      <c r="BF43" s="693">
        <v>0</v>
      </c>
      <c r="BG43" s="694">
        <v>0</v>
      </c>
      <c r="BH43" s="693">
        <v>0</v>
      </c>
      <c r="BI43" s="694">
        <v>0</v>
      </c>
      <c r="BJ43" s="693">
        <v>0</v>
      </c>
      <c r="BK43" s="694">
        <v>0</v>
      </c>
      <c r="BL43" s="693">
        <v>0</v>
      </c>
      <c r="BM43" s="694">
        <v>0</v>
      </c>
      <c r="BN43" s="693">
        <v>0</v>
      </c>
      <c r="BO43" s="694">
        <v>0</v>
      </c>
      <c r="BP43" s="693">
        <v>0</v>
      </c>
      <c r="BQ43" s="694">
        <v>0</v>
      </c>
      <c r="BR43" s="693">
        <v>0</v>
      </c>
      <c r="BS43" s="694">
        <v>0</v>
      </c>
      <c r="BT43" s="693">
        <v>0</v>
      </c>
      <c r="BU43" s="694">
        <v>0</v>
      </c>
      <c r="BV43" s="693">
        <v>0</v>
      </c>
      <c r="BW43" s="694">
        <v>0</v>
      </c>
      <c r="BX43" s="693">
        <v>0</v>
      </c>
      <c r="BY43" s="694">
        <v>0</v>
      </c>
      <c r="BZ43" s="693">
        <v>0</v>
      </c>
      <c r="CA43" s="694">
        <v>0</v>
      </c>
      <c r="CB43" s="693">
        <v>0</v>
      </c>
      <c r="CC43" s="692">
        <v>0</v>
      </c>
      <c r="CD43" s="695">
        <v>0</v>
      </c>
      <c r="CE43" s="692">
        <v>0</v>
      </c>
      <c r="CF43" s="695">
        <v>0</v>
      </c>
      <c r="CG43" s="692">
        <v>0</v>
      </c>
      <c r="CH43" s="695">
        <v>0</v>
      </c>
      <c r="CI43" s="692">
        <v>0</v>
      </c>
      <c r="CJ43" s="695">
        <v>0</v>
      </c>
      <c r="CK43" s="692">
        <v>0</v>
      </c>
      <c r="CL43" s="695">
        <v>0</v>
      </c>
      <c r="CM43" s="692">
        <v>0</v>
      </c>
      <c r="CN43" s="695">
        <v>0</v>
      </c>
      <c r="CO43" s="692">
        <v>0</v>
      </c>
      <c r="CP43" s="695">
        <v>0</v>
      </c>
      <c r="CQ43" s="692">
        <v>0</v>
      </c>
      <c r="CR43" s="693">
        <v>0</v>
      </c>
      <c r="CS43" s="692">
        <v>0</v>
      </c>
      <c r="CT43" s="693">
        <v>0</v>
      </c>
      <c r="CU43" s="694">
        <v>0</v>
      </c>
      <c r="CV43" s="693">
        <v>0</v>
      </c>
    </row>
    <row r="44" spans="1:100">
      <c r="A44" s="460">
        <v>42</v>
      </c>
      <c r="B44" s="580">
        <v>0</v>
      </c>
      <c r="C44" s="580">
        <v>0</v>
      </c>
      <c r="D44" s="580">
        <v>0</v>
      </c>
      <c r="E44" s="580">
        <v>0</v>
      </c>
      <c r="F44" s="580">
        <f t="shared" si="19"/>
        <v>1.2500000000000001E-2</v>
      </c>
      <c r="G44" s="580">
        <v>0.02</v>
      </c>
      <c r="H44" s="580">
        <v>0</v>
      </c>
      <c r="I44" s="580">
        <v>0</v>
      </c>
      <c r="J44" s="580">
        <v>0</v>
      </c>
      <c r="K44" s="580">
        <v>0</v>
      </c>
      <c r="L44" s="580">
        <v>0</v>
      </c>
      <c r="M44" s="580">
        <v>0</v>
      </c>
      <c r="N44" s="580">
        <v>0</v>
      </c>
      <c r="O44" s="580">
        <v>0</v>
      </c>
      <c r="P44" s="580">
        <v>0</v>
      </c>
      <c r="Q44" s="580">
        <v>0</v>
      </c>
      <c r="R44" s="580">
        <v>0</v>
      </c>
      <c r="S44" s="580">
        <v>0</v>
      </c>
      <c r="T44" s="580">
        <v>0.02</v>
      </c>
      <c r="U44" s="580">
        <v>0</v>
      </c>
      <c r="V44" s="580">
        <v>0</v>
      </c>
      <c r="W44" s="595">
        <v>0</v>
      </c>
      <c r="X44" s="688">
        <v>0</v>
      </c>
      <c r="Y44" s="688">
        <v>0</v>
      </c>
      <c r="Z44" s="688">
        <v>0</v>
      </c>
      <c r="AA44" s="688">
        <v>0</v>
      </c>
      <c r="AB44" s="688">
        <v>0</v>
      </c>
      <c r="AC44" s="688">
        <v>0</v>
      </c>
      <c r="AD44" s="688">
        <v>0</v>
      </c>
      <c r="AE44" s="977">
        <v>0</v>
      </c>
      <c r="AF44" s="978">
        <v>0</v>
      </c>
      <c r="AG44" s="979">
        <v>0</v>
      </c>
      <c r="AH44" s="688">
        <v>0</v>
      </c>
      <c r="AI44" s="687">
        <v>0</v>
      </c>
      <c r="AJ44" s="685">
        <v>0</v>
      </c>
      <c r="AK44" s="687">
        <v>0</v>
      </c>
      <c r="AL44" s="689">
        <v>0</v>
      </c>
      <c r="AM44" s="685">
        <v>0</v>
      </c>
      <c r="AN44" s="685">
        <v>0</v>
      </c>
      <c r="AO44" s="689">
        <v>0</v>
      </c>
      <c r="AP44" s="690">
        <v>0</v>
      </c>
      <c r="AQ44" s="687">
        <f t="shared" si="17"/>
        <v>7.1428571428571426E-3</v>
      </c>
      <c r="AR44" s="685">
        <v>5.0000000000000001E-3</v>
      </c>
      <c r="AS44" s="687">
        <f t="shared" si="20"/>
        <v>1.2500000000000001E-2</v>
      </c>
      <c r="AT44" s="691">
        <v>1E-3</v>
      </c>
      <c r="AU44" s="685">
        <v>0</v>
      </c>
      <c r="AV44" s="687">
        <v>0</v>
      </c>
      <c r="AW44" s="692">
        <v>0</v>
      </c>
      <c r="AX44" s="693">
        <v>0</v>
      </c>
      <c r="AY44" s="692">
        <v>0</v>
      </c>
      <c r="AZ44" s="693">
        <v>0</v>
      </c>
      <c r="BA44" s="692">
        <v>0</v>
      </c>
      <c r="BB44" s="693">
        <v>0</v>
      </c>
      <c r="BC44" s="694">
        <v>0</v>
      </c>
      <c r="BD44" s="695">
        <v>0</v>
      </c>
      <c r="BE44" s="692">
        <v>0</v>
      </c>
      <c r="BF44" s="693">
        <v>0</v>
      </c>
      <c r="BG44" s="694">
        <v>0</v>
      </c>
      <c r="BH44" s="693">
        <v>0</v>
      </c>
      <c r="BI44" s="694">
        <v>0</v>
      </c>
      <c r="BJ44" s="693">
        <v>0</v>
      </c>
      <c r="BK44" s="694">
        <v>0</v>
      </c>
      <c r="BL44" s="693">
        <v>0</v>
      </c>
      <c r="BM44" s="694">
        <v>0</v>
      </c>
      <c r="BN44" s="693">
        <v>0</v>
      </c>
      <c r="BO44" s="694">
        <v>0</v>
      </c>
      <c r="BP44" s="693">
        <v>0</v>
      </c>
      <c r="BQ44" s="694">
        <v>0</v>
      </c>
      <c r="BR44" s="693">
        <v>0</v>
      </c>
      <c r="BS44" s="694">
        <v>0</v>
      </c>
      <c r="BT44" s="693">
        <v>0</v>
      </c>
      <c r="BU44" s="694">
        <v>0</v>
      </c>
      <c r="BV44" s="693">
        <v>0</v>
      </c>
      <c r="BW44" s="694">
        <v>0</v>
      </c>
      <c r="BX44" s="693">
        <v>0</v>
      </c>
      <c r="BY44" s="694">
        <v>0</v>
      </c>
      <c r="BZ44" s="693">
        <v>0</v>
      </c>
      <c r="CA44" s="694">
        <v>0</v>
      </c>
      <c r="CB44" s="693">
        <v>0</v>
      </c>
      <c r="CC44" s="692">
        <v>0</v>
      </c>
      <c r="CD44" s="695">
        <v>0</v>
      </c>
      <c r="CE44" s="692">
        <v>0</v>
      </c>
      <c r="CF44" s="695">
        <v>0</v>
      </c>
      <c r="CG44" s="692">
        <v>0</v>
      </c>
      <c r="CH44" s="695">
        <v>0</v>
      </c>
      <c r="CI44" s="692">
        <v>0</v>
      </c>
      <c r="CJ44" s="695">
        <v>0</v>
      </c>
      <c r="CK44" s="692">
        <v>0</v>
      </c>
      <c r="CL44" s="695">
        <v>0</v>
      </c>
      <c r="CM44" s="692">
        <v>0</v>
      </c>
      <c r="CN44" s="695">
        <v>0</v>
      </c>
      <c r="CO44" s="692">
        <v>0</v>
      </c>
      <c r="CP44" s="695">
        <v>0</v>
      </c>
      <c r="CQ44" s="692">
        <v>0</v>
      </c>
      <c r="CR44" s="693">
        <v>0</v>
      </c>
      <c r="CS44" s="692">
        <v>0</v>
      </c>
      <c r="CT44" s="693">
        <v>0</v>
      </c>
      <c r="CU44" s="694">
        <v>0</v>
      </c>
      <c r="CV44" s="693">
        <v>0</v>
      </c>
    </row>
    <row r="45" spans="1:100">
      <c r="A45" s="460">
        <v>43</v>
      </c>
      <c r="B45" s="580">
        <v>0</v>
      </c>
      <c r="C45" s="580">
        <v>0</v>
      </c>
      <c r="D45" s="580">
        <v>0</v>
      </c>
      <c r="E45" s="580">
        <v>0</v>
      </c>
      <c r="F45" s="580">
        <f t="shared" si="19"/>
        <v>1.2500000000000001E-2</v>
      </c>
      <c r="G45" s="580">
        <v>0.02</v>
      </c>
      <c r="H45" s="580">
        <v>0</v>
      </c>
      <c r="I45" s="580">
        <v>0</v>
      </c>
      <c r="J45" s="580">
        <v>0</v>
      </c>
      <c r="K45" s="580">
        <v>0</v>
      </c>
      <c r="L45" s="580">
        <v>0</v>
      </c>
      <c r="M45" s="580">
        <v>0</v>
      </c>
      <c r="N45" s="580">
        <v>0</v>
      </c>
      <c r="O45" s="580">
        <v>0</v>
      </c>
      <c r="P45" s="580">
        <v>0</v>
      </c>
      <c r="Q45" s="580">
        <v>0</v>
      </c>
      <c r="R45" s="580">
        <v>0</v>
      </c>
      <c r="S45" s="580">
        <v>0</v>
      </c>
      <c r="T45" s="580">
        <v>0.02</v>
      </c>
      <c r="U45" s="580">
        <v>0</v>
      </c>
      <c r="V45" s="580">
        <v>0</v>
      </c>
      <c r="W45" s="595">
        <v>0</v>
      </c>
      <c r="X45" s="688">
        <v>0</v>
      </c>
      <c r="Y45" s="688">
        <v>0</v>
      </c>
      <c r="Z45" s="688">
        <v>0</v>
      </c>
      <c r="AA45" s="688">
        <v>0</v>
      </c>
      <c r="AB45" s="688">
        <v>0</v>
      </c>
      <c r="AC45" s="688">
        <v>0</v>
      </c>
      <c r="AD45" s="688">
        <v>0</v>
      </c>
      <c r="AE45" s="977">
        <v>0</v>
      </c>
      <c r="AF45" s="978">
        <v>0</v>
      </c>
      <c r="AG45" s="979">
        <v>0</v>
      </c>
      <c r="AH45" s="688">
        <v>0</v>
      </c>
      <c r="AI45" s="687">
        <v>0</v>
      </c>
      <c r="AJ45" s="685">
        <v>0</v>
      </c>
      <c r="AK45" s="687">
        <v>0</v>
      </c>
      <c r="AL45" s="689">
        <v>0</v>
      </c>
      <c r="AM45" s="685">
        <v>0</v>
      </c>
      <c r="AN45" s="685">
        <v>0</v>
      </c>
      <c r="AO45" s="689">
        <v>0</v>
      </c>
      <c r="AP45" s="690">
        <v>0</v>
      </c>
      <c r="AQ45" s="687">
        <f t="shared" si="17"/>
        <v>7.1428571428571426E-3</v>
      </c>
      <c r="AR45" s="685">
        <v>5.0000000000000001E-3</v>
      </c>
      <c r="AS45" s="687">
        <f t="shared" si="20"/>
        <v>1.2500000000000001E-2</v>
      </c>
      <c r="AT45" s="691">
        <v>1E-3</v>
      </c>
      <c r="AU45" s="685">
        <v>0</v>
      </c>
      <c r="AV45" s="687">
        <v>0</v>
      </c>
      <c r="AW45" s="692">
        <v>0</v>
      </c>
      <c r="AX45" s="693">
        <v>0</v>
      </c>
      <c r="AY45" s="692">
        <v>0</v>
      </c>
      <c r="AZ45" s="693">
        <v>0</v>
      </c>
      <c r="BA45" s="692">
        <v>0</v>
      </c>
      <c r="BB45" s="693">
        <v>0</v>
      </c>
      <c r="BC45" s="694">
        <v>0</v>
      </c>
      <c r="BD45" s="695">
        <v>0</v>
      </c>
      <c r="BE45" s="692">
        <v>0</v>
      </c>
      <c r="BF45" s="693">
        <v>0</v>
      </c>
      <c r="BG45" s="694">
        <v>0</v>
      </c>
      <c r="BH45" s="693">
        <v>0</v>
      </c>
      <c r="BI45" s="694">
        <v>0</v>
      </c>
      <c r="BJ45" s="693">
        <v>0</v>
      </c>
      <c r="BK45" s="694">
        <v>0</v>
      </c>
      <c r="BL45" s="693">
        <v>0</v>
      </c>
      <c r="BM45" s="694">
        <v>0</v>
      </c>
      <c r="BN45" s="693">
        <v>0</v>
      </c>
      <c r="BO45" s="694">
        <v>0</v>
      </c>
      <c r="BP45" s="693">
        <v>0</v>
      </c>
      <c r="BQ45" s="694">
        <v>0</v>
      </c>
      <c r="BR45" s="693">
        <v>0</v>
      </c>
      <c r="BS45" s="694">
        <v>0</v>
      </c>
      <c r="BT45" s="693">
        <v>0</v>
      </c>
      <c r="BU45" s="694">
        <v>0</v>
      </c>
      <c r="BV45" s="693">
        <v>0</v>
      </c>
      <c r="BW45" s="694">
        <v>0</v>
      </c>
      <c r="BX45" s="693">
        <v>0</v>
      </c>
      <c r="BY45" s="694">
        <v>0</v>
      </c>
      <c r="BZ45" s="693">
        <v>0</v>
      </c>
      <c r="CA45" s="694">
        <v>0</v>
      </c>
      <c r="CB45" s="693">
        <v>0</v>
      </c>
      <c r="CC45" s="692">
        <v>0</v>
      </c>
      <c r="CD45" s="695">
        <v>0</v>
      </c>
      <c r="CE45" s="692">
        <v>0</v>
      </c>
      <c r="CF45" s="695">
        <v>0</v>
      </c>
      <c r="CG45" s="692">
        <v>0</v>
      </c>
      <c r="CH45" s="695">
        <v>0</v>
      </c>
      <c r="CI45" s="692">
        <v>0</v>
      </c>
      <c r="CJ45" s="695">
        <v>0</v>
      </c>
      <c r="CK45" s="692">
        <v>0</v>
      </c>
      <c r="CL45" s="695">
        <v>0</v>
      </c>
      <c r="CM45" s="692">
        <v>0</v>
      </c>
      <c r="CN45" s="695">
        <v>0</v>
      </c>
      <c r="CO45" s="692">
        <v>0</v>
      </c>
      <c r="CP45" s="695">
        <v>0</v>
      </c>
      <c r="CQ45" s="692">
        <v>0</v>
      </c>
      <c r="CR45" s="693">
        <v>0</v>
      </c>
      <c r="CS45" s="692">
        <v>0</v>
      </c>
      <c r="CT45" s="693">
        <v>0</v>
      </c>
      <c r="CU45" s="694">
        <v>0</v>
      </c>
      <c r="CV45" s="693">
        <v>0</v>
      </c>
    </row>
    <row r="46" spans="1:100">
      <c r="A46" s="460">
        <v>44</v>
      </c>
      <c r="B46" s="580">
        <v>0</v>
      </c>
      <c r="C46" s="580">
        <v>0</v>
      </c>
      <c r="D46" s="580">
        <v>0</v>
      </c>
      <c r="E46" s="580">
        <v>0</v>
      </c>
      <c r="F46" s="580">
        <f t="shared" si="19"/>
        <v>1.2500000000000001E-2</v>
      </c>
      <c r="G46" s="580">
        <v>0.02</v>
      </c>
      <c r="H46" s="580">
        <v>0</v>
      </c>
      <c r="I46" s="580">
        <v>0</v>
      </c>
      <c r="J46" s="580">
        <v>0</v>
      </c>
      <c r="K46" s="580">
        <v>0</v>
      </c>
      <c r="L46" s="580">
        <v>0</v>
      </c>
      <c r="M46" s="580">
        <v>0</v>
      </c>
      <c r="N46" s="580">
        <v>0</v>
      </c>
      <c r="O46" s="580">
        <v>0</v>
      </c>
      <c r="P46" s="580">
        <v>0</v>
      </c>
      <c r="Q46" s="580">
        <v>0</v>
      </c>
      <c r="R46" s="580">
        <v>0</v>
      </c>
      <c r="S46" s="580">
        <v>0</v>
      </c>
      <c r="T46" s="580">
        <v>0.02</v>
      </c>
      <c r="U46" s="580">
        <v>0</v>
      </c>
      <c r="V46" s="580">
        <v>0</v>
      </c>
      <c r="W46" s="595">
        <v>0</v>
      </c>
      <c r="X46" s="688">
        <v>0</v>
      </c>
      <c r="Y46" s="688">
        <v>0</v>
      </c>
      <c r="Z46" s="688">
        <v>0</v>
      </c>
      <c r="AA46" s="688">
        <v>0</v>
      </c>
      <c r="AB46" s="688">
        <v>0</v>
      </c>
      <c r="AC46" s="688">
        <v>0</v>
      </c>
      <c r="AD46" s="688">
        <v>0</v>
      </c>
      <c r="AE46" s="977">
        <v>0</v>
      </c>
      <c r="AF46" s="978">
        <v>0</v>
      </c>
      <c r="AG46" s="979">
        <v>0</v>
      </c>
      <c r="AH46" s="688">
        <v>0</v>
      </c>
      <c r="AI46" s="687">
        <v>0</v>
      </c>
      <c r="AJ46" s="685">
        <v>0</v>
      </c>
      <c r="AK46" s="687">
        <v>0</v>
      </c>
      <c r="AL46" s="689">
        <v>0</v>
      </c>
      <c r="AM46" s="685">
        <v>0</v>
      </c>
      <c r="AN46" s="685">
        <v>0</v>
      </c>
      <c r="AO46" s="689">
        <v>0</v>
      </c>
      <c r="AP46" s="690">
        <v>0</v>
      </c>
      <c r="AQ46" s="687">
        <f t="shared" si="17"/>
        <v>7.1428571428571426E-3</v>
      </c>
      <c r="AR46" s="685">
        <v>5.0000000000000001E-3</v>
      </c>
      <c r="AS46" s="687">
        <f t="shared" si="20"/>
        <v>1.2500000000000001E-2</v>
      </c>
      <c r="AT46" s="691">
        <v>1E-3</v>
      </c>
      <c r="AU46" s="685">
        <v>0</v>
      </c>
      <c r="AV46" s="687">
        <v>0</v>
      </c>
      <c r="AW46" s="692">
        <v>0</v>
      </c>
      <c r="AX46" s="693">
        <v>0</v>
      </c>
      <c r="AY46" s="692">
        <v>0</v>
      </c>
      <c r="AZ46" s="693">
        <v>0</v>
      </c>
      <c r="BA46" s="692">
        <v>0</v>
      </c>
      <c r="BB46" s="693">
        <v>0</v>
      </c>
      <c r="BC46" s="694">
        <v>0</v>
      </c>
      <c r="BD46" s="695">
        <v>0</v>
      </c>
      <c r="BE46" s="692">
        <v>0</v>
      </c>
      <c r="BF46" s="693">
        <v>0</v>
      </c>
      <c r="BG46" s="694">
        <v>0</v>
      </c>
      <c r="BH46" s="693">
        <v>0</v>
      </c>
      <c r="BI46" s="694">
        <v>0</v>
      </c>
      <c r="BJ46" s="693">
        <v>0</v>
      </c>
      <c r="BK46" s="694">
        <v>0</v>
      </c>
      <c r="BL46" s="693">
        <v>0</v>
      </c>
      <c r="BM46" s="694">
        <v>0</v>
      </c>
      <c r="BN46" s="693">
        <v>0</v>
      </c>
      <c r="BO46" s="694">
        <v>0</v>
      </c>
      <c r="BP46" s="693">
        <v>0</v>
      </c>
      <c r="BQ46" s="694">
        <v>0</v>
      </c>
      <c r="BR46" s="693">
        <v>0</v>
      </c>
      <c r="BS46" s="694">
        <v>0</v>
      </c>
      <c r="BT46" s="693">
        <v>0</v>
      </c>
      <c r="BU46" s="694">
        <v>0</v>
      </c>
      <c r="BV46" s="693">
        <v>0</v>
      </c>
      <c r="BW46" s="694">
        <v>0</v>
      </c>
      <c r="BX46" s="693">
        <v>0</v>
      </c>
      <c r="BY46" s="694">
        <v>0</v>
      </c>
      <c r="BZ46" s="693">
        <v>0</v>
      </c>
      <c r="CA46" s="694">
        <v>0</v>
      </c>
      <c r="CB46" s="693">
        <v>0</v>
      </c>
      <c r="CC46" s="692">
        <v>0</v>
      </c>
      <c r="CD46" s="695">
        <v>0</v>
      </c>
      <c r="CE46" s="692">
        <v>0</v>
      </c>
      <c r="CF46" s="695">
        <v>0</v>
      </c>
      <c r="CG46" s="692">
        <v>0</v>
      </c>
      <c r="CH46" s="695">
        <v>0</v>
      </c>
      <c r="CI46" s="692">
        <v>0</v>
      </c>
      <c r="CJ46" s="695">
        <v>0</v>
      </c>
      <c r="CK46" s="692">
        <v>0</v>
      </c>
      <c r="CL46" s="695">
        <v>0</v>
      </c>
      <c r="CM46" s="692">
        <v>0</v>
      </c>
      <c r="CN46" s="695">
        <v>0</v>
      </c>
      <c r="CO46" s="692">
        <v>0</v>
      </c>
      <c r="CP46" s="695">
        <v>0</v>
      </c>
      <c r="CQ46" s="692">
        <v>0</v>
      </c>
      <c r="CR46" s="693">
        <v>0</v>
      </c>
      <c r="CS46" s="692">
        <v>0</v>
      </c>
      <c r="CT46" s="693">
        <v>0</v>
      </c>
      <c r="CU46" s="694">
        <v>0</v>
      </c>
      <c r="CV46" s="693">
        <v>0</v>
      </c>
    </row>
    <row r="47" spans="1:100">
      <c r="A47" s="460">
        <v>45</v>
      </c>
      <c r="B47" s="580">
        <v>0</v>
      </c>
      <c r="C47" s="580">
        <v>0</v>
      </c>
      <c r="D47" s="580">
        <v>0</v>
      </c>
      <c r="E47" s="580">
        <v>0</v>
      </c>
      <c r="F47" s="580">
        <f t="shared" si="19"/>
        <v>1.2500000000000001E-2</v>
      </c>
      <c r="G47" s="580">
        <v>0.02</v>
      </c>
      <c r="H47" s="580">
        <v>0</v>
      </c>
      <c r="I47" s="580">
        <v>0</v>
      </c>
      <c r="J47" s="580">
        <v>0</v>
      </c>
      <c r="K47" s="580">
        <v>0</v>
      </c>
      <c r="L47" s="580">
        <v>0</v>
      </c>
      <c r="M47" s="580">
        <v>0</v>
      </c>
      <c r="N47" s="580">
        <v>0</v>
      </c>
      <c r="O47" s="580">
        <v>0</v>
      </c>
      <c r="P47" s="580">
        <v>0</v>
      </c>
      <c r="Q47" s="580">
        <v>0</v>
      </c>
      <c r="R47" s="580">
        <v>0</v>
      </c>
      <c r="S47" s="580">
        <v>0</v>
      </c>
      <c r="T47" s="580">
        <v>0.02</v>
      </c>
      <c r="U47" s="580">
        <v>0</v>
      </c>
      <c r="V47" s="580">
        <v>0</v>
      </c>
      <c r="W47" s="595">
        <v>0</v>
      </c>
      <c r="X47" s="688">
        <v>0</v>
      </c>
      <c r="Y47" s="688">
        <v>0</v>
      </c>
      <c r="Z47" s="688">
        <v>0</v>
      </c>
      <c r="AA47" s="688">
        <v>0</v>
      </c>
      <c r="AB47" s="688">
        <v>0</v>
      </c>
      <c r="AC47" s="688">
        <v>0</v>
      </c>
      <c r="AD47" s="688">
        <v>0</v>
      </c>
      <c r="AE47" s="977">
        <v>0</v>
      </c>
      <c r="AF47" s="978">
        <v>0</v>
      </c>
      <c r="AG47" s="979">
        <v>0</v>
      </c>
      <c r="AH47" s="688">
        <v>0</v>
      </c>
      <c r="AI47" s="687">
        <v>0</v>
      </c>
      <c r="AJ47" s="685">
        <v>0</v>
      </c>
      <c r="AK47" s="687">
        <v>0</v>
      </c>
      <c r="AL47" s="689">
        <v>0</v>
      </c>
      <c r="AM47" s="685">
        <v>0</v>
      </c>
      <c r="AN47" s="685">
        <v>0</v>
      </c>
      <c r="AO47" s="689">
        <v>0</v>
      </c>
      <c r="AP47" s="690">
        <v>0</v>
      </c>
      <c r="AQ47" s="687">
        <f t="shared" si="17"/>
        <v>7.1428571428571426E-3</v>
      </c>
      <c r="AR47" s="685">
        <v>5.0000000000000001E-3</v>
      </c>
      <c r="AS47" s="687">
        <f t="shared" si="20"/>
        <v>1.2500000000000001E-2</v>
      </c>
      <c r="AT47" s="691">
        <v>1E-3</v>
      </c>
      <c r="AU47" s="685">
        <v>0</v>
      </c>
      <c r="AV47" s="687">
        <v>0</v>
      </c>
      <c r="AW47" s="692">
        <v>0</v>
      </c>
      <c r="AX47" s="693">
        <v>0</v>
      </c>
      <c r="AY47" s="692">
        <v>0</v>
      </c>
      <c r="AZ47" s="693">
        <v>0</v>
      </c>
      <c r="BA47" s="692">
        <v>0</v>
      </c>
      <c r="BB47" s="693">
        <v>0</v>
      </c>
      <c r="BC47" s="694">
        <v>0</v>
      </c>
      <c r="BD47" s="695">
        <v>0</v>
      </c>
      <c r="BE47" s="692">
        <v>0</v>
      </c>
      <c r="BF47" s="693">
        <v>0</v>
      </c>
      <c r="BG47" s="694">
        <v>0</v>
      </c>
      <c r="BH47" s="693">
        <v>0</v>
      </c>
      <c r="BI47" s="694">
        <v>0</v>
      </c>
      <c r="BJ47" s="693">
        <v>0</v>
      </c>
      <c r="BK47" s="694">
        <v>0</v>
      </c>
      <c r="BL47" s="693">
        <v>0</v>
      </c>
      <c r="BM47" s="694">
        <v>0</v>
      </c>
      <c r="BN47" s="693">
        <v>0</v>
      </c>
      <c r="BO47" s="694">
        <v>0</v>
      </c>
      <c r="BP47" s="693">
        <v>0</v>
      </c>
      <c r="BQ47" s="694">
        <v>0</v>
      </c>
      <c r="BR47" s="693">
        <v>0</v>
      </c>
      <c r="BS47" s="694">
        <v>0</v>
      </c>
      <c r="BT47" s="693">
        <v>0</v>
      </c>
      <c r="BU47" s="694">
        <v>0</v>
      </c>
      <c r="BV47" s="693">
        <v>0</v>
      </c>
      <c r="BW47" s="694">
        <v>0</v>
      </c>
      <c r="BX47" s="693">
        <v>0</v>
      </c>
      <c r="BY47" s="694">
        <v>0</v>
      </c>
      <c r="BZ47" s="693">
        <v>0</v>
      </c>
      <c r="CA47" s="694">
        <v>0</v>
      </c>
      <c r="CB47" s="693">
        <v>0</v>
      </c>
      <c r="CC47" s="692">
        <v>0</v>
      </c>
      <c r="CD47" s="695">
        <v>0</v>
      </c>
      <c r="CE47" s="692">
        <v>0</v>
      </c>
      <c r="CF47" s="695">
        <v>0</v>
      </c>
      <c r="CG47" s="692">
        <v>0</v>
      </c>
      <c r="CH47" s="695">
        <v>0</v>
      </c>
      <c r="CI47" s="692">
        <v>0</v>
      </c>
      <c r="CJ47" s="695">
        <v>0</v>
      </c>
      <c r="CK47" s="692">
        <v>0</v>
      </c>
      <c r="CL47" s="695">
        <v>0</v>
      </c>
      <c r="CM47" s="692">
        <v>0</v>
      </c>
      <c r="CN47" s="695">
        <v>0</v>
      </c>
      <c r="CO47" s="692">
        <v>0</v>
      </c>
      <c r="CP47" s="695">
        <v>0</v>
      </c>
      <c r="CQ47" s="692">
        <v>0</v>
      </c>
      <c r="CR47" s="693">
        <v>0</v>
      </c>
      <c r="CS47" s="692">
        <v>0</v>
      </c>
      <c r="CT47" s="693">
        <v>0</v>
      </c>
      <c r="CU47" s="694">
        <v>0</v>
      </c>
      <c r="CV47" s="693">
        <v>0</v>
      </c>
    </row>
    <row r="48" spans="1:100">
      <c r="A48" s="460">
        <v>46</v>
      </c>
      <c r="B48" s="580">
        <v>0</v>
      </c>
      <c r="C48" s="580">
        <v>0</v>
      </c>
      <c r="D48" s="580">
        <v>0</v>
      </c>
      <c r="E48" s="580">
        <v>0</v>
      </c>
      <c r="F48" s="580">
        <f t="shared" si="19"/>
        <v>1.2500000000000001E-2</v>
      </c>
      <c r="G48" s="580">
        <v>0.02</v>
      </c>
      <c r="H48" s="580">
        <v>0</v>
      </c>
      <c r="I48" s="580">
        <v>0</v>
      </c>
      <c r="J48" s="580">
        <v>0</v>
      </c>
      <c r="K48" s="580">
        <v>0</v>
      </c>
      <c r="L48" s="580">
        <v>0</v>
      </c>
      <c r="M48" s="580">
        <v>0</v>
      </c>
      <c r="N48" s="580">
        <v>0</v>
      </c>
      <c r="O48" s="580">
        <v>0</v>
      </c>
      <c r="P48" s="580">
        <v>0</v>
      </c>
      <c r="Q48" s="580">
        <v>0</v>
      </c>
      <c r="R48" s="580">
        <v>0</v>
      </c>
      <c r="S48" s="580">
        <v>0</v>
      </c>
      <c r="T48" s="580">
        <v>0.02</v>
      </c>
      <c r="U48" s="580">
        <v>0</v>
      </c>
      <c r="V48" s="580">
        <v>0</v>
      </c>
      <c r="W48" s="595">
        <v>0</v>
      </c>
      <c r="X48" s="688">
        <v>0</v>
      </c>
      <c r="Y48" s="688">
        <v>0</v>
      </c>
      <c r="Z48" s="688">
        <v>0</v>
      </c>
      <c r="AA48" s="688">
        <v>0</v>
      </c>
      <c r="AB48" s="688">
        <v>0</v>
      </c>
      <c r="AC48" s="688">
        <v>0</v>
      </c>
      <c r="AD48" s="688">
        <v>0</v>
      </c>
      <c r="AE48" s="977">
        <v>0</v>
      </c>
      <c r="AF48" s="978">
        <v>0</v>
      </c>
      <c r="AG48" s="979">
        <v>0</v>
      </c>
      <c r="AH48" s="688">
        <v>0</v>
      </c>
      <c r="AI48" s="687">
        <v>0</v>
      </c>
      <c r="AJ48" s="685">
        <v>0</v>
      </c>
      <c r="AK48" s="687">
        <v>0</v>
      </c>
      <c r="AL48" s="689">
        <v>0</v>
      </c>
      <c r="AM48" s="685">
        <v>0</v>
      </c>
      <c r="AN48" s="685">
        <v>0</v>
      </c>
      <c r="AO48" s="689">
        <v>0</v>
      </c>
      <c r="AP48" s="690">
        <v>0</v>
      </c>
      <c r="AQ48" s="687">
        <f t="shared" si="17"/>
        <v>7.1428571428571426E-3</v>
      </c>
      <c r="AR48" s="685">
        <v>5.0000000000000001E-3</v>
      </c>
      <c r="AS48" s="687">
        <f t="shared" si="20"/>
        <v>1.2500000000000001E-2</v>
      </c>
      <c r="AT48" s="691">
        <v>1E-3</v>
      </c>
      <c r="AU48" s="685">
        <v>0</v>
      </c>
      <c r="AV48" s="687">
        <v>0</v>
      </c>
      <c r="AW48" s="692">
        <v>0</v>
      </c>
      <c r="AX48" s="693">
        <v>0</v>
      </c>
      <c r="AY48" s="692">
        <v>0</v>
      </c>
      <c r="AZ48" s="693">
        <v>0</v>
      </c>
      <c r="BA48" s="692">
        <v>0</v>
      </c>
      <c r="BB48" s="693">
        <v>0</v>
      </c>
      <c r="BC48" s="694">
        <v>0</v>
      </c>
      <c r="BD48" s="695">
        <v>0</v>
      </c>
      <c r="BE48" s="692">
        <v>0</v>
      </c>
      <c r="BF48" s="693">
        <v>0</v>
      </c>
      <c r="BG48" s="694">
        <v>0</v>
      </c>
      <c r="BH48" s="693">
        <v>0</v>
      </c>
      <c r="BI48" s="694">
        <v>0</v>
      </c>
      <c r="BJ48" s="693">
        <v>0</v>
      </c>
      <c r="BK48" s="694">
        <v>0</v>
      </c>
      <c r="BL48" s="693">
        <v>0</v>
      </c>
      <c r="BM48" s="694">
        <v>0</v>
      </c>
      <c r="BN48" s="693">
        <v>0</v>
      </c>
      <c r="BO48" s="694">
        <v>0</v>
      </c>
      <c r="BP48" s="693">
        <v>0</v>
      </c>
      <c r="BQ48" s="694">
        <v>0</v>
      </c>
      <c r="BR48" s="693">
        <v>0</v>
      </c>
      <c r="BS48" s="694">
        <v>0</v>
      </c>
      <c r="BT48" s="693">
        <v>0</v>
      </c>
      <c r="BU48" s="694">
        <v>0</v>
      </c>
      <c r="BV48" s="693">
        <v>0</v>
      </c>
      <c r="BW48" s="694">
        <v>0</v>
      </c>
      <c r="BX48" s="693">
        <v>0</v>
      </c>
      <c r="BY48" s="694">
        <v>0</v>
      </c>
      <c r="BZ48" s="693">
        <v>0</v>
      </c>
      <c r="CA48" s="694">
        <v>0</v>
      </c>
      <c r="CB48" s="693">
        <v>0</v>
      </c>
      <c r="CC48" s="692">
        <v>0</v>
      </c>
      <c r="CD48" s="695">
        <v>0</v>
      </c>
      <c r="CE48" s="692">
        <v>0</v>
      </c>
      <c r="CF48" s="695">
        <v>0</v>
      </c>
      <c r="CG48" s="692">
        <v>0</v>
      </c>
      <c r="CH48" s="695">
        <v>0</v>
      </c>
      <c r="CI48" s="692">
        <v>0</v>
      </c>
      <c r="CJ48" s="695">
        <v>0</v>
      </c>
      <c r="CK48" s="692">
        <v>0</v>
      </c>
      <c r="CL48" s="695">
        <v>0</v>
      </c>
      <c r="CM48" s="692">
        <v>0</v>
      </c>
      <c r="CN48" s="695">
        <v>0</v>
      </c>
      <c r="CO48" s="692">
        <v>0</v>
      </c>
      <c r="CP48" s="695">
        <v>0</v>
      </c>
      <c r="CQ48" s="692">
        <v>0</v>
      </c>
      <c r="CR48" s="693">
        <v>0</v>
      </c>
      <c r="CS48" s="692">
        <v>0</v>
      </c>
      <c r="CT48" s="693">
        <v>0</v>
      </c>
      <c r="CU48" s="694">
        <v>0</v>
      </c>
      <c r="CV48" s="693">
        <v>0</v>
      </c>
    </row>
    <row r="49" spans="1:100">
      <c r="A49" s="460">
        <v>47</v>
      </c>
      <c r="B49" s="580">
        <v>0</v>
      </c>
      <c r="C49" s="580">
        <v>0</v>
      </c>
      <c r="D49" s="580">
        <v>0</v>
      </c>
      <c r="E49" s="580">
        <v>0</v>
      </c>
      <c r="F49" s="580">
        <f t="shared" si="19"/>
        <v>1.2500000000000001E-2</v>
      </c>
      <c r="G49" s="580">
        <v>0.02</v>
      </c>
      <c r="H49" s="580">
        <v>0</v>
      </c>
      <c r="I49" s="580">
        <v>0</v>
      </c>
      <c r="J49" s="580">
        <v>0</v>
      </c>
      <c r="K49" s="580">
        <v>0</v>
      </c>
      <c r="L49" s="580">
        <v>0</v>
      </c>
      <c r="M49" s="580">
        <v>0</v>
      </c>
      <c r="N49" s="580">
        <v>0</v>
      </c>
      <c r="O49" s="580">
        <v>0</v>
      </c>
      <c r="P49" s="580">
        <v>0</v>
      </c>
      <c r="Q49" s="580">
        <v>0</v>
      </c>
      <c r="R49" s="580">
        <v>0</v>
      </c>
      <c r="S49" s="580">
        <v>0</v>
      </c>
      <c r="T49" s="580">
        <v>0.02</v>
      </c>
      <c r="U49" s="580">
        <v>0</v>
      </c>
      <c r="V49" s="580">
        <v>0</v>
      </c>
      <c r="W49" s="595">
        <v>0</v>
      </c>
      <c r="X49" s="688">
        <v>0</v>
      </c>
      <c r="Y49" s="688">
        <v>0</v>
      </c>
      <c r="Z49" s="688">
        <v>0</v>
      </c>
      <c r="AA49" s="688">
        <v>0</v>
      </c>
      <c r="AB49" s="688">
        <v>0</v>
      </c>
      <c r="AC49" s="688">
        <v>0</v>
      </c>
      <c r="AD49" s="688">
        <v>0</v>
      </c>
      <c r="AE49" s="977">
        <v>0</v>
      </c>
      <c r="AF49" s="978">
        <v>0</v>
      </c>
      <c r="AG49" s="979">
        <v>0</v>
      </c>
      <c r="AH49" s="688">
        <v>0</v>
      </c>
      <c r="AI49" s="687">
        <v>0</v>
      </c>
      <c r="AJ49" s="685">
        <v>0</v>
      </c>
      <c r="AK49" s="687">
        <v>0</v>
      </c>
      <c r="AL49" s="689">
        <v>0</v>
      </c>
      <c r="AM49" s="685">
        <v>0</v>
      </c>
      <c r="AN49" s="685">
        <v>0</v>
      </c>
      <c r="AO49" s="689">
        <v>0</v>
      </c>
      <c r="AP49" s="690">
        <v>0</v>
      </c>
      <c r="AQ49" s="687">
        <f t="shared" si="17"/>
        <v>7.1428571428571426E-3</v>
      </c>
      <c r="AR49" s="685">
        <v>5.0000000000000001E-3</v>
      </c>
      <c r="AS49" s="687">
        <f t="shared" si="20"/>
        <v>1.2500000000000001E-2</v>
      </c>
      <c r="AT49" s="691">
        <v>1E-3</v>
      </c>
      <c r="AU49" s="685">
        <v>0</v>
      </c>
      <c r="AV49" s="687">
        <v>0</v>
      </c>
      <c r="AW49" s="692">
        <v>0</v>
      </c>
      <c r="AX49" s="693">
        <v>0</v>
      </c>
      <c r="AY49" s="692">
        <v>0</v>
      </c>
      <c r="AZ49" s="693">
        <v>0</v>
      </c>
      <c r="BA49" s="692">
        <v>0</v>
      </c>
      <c r="BB49" s="693">
        <v>0</v>
      </c>
      <c r="BC49" s="694">
        <v>0</v>
      </c>
      <c r="BD49" s="695">
        <v>0</v>
      </c>
      <c r="BE49" s="692">
        <v>0</v>
      </c>
      <c r="BF49" s="693">
        <v>0</v>
      </c>
      <c r="BG49" s="694">
        <v>0</v>
      </c>
      <c r="BH49" s="693">
        <v>0</v>
      </c>
      <c r="BI49" s="694">
        <v>0</v>
      </c>
      <c r="BJ49" s="693">
        <v>0</v>
      </c>
      <c r="BK49" s="694">
        <v>0</v>
      </c>
      <c r="BL49" s="693">
        <v>0</v>
      </c>
      <c r="BM49" s="694">
        <v>0</v>
      </c>
      <c r="BN49" s="693">
        <v>0</v>
      </c>
      <c r="BO49" s="694">
        <v>0</v>
      </c>
      <c r="BP49" s="693">
        <v>0</v>
      </c>
      <c r="BQ49" s="694">
        <v>0</v>
      </c>
      <c r="BR49" s="693">
        <v>0</v>
      </c>
      <c r="BS49" s="694">
        <v>0</v>
      </c>
      <c r="BT49" s="693">
        <v>0</v>
      </c>
      <c r="BU49" s="694">
        <v>0</v>
      </c>
      <c r="BV49" s="693">
        <v>0</v>
      </c>
      <c r="BW49" s="694">
        <v>0</v>
      </c>
      <c r="BX49" s="693">
        <v>0</v>
      </c>
      <c r="BY49" s="694">
        <v>0</v>
      </c>
      <c r="BZ49" s="693">
        <v>0</v>
      </c>
      <c r="CA49" s="694">
        <v>0</v>
      </c>
      <c r="CB49" s="693">
        <v>0</v>
      </c>
      <c r="CC49" s="692">
        <v>0</v>
      </c>
      <c r="CD49" s="695">
        <v>0</v>
      </c>
      <c r="CE49" s="692">
        <v>0</v>
      </c>
      <c r="CF49" s="695">
        <v>0</v>
      </c>
      <c r="CG49" s="692">
        <v>0</v>
      </c>
      <c r="CH49" s="695">
        <v>0</v>
      </c>
      <c r="CI49" s="692">
        <v>0</v>
      </c>
      <c r="CJ49" s="695">
        <v>0</v>
      </c>
      <c r="CK49" s="692">
        <v>0</v>
      </c>
      <c r="CL49" s="695">
        <v>0</v>
      </c>
      <c r="CM49" s="692">
        <v>0</v>
      </c>
      <c r="CN49" s="695">
        <v>0</v>
      </c>
      <c r="CO49" s="692">
        <v>0</v>
      </c>
      <c r="CP49" s="695">
        <v>0</v>
      </c>
      <c r="CQ49" s="692">
        <v>0</v>
      </c>
      <c r="CR49" s="693">
        <v>0</v>
      </c>
      <c r="CS49" s="692">
        <v>0</v>
      </c>
      <c r="CT49" s="693">
        <v>0</v>
      </c>
      <c r="CU49" s="694">
        <v>0</v>
      </c>
      <c r="CV49" s="693">
        <v>0</v>
      </c>
    </row>
    <row r="50" spans="1:100">
      <c r="A50" s="460">
        <v>48</v>
      </c>
      <c r="B50" s="580">
        <v>0</v>
      </c>
      <c r="C50" s="580">
        <v>0</v>
      </c>
      <c r="D50" s="580">
        <v>0</v>
      </c>
      <c r="E50" s="580">
        <v>0</v>
      </c>
      <c r="F50" s="580">
        <f t="shared" si="19"/>
        <v>1.2500000000000001E-2</v>
      </c>
      <c r="G50" s="580">
        <v>0.02</v>
      </c>
      <c r="H50" s="580">
        <v>0</v>
      </c>
      <c r="I50" s="580">
        <v>0</v>
      </c>
      <c r="J50" s="580">
        <v>0</v>
      </c>
      <c r="K50" s="580">
        <v>0</v>
      </c>
      <c r="L50" s="580">
        <v>0</v>
      </c>
      <c r="M50" s="580">
        <v>0</v>
      </c>
      <c r="N50" s="580">
        <v>0</v>
      </c>
      <c r="O50" s="580">
        <v>0</v>
      </c>
      <c r="P50" s="580">
        <v>0</v>
      </c>
      <c r="Q50" s="580">
        <v>0</v>
      </c>
      <c r="R50" s="580">
        <v>0</v>
      </c>
      <c r="S50" s="580">
        <v>0</v>
      </c>
      <c r="T50" s="580">
        <v>0.02</v>
      </c>
      <c r="U50" s="580">
        <v>0</v>
      </c>
      <c r="V50" s="580">
        <v>0</v>
      </c>
      <c r="W50" s="595">
        <v>0</v>
      </c>
      <c r="X50" s="688">
        <v>0</v>
      </c>
      <c r="Y50" s="688">
        <v>0</v>
      </c>
      <c r="Z50" s="688">
        <v>0</v>
      </c>
      <c r="AA50" s="688">
        <v>0</v>
      </c>
      <c r="AB50" s="688">
        <v>0</v>
      </c>
      <c r="AC50" s="688">
        <v>0</v>
      </c>
      <c r="AD50" s="688">
        <v>0</v>
      </c>
      <c r="AE50" s="977">
        <v>0</v>
      </c>
      <c r="AF50" s="978">
        <v>0</v>
      </c>
      <c r="AG50" s="979">
        <v>0</v>
      </c>
      <c r="AH50" s="688">
        <v>0</v>
      </c>
      <c r="AI50" s="687">
        <v>0</v>
      </c>
      <c r="AJ50" s="685">
        <v>0</v>
      </c>
      <c r="AK50" s="687">
        <v>0</v>
      </c>
      <c r="AL50" s="689">
        <v>0</v>
      </c>
      <c r="AM50" s="685">
        <v>0</v>
      </c>
      <c r="AN50" s="685">
        <v>0</v>
      </c>
      <c r="AO50" s="689">
        <v>0</v>
      </c>
      <c r="AP50" s="690">
        <v>0</v>
      </c>
      <c r="AQ50" s="687">
        <f t="shared" si="17"/>
        <v>7.1428571428571426E-3</v>
      </c>
      <c r="AR50" s="685">
        <v>5.0000000000000001E-3</v>
      </c>
      <c r="AS50" s="687">
        <f t="shared" si="20"/>
        <v>1.2500000000000001E-2</v>
      </c>
      <c r="AT50" s="691">
        <v>1E-3</v>
      </c>
      <c r="AU50" s="685">
        <v>0</v>
      </c>
      <c r="AV50" s="687">
        <v>0</v>
      </c>
      <c r="AW50" s="692">
        <v>0</v>
      </c>
      <c r="AX50" s="693">
        <v>0</v>
      </c>
      <c r="AY50" s="692">
        <v>0</v>
      </c>
      <c r="AZ50" s="693">
        <v>0</v>
      </c>
      <c r="BA50" s="692">
        <v>0</v>
      </c>
      <c r="BB50" s="693">
        <v>0</v>
      </c>
      <c r="BC50" s="694">
        <v>0</v>
      </c>
      <c r="BD50" s="695">
        <v>0</v>
      </c>
      <c r="BE50" s="692">
        <v>0</v>
      </c>
      <c r="BF50" s="693">
        <v>0</v>
      </c>
      <c r="BG50" s="694">
        <v>0</v>
      </c>
      <c r="BH50" s="693">
        <v>0</v>
      </c>
      <c r="BI50" s="694">
        <v>0</v>
      </c>
      <c r="BJ50" s="693">
        <v>0</v>
      </c>
      <c r="BK50" s="694">
        <v>0</v>
      </c>
      <c r="BL50" s="693">
        <v>0</v>
      </c>
      <c r="BM50" s="694">
        <v>0</v>
      </c>
      <c r="BN50" s="693">
        <v>0</v>
      </c>
      <c r="BO50" s="694">
        <v>0</v>
      </c>
      <c r="BP50" s="693">
        <v>0</v>
      </c>
      <c r="BQ50" s="694">
        <v>0</v>
      </c>
      <c r="BR50" s="693">
        <v>0</v>
      </c>
      <c r="BS50" s="694">
        <v>0</v>
      </c>
      <c r="BT50" s="693">
        <v>0</v>
      </c>
      <c r="BU50" s="694">
        <v>0</v>
      </c>
      <c r="BV50" s="693">
        <v>0</v>
      </c>
      <c r="BW50" s="694">
        <v>0</v>
      </c>
      <c r="BX50" s="693">
        <v>0</v>
      </c>
      <c r="BY50" s="694">
        <v>0</v>
      </c>
      <c r="BZ50" s="693">
        <v>0</v>
      </c>
      <c r="CA50" s="694">
        <v>0</v>
      </c>
      <c r="CB50" s="693">
        <v>0</v>
      </c>
      <c r="CC50" s="692">
        <v>0</v>
      </c>
      <c r="CD50" s="695">
        <v>0</v>
      </c>
      <c r="CE50" s="692">
        <v>0</v>
      </c>
      <c r="CF50" s="695">
        <v>0</v>
      </c>
      <c r="CG50" s="692">
        <v>0</v>
      </c>
      <c r="CH50" s="695">
        <v>0</v>
      </c>
      <c r="CI50" s="692">
        <v>0</v>
      </c>
      <c r="CJ50" s="695">
        <v>0</v>
      </c>
      <c r="CK50" s="692">
        <v>0</v>
      </c>
      <c r="CL50" s="695">
        <v>0</v>
      </c>
      <c r="CM50" s="692">
        <v>0</v>
      </c>
      <c r="CN50" s="695">
        <v>0</v>
      </c>
      <c r="CO50" s="692">
        <v>0</v>
      </c>
      <c r="CP50" s="695">
        <v>0</v>
      </c>
      <c r="CQ50" s="692">
        <v>0</v>
      </c>
      <c r="CR50" s="693">
        <v>0</v>
      </c>
      <c r="CS50" s="692">
        <v>0</v>
      </c>
      <c r="CT50" s="693">
        <v>0</v>
      </c>
      <c r="CU50" s="694">
        <v>0</v>
      </c>
      <c r="CV50" s="693">
        <v>0</v>
      </c>
    </row>
    <row r="51" spans="1:100">
      <c r="A51" s="460">
        <v>49</v>
      </c>
      <c r="B51" s="580">
        <v>0</v>
      </c>
      <c r="C51" s="580">
        <v>0</v>
      </c>
      <c r="D51" s="580">
        <v>0</v>
      </c>
      <c r="E51" s="580">
        <v>0</v>
      </c>
      <c r="F51" s="580">
        <f t="shared" si="19"/>
        <v>1.2500000000000001E-2</v>
      </c>
      <c r="G51" s="580">
        <v>0.02</v>
      </c>
      <c r="H51" s="580">
        <v>0</v>
      </c>
      <c r="I51" s="580">
        <v>0</v>
      </c>
      <c r="J51" s="580">
        <v>0</v>
      </c>
      <c r="K51" s="580">
        <v>0</v>
      </c>
      <c r="L51" s="580">
        <v>0</v>
      </c>
      <c r="M51" s="580">
        <v>0</v>
      </c>
      <c r="N51" s="580">
        <v>0</v>
      </c>
      <c r="O51" s="580">
        <v>0</v>
      </c>
      <c r="P51" s="580">
        <v>0</v>
      </c>
      <c r="Q51" s="580">
        <v>0</v>
      </c>
      <c r="R51" s="580">
        <v>0</v>
      </c>
      <c r="S51" s="580">
        <v>0</v>
      </c>
      <c r="T51" s="580">
        <v>0.02</v>
      </c>
      <c r="U51" s="580">
        <v>0</v>
      </c>
      <c r="V51" s="580">
        <v>0</v>
      </c>
      <c r="W51" s="595">
        <v>0</v>
      </c>
      <c r="X51" s="688">
        <v>0</v>
      </c>
      <c r="Y51" s="688">
        <v>0</v>
      </c>
      <c r="Z51" s="688">
        <v>0</v>
      </c>
      <c r="AA51" s="688">
        <v>0</v>
      </c>
      <c r="AB51" s="688">
        <v>0</v>
      </c>
      <c r="AC51" s="688">
        <v>0</v>
      </c>
      <c r="AD51" s="688">
        <v>0</v>
      </c>
      <c r="AE51" s="977">
        <v>0</v>
      </c>
      <c r="AF51" s="978">
        <v>0</v>
      </c>
      <c r="AG51" s="979">
        <v>0</v>
      </c>
      <c r="AH51" s="688">
        <v>0</v>
      </c>
      <c r="AI51" s="687">
        <v>0</v>
      </c>
      <c r="AJ51" s="685">
        <v>0</v>
      </c>
      <c r="AK51" s="687">
        <v>0</v>
      </c>
      <c r="AL51" s="689">
        <v>0</v>
      </c>
      <c r="AM51" s="685">
        <v>0</v>
      </c>
      <c r="AN51" s="685">
        <v>0</v>
      </c>
      <c r="AO51" s="689">
        <v>0</v>
      </c>
      <c r="AP51" s="690">
        <v>0</v>
      </c>
      <c r="AQ51" s="687">
        <f t="shared" si="17"/>
        <v>7.1428571428571426E-3</v>
      </c>
      <c r="AR51" s="685">
        <v>5.0000000000000001E-3</v>
      </c>
      <c r="AS51" s="687">
        <f t="shared" si="20"/>
        <v>1.2500000000000001E-2</v>
      </c>
      <c r="AT51" s="691">
        <v>1E-3</v>
      </c>
      <c r="AU51" s="685">
        <v>0</v>
      </c>
      <c r="AV51" s="687">
        <v>0</v>
      </c>
      <c r="AW51" s="692">
        <v>0</v>
      </c>
      <c r="AX51" s="693">
        <v>0</v>
      </c>
      <c r="AY51" s="692">
        <v>0</v>
      </c>
      <c r="AZ51" s="693">
        <v>0</v>
      </c>
      <c r="BA51" s="692">
        <v>0</v>
      </c>
      <c r="BB51" s="693">
        <v>0</v>
      </c>
      <c r="BC51" s="694">
        <v>0</v>
      </c>
      <c r="BD51" s="695">
        <v>0</v>
      </c>
      <c r="BE51" s="692">
        <v>0</v>
      </c>
      <c r="BF51" s="693">
        <v>0</v>
      </c>
      <c r="BG51" s="694">
        <v>0</v>
      </c>
      <c r="BH51" s="693">
        <v>0</v>
      </c>
      <c r="BI51" s="694">
        <v>0</v>
      </c>
      <c r="BJ51" s="693">
        <v>0</v>
      </c>
      <c r="BK51" s="694">
        <v>0</v>
      </c>
      <c r="BL51" s="693">
        <v>0</v>
      </c>
      <c r="BM51" s="694">
        <v>0</v>
      </c>
      <c r="BN51" s="693">
        <v>0</v>
      </c>
      <c r="BO51" s="694">
        <v>0</v>
      </c>
      <c r="BP51" s="693">
        <v>0</v>
      </c>
      <c r="BQ51" s="694">
        <v>0</v>
      </c>
      <c r="BR51" s="693">
        <v>0</v>
      </c>
      <c r="BS51" s="694">
        <v>0</v>
      </c>
      <c r="BT51" s="693">
        <v>0</v>
      </c>
      <c r="BU51" s="694">
        <v>0</v>
      </c>
      <c r="BV51" s="693">
        <v>0</v>
      </c>
      <c r="BW51" s="694">
        <v>0</v>
      </c>
      <c r="BX51" s="693">
        <v>0</v>
      </c>
      <c r="BY51" s="694">
        <v>0</v>
      </c>
      <c r="BZ51" s="693">
        <v>0</v>
      </c>
      <c r="CA51" s="694">
        <v>0</v>
      </c>
      <c r="CB51" s="693">
        <v>0</v>
      </c>
      <c r="CC51" s="692">
        <v>0</v>
      </c>
      <c r="CD51" s="695">
        <v>0</v>
      </c>
      <c r="CE51" s="692">
        <v>0</v>
      </c>
      <c r="CF51" s="695">
        <v>0</v>
      </c>
      <c r="CG51" s="692">
        <v>0</v>
      </c>
      <c r="CH51" s="695">
        <v>0</v>
      </c>
      <c r="CI51" s="692">
        <v>0</v>
      </c>
      <c r="CJ51" s="695">
        <v>0</v>
      </c>
      <c r="CK51" s="692">
        <v>0</v>
      </c>
      <c r="CL51" s="695">
        <v>0</v>
      </c>
      <c r="CM51" s="692">
        <v>0</v>
      </c>
      <c r="CN51" s="695">
        <v>0</v>
      </c>
      <c r="CO51" s="692">
        <v>0</v>
      </c>
      <c r="CP51" s="695">
        <v>0</v>
      </c>
      <c r="CQ51" s="692">
        <v>0</v>
      </c>
      <c r="CR51" s="693">
        <v>0</v>
      </c>
      <c r="CS51" s="692">
        <v>0</v>
      </c>
      <c r="CT51" s="693">
        <v>0</v>
      </c>
      <c r="CU51" s="694">
        <v>0</v>
      </c>
      <c r="CV51" s="693">
        <v>0</v>
      </c>
    </row>
    <row r="52" spans="1:100">
      <c r="A52" s="460">
        <v>50</v>
      </c>
      <c r="B52" s="580">
        <v>0</v>
      </c>
      <c r="C52" s="580">
        <v>0</v>
      </c>
      <c r="D52" s="580">
        <v>0</v>
      </c>
      <c r="E52" s="580">
        <v>0</v>
      </c>
      <c r="F52" s="580">
        <f t="shared" si="19"/>
        <v>1.2500000000000001E-2</v>
      </c>
      <c r="G52" s="580">
        <v>0.02</v>
      </c>
      <c r="H52" s="580">
        <v>0</v>
      </c>
      <c r="I52" s="580">
        <v>0</v>
      </c>
      <c r="J52" s="580">
        <v>0</v>
      </c>
      <c r="K52" s="580">
        <v>0</v>
      </c>
      <c r="L52" s="580">
        <v>0</v>
      </c>
      <c r="M52" s="580">
        <v>0</v>
      </c>
      <c r="N52" s="580">
        <v>0</v>
      </c>
      <c r="O52" s="580">
        <v>0</v>
      </c>
      <c r="P52" s="580">
        <v>0</v>
      </c>
      <c r="Q52" s="580">
        <v>0</v>
      </c>
      <c r="R52" s="580">
        <v>0</v>
      </c>
      <c r="S52" s="580">
        <v>0</v>
      </c>
      <c r="T52" s="580">
        <v>0.02</v>
      </c>
      <c r="U52" s="580">
        <v>0</v>
      </c>
      <c r="V52" s="580">
        <v>0</v>
      </c>
      <c r="W52" s="595">
        <v>0</v>
      </c>
      <c r="X52" s="688">
        <v>0</v>
      </c>
      <c r="Y52" s="688">
        <v>0</v>
      </c>
      <c r="Z52" s="688">
        <v>0</v>
      </c>
      <c r="AA52" s="688">
        <v>0</v>
      </c>
      <c r="AB52" s="688">
        <v>0</v>
      </c>
      <c r="AC52" s="688">
        <v>0</v>
      </c>
      <c r="AD52" s="688">
        <v>0</v>
      </c>
      <c r="AE52" s="977">
        <v>0</v>
      </c>
      <c r="AF52" s="978">
        <v>0</v>
      </c>
      <c r="AG52" s="979">
        <v>0</v>
      </c>
      <c r="AH52" s="688">
        <v>0</v>
      </c>
      <c r="AI52" s="687">
        <v>0</v>
      </c>
      <c r="AJ52" s="685">
        <v>0</v>
      </c>
      <c r="AK52" s="687">
        <v>0</v>
      </c>
      <c r="AL52" s="689">
        <v>0</v>
      </c>
      <c r="AM52" s="685">
        <v>0</v>
      </c>
      <c r="AN52" s="685">
        <v>0</v>
      </c>
      <c r="AO52" s="689">
        <v>0</v>
      </c>
      <c r="AP52" s="690">
        <v>0</v>
      </c>
      <c r="AQ52" s="687">
        <f t="shared" si="17"/>
        <v>7.1428571428571426E-3</v>
      </c>
      <c r="AR52" s="685">
        <v>5.0000000000000001E-3</v>
      </c>
      <c r="AS52" s="687">
        <f t="shared" si="20"/>
        <v>1.2500000000000001E-2</v>
      </c>
      <c r="AT52" s="691">
        <v>1E-3</v>
      </c>
      <c r="AU52" s="685">
        <v>0</v>
      </c>
      <c r="AV52" s="687">
        <v>0</v>
      </c>
      <c r="AW52" s="692">
        <v>0</v>
      </c>
      <c r="AX52" s="693">
        <v>0</v>
      </c>
      <c r="AY52" s="692">
        <v>0</v>
      </c>
      <c r="AZ52" s="693">
        <v>0</v>
      </c>
      <c r="BA52" s="692">
        <v>0</v>
      </c>
      <c r="BB52" s="693">
        <v>0</v>
      </c>
      <c r="BC52" s="694">
        <v>0</v>
      </c>
      <c r="BD52" s="695">
        <v>0</v>
      </c>
      <c r="BE52" s="692">
        <v>0</v>
      </c>
      <c r="BF52" s="693">
        <v>0</v>
      </c>
      <c r="BG52" s="694">
        <v>0</v>
      </c>
      <c r="BH52" s="693">
        <v>0</v>
      </c>
      <c r="BI52" s="694">
        <v>0</v>
      </c>
      <c r="BJ52" s="693">
        <v>0</v>
      </c>
      <c r="BK52" s="694">
        <v>0</v>
      </c>
      <c r="BL52" s="693">
        <v>0</v>
      </c>
      <c r="BM52" s="694">
        <v>0</v>
      </c>
      <c r="BN52" s="693">
        <v>0</v>
      </c>
      <c r="BO52" s="694">
        <v>0</v>
      </c>
      <c r="BP52" s="693">
        <v>0</v>
      </c>
      <c r="BQ52" s="694">
        <v>0</v>
      </c>
      <c r="BR52" s="693">
        <v>0</v>
      </c>
      <c r="BS52" s="694">
        <v>0</v>
      </c>
      <c r="BT52" s="693">
        <v>0</v>
      </c>
      <c r="BU52" s="694">
        <v>0</v>
      </c>
      <c r="BV52" s="693">
        <v>0</v>
      </c>
      <c r="BW52" s="694">
        <v>0</v>
      </c>
      <c r="BX52" s="693">
        <v>0</v>
      </c>
      <c r="BY52" s="694">
        <v>0</v>
      </c>
      <c r="BZ52" s="693">
        <v>0</v>
      </c>
      <c r="CA52" s="694">
        <v>0</v>
      </c>
      <c r="CB52" s="693">
        <v>0</v>
      </c>
      <c r="CC52" s="692">
        <v>0</v>
      </c>
      <c r="CD52" s="695">
        <v>0</v>
      </c>
      <c r="CE52" s="692">
        <v>0</v>
      </c>
      <c r="CF52" s="695">
        <v>0</v>
      </c>
      <c r="CG52" s="692">
        <v>0</v>
      </c>
      <c r="CH52" s="695">
        <v>0</v>
      </c>
      <c r="CI52" s="692">
        <v>0</v>
      </c>
      <c r="CJ52" s="695">
        <v>0</v>
      </c>
      <c r="CK52" s="692">
        <v>0</v>
      </c>
      <c r="CL52" s="695">
        <v>0</v>
      </c>
      <c r="CM52" s="692">
        <v>0</v>
      </c>
      <c r="CN52" s="695">
        <v>0</v>
      </c>
      <c r="CO52" s="692">
        <v>0</v>
      </c>
      <c r="CP52" s="695">
        <v>0</v>
      </c>
      <c r="CQ52" s="692">
        <v>0</v>
      </c>
      <c r="CR52" s="693">
        <v>0</v>
      </c>
      <c r="CS52" s="692">
        <v>0</v>
      </c>
      <c r="CT52" s="693">
        <v>0</v>
      </c>
      <c r="CU52" s="694">
        <v>0</v>
      </c>
      <c r="CV52" s="693">
        <v>0</v>
      </c>
    </row>
    <row r="53" spans="1:100">
      <c r="A53" s="460">
        <v>51</v>
      </c>
      <c r="B53" s="580">
        <v>0</v>
      </c>
      <c r="C53" s="580">
        <v>0</v>
      </c>
      <c r="D53" s="580">
        <v>0</v>
      </c>
      <c r="E53" s="580">
        <v>0</v>
      </c>
      <c r="F53" s="580">
        <f t="shared" si="19"/>
        <v>1.2500000000000001E-2</v>
      </c>
      <c r="G53" s="580">
        <v>0.02</v>
      </c>
      <c r="H53" s="580">
        <v>0</v>
      </c>
      <c r="I53" s="580">
        <v>0</v>
      </c>
      <c r="J53" s="580">
        <v>0</v>
      </c>
      <c r="K53" s="580">
        <v>0</v>
      </c>
      <c r="L53" s="580">
        <v>0</v>
      </c>
      <c r="M53" s="580">
        <v>0</v>
      </c>
      <c r="N53" s="580">
        <v>0</v>
      </c>
      <c r="O53" s="580">
        <v>0</v>
      </c>
      <c r="P53" s="580">
        <v>0</v>
      </c>
      <c r="Q53" s="580">
        <v>0</v>
      </c>
      <c r="R53" s="580">
        <v>0</v>
      </c>
      <c r="S53" s="580">
        <v>0</v>
      </c>
      <c r="T53" s="580">
        <v>0.02</v>
      </c>
      <c r="U53" s="580">
        <v>0</v>
      </c>
      <c r="V53" s="580">
        <v>0</v>
      </c>
      <c r="W53" s="595">
        <v>0</v>
      </c>
      <c r="X53" s="688">
        <v>0</v>
      </c>
      <c r="Y53" s="688">
        <v>0</v>
      </c>
      <c r="Z53" s="688">
        <v>0</v>
      </c>
      <c r="AA53" s="688">
        <v>0</v>
      </c>
      <c r="AB53" s="688">
        <v>0</v>
      </c>
      <c r="AC53" s="688">
        <v>0</v>
      </c>
      <c r="AD53" s="688">
        <v>0</v>
      </c>
      <c r="AE53" s="977">
        <v>0</v>
      </c>
      <c r="AF53" s="978">
        <v>0</v>
      </c>
      <c r="AG53" s="979">
        <v>0</v>
      </c>
      <c r="AH53" s="688">
        <v>0</v>
      </c>
      <c r="AI53" s="687">
        <v>0</v>
      </c>
      <c r="AJ53" s="685">
        <v>0</v>
      </c>
      <c r="AK53" s="687">
        <v>0</v>
      </c>
      <c r="AL53" s="689">
        <v>0</v>
      </c>
      <c r="AM53" s="685">
        <v>0</v>
      </c>
      <c r="AN53" s="685">
        <v>0</v>
      </c>
      <c r="AO53" s="689">
        <v>0</v>
      </c>
      <c r="AP53" s="690">
        <v>0</v>
      </c>
      <c r="AQ53" s="687">
        <f t="shared" si="17"/>
        <v>7.1428571428571426E-3</v>
      </c>
      <c r="AR53" s="685">
        <v>5.0000000000000001E-3</v>
      </c>
      <c r="AS53" s="687">
        <f t="shared" si="20"/>
        <v>1.2500000000000001E-2</v>
      </c>
      <c r="AT53" s="691">
        <v>1E-3</v>
      </c>
      <c r="AU53" s="685">
        <v>0</v>
      </c>
      <c r="AV53" s="687">
        <v>0</v>
      </c>
      <c r="AW53" s="692">
        <v>0</v>
      </c>
      <c r="AX53" s="693">
        <v>0</v>
      </c>
      <c r="AY53" s="692">
        <v>0</v>
      </c>
      <c r="AZ53" s="693">
        <v>0</v>
      </c>
      <c r="BA53" s="692">
        <v>0</v>
      </c>
      <c r="BB53" s="693">
        <v>0</v>
      </c>
      <c r="BC53" s="694">
        <v>0</v>
      </c>
      <c r="BD53" s="695">
        <v>0</v>
      </c>
      <c r="BE53" s="692">
        <v>0</v>
      </c>
      <c r="BF53" s="693">
        <v>0</v>
      </c>
      <c r="BG53" s="694">
        <v>0</v>
      </c>
      <c r="BH53" s="693">
        <v>0</v>
      </c>
      <c r="BI53" s="694">
        <v>0</v>
      </c>
      <c r="BJ53" s="693">
        <v>0</v>
      </c>
      <c r="BK53" s="694">
        <v>0</v>
      </c>
      <c r="BL53" s="693">
        <v>0</v>
      </c>
      <c r="BM53" s="694">
        <v>0</v>
      </c>
      <c r="BN53" s="693">
        <v>0</v>
      </c>
      <c r="BO53" s="694">
        <v>0</v>
      </c>
      <c r="BP53" s="693">
        <v>0</v>
      </c>
      <c r="BQ53" s="694">
        <v>0</v>
      </c>
      <c r="BR53" s="693">
        <v>0</v>
      </c>
      <c r="BS53" s="694">
        <v>0</v>
      </c>
      <c r="BT53" s="693">
        <v>0</v>
      </c>
      <c r="BU53" s="694">
        <v>0</v>
      </c>
      <c r="BV53" s="693">
        <v>0</v>
      </c>
      <c r="BW53" s="694">
        <v>0</v>
      </c>
      <c r="BX53" s="693">
        <v>0</v>
      </c>
      <c r="BY53" s="694">
        <v>0</v>
      </c>
      <c r="BZ53" s="693">
        <v>0</v>
      </c>
      <c r="CA53" s="694">
        <v>0</v>
      </c>
      <c r="CB53" s="693">
        <v>0</v>
      </c>
      <c r="CC53" s="692">
        <v>0</v>
      </c>
      <c r="CD53" s="695">
        <v>0</v>
      </c>
      <c r="CE53" s="692">
        <v>0</v>
      </c>
      <c r="CF53" s="695">
        <v>0</v>
      </c>
      <c r="CG53" s="692">
        <v>0</v>
      </c>
      <c r="CH53" s="695">
        <v>0</v>
      </c>
      <c r="CI53" s="692">
        <v>0</v>
      </c>
      <c r="CJ53" s="695">
        <v>0</v>
      </c>
      <c r="CK53" s="692">
        <v>0</v>
      </c>
      <c r="CL53" s="695">
        <v>0</v>
      </c>
      <c r="CM53" s="692">
        <v>0</v>
      </c>
      <c r="CN53" s="695">
        <v>0</v>
      </c>
      <c r="CO53" s="692">
        <v>0</v>
      </c>
      <c r="CP53" s="695">
        <v>0</v>
      </c>
      <c r="CQ53" s="692">
        <v>0</v>
      </c>
      <c r="CR53" s="693">
        <v>0</v>
      </c>
      <c r="CS53" s="692">
        <v>0</v>
      </c>
      <c r="CT53" s="693">
        <v>0</v>
      </c>
      <c r="CU53" s="694">
        <v>0</v>
      </c>
      <c r="CV53" s="693">
        <v>0</v>
      </c>
    </row>
    <row r="54" spans="1:100">
      <c r="A54" s="460">
        <v>52</v>
      </c>
      <c r="B54" s="580">
        <v>0</v>
      </c>
      <c r="C54" s="580">
        <v>0</v>
      </c>
      <c r="D54" s="580">
        <v>0</v>
      </c>
      <c r="E54" s="580">
        <v>0</v>
      </c>
      <c r="F54" s="580">
        <f t="shared" si="19"/>
        <v>1.2500000000000001E-2</v>
      </c>
      <c r="G54" s="580">
        <v>0.02</v>
      </c>
      <c r="H54" s="580">
        <v>0</v>
      </c>
      <c r="I54" s="580">
        <v>0</v>
      </c>
      <c r="J54" s="580">
        <v>0</v>
      </c>
      <c r="K54" s="580">
        <v>0</v>
      </c>
      <c r="L54" s="580">
        <v>0</v>
      </c>
      <c r="M54" s="580">
        <v>0</v>
      </c>
      <c r="N54" s="580">
        <v>0</v>
      </c>
      <c r="O54" s="580">
        <v>0</v>
      </c>
      <c r="P54" s="580">
        <v>0</v>
      </c>
      <c r="Q54" s="580">
        <v>0</v>
      </c>
      <c r="R54" s="580">
        <v>0</v>
      </c>
      <c r="S54" s="580">
        <v>0</v>
      </c>
      <c r="T54" s="580">
        <v>0.02</v>
      </c>
      <c r="U54" s="580">
        <v>0</v>
      </c>
      <c r="V54" s="580">
        <v>0</v>
      </c>
      <c r="W54" s="595">
        <v>0</v>
      </c>
      <c r="X54" s="688">
        <v>0</v>
      </c>
      <c r="Y54" s="688">
        <v>0</v>
      </c>
      <c r="Z54" s="688">
        <v>0</v>
      </c>
      <c r="AA54" s="688">
        <v>0</v>
      </c>
      <c r="AB54" s="688">
        <v>0</v>
      </c>
      <c r="AC54" s="688">
        <v>0</v>
      </c>
      <c r="AD54" s="688">
        <v>0</v>
      </c>
      <c r="AE54" s="977">
        <v>0</v>
      </c>
      <c r="AF54" s="978">
        <v>0</v>
      </c>
      <c r="AG54" s="979">
        <v>0</v>
      </c>
      <c r="AH54" s="688">
        <v>0</v>
      </c>
      <c r="AI54" s="687">
        <v>0</v>
      </c>
      <c r="AJ54" s="685">
        <v>0</v>
      </c>
      <c r="AK54" s="687">
        <v>0</v>
      </c>
      <c r="AL54" s="689">
        <v>0</v>
      </c>
      <c r="AM54" s="685">
        <v>0</v>
      </c>
      <c r="AN54" s="685">
        <v>0</v>
      </c>
      <c r="AO54" s="689">
        <v>0</v>
      </c>
      <c r="AP54" s="690">
        <v>0</v>
      </c>
      <c r="AQ54" s="687">
        <f t="shared" si="17"/>
        <v>7.1428571428571426E-3</v>
      </c>
      <c r="AR54" s="685">
        <v>5.0000000000000001E-3</v>
      </c>
      <c r="AS54" s="687">
        <f t="shared" si="20"/>
        <v>1.2500000000000001E-2</v>
      </c>
      <c r="AT54" s="691">
        <v>1E-3</v>
      </c>
      <c r="AU54" s="685">
        <v>0</v>
      </c>
      <c r="AV54" s="687">
        <v>0</v>
      </c>
      <c r="AW54" s="692">
        <v>0</v>
      </c>
      <c r="AX54" s="693">
        <v>0</v>
      </c>
      <c r="AY54" s="692">
        <v>0</v>
      </c>
      <c r="AZ54" s="693">
        <v>0</v>
      </c>
      <c r="BA54" s="692">
        <v>0</v>
      </c>
      <c r="BB54" s="693">
        <v>0</v>
      </c>
      <c r="BC54" s="694">
        <v>0</v>
      </c>
      <c r="BD54" s="695">
        <v>0</v>
      </c>
      <c r="BE54" s="692">
        <v>0</v>
      </c>
      <c r="BF54" s="693">
        <v>0</v>
      </c>
      <c r="BG54" s="694">
        <v>0</v>
      </c>
      <c r="BH54" s="693">
        <v>0</v>
      </c>
      <c r="BI54" s="694">
        <v>0</v>
      </c>
      <c r="BJ54" s="693">
        <v>0</v>
      </c>
      <c r="BK54" s="694">
        <v>0</v>
      </c>
      <c r="BL54" s="693">
        <v>0</v>
      </c>
      <c r="BM54" s="694">
        <v>0</v>
      </c>
      <c r="BN54" s="693">
        <v>0</v>
      </c>
      <c r="BO54" s="694">
        <v>0</v>
      </c>
      <c r="BP54" s="693">
        <v>0</v>
      </c>
      <c r="BQ54" s="694">
        <v>0</v>
      </c>
      <c r="BR54" s="693">
        <v>0</v>
      </c>
      <c r="BS54" s="694">
        <v>0</v>
      </c>
      <c r="BT54" s="693">
        <v>0</v>
      </c>
      <c r="BU54" s="694">
        <v>0</v>
      </c>
      <c r="BV54" s="693">
        <v>0</v>
      </c>
      <c r="BW54" s="694">
        <v>0</v>
      </c>
      <c r="BX54" s="693">
        <v>0</v>
      </c>
      <c r="BY54" s="694">
        <v>0</v>
      </c>
      <c r="BZ54" s="693">
        <v>0</v>
      </c>
      <c r="CA54" s="694">
        <v>0</v>
      </c>
      <c r="CB54" s="693">
        <v>0</v>
      </c>
      <c r="CC54" s="692">
        <v>0</v>
      </c>
      <c r="CD54" s="695">
        <v>0</v>
      </c>
      <c r="CE54" s="692">
        <v>0</v>
      </c>
      <c r="CF54" s="695">
        <v>0</v>
      </c>
      <c r="CG54" s="692">
        <v>0</v>
      </c>
      <c r="CH54" s="695">
        <v>0</v>
      </c>
      <c r="CI54" s="692">
        <v>0</v>
      </c>
      <c r="CJ54" s="695">
        <v>0</v>
      </c>
      <c r="CK54" s="692">
        <v>0</v>
      </c>
      <c r="CL54" s="695">
        <v>0</v>
      </c>
      <c r="CM54" s="692">
        <v>0</v>
      </c>
      <c r="CN54" s="695">
        <v>0</v>
      </c>
      <c r="CO54" s="692">
        <v>0</v>
      </c>
      <c r="CP54" s="695">
        <v>0</v>
      </c>
      <c r="CQ54" s="692">
        <v>0</v>
      </c>
      <c r="CR54" s="693">
        <v>0</v>
      </c>
      <c r="CS54" s="692">
        <v>0</v>
      </c>
      <c r="CT54" s="693">
        <v>0</v>
      </c>
      <c r="CU54" s="694">
        <v>0</v>
      </c>
      <c r="CV54" s="693">
        <v>0</v>
      </c>
    </row>
    <row r="55" spans="1:100">
      <c r="A55" s="460">
        <v>53</v>
      </c>
      <c r="B55" s="580">
        <v>0</v>
      </c>
      <c r="C55" s="580">
        <v>0</v>
      </c>
      <c r="D55" s="580">
        <v>0</v>
      </c>
      <c r="E55" s="580">
        <v>0</v>
      </c>
      <c r="F55" s="580">
        <f t="shared" si="19"/>
        <v>1.2500000000000001E-2</v>
      </c>
      <c r="G55" s="580">
        <v>0.02</v>
      </c>
      <c r="H55" s="580">
        <v>0</v>
      </c>
      <c r="I55" s="580">
        <v>0</v>
      </c>
      <c r="J55" s="580">
        <v>0</v>
      </c>
      <c r="K55" s="580">
        <v>0</v>
      </c>
      <c r="L55" s="580">
        <v>0</v>
      </c>
      <c r="M55" s="580">
        <v>0</v>
      </c>
      <c r="N55" s="580">
        <v>0</v>
      </c>
      <c r="O55" s="580">
        <v>0</v>
      </c>
      <c r="P55" s="580">
        <v>0</v>
      </c>
      <c r="Q55" s="580">
        <v>0</v>
      </c>
      <c r="R55" s="580">
        <v>0</v>
      </c>
      <c r="S55" s="580">
        <v>0</v>
      </c>
      <c r="T55" s="580">
        <v>0.02</v>
      </c>
      <c r="U55" s="580">
        <v>0</v>
      </c>
      <c r="V55" s="580">
        <v>0</v>
      </c>
      <c r="W55" s="595">
        <v>0</v>
      </c>
      <c r="X55" s="688">
        <v>0</v>
      </c>
      <c r="Y55" s="688">
        <v>0</v>
      </c>
      <c r="Z55" s="688">
        <v>0</v>
      </c>
      <c r="AA55" s="688">
        <v>0</v>
      </c>
      <c r="AB55" s="688">
        <v>0</v>
      </c>
      <c r="AC55" s="688">
        <v>0</v>
      </c>
      <c r="AD55" s="688">
        <v>0</v>
      </c>
      <c r="AE55" s="977">
        <v>0</v>
      </c>
      <c r="AF55" s="978">
        <v>0</v>
      </c>
      <c r="AG55" s="979">
        <v>0</v>
      </c>
      <c r="AH55" s="688">
        <v>0</v>
      </c>
      <c r="AI55" s="687">
        <v>0</v>
      </c>
      <c r="AJ55" s="685">
        <v>0</v>
      </c>
      <c r="AK55" s="687">
        <v>0</v>
      </c>
      <c r="AL55" s="689">
        <v>0</v>
      </c>
      <c r="AM55" s="685">
        <v>0</v>
      </c>
      <c r="AN55" s="685">
        <v>0</v>
      </c>
      <c r="AO55" s="689">
        <v>0</v>
      </c>
      <c r="AP55" s="690">
        <v>0</v>
      </c>
      <c r="AQ55" s="687">
        <f t="shared" si="17"/>
        <v>7.1428571428571426E-3</v>
      </c>
      <c r="AR55" s="685">
        <v>5.0000000000000001E-3</v>
      </c>
      <c r="AS55" s="687">
        <f t="shared" si="20"/>
        <v>1.2500000000000001E-2</v>
      </c>
      <c r="AT55" s="691">
        <v>1E-3</v>
      </c>
      <c r="AU55" s="685">
        <v>0</v>
      </c>
      <c r="AV55" s="687">
        <v>0</v>
      </c>
      <c r="AW55" s="692">
        <v>0</v>
      </c>
      <c r="AX55" s="693">
        <v>0</v>
      </c>
      <c r="AY55" s="692">
        <v>0</v>
      </c>
      <c r="AZ55" s="693">
        <v>0</v>
      </c>
      <c r="BA55" s="692">
        <v>0</v>
      </c>
      <c r="BB55" s="693">
        <v>0</v>
      </c>
      <c r="BC55" s="694">
        <v>0</v>
      </c>
      <c r="BD55" s="695">
        <v>0</v>
      </c>
      <c r="BE55" s="692">
        <v>0</v>
      </c>
      <c r="BF55" s="693">
        <v>0</v>
      </c>
      <c r="BG55" s="694">
        <v>0</v>
      </c>
      <c r="BH55" s="693">
        <v>0</v>
      </c>
      <c r="BI55" s="694">
        <v>0</v>
      </c>
      <c r="BJ55" s="693">
        <v>0</v>
      </c>
      <c r="BK55" s="694">
        <v>0</v>
      </c>
      <c r="BL55" s="693">
        <v>0</v>
      </c>
      <c r="BM55" s="694">
        <v>0</v>
      </c>
      <c r="BN55" s="693">
        <v>0</v>
      </c>
      <c r="BO55" s="694">
        <v>0</v>
      </c>
      <c r="BP55" s="693">
        <v>0</v>
      </c>
      <c r="BQ55" s="694">
        <v>0</v>
      </c>
      <c r="BR55" s="693">
        <v>0</v>
      </c>
      <c r="BS55" s="694">
        <v>0</v>
      </c>
      <c r="BT55" s="693">
        <v>0</v>
      </c>
      <c r="BU55" s="694">
        <v>0</v>
      </c>
      <c r="BV55" s="693">
        <v>0</v>
      </c>
      <c r="BW55" s="694">
        <v>0</v>
      </c>
      <c r="BX55" s="693">
        <v>0</v>
      </c>
      <c r="BY55" s="694">
        <v>0</v>
      </c>
      <c r="BZ55" s="693">
        <v>0</v>
      </c>
      <c r="CA55" s="694">
        <v>0</v>
      </c>
      <c r="CB55" s="693">
        <v>0</v>
      </c>
      <c r="CC55" s="692">
        <v>0</v>
      </c>
      <c r="CD55" s="695">
        <v>0</v>
      </c>
      <c r="CE55" s="692">
        <v>0</v>
      </c>
      <c r="CF55" s="695">
        <v>0</v>
      </c>
      <c r="CG55" s="692">
        <v>0</v>
      </c>
      <c r="CH55" s="695">
        <v>0</v>
      </c>
      <c r="CI55" s="692">
        <v>0</v>
      </c>
      <c r="CJ55" s="695">
        <v>0</v>
      </c>
      <c r="CK55" s="692">
        <v>0</v>
      </c>
      <c r="CL55" s="695">
        <v>0</v>
      </c>
      <c r="CM55" s="692">
        <v>0</v>
      </c>
      <c r="CN55" s="695">
        <v>0</v>
      </c>
      <c r="CO55" s="692">
        <v>0</v>
      </c>
      <c r="CP55" s="695">
        <v>0</v>
      </c>
      <c r="CQ55" s="692">
        <v>0</v>
      </c>
      <c r="CR55" s="693">
        <v>0</v>
      </c>
      <c r="CS55" s="692">
        <v>0</v>
      </c>
      <c r="CT55" s="693">
        <v>0</v>
      </c>
      <c r="CU55" s="694">
        <v>0</v>
      </c>
      <c r="CV55" s="693">
        <v>0</v>
      </c>
    </row>
    <row r="56" spans="1:100">
      <c r="A56" s="460">
        <v>54</v>
      </c>
      <c r="B56" s="580">
        <v>0</v>
      </c>
      <c r="C56" s="580">
        <v>0</v>
      </c>
      <c r="D56" s="580">
        <v>0</v>
      </c>
      <c r="E56" s="580">
        <v>0</v>
      </c>
      <c r="F56" s="580">
        <f t="shared" si="19"/>
        <v>1.2500000000000001E-2</v>
      </c>
      <c r="G56" s="580">
        <v>0.02</v>
      </c>
      <c r="H56" s="580">
        <v>0</v>
      </c>
      <c r="I56" s="580">
        <v>0</v>
      </c>
      <c r="J56" s="580">
        <v>0</v>
      </c>
      <c r="K56" s="580">
        <v>0</v>
      </c>
      <c r="L56" s="580">
        <v>0</v>
      </c>
      <c r="M56" s="580">
        <v>0</v>
      </c>
      <c r="N56" s="580">
        <v>0</v>
      </c>
      <c r="O56" s="580">
        <v>0</v>
      </c>
      <c r="P56" s="580">
        <v>0</v>
      </c>
      <c r="Q56" s="580">
        <v>0</v>
      </c>
      <c r="R56" s="580">
        <v>0</v>
      </c>
      <c r="S56" s="580">
        <v>0</v>
      </c>
      <c r="T56" s="580">
        <v>0.02</v>
      </c>
      <c r="U56" s="580">
        <v>0</v>
      </c>
      <c r="V56" s="580">
        <v>0</v>
      </c>
      <c r="W56" s="595">
        <v>0</v>
      </c>
      <c r="X56" s="688">
        <v>0</v>
      </c>
      <c r="Y56" s="688">
        <v>0</v>
      </c>
      <c r="Z56" s="688">
        <v>0</v>
      </c>
      <c r="AA56" s="688">
        <v>0</v>
      </c>
      <c r="AB56" s="688">
        <v>0</v>
      </c>
      <c r="AC56" s="688">
        <v>0</v>
      </c>
      <c r="AD56" s="688">
        <v>0</v>
      </c>
      <c r="AE56" s="977">
        <v>0</v>
      </c>
      <c r="AF56" s="978">
        <v>0</v>
      </c>
      <c r="AG56" s="979">
        <v>0</v>
      </c>
      <c r="AH56" s="688">
        <v>0</v>
      </c>
      <c r="AI56" s="687">
        <v>0</v>
      </c>
      <c r="AJ56" s="685">
        <v>0</v>
      </c>
      <c r="AK56" s="687">
        <v>0</v>
      </c>
      <c r="AL56" s="689">
        <v>0</v>
      </c>
      <c r="AM56" s="685">
        <v>0</v>
      </c>
      <c r="AN56" s="685">
        <v>0</v>
      </c>
      <c r="AO56" s="689">
        <v>0</v>
      </c>
      <c r="AP56" s="690">
        <v>0</v>
      </c>
      <c r="AQ56" s="687">
        <f t="shared" si="17"/>
        <v>7.1428571428571426E-3</v>
      </c>
      <c r="AR56" s="685">
        <v>5.0000000000000001E-3</v>
      </c>
      <c r="AS56" s="687">
        <f t="shared" si="20"/>
        <v>1.2500000000000001E-2</v>
      </c>
      <c r="AT56" s="691">
        <v>1E-3</v>
      </c>
      <c r="AU56" s="685">
        <v>0</v>
      </c>
      <c r="AV56" s="687">
        <v>0</v>
      </c>
      <c r="AW56" s="692">
        <v>0</v>
      </c>
      <c r="AX56" s="693">
        <v>0</v>
      </c>
      <c r="AY56" s="692">
        <v>0</v>
      </c>
      <c r="AZ56" s="693">
        <v>0</v>
      </c>
      <c r="BA56" s="692">
        <v>0</v>
      </c>
      <c r="BB56" s="693">
        <v>0</v>
      </c>
      <c r="BC56" s="694">
        <v>0</v>
      </c>
      <c r="BD56" s="695">
        <v>0</v>
      </c>
      <c r="BE56" s="692">
        <v>0</v>
      </c>
      <c r="BF56" s="693">
        <v>0</v>
      </c>
      <c r="BG56" s="694">
        <v>0</v>
      </c>
      <c r="BH56" s="693">
        <v>0</v>
      </c>
      <c r="BI56" s="694">
        <v>0</v>
      </c>
      <c r="BJ56" s="693">
        <v>0</v>
      </c>
      <c r="BK56" s="694">
        <v>0</v>
      </c>
      <c r="BL56" s="693">
        <v>0</v>
      </c>
      <c r="BM56" s="694">
        <v>0</v>
      </c>
      <c r="BN56" s="693">
        <v>0</v>
      </c>
      <c r="BO56" s="694">
        <v>0</v>
      </c>
      <c r="BP56" s="693">
        <v>0</v>
      </c>
      <c r="BQ56" s="694">
        <v>0</v>
      </c>
      <c r="BR56" s="693">
        <v>0</v>
      </c>
      <c r="BS56" s="694">
        <v>0</v>
      </c>
      <c r="BT56" s="693">
        <v>0</v>
      </c>
      <c r="BU56" s="694">
        <v>0</v>
      </c>
      <c r="BV56" s="693">
        <v>0</v>
      </c>
      <c r="BW56" s="694">
        <v>0</v>
      </c>
      <c r="BX56" s="693">
        <v>0</v>
      </c>
      <c r="BY56" s="694">
        <v>0</v>
      </c>
      <c r="BZ56" s="693">
        <v>0</v>
      </c>
      <c r="CA56" s="694">
        <v>0</v>
      </c>
      <c r="CB56" s="693">
        <v>0</v>
      </c>
      <c r="CC56" s="692">
        <v>0</v>
      </c>
      <c r="CD56" s="695">
        <v>0</v>
      </c>
      <c r="CE56" s="692">
        <v>0</v>
      </c>
      <c r="CF56" s="695">
        <v>0</v>
      </c>
      <c r="CG56" s="692">
        <v>0</v>
      </c>
      <c r="CH56" s="695">
        <v>0</v>
      </c>
      <c r="CI56" s="692">
        <v>0</v>
      </c>
      <c r="CJ56" s="695">
        <v>0</v>
      </c>
      <c r="CK56" s="692">
        <v>0</v>
      </c>
      <c r="CL56" s="695">
        <v>0</v>
      </c>
      <c r="CM56" s="692">
        <v>0</v>
      </c>
      <c r="CN56" s="695">
        <v>0</v>
      </c>
      <c r="CO56" s="692">
        <v>0</v>
      </c>
      <c r="CP56" s="695">
        <v>0</v>
      </c>
      <c r="CQ56" s="692">
        <v>0</v>
      </c>
      <c r="CR56" s="693">
        <v>0</v>
      </c>
      <c r="CS56" s="692">
        <v>0</v>
      </c>
      <c r="CT56" s="693">
        <v>0</v>
      </c>
      <c r="CU56" s="694">
        <v>0</v>
      </c>
      <c r="CV56" s="693">
        <v>0</v>
      </c>
    </row>
    <row r="57" spans="1:100">
      <c r="A57" s="460">
        <v>55</v>
      </c>
      <c r="B57" s="580">
        <v>0</v>
      </c>
      <c r="C57" s="580">
        <v>0</v>
      </c>
      <c r="D57" s="580">
        <v>0</v>
      </c>
      <c r="E57" s="580">
        <v>0</v>
      </c>
      <c r="F57" s="580">
        <f t="shared" si="19"/>
        <v>1.2500000000000001E-2</v>
      </c>
      <c r="G57" s="580">
        <v>0.02</v>
      </c>
      <c r="H57" s="580">
        <v>0</v>
      </c>
      <c r="I57" s="580">
        <v>0</v>
      </c>
      <c r="J57" s="580">
        <v>0</v>
      </c>
      <c r="K57" s="580">
        <v>0</v>
      </c>
      <c r="L57" s="580">
        <v>0</v>
      </c>
      <c r="M57" s="580">
        <v>0</v>
      </c>
      <c r="N57" s="580">
        <v>0</v>
      </c>
      <c r="O57" s="580">
        <v>0</v>
      </c>
      <c r="P57" s="580">
        <v>0</v>
      </c>
      <c r="Q57" s="580">
        <v>0</v>
      </c>
      <c r="R57" s="580">
        <v>0</v>
      </c>
      <c r="S57" s="580">
        <v>0</v>
      </c>
      <c r="T57" s="580">
        <v>0.02</v>
      </c>
      <c r="U57" s="580">
        <v>0</v>
      </c>
      <c r="V57" s="580">
        <v>0</v>
      </c>
      <c r="W57" s="595">
        <v>0</v>
      </c>
      <c r="X57" s="688">
        <v>0</v>
      </c>
      <c r="Y57" s="688">
        <v>0</v>
      </c>
      <c r="Z57" s="688">
        <v>0</v>
      </c>
      <c r="AA57" s="688">
        <v>0</v>
      </c>
      <c r="AB57" s="688">
        <v>0</v>
      </c>
      <c r="AC57" s="688">
        <v>0</v>
      </c>
      <c r="AD57" s="688">
        <v>0</v>
      </c>
      <c r="AE57" s="977">
        <v>0</v>
      </c>
      <c r="AF57" s="978">
        <v>0</v>
      </c>
      <c r="AG57" s="979">
        <v>0</v>
      </c>
      <c r="AH57" s="688">
        <v>0</v>
      </c>
      <c r="AI57" s="687">
        <v>0</v>
      </c>
      <c r="AJ57" s="685">
        <v>0</v>
      </c>
      <c r="AK57" s="687">
        <v>0</v>
      </c>
      <c r="AL57" s="689">
        <v>0</v>
      </c>
      <c r="AM57" s="685">
        <v>0</v>
      </c>
      <c r="AN57" s="685">
        <v>0</v>
      </c>
      <c r="AO57" s="689">
        <v>0</v>
      </c>
      <c r="AP57" s="690">
        <v>0</v>
      </c>
      <c r="AQ57" s="687">
        <f t="shared" si="17"/>
        <v>7.1428571428571426E-3</v>
      </c>
      <c r="AR57" s="685">
        <v>5.0000000000000001E-3</v>
      </c>
      <c r="AS57" s="687">
        <f t="shared" si="20"/>
        <v>1.2500000000000001E-2</v>
      </c>
      <c r="AT57" s="691">
        <v>1E-3</v>
      </c>
      <c r="AU57" s="685">
        <v>0</v>
      </c>
      <c r="AV57" s="687">
        <v>0</v>
      </c>
      <c r="AW57" s="692">
        <v>0</v>
      </c>
      <c r="AX57" s="693">
        <v>0</v>
      </c>
      <c r="AY57" s="692">
        <v>0</v>
      </c>
      <c r="AZ57" s="693">
        <v>0</v>
      </c>
      <c r="BA57" s="692">
        <v>0</v>
      </c>
      <c r="BB57" s="693">
        <v>0</v>
      </c>
      <c r="BC57" s="694">
        <v>0</v>
      </c>
      <c r="BD57" s="695">
        <v>0</v>
      </c>
      <c r="BE57" s="692">
        <v>0</v>
      </c>
      <c r="BF57" s="693">
        <v>0</v>
      </c>
      <c r="BG57" s="694">
        <v>0</v>
      </c>
      <c r="BH57" s="693">
        <v>0</v>
      </c>
      <c r="BI57" s="694">
        <v>0</v>
      </c>
      <c r="BJ57" s="693">
        <v>0</v>
      </c>
      <c r="BK57" s="694">
        <v>0</v>
      </c>
      <c r="BL57" s="693">
        <v>0</v>
      </c>
      <c r="BM57" s="694">
        <v>0</v>
      </c>
      <c r="BN57" s="693">
        <v>0</v>
      </c>
      <c r="BO57" s="694">
        <v>0</v>
      </c>
      <c r="BP57" s="693">
        <v>0</v>
      </c>
      <c r="BQ57" s="694">
        <v>0</v>
      </c>
      <c r="BR57" s="693">
        <v>0</v>
      </c>
      <c r="BS57" s="694">
        <v>0</v>
      </c>
      <c r="BT57" s="693">
        <v>0</v>
      </c>
      <c r="BU57" s="694">
        <v>0</v>
      </c>
      <c r="BV57" s="693">
        <v>0</v>
      </c>
      <c r="BW57" s="694">
        <v>0</v>
      </c>
      <c r="BX57" s="693">
        <v>0</v>
      </c>
      <c r="BY57" s="694">
        <v>0</v>
      </c>
      <c r="BZ57" s="693">
        <v>0</v>
      </c>
      <c r="CA57" s="694">
        <v>0</v>
      </c>
      <c r="CB57" s="693">
        <v>0</v>
      </c>
      <c r="CC57" s="692">
        <v>0</v>
      </c>
      <c r="CD57" s="695">
        <v>0</v>
      </c>
      <c r="CE57" s="692">
        <v>0</v>
      </c>
      <c r="CF57" s="695">
        <v>0</v>
      </c>
      <c r="CG57" s="692">
        <v>0</v>
      </c>
      <c r="CH57" s="695">
        <v>0</v>
      </c>
      <c r="CI57" s="692">
        <v>0</v>
      </c>
      <c r="CJ57" s="695">
        <v>0</v>
      </c>
      <c r="CK57" s="692">
        <v>0</v>
      </c>
      <c r="CL57" s="695">
        <v>0</v>
      </c>
      <c r="CM57" s="692">
        <v>0</v>
      </c>
      <c r="CN57" s="695">
        <v>0</v>
      </c>
      <c r="CO57" s="692">
        <v>0</v>
      </c>
      <c r="CP57" s="695">
        <v>0</v>
      </c>
      <c r="CQ57" s="692">
        <v>0</v>
      </c>
      <c r="CR57" s="693">
        <v>0</v>
      </c>
      <c r="CS57" s="692">
        <v>0</v>
      </c>
      <c r="CT57" s="693">
        <v>0</v>
      </c>
      <c r="CU57" s="694">
        <v>0</v>
      </c>
      <c r="CV57" s="693">
        <v>0</v>
      </c>
    </row>
    <row r="58" spans="1:100">
      <c r="A58" s="460">
        <v>56</v>
      </c>
      <c r="B58" s="580">
        <v>0</v>
      </c>
      <c r="C58" s="580">
        <v>0</v>
      </c>
      <c r="D58" s="580">
        <v>0</v>
      </c>
      <c r="E58" s="580">
        <v>0</v>
      </c>
      <c r="F58" s="580">
        <f t="shared" si="19"/>
        <v>1.2500000000000001E-2</v>
      </c>
      <c r="G58" s="580">
        <v>0.02</v>
      </c>
      <c r="H58" s="580">
        <v>0</v>
      </c>
      <c r="I58" s="580">
        <v>0</v>
      </c>
      <c r="J58" s="580">
        <v>0</v>
      </c>
      <c r="K58" s="580">
        <v>0</v>
      </c>
      <c r="L58" s="580">
        <v>0</v>
      </c>
      <c r="M58" s="580">
        <v>0</v>
      </c>
      <c r="N58" s="580">
        <v>0</v>
      </c>
      <c r="O58" s="580">
        <v>0</v>
      </c>
      <c r="P58" s="580">
        <v>0</v>
      </c>
      <c r="Q58" s="580">
        <v>0</v>
      </c>
      <c r="R58" s="580">
        <v>0</v>
      </c>
      <c r="S58" s="580">
        <v>0</v>
      </c>
      <c r="T58" s="580">
        <v>0.02</v>
      </c>
      <c r="U58" s="580">
        <v>0</v>
      </c>
      <c r="V58" s="580">
        <v>0</v>
      </c>
      <c r="W58" s="595">
        <v>0</v>
      </c>
      <c r="X58" s="688">
        <v>0</v>
      </c>
      <c r="Y58" s="688">
        <v>0</v>
      </c>
      <c r="Z58" s="688">
        <v>0</v>
      </c>
      <c r="AA58" s="688">
        <v>0</v>
      </c>
      <c r="AB58" s="688">
        <v>0</v>
      </c>
      <c r="AC58" s="688">
        <v>0</v>
      </c>
      <c r="AD58" s="688">
        <v>0</v>
      </c>
      <c r="AE58" s="977">
        <v>0</v>
      </c>
      <c r="AF58" s="978">
        <v>0</v>
      </c>
      <c r="AG58" s="979">
        <v>0</v>
      </c>
      <c r="AH58" s="688">
        <v>0</v>
      </c>
      <c r="AI58" s="687">
        <v>0</v>
      </c>
      <c r="AJ58" s="685">
        <v>0</v>
      </c>
      <c r="AK58" s="687">
        <v>0</v>
      </c>
      <c r="AL58" s="689">
        <v>0</v>
      </c>
      <c r="AM58" s="685">
        <v>0</v>
      </c>
      <c r="AN58" s="685">
        <v>0</v>
      </c>
      <c r="AO58" s="689">
        <v>0</v>
      </c>
      <c r="AP58" s="690">
        <v>0</v>
      </c>
      <c r="AQ58" s="687">
        <f t="shared" si="17"/>
        <v>7.1428571428571426E-3</v>
      </c>
      <c r="AR58" s="685">
        <v>5.0000000000000001E-3</v>
      </c>
      <c r="AS58" s="687">
        <f t="shared" si="20"/>
        <v>1.2500000000000001E-2</v>
      </c>
      <c r="AT58" s="691">
        <v>1E-3</v>
      </c>
      <c r="AU58" s="685">
        <v>0</v>
      </c>
      <c r="AV58" s="687">
        <v>0</v>
      </c>
      <c r="AW58" s="692">
        <v>0</v>
      </c>
      <c r="AX58" s="693">
        <v>0</v>
      </c>
      <c r="AY58" s="692">
        <v>0</v>
      </c>
      <c r="AZ58" s="693">
        <v>0</v>
      </c>
      <c r="BA58" s="692">
        <v>0</v>
      </c>
      <c r="BB58" s="693">
        <v>0</v>
      </c>
      <c r="BC58" s="694">
        <v>0</v>
      </c>
      <c r="BD58" s="695">
        <v>0</v>
      </c>
      <c r="BE58" s="692">
        <v>0</v>
      </c>
      <c r="BF58" s="693">
        <v>0</v>
      </c>
      <c r="BG58" s="694">
        <v>0</v>
      </c>
      <c r="BH58" s="693">
        <v>0</v>
      </c>
      <c r="BI58" s="694">
        <v>0</v>
      </c>
      <c r="BJ58" s="693">
        <v>0</v>
      </c>
      <c r="BK58" s="694">
        <v>0</v>
      </c>
      <c r="BL58" s="693">
        <v>0</v>
      </c>
      <c r="BM58" s="694">
        <v>0</v>
      </c>
      <c r="BN58" s="693">
        <v>0</v>
      </c>
      <c r="BO58" s="694">
        <v>0</v>
      </c>
      <c r="BP58" s="693">
        <v>0</v>
      </c>
      <c r="BQ58" s="694">
        <v>0</v>
      </c>
      <c r="BR58" s="693">
        <v>0</v>
      </c>
      <c r="BS58" s="694">
        <v>0</v>
      </c>
      <c r="BT58" s="693">
        <v>0</v>
      </c>
      <c r="BU58" s="694">
        <v>0</v>
      </c>
      <c r="BV58" s="693">
        <v>0</v>
      </c>
      <c r="BW58" s="694">
        <v>0</v>
      </c>
      <c r="BX58" s="693">
        <v>0</v>
      </c>
      <c r="BY58" s="694">
        <v>0</v>
      </c>
      <c r="BZ58" s="693">
        <v>0</v>
      </c>
      <c r="CA58" s="694">
        <v>0</v>
      </c>
      <c r="CB58" s="693">
        <v>0</v>
      </c>
      <c r="CC58" s="692">
        <v>0</v>
      </c>
      <c r="CD58" s="695">
        <v>0</v>
      </c>
      <c r="CE58" s="692">
        <v>0</v>
      </c>
      <c r="CF58" s="695">
        <v>0</v>
      </c>
      <c r="CG58" s="692">
        <v>0</v>
      </c>
      <c r="CH58" s="695">
        <v>0</v>
      </c>
      <c r="CI58" s="692">
        <v>0</v>
      </c>
      <c r="CJ58" s="695">
        <v>0</v>
      </c>
      <c r="CK58" s="692">
        <v>0</v>
      </c>
      <c r="CL58" s="695">
        <v>0</v>
      </c>
      <c r="CM58" s="692">
        <v>0</v>
      </c>
      <c r="CN58" s="695">
        <v>0</v>
      </c>
      <c r="CO58" s="692">
        <v>0</v>
      </c>
      <c r="CP58" s="695">
        <v>0</v>
      </c>
      <c r="CQ58" s="692">
        <v>0</v>
      </c>
      <c r="CR58" s="693">
        <v>0</v>
      </c>
      <c r="CS58" s="692">
        <v>0</v>
      </c>
      <c r="CT58" s="693">
        <v>0</v>
      </c>
      <c r="CU58" s="694">
        <v>0</v>
      </c>
      <c r="CV58" s="693">
        <v>0</v>
      </c>
    </row>
    <row r="59" spans="1:100">
      <c r="A59" s="460">
        <v>57</v>
      </c>
      <c r="B59" s="580">
        <v>0</v>
      </c>
      <c r="C59" s="580">
        <v>0</v>
      </c>
      <c r="D59" s="580">
        <v>0</v>
      </c>
      <c r="E59" s="580">
        <v>0</v>
      </c>
      <c r="F59" s="580">
        <f t="shared" si="19"/>
        <v>1.2500000000000001E-2</v>
      </c>
      <c r="G59" s="580">
        <v>0.02</v>
      </c>
      <c r="H59" s="580">
        <v>0</v>
      </c>
      <c r="I59" s="580">
        <v>0</v>
      </c>
      <c r="J59" s="580">
        <v>0</v>
      </c>
      <c r="K59" s="580">
        <v>0</v>
      </c>
      <c r="L59" s="580">
        <v>0</v>
      </c>
      <c r="M59" s="580">
        <v>0</v>
      </c>
      <c r="N59" s="580">
        <v>0</v>
      </c>
      <c r="O59" s="580">
        <v>0</v>
      </c>
      <c r="P59" s="580">
        <v>0</v>
      </c>
      <c r="Q59" s="580">
        <v>0</v>
      </c>
      <c r="R59" s="580">
        <v>0</v>
      </c>
      <c r="S59" s="580">
        <v>0</v>
      </c>
      <c r="T59" s="580">
        <v>0.02</v>
      </c>
      <c r="U59" s="580">
        <v>0</v>
      </c>
      <c r="V59" s="580">
        <v>0</v>
      </c>
      <c r="W59" s="595">
        <v>0</v>
      </c>
      <c r="X59" s="688">
        <v>0</v>
      </c>
      <c r="Y59" s="688">
        <v>0</v>
      </c>
      <c r="Z59" s="688">
        <v>0</v>
      </c>
      <c r="AA59" s="688">
        <v>0</v>
      </c>
      <c r="AB59" s="688">
        <v>0</v>
      </c>
      <c r="AC59" s="688">
        <v>0</v>
      </c>
      <c r="AD59" s="688">
        <v>0</v>
      </c>
      <c r="AE59" s="977">
        <v>0</v>
      </c>
      <c r="AF59" s="978">
        <v>0</v>
      </c>
      <c r="AG59" s="979">
        <v>0</v>
      </c>
      <c r="AH59" s="688">
        <v>0</v>
      </c>
      <c r="AI59" s="687">
        <v>0</v>
      </c>
      <c r="AJ59" s="685">
        <v>0</v>
      </c>
      <c r="AK59" s="687">
        <v>0</v>
      </c>
      <c r="AL59" s="689">
        <v>0</v>
      </c>
      <c r="AM59" s="685">
        <v>0</v>
      </c>
      <c r="AN59" s="685">
        <v>0</v>
      </c>
      <c r="AO59" s="689">
        <v>0</v>
      </c>
      <c r="AP59" s="690">
        <v>0</v>
      </c>
      <c r="AQ59" s="687">
        <f t="shared" si="17"/>
        <v>7.1428571428571426E-3</v>
      </c>
      <c r="AR59" s="685">
        <v>5.0000000000000001E-3</v>
      </c>
      <c r="AS59" s="687">
        <f t="shared" si="20"/>
        <v>1.2500000000000001E-2</v>
      </c>
      <c r="AT59" s="691">
        <v>1E-3</v>
      </c>
      <c r="AU59" s="685">
        <v>0</v>
      </c>
      <c r="AV59" s="687">
        <v>0</v>
      </c>
      <c r="AW59" s="692">
        <v>0</v>
      </c>
      <c r="AX59" s="693">
        <v>0</v>
      </c>
      <c r="AY59" s="692">
        <v>0</v>
      </c>
      <c r="AZ59" s="693">
        <v>0</v>
      </c>
      <c r="BA59" s="692">
        <v>0</v>
      </c>
      <c r="BB59" s="693">
        <v>0</v>
      </c>
      <c r="BC59" s="694">
        <v>0</v>
      </c>
      <c r="BD59" s="695">
        <v>0</v>
      </c>
      <c r="BE59" s="692">
        <v>0</v>
      </c>
      <c r="BF59" s="693">
        <v>0</v>
      </c>
      <c r="BG59" s="694">
        <v>0</v>
      </c>
      <c r="BH59" s="693">
        <v>0</v>
      </c>
      <c r="BI59" s="694">
        <v>0</v>
      </c>
      <c r="BJ59" s="693">
        <v>0</v>
      </c>
      <c r="BK59" s="694">
        <v>0</v>
      </c>
      <c r="BL59" s="693">
        <v>0</v>
      </c>
      <c r="BM59" s="694">
        <v>0</v>
      </c>
      <c r="BN59" s="693">
        <v>0</v>
      </c>
      <c r="BO59" s="694">
        <v>0</v>
      </c>
      <c r="BP59" s="693">
        <v>0</v>
      </c>
      <c r="BQ59" s="694">
        <v>0</v>
      </c>
      <c r="BR59" s="693">
        <v>0</v>
      </c>
      <c r="BS59" s="694">
        <v>0</v>
      </c>
      <c r="BT59" s="693">
        <v>0</v>
      </c>
      <c r="BU59" s="694">
        <v>0</v>
      </c>
      <c r="BV59" s="693">
        <v>0</v>
      </c>
      <c r="BW59" s="694">
        <v>0</v>
      </c>
      <c r="BX59" s="693">
        <v>0</v>
      </c>
      <c r="BY59" s="694">
        <v>0</v>
      </c>
      <c r="BZ59" s="693">
        <v>0</v>
      </c>
      <c r="CA59" s="694">
        <v>0</v>
      </c>
      <c r="CB59" s="693">
        <v>0</v>
      </c>
      <c r="CC59" s="692">
        <v>0</v>
      </c>
      <c r="CD59" s="695">
        <v>0</v>
      </c>
      <c r="CE59" s="692">
        <v>0</v>
      </c>
      <c r="CF59" s="695">
        <v>0</v>
      </c>
      <c r="CG59" s="692">
        <v>0</v>
      </c>
      <c r="CH59" s="695">
        <v>0</v>
      </c>
      <c r="CI59" s="692">
        <v>0</v>
      </c>
      <c r="CJ59" s="695">
        <v>0</v>
      </c>
      <c r="CK59" s="692">
        <v>0</v>
      </c>
      <c r="CL59" s="695">
        <v>0</v>
      </c>
      <c r="CM59" s="692">
        <v>0</v>
      </c>
      <c r="CN59" s="695">
        <v>0</v>
      </c>
      <c r="CO59" s="692">
        <v>0</v>
      </c>
      <c r="CP59" s="695">
        <v>0</v>
      </c>
      <c r="CQ59" s="692">
        <v>0</v>
      </c>
      <c r="CR59" s="693">
        <v>0</v>
      </c>
      <c r="CS59" s="692">
        <v>0</v>
      </c>
      <c r="CT59" s="693">
        <v>0</v>
      </c>
      <c r="CU59" s="694">
        <v>0</v>
      </c>
      <c r="CV59" s="693">
        <v>0</v>
      </c>
    </row>
    <row r="60" spans="1:100">
      <c r="A60" s="460">
        <v>58</v>
      </c>
      <c r="B60" s="580">
        <v>0</v>
      </c>
      <c r="C60" s="580">
        <v>0</v>
      </c>
      <c r="D60" s="580">
        <v>0</v>
      </c>
      <c r="E60" s="580">
        <v>0</v>
      </c>
      <c r="F60" s="580">
        <f t="shared" si="19"/>
        <v>1.2500000000000001E-2</v>
      </c>
      <c r="G60" s="580">
        <v>0.02</v>
      </c>
      <c r="H60" s="580">
        <v>0</v>
      </c>
      <c r="I60" s="580">
        <v>0</v>
      </c>
      <c r="J60" s="580">
        <v>0</v>
      </c>
      <c r="K60" s="580">
        <v>0</v>
      </c>
      <c r="L60" s="580">
        <v>0</v>
      </c>
      <c r="M60" s="580">
        <v>0</v>
      </c>
      <c r="N60" s="580">
        <v>0</v>
      </c>
      <c r="O60" s="580">
        <v>0</v>
      </c>
      <c r="P60" s="580">
        <v>0</v>
      </c>
      <c r="Q60" s="580">
        <v>0</v>
      </c>
      <c r="R60" s="580">
        <v>0</v>
      </c>
      <c r="S60" s="580">
        <v>0</v>
      </c>
      <c r="T60" s="580">
        <v>0.02</v>
      </c>
      <c r="U60" s="580">
        <v>0</v>
      </c>
      <c r="V60" s="580">
        <v>0</v>
      </c>
      <c r="W60" s="595">
        <v>0</v>
      </c>
      <c r="X60" s="688">
        <v>0</v>
      </c>
      <c r="Y60" s="688">
        <v>0</v>
      </c>
      <c r="Z60" s="688">
        <v>0</v>
      </c>
      <c r="AA60" s="688">
        <v>0</v>
      </c>
      <c r="AB60" s="688">
        <v>0</v>
      </c>
      <c r="AC60" s="688">
        <v>0</v>
      </c>
      <c r="AD60" s="688">
        <v>0</v>
      </c>
      <c r="AE60" s="977">
        <v>0</v>
      </c>
      <c r="AF60" s="978">
        <v>0</v>
      </c>
      <c r="AG60" s="979">
        <v>0</v>
      </c>
      <c r="AH60" s="688">
        <v>0</v>
      </c>
      <c r="AI60" s="687">
        <v>0</v>
      </c>
      <c r="AJ60" s="685">
        <v>0</v>
      </c>
      <c r="AK60" s="687">
        <v>0</v>
      </c>
      <c r="AL60" s="689">
        <v>0</v>
      </c>
      <c r="AM60" s="685">
        <v>0</v>
      </c>
      <c r="AN60" s="685">
        <v>0</v>
      </c>
      <c r="AO60" s="689">
        <v>0</v>
      </c>
      <c r="AP60" s="690">
        <v>0</v>
      </c>
      <c r="AQ60" s="687">
        <f t="shared" si="17"/>
        <v>7.1428571428571426E-3</v>
      </c>
      <c r="AR60" s="685">
        <v>5.0000000000000001E-3</v>
      </c>
      <c r="AS60" s="687">
        <f t="shared" si="20"/>
        <v>1.2500000000000001E-2</v>
      </c>
      <c r="AT60" s="691">
        <v>1E-3</v>
      </c>
      <c r="AU60" s="685">
        <v>0</v>
      </c>
      <c r="AV60" s="687">
        <v>0</v>
      </c>
      <c r="AW60" s="692">
        <v>0</v>
      </c>
      <c r="AX60" s="693">
        <v>0</v>
      </c>
      <c r="AY60" s="692">
        <v>0</v>
      </c>
      <c r="AZ60" s="693">
        <v>0</v>
      </c>
      <c r="BA60" s="692">
        <v>0</v>
      </c>
      <c r="BB60" s="693">
        <v>0</v>
      </c>
      <c r="BC60" s="694">
        <v>0</v>
      </c>
      <c r="BD60" s="695">
        <v>0</v>
      </c>
      <c r="BE60" s="692">
        <v>0</v>
      </c>
      <c r="BF60" s="693">
        <v>0</v>
      </c>
      <c r="BG60" s="694">
        <v>0</v>
      </c>
      <c r="BH60" s="693">
        <v>0</v>
      </c>
      <c r="BI60" s="694">
        <v>0</v>
      </c>
      <c r="BJ60" s="693">
        <v>0</v>
      </c>
      <c r="BK60" s="694">
        <v>0</v>
      </c>
      <c r="BL60" s="693">
        <v>0</v>
      </c>
      <c r="BM60" s="694">
        <v>0</v>
      </c>
      <c r="BN60" s="693">
        <v>0</v>
      </c>
      <c r="BO60" s="694">
        <v>0</v>
      </c>
      <c r="BP60" s="693">
        <v>0</v>
      </c>
      <c r="BQ60" s="694">
        <v>0</v>
      </c>
      <c r="BR60" s="693">
        <v>0</v>
      </c>
      <c r="BS60" s="694">
        <v>0</v>
      </c>
      <c r="BT60" s="693">
        <v>0</v>
      </c>
      <c r="BU60" s="694">
        <v>0</v>
      </c>
      <c r="BV60" s="693">
        <v>0</v>
      </c>
      <c r="BW60" s="694">
        <v>0</v>
      </c>
      <c r="BX60" s="693">
        <v>0</v>
      </c>
      <c r="BY60" s="694">
        <v>0</v>
      </c>
      <c r="BZ60" s="693">
        <v>0</v>
      </c>
      <c r="CA60" s="694">
        <v>0</v>
      </c>
      <c r="CB60" s="693">
        <v>0</v>
      </c>
      <c r="CC60" s="692">
        <v>0</v>
      </c>
      <c r="CD60" s="695">
        <v>0</v>
      </c>
      <c r="CE60" s="692">
        <v>0</v>
      </c>
      <c r="CF60" s="695">
        <v>0</v>
      </c>
      <c r="CG60" s="692">
        <v>0</v>
      </c>
      <c r="CH60" s="695">
        <v>0</v>
      </c>
      <c r="CI60" s="692">
        <v>0</v>
      </c>
      <c r="CJ60" s="695">
        <v>0</v>
      </c>
      <c r="CK60" s="692">
        <v>0</v>
      </c>
      <c r="CL60" s="695">
        <v>0</v>
      </c>
      <c r="CM60" s="692">
        <v>0</v>
      </c>
      <c r="CN60" s="695">
        <v>0</v>
      </c>
      <c r="CO60" s="692">
        <v>0</v>
      </c>
      <c r="CP60" s="695">
        <v>0</v>
      </c>
      <c r="CQ60" s="692">
        <v>0</v>
      </c>
      <c r="CR60" s="693">
        <v>0</v>
      </c>
      <c r="CS60" s="692">
        <v>0</v>
      </c>
      <c r="CT60" s="693">
        <v>0</v>
      </c>
      <c r="CU60" s="694">
        <v>0</v>
      </c>
      <c r="CV60" s="693">
        <v>0</v>
      </c>
    </row>
    <row r="61" spans="1:100">
      <c r="A61" s="460">
        <v>59</v>
      </c>
      <c r="B61" s="580">
        <v>0</v>
      </c>
      <c r="C61" s="580">
        <v>0</v>
      </c>
      <c r="D61" s="580">
        <v>0</v>
      </c>
      <c r="E61" s="580">
        <v>0</v>
      </c>
      <c r="F61" s="580">
        <f t="shared" si="19"/>
        <v>1.2500000000000001E-2</v>
      </c>
      <c r="G61" s="580">
        <v>0.02</v>
      </c>
      <c r="H61" s="580">
        <v>0</v>
      </c>
      <c r="I61" s="580">
        <v>0</v>
      </c>
      <c r="J61" s="580">
        <v>0</v>
      </c>
      <c r="K61" s="580">
        <v>0</v>
      </c>
      <c r="L61" s="580">
        <v>0</v>
      </c>
      <c r="M61" s="580">
        <v>0</v>
      </c>
      <c r="N61" s="580">
        <v>0</v>
      </c>
      <c r="O61" s="580">
        <v>0</v>
      </c>
      <c r="P61" s="580">
        <v>0</v>
      </c>
      <c r="Q61" s="580">
        <v>0</v>
      </c>
      <c r="R61" s="580">
        <v>0</v>
      </c>
      <c r="S61" s="580">
        <v>0</v>
      </c>
      <c r="T61" s="580">
        <v>0.02</v>
      </c>
      <c r="U61" s="580">
        <v>0</v>
      </c>
      <c r="V61" s="580">
        <v>0</v>
      </c>
      <c r="W61" s="595">
        <v>0</v>
      </c>
      <c r="X61" s="688">
        <v>0</v>
      </c>
      <c r="Y61" s="688">
        <v>0</v>
      </c>
      <c r="Z61" s="688">
        <v>0</v>
      </c>
      <c r="AA61" s="688">
        <v>0</v>
      </c>
      <c r="AB61" s="688">
        <v>0</v>
      </c>
      <c r="AC61" s="688">
        <v>0</v>
      </c>
      <c r="AD61" s="688">
        <v>0</v>
      </c>
      <c r="AE61" s="977">
        <v>0</v>
      </c>
      <c r="AF61" s="978">
        <v>0</v>
      </c>
      <c r="AG61" s="979">
        <v>0</v>
      </c>
      <c r="AH61" s="688">
        <v>0</v>
      </c>
      <c r="AI61" s="687">
        <v>0</v>
      </c>
      <c r="AJ61" s="685">
        <v>0</v>
      </c>
      <c r="AK61" s="687">
        <v>0</v>
      </c>
      <c r="AL61" s="689">
        <v>0</v>
      </c>
      <c r="AM61" s="685">
        <v>0</v>
      </c>
      <c r="AN61" s="685">
        <v>0</v>
      </c>
      <c r="AO61" s="689">
        <v>0</v>
      </c>
      <c r="AP61" s="690">
        <v>0</v>
      </c>
      <c r="AQ61" s="687">
        <f t="shared" si="17"/>
        <v>7.1428571428571426E-3</v>
      </c>
      <c r="AR61" s="685">
        <v>5.0000000000000001E-3</v>
      </c>
      <c r="AS61" s="687">
        <f t="shared" si="20"/>
        <v>1.2500000000000001E-2</v>
      </c>
      <c r="AT61" s="691">
        <v>1E-3</v>
      </c>
      <c r="AU61" s="685">
        <v>0</v>
      </c>
      <c r="AV61" s="687">
        <v>0</v>
      </c>
      <c r="AW61" s="692">
        <v>0</v>
      </c>
      <c r="AX61" s="693">
        <v>0</v>
      </c>
      <c r="AY61" s="692">
        <v>0</v>
      </c>
      <c r="AZ61" s="693">
        <v>0</v>
      </c>
      <c r="BA61" s="692">
        <v>0</v>
      </c>
      <c r="BB61" s="693">
        <v>0</v>
      </c>
      <c r="BC61" s="694">
        <v>0</v>
      </c>
      <c r="BD61" s="695">
        <v>0</v>
      </c>
      <c r="BE61" s="692">
        <v>0</v>
      </c>
      <c r="BF61" s="693">
        <v>0</v>
      </c>
      <c r="BG61" s="694">
        <v>0</v>
      </c>
      <c r="BH61" s="693">
        <v>0</v>
      </c>
      <c r="BI61" s="694">
        <v>0</v>
      </c>
      <c r="BJ61" s="693">
        <v>0</v>
      </c>
      <c r="BK61" s="694">
        <v>0</v>
      </c>
      <c r="BL61" s="693">
        <v>0</v>
      </c>
      <c r="BM61" s="694">
        <v>0</v>
      </c>
      <c r="BN61" s="693">
        <v>0</v>
      </c>
      <c r="BO61" s="694">
        <v>0</v>
      </c>
      <c r="BP61" s="693">
        <v>0</v>
      </c>
      <c r="BQ61" s="694">
        <v>0</v>
      </c>
      <c r="BR61" s="693">
        <v>0</v>
      </c>
      <c r="BS61" s="694">
        <v>0</v>
      </c>
      <c r="BT61" s="693">
        <v>0</v>
      </c>
      <c r="BU61" s="694">
        <v>0</v>
      </c>
      <c r="BV61" s="693">
        <v>0</v>
      </c>
      <c r="BW61" s="694">
        <v>0</v>
      </c>
      <c r="BX61" s="693">
        <v>0</v>
      </c>
      <c r="BY61" s="694">
        <v>0</v>
      </c>
      <c r="BZ61" s="693">
        <v>0</v>
      </c>
      <c r="CA61" s="694">
        <v>0</v>
      </c>
      <c r="CB61" s="693">
        <v>0</v>
      </c>
      <c r="CC61" s="692">
        <v>0</v>
      </c>
      <c r="CD61" s="695">
        <v>0</v>
      </c>
      <c r="CE61" s="692">
        <v>0</v>
      </c>
      <c r="CF61" s="695">
        <v>0</v>
      </c>
      <c r="CG61" s="692">
        <v>0</v>
      </c>
      <c r="CH61" s="695">
        <v>0</v>
      </c>
      <c r="CI61" s="692">
        <v>0</v>
      </c>
      <c r="CJ61" s="695">
        <v>0</v>
      </c>
      <c r="CK61" s="692">
        <v>0</v>
      </c>
      <c r="CL61" s="695">
        <v>0</v>
      </c>
      <c r="CM61" s="692">
        <v>0</v>
      </c>
      <c r="CN61" s="695">
        <v>0</v>
      </c>
      <c r="CO61" s="692">
        <v>0</v>
      </c>
      <c r="CP61" s="695">
        <v>0</v>
      </c>
      <c r="CQ61" s="692">
        <v>0</v>
      </c>
      <c r="CR61" s="693">
        <v>0</v>
      </c>
      <c r="CS61" s="692">
        <v>0</v>
      </c>
      <c r="CT61" s="693">
        <v>0</v>
      </c>
      <c r="CU61" s="694">
        <v>0</v>
      </c>
      <c r="CV61" s="693">
        <v>0</v>
      </c>
    </row>
    <row r="62" spans="1:100">
      <c r="A62" s="460">
        <v>60</v>
      </c>
      <c r="B62" s="580">
        <v>0</v>
      </c>
      <c r="C62" s="580">
        <v>0</v>
      </c>
      <c r="D62" s="580">
        <v>0</v>
      </c>
      <c r="E62" s="580">
        <v>0</v>
      </c>
      <c r="F62" s="580">
        <f t="shared" si="19"/>
        <v>1.2500000000000001E-2</v>
      </c>
      <c r="G62" s="580">
        <v>0.02</v>
      </c>
      <c r="H62" s="580">
        <v>0</v>
      </c>
      <c r="I62" s="580">
        <v>0</v>
      </c>
      <c r="J62" s="580">
        <v>0</v>
      </c>
      <c r="K62" s="580">
        <v>0</v>
      </c>
      <c r="L62" s="580">
        <v>0</v>
      </c>
      <c r="M62" s="580">
        <v>0</v>
      </c>
      <c r="N62" s="580">
        <v>0</v>
      </c>
      <c r="O62" s="580">
        <v>0</v>
      </c>
      <c r="P62" s="580">
        <v>0</v>
      </c>
      <c r="Q62" s="580">
        <v>0</v>
      </c>
      <c r="R62" s="580">
        <v>0</v>
      </c>
      <c r="S62" s="580">
        <v>0</v>
      </c>
      <c r="T62" s="580">
        <v>0.02</v>
      </c>
      <c r="U62" s="580">
        <v>0</v>
      </c>
      <c r="V62" s="580">
        <v>0</v>
      </c>
      <c r="W62" s="595">
        <v>0</v>
      </c>
      <c r="X62" s="688">
        <v>0</v>
      </c>
      <c r="Y62" s="688">
        <v>0</v>
      </c>
      <c r="Z62" s="688">
        <v>0</v>
      </c>
      <c r="AA62" s="688">
        <v>0</v>
      </c>
      <c r="AB62" s="688">
        <v>0</v>
      </c>
      <c r="AC62" s="688">
        <v>0</v>
      </c>
      <c r="AD62" s="688">
        <v>0</v>
      </c>
      <c r="AE62" s="977">
        <v>0</v>
      </c>
      <c r="AF62" s="978">
        <v>0</v>
      </c>
      <c r="AG62" s="979">
        <v>0</v>
      </c>
      <c r="AH62" s="688">
        <v>0</v>
      </c>
      <c r="AI62" s="687">
        <v>0</v>
      </c>
      <c r="AJ62" s="685">
        <v>0</v>
      </c>
      <c r="AK62" s="687">
        <v>0</v>
      </c>
      <c r="AL62" s="689">
        <v>0</v>
      </c>
      <c r="AM62" s="685">
        <v>0</v>
      </c>
      <c r="AN62" s="685">
        <v>0</v>
      </c>
      <c r="AO62" s="689">
        <v>0</v>
      </c>
      <c r="AP62" s="690">
        <v>0</v>
      </c>
      <c r="AQ62" s="687">
        <f t="shared" si="17"/>
        <v>7.1428571428571426E-3</v>
      </c>
      <c r="AR62" s="685">
        <v>5.0000000000000001E-3</v>
      </c>
      <c r="AS62" s="687">
        <f t="shared" si="20"/>
        <v>1.2500000000000001E-2</v>
      </c>
      <c r="AT62" s="691">
        <v>1E-3</v>
      </c>
      <c r="AU62" s="685">
        <v>0</v>
      </c>
      <c r="AV62" s="687">
        <v>0</v>
      </c>
      <c r="AW62" s="692">
        <v>0</v>
      </c>
      <c r="AX62" s="693">
        <v>0</v>
      </c>
      <c r="AY62" s="692">
        <v>0</v>
      </c>
      <c r="AZ62" s="693">
        <v>0</v>
      </c>
      <c r="BA62" s="692">
        <v>0</v>
      </c>
      <c r="BB62" s="693">
        <v>0</v>
      </c>
      <c r="BC62" s="694">
        <v>0</v>
      </c>
      <c r="BD62" s="695">
        <v>0</v>
      </c>
      <c r="BE62" s="692">
        <v>0</v>
      </c>
      <c r="BF62" s="693">
        <v>0</v>
      </c>
      <c r="BG62" s="694">
        <v>0</v>
      </c>
      <c r="BH62" s="693">
        <v>0</v>
      </c>
      <c r="BI62" s="694">
        <v>0</v>
      </c>
      <c r="BJ62" s="693">
        <v>0</v>
      </c>
      <c r="BK62" s="694">
        <v>0</v>
      </c>
      <c r="BL62" s="693">
        <v>0</v>
      </c>
      <c r="BM62" s="694">
        <v>0</v>
      </c>
      <c r="BN62" s="693">
        <v>0</v>
      </c>
      <c r="BO62" s="694">
        <v>0</v>
      </c>
      <c r="BP62" s="693">
        <v>0</v>
      </c>
      <c r="BQ62" s="694">
        <v>0</v>
      </c>
      <c r="BR62" s="693">
        <v>0</v>
      </c>
      <c r="BS62" s="694">
        <v>0</v>
      </c>
      <c r="BT62" s="693">
        <v>0</v>
      </c>
      <c r="BU62" s="694">
        <v>0</v>
      </c>
      <c r="BV62" s="693">
        <v>0</v>
      </c>
      <c r="BW62" s="694">
        <v>0</v>
      </c>
      <c r="BX62" s="693">
        <v>0</v>
      </c>
      <c r="BY62" s="694">
        <v>0</v>
      </c>
      <c r="BZ62" s="693">
        <v>0</v>
      </c>
      <c r="CA62" s="694">
        <v>0</v>
      </c>
      <c r="CB62" s="693">
        <v>0</v>
      </c>
      <c r="CC62" s="692">
        <v>0</v>
      </c>
      <c r="CD62" s="695">
        <v>0</v>
      </c>
      <c r="CE62" s="692">
        <v>0</v>
      </c>
      <c r="CF62" s="695">
        <v>0</v>
      </c>
      <c r="CG62" s="692">
        <v>0</v>
      </c>
      <c r="CH62" s="695">
        <v>0</v>
      </c>
      <c r="CI62" s="692">
        <v>0</v>
      </c>
      <c r="CJ62" s="695">
        <v>0</v>
      </c>
      <c r="CK62" s="692">
        <v>0</v>
      </c>
      <c r="CL62" s="695">
        <v>0</v>
      </c>
      <c r="CM62" s="692">
        <v>0</v>
      </c>
      <c r="CN62" s="695">
        <v>0</v>
      </c>
      <c r="CO62" s="692">
        <v>0</v>
      </c>
      <c r="CP62" s="695">
        <v>0</v>
      </c>
      <c r="CQ62" s="692">
        <v>0</v>
      </c>
      <c r="CR62" s="693">
        <v>0</v>
      </c>
      <c r="CS62" s="692">
        <v>0</v>
      </c>
      <c r="CT62" s="693">
        <v>0</v>
      </c>
      <c r="CU62" s="694">
        <v>0</v>
      </c>
      <c r="CV62" s="693">
        <v>0</v>
      </c>
    </row>
    <row r="63" spans="1:100">
      <c r="A63" s="460">
        <v>61</v>
      </c>
      <c r="B63" s="580">
        <v>0</v>
      </c>
      <c r="C63" s="580">
        <v>0</v>
      </c>
      <c r="D63" s="580">
        <v>0</v>
      </c>
      <c r="E63" s="580">
        <v>0</v>
      </c>
      <c r="F63" s="580">
        <f t="shared" si="19"/>
        <v>1.2500000000000001E-2</v>
      </c>
      <c r="G63" s="580">
        <v>0.02</v>
      </c>
      <c r="H63" s="580">
        <v>0</v>
      </c>
      <c r="I63" s="580">
        <v>0</v>
      </c>
      <c r="J63" s="580">
        <v>0</v>
      </c>
      <c r="K63" s="580">
        <v>0</v>
      </c>
      <c r="L63" s="580">
        <v>0</v>
      </c>
      <c r="M63" s="580">
        <v>0</v>
      </c>
      <c r="N63" s="580">
        <v>0</v>
      </c>
      <c r="O63" s="580">
        <v>0</v>
      </c>
      <c r="P63" s="580">
        <v>0</v>
      </c>
      <c r="Q63" s="580">
        <v>0</v>
      </c>
      <c r="R63" s="580">
        <v>0</v>
      </c>
      <c r="S63" s="580">
        <v>0</v>
      </c>
      <c r="T63" s="580">
        <v>0.02</v>
      </c>
      <c r="U63" s="580">
        <v>0</v>
      </c>
      <c r="V63" s="580">
        <v>0</v>
      </c>
      <c r="W63" s="595">
        <v>0</v>
      </c>
      <c r="X63" s="688">
        <v>0</v>
      </c>
      <c r="Y63" s="688">
        <v>0</v>
      </c>
      <c r="Z63" s="688">
        <v>0</v>
      </c>
      <c r="AA63" s="688">
        <v>0</v>
      </c>
      <c r="AB63" s="688">
        <v>0</v>
      </c>
      <c r="AC63" s="688">
        <v>0</v>
      </c>
      <c r="AD63" s="688">
        <v>0</v>
      </c>
      <c r="AE63" s="977">
        <v>0</v>
      </c>
      <c r="AF63" s="978">
        <v>0</v>
      </c>
      <c r="AG63" s="979">
        <v>0</v>
      </c>
      <c r="AH63" s="688">
        <v>0</v>
      </c>
      <c r="AI63" s="687">
        <v>0</v>
      </c>
      <c r="AJ63" s="685">
        <v>0</v>
      </c>
      <c r="AK63" s="687">
        <v>0</v>
      </c>
      <c r="AL63" s="689">
        <v>0</v>
      </c>
      <c r="AM63" s="685">
        <v>0</v>
      </c>
      <c r="AN63" s="685">
        <v>0</v>
      </c>
      <c r="AO63" s="689">
        <v>0</v>
      </c>
      <c r="AP63" s="690">
        <v>0</v>
      </c>
      <c r="AQ63" s="687">
        <f t="shared" si="17"/>
        <v>7.1428571428571426E-3</v>
      </c>
      <c r="AR63" s="685">
        <v>5.0000000000000001E-3</v>
      </c>
      <c r="AS63" s="687">
        <f t="shared" si="20"/>
        <v>1.2500000000000001E-2</v>
      </c>
      <c r="AT63" s="691">
        <v>1E-3</v>
      </c>
      <c r="AU63" s="685">
        <v>0</v>
      </c>
      <c r="AV63" s="687">
        <v>0</v>
      </c>
      <c r="AW63" s="692">
        <v>0</v>
      </c>
      <c r="AX63" s="693">
        <v>0</v>
      </c>
      <c r="AY63" s="692">
        <v>0</v>
      </c>
      <c r="AZ63" s="693">
        <v>0</v>
      </c>
      <c r="BA63" s="692">
        <v>0</v>
      </c>
      <c r="BB63" s="693">
        <v>0</v>
      </c>
      <c r="BC63" s="694">
        <v>0</v>
      </c>
      <c r="BD63" s="695">
        <v>0</v>
      </c>
      <c r="BE63" s="692">
        <v>0</v>
      </c>
      <c r="BF63" s="693">
        <v>0</v>
      </c>
      <c r="BG63" s="694">
        <v>0</v>
      </c>
      <c r="BH63" s="693">
        <v>0</v>
      </c>
      <c r="BI63" s="694">
        <v>0</v>
      </c>
      <c r="BJ63" s="693">
        <v>0</v>
      </c>
      <c r="BK63" s="694">
        <v>0</v>
      </c>
      <c r="BL63" s="693">
        <v>0</v>
      </c>
      <c r="BM63" s="694">
        <v>0</v>
      </c>
      <c r="BN63" s="693">
        <v>0</v>
      </c>
      <c r="BO63" s="694">
        <v>0</v>
      </c>
      <c r="BP63" s="693">
        <v>0</v>
      </c>
      <c r="BQ63" s="694">
        <v>0</v>
      </c>
      <c r="BR63" s="693">
        <v>0</v>
      </c>
      <c r="BS63" s="694">
        <v>0</v>
      </c>
      <c r="BT63" s="693">
        <v>0</v>
      </c>
      <c r="BU63" s="694">
        <v>0</v>
      </c>
      <c r="BV63" s="693">
        <v>0</v>
      </c>
      <c r="BW63" s="694">
        <v>0</v>
      </c>
      <c r="BX63" s="693">
        <v>0</v>
      </c>
      <c r="BY63" s="694">
        <v>0</v>
      </c>
      <c r="BZ63" s="693">
        <v>0</v>
      </c>
      <c r="CA63" s="694">
        <v>0</v>
      </c>
      <c r="CB63" s="693">
        <v>0</v>
      </c>
      <c r="CC63" s="692">
        <v>0</v>
      </c>
      <c r="CD63" s="695">
        <v>0</v>
      </c>
      <c r="CE63" s="692">
        <v>0</v>
      </c>
      <c r="CF63" s="695">
        <v>0</v>
      </c>
      <c r="CG63" s="692">
        <v>0</v>
      </c>
      <c r="CH63" s="695">
        <v>0</v>
      </c>
      <c r="CI63" s="692">
        <v>0</v>
      </c>
      <c r="CJ63" s="695">
        <v>0</v>
      </c>
      <c r="CK63" s="692">
        <v>0</v>
      </c>
      <c r="CL63" s="695">
        <v>0</v>
      </c>
      <c r="CM63" s="692">
        <v>0</v>
      </c>
      <c r="CN63" s="695">
        <v>0</v>
      </c>
      <c r="CO63" s="692">
        <v>0</v>
      </c>
      <c r="CP63" s="695">
        <v>0</v>
      </c>
      <c r="CQ63" s="692">
        <v>0</v>
      </c>
      <c r="CR63" s="693">
        <v>0</v>
      </c>
      <c r="CS63" s="692">
        <v>0</v>
      </c>
      <c r="CT63" s="693">
        <v>0</v>
      </c>
      <c r="CU63" s="694">
        <v>0</v>
      </c>
      <c r="CV63" s="693">
        <v>0</v>
      </c>
    </row>
    <row r="64" spans="1:100">
      <c r="A64" s="460">
        <v>62</v>
      </c>
      <c r="B64" s="580">
        <v>0</v>
      </c>
      <c r="C64" s="580">
        <v>0</v>
      </c>
      <c r="D64" s="580">
        <v>0</v>
      </c>
      <c r="E64" s="580">
        <v>0</v>
      </c>
      <c r="F64" s="580">
        <f t="shared" si="19"/>
        <v>1.2500000000000001E-2</v>
      </c>
      <c r="G64" s="580">
        <v>0.02</v>
      </c>
      <c r="H64" s="580">
        <v>0</v>
      </c>
      <c r="I64" s="580">
        <v>0</v>
      </c>
      <c r="J64" s="580">
        <v>0</v>
      </c>
      <c r="K64" s="580">
        <v>0</v>
      </c>
      <c r="L64" s="580">
        <v>0</v>
      </c>
      <c r="M64" s="580">
        <v>0</v>
      </c>
      <c r="N64" s="580">
        <v>0</v>
      </c>
      <c r="O64" s="580">
        <v>0</v>
      </c>
      <c r="P64" s="580">
        <v>0</v>
      </c>
      <c r="Q64" s="580">
        <v>0</v>
      </c>
      <c r="R64" s="580">
        <v>0</v>
      </c>
      <c r="S64" s="580">
        <v>0</v>
      </c>
      <c r="T64" s="580">
        <v>0.02</v>
      </c>
      <c r="U64" s="580">
        <v>0</v>
      </c>
      <c r="V64" s="580">
        <v>0</v>
      </c>
      <c r="W64" s="595">
        <v>0</v>
      </c>
      <c r="X64" s="688">
        <v>0</v>
      </c>
      <c r="Y64" s="688">
        <v>0</v>
      </c>
      <c r="Z64" s="688">
        <v>0</v>
      </c>
      <c r="AA64" s="688">
        <v>0</v>
      </c>
      <c r="AB64" s="688">
        <v>0</v>
      </c>
      <c r="AC64" s="688">
        <v>0</v>
      </c>
      <c r="AD64" s="688">
        <v>0</v>
      </c>
      <c r="AE64" s="977">
        <v>0</v>
      </c>
      <c r="AF64" s="978">
        <v>0</v>
      </c>
      <c r="AG64" s="979">
        <v>0</v>
      </c>
      <c r="AH64" s="688">
        <v>0</v>
      </c>
      <c r="AI64" s="687">
        <v>0</v>
      </c>
      <c r="AJ64" s="685">
        <v>0</v>
      </c>
      <c r="AK64" s="687">
        <v>0</v>
      </c>
      <c r="AL64" s="689">
        <v>0</v>
      </c>
      <c r="AM64" s="685">
        <v>0</v>
      </c>
      <c r="AN64" s="685">
        <v>0</v>
      </c>
      <c r="AO64" s="689">
        <v>0</v>
      </c>
      <c r="AP64" s="690">
        <v>0</v>
      </c>
      <c r="AQ64" s="687">
        <f t="shared" si="17"/>
        <v>7.1428571428571426E-3</v>
      </c>
      <c r="AR64" s="685">
        <v>5.0000000000000001E-3</v>
      </c>
      <c r="AS64" s="687">
        <f t="shared" si="20"/>
        <v>1.2500000000000001E-2</v>
      </c>
      <c r="AT64" s="691">
        <v>1E-3</v>
      </c>
      <c r="AU64" s="685">
        <v>0</v>
      </c>
      <c r="AV64" s="687">
        <v>0</v>
      </c>
      <c r="AW64" s="692">
        <v>0</v>
      </c>
      <c r="AX64" s="693">
        <v>0</v>
      </c>
      <c r="AY64" s="692">
        <v>0</v>
      </c>
      <c r="AZ64" s="693">
        <v>0</v>
      </c>
      <c r="BA64" s="692">
        <v>0</v>
      </c>
      <c r="BB64" s="693">
        <v>0</v>
      </c>
      <c r="BC64" s="694">
        <v>0</v>
      </c>
      <c r="BD64" s="695">
        <v>0</v>
      </c>
      <c r="BE64" s="692">
        <v>0</v>
      </c>
      <c r="BF64" s="693">
        <v>0</v>
      </c>
      <c r="BG64" s="694">
        <v>0</v>
      </c>
      <c r="BH64" s="693">
        <v>0</v>
      </c>
      <c r="BI64" s="694">
        <v>0</v>
      </c>
      <c r="BJ64" s="693">
        <v>0</v>
      </c>
      <c r="BK64" s="694">
        <v>0</v>
      </c>
      <c r="BL64" s="693">
        <v>0</v>
      </c>
      <c r="BM64" s="694">
        <v>0</v>
      </c>
      <c r="BN64" s="693">
        <v>0</v>
      </c>
      <c r="BO64" s="694">
        <v>0</v>
      </c>
      <c r="BP64" s="693">
        <v>0</v>
      </c>
      <c r="BQ64" s="694">
        <v>0</v>
      </c>
      <c r="BR64" s="693">
        <v>0</v>
      </c>
      <c r="BS64" s="694">
        <v>0</v>
      </c>
      <c r="BT64" s="693">
        <v>0</v>
      </c>
      <c r="BU64" s="694">
        <v>0</v>
      </c>
      <c r="BV64" s="693">
        <v>0</v>
      </c>
      <c r="BW64" s="694">
        <v>0</v>
      </c>
      <c r="BX64" s="693">
        <v>0</v>
      </c>
      <c r="BY64" s="694">
        <v>0</v>
      </c>
      <c r="BZ64" s="693">
        <v>0</v>
      </c>
      <c r="CA64" s="694">
        <v>0</v>
      </c>
      <c r="CB64" s="693">
        <v>0</v>
      </c>
      <c r="CC64" s="692">
        <v>0</v>
      </c>
      <c r="CD64" s="695">
        <v>0</v>
      </c>
      <c r="CE64" s="692">
        <v>0</v>
      </c>
      <c r="CF64" s="695">
        <v>0</v>
      </c>
      <c r="CG64" s="692">
        <v>0</v>
      </c>
      <c r="CH64" s="695">
        <v>0</v>
      </c>
      <c r="CI64" s="692">
        <v>0</v>
      </c>
      <c r="CJ64" s="695">
        <v>0</v>
      </c>
      <c r="CK64" s="692">
        <v>0</v>
      </c>
      <c r="CL64" s="695">
        <v>0</v>
      </c>
      <c r="CM64" s="692">
        <v>0</v>
      </c>
      <c r="CN64" s="695">
        <v>0</v>
      </c>
      <c r="CO64" s="692">
        <v>0</v>
      </c>
      <c r="CP64" s="695">
        <v>0</v>
      </c>
      <c r="CQ64" s="692">
        <v>0</v>
      </c>
      <c r="CR64" s="693">
        <v>0</v>
      </c>
      <c r="CS64" s="692">
        <v>0</v>
      </c>
      <c r="CT64" s="693">
        <v>0</v>
      </c>
      <c r="CU64" s="694">
        <v>0</v>
      </c>
      <c r="CV64" s="693">
        <v>0</v>
      </c>
    </row>
    <row r="65" spans="1:100">
      <c r="A65" s="460">
        <v>63</v>
      </c>
      <c r="B65" s="580">
        <v>0</v>
      </c>
      <c r="C65" s="580">
        <v>0</v>
      </c>
      <c r="D65" s="580">
        <v>0</v>
      </c>
      <c r="E65" s="580">
        <v>0</v>
      </c>
      <c r="F65" s="580">
        <f t="shared" si="19"/>
        <v>1.2500000000000001E-2</v>
      </c>
      <c r="G65" s="580">
        <v>0.02</v>
      </c>
      <c r="H65" s="580">
        <v>0</v>
      </c>
      <c r="I65" s="580">
        <v>0</v>
      </c>
      <c r="J65" s="580">
        <v>0</v>
      </c>
      <c r="K65" s="580">
        <v>0</v>
      </c>
      <c r="L65" s="580">
        <v>0</v>
      </c>
      <c r="M65" s="580">
        <v>0</v>
      </c>
      <c r="N65" s="580">
        <v>0</v>
      </c>
      <c r="O65" s="580">
        <v>0</v>
      </c>
      <c r="P65" s="580">
        <v>0</v>
      </c>
      <c r="Q65" s="580">
        <v>0</v>
      </c>
      <c r="R65" s="580">
        <v>0</v>
      </c>
      <c r="S65" s="580">
        <v>0</v>
      </c>
      <c r="T65" s="580">
        <v>0.02</v>
      </c>
      <c r="U65" s="580">
        <v>0</v>
      </c>
      <c r="V65" s="580">
        <v>0</v>
      </c>
      <c r="W65" s="595">
        <v>0</v>
      </c>
      <c r="X65" s="688">
        <v>0</v>
      </c>
      <c r="Y65" s="688">
        <v>0</v>
      </c>
      <c r="Z65" s="688">
        <v>0</v>
      </c>
      <c r="AA65" s="688">
        <v>0</v>
      </c>
      <c r="AB65" s="688">
        <v>0</v>
      </c>
      <c r="AC65" s="688">
        <v>0</v>
      </c>
      <c r="AD65" s="688">
        <v>0</v>
      </c>
      <c r="AE65" s="977">
        <v>0</v>
      </c>
      <c r="AF65" s="978">
        <v>0</v>
      </c>
      <c r="AG65" s="979">
        <v>0</v>
      </c>
      <c r="AH65" s="688">
        <v>0</v>
      </c>
      <c r="AI65" s="687">
        <v>0</v>
      </c>
      <c r="AJ65" s="685">
        <v>0</v>
      </c>
      <c r="AK65" s="687">
        <v>0</v>
      </c>
      <c r="AL65" s="689">
        <v>0</v>
      </c>
      <c r="AM65" s="685">
        <v>0</v>
      </c>
      <c r="AN65" s="685">
        <v>0</v>
      </c>
      <c r="AO65" s="689">
        <v>0</v>
      </c>
      <c r="AP65" s="690">
        <v>0</v>
      </c>
      <c r="AQ65" s="687">
        <f t="shared" si="17"/>
        <v>7.1428571428571426E-3</v>
      </c>
      <c r="AR65" s="685">
        <v>5.0000000000000001E-3</v>
      </c>
      <c r="AS65" s="687">
        <f t="shared" si="20"/>
        <v>1.2500000000000001E-2</v>
      </c>
      <c r="AT65" s="691">
        <v>1E-3</v>
      </c>
      <c r="AU65" s="685">
        <v>0</v>
      </c>
      <c r="AV65" s="687">
        <v>0</v>
      </c>
      <c r="AW65" s="692">
        <v>0</v>
      </c>
      <c r="AX65" s="693">
        <v>0</v>
      </c>
      <c r="AY65" s="692">
        <v>0</v>
      </c>
      <c r="AZ65" s="693">
        <v>0</v>
      </c>
      <c r="BA65" s="692">
        <v>0</v>
      </c>
      <c r="BB65" s="693">
        <v>0</v>
      </c>
      <c r="BC65" s="694">
        <v>0</v>
      </c>
      <c r="BD65" s="695">
        <v>0</v>
      </c>
      <c r="BE65" s="692">
        <v>0</v>
      </c>
      <c r="BF65" s="693">
        <v>0</v>
      </c>
      <c r="BG65" s="694">
        <v>0</v>
      </c>
      <c r="BH65" s="693">
        <v>0</v>
      </c>
      <c r="BI65" s="694">
        <v>0</v>
      </c>
      <c r="BJ65" s="693">
        <v>0</v>
      </c>
      <c r="BK65" s="694">
        <v>0</v>
      </c>
      <c r="BL65" s="693">
        <v>0</v>
      </c>
      <c r="BM65" s="694">
        <v>0</v>
      </c>
      <c r="BN65" s="693">
        <v>0</v>
      </c>
      <c r="BO65" s="694">
        <v>0</v>
      </c>
      <c r="BP65" s="693">
        <v>0</v>
      </c>
      <c r="BQ65" s="694">
        <v>0</v>
      </c>
      <c r="BR65" s="693">
        <v>0</v>
      </c>
      <c r="BS65" s="694">
        <v>0</v>
      </c>
      <c r="BT65" s="693">
        <v>0</v>
      </c>
      <c r="BU65" s="694">
        <v>0</v>
      </c>
      <c r="BV65" s="693">
        <v>0</v>
      </c>
      <c r="BW65" s="694">
        <v>0</v>
      </c>
      <c r="BX65" s="693">
        <v>0</v>
      </c>
      <c r="BY65" s="694">
        <v>0</v>
      </c>
      <c r="BZ65" s="693">
        <v>0</v>
      </c>
      <c r="CA65" s="694">
        <v>0</v>
      </c>
      <c r="CB65" s="693">
        <v>0</v>
      </c>
      <c r="CC65" s="692">
        <v>0</v>
      </c>
      <c r="CD65" s="695">
        <v>0</v>
      </c>
      <c r="CE65" s="692">
        <v>0</v>
      </c>
      <c r="CF65" s="695">
        <v>0</v>
      </c>
      <c r="CG65" s="692">
        <v>0</v>
      </c>
      <c r="CH65" s="695">
        <v>0</v>
      </c>
      <c r="CI65" s="692">
        <v>0</v>
      </c>
      <c r="CJ65" s="695">
        <v>0</v>
      </c>
      <c r="CK65" s="692">
        <v>0</v>
      </c>
      <c r="CL65" s="695">
        <v>0</v>
      </c>
      <c r="CM65" s="692">
        <v>0</v>
      </c>
      <c r="CN65" s="695">
        <v>0</v>
      </c>
      <c r="CO65" s="692">
        <v>0</v>
      </c>
      <c r="CP65" s="695">
        <v>0</v>
      </c>
      <c r="CQ65" s="692">
        <v>0</v>
      </c>
      <c r="CR65" s="693">
        <v>0</v>
      </c>
      <c r="CS65" s="692">
        <v>0</v>
      </c>
      <c r="CT65" s="693">
        <v>0</v>
      </c>
      <c r="CU65" s="694">
        <v>0</v>
      </c>
      <c r="CV65" s="693">
        <v>0</v>
      </c>
    </row>
    <row r="66" spans="1:100">
      <c r="A66" s="460">
        <v>64</v>
      </c>
      <c r="B66" s="580">
        <v>0</v>
      </c>
      <c r="C66" s="580">
        <v>0</v>
      </c>
      <c r="D66" s="580">
        <v>0</v>
      </c>
      <c r="E66" s="580">
        <v>0</v>
      </c>
      <c r="F66" s="580">
        <f t="shared" ref="F66:F81" si="21">1/80</f>
        <v>1.2500000000000001E-2</v>
      </c>
      <c r="G66" s="580">
        <v>0.02</v>
      </c>
      <c r="H66" s="580">
        <v>0</v>
      </c>
      <c r="I66" s="580">
        <v>0</v>
      </c>
      <c r="J66" s="580">
        <v>0</v>
      </c>
      <c r="K66" s="580">
        <v>0</v>
      </c>
      <c r="L66" s="580">
        <v>0</v>
      </c>
      <c r="M66" s="580">
        <v>0</v>
      </c>
      <c r="N66" s="580">
        <v>0</v>
      </c>
      <c r="O66" s="580">
        <v>0</v>
      </c>
      <c r="P66" s="580">
        <v>0</v>
      </c>
      <c r="Q66" s="580">
        <v>0</v>
      </c>
      <c r="R66" s="580">
        <v>0</v>
      </c>
      <c r="S66" s="580">
        <v>0</v>
      </c>
      <c r="T66" s="580">
        <v>0.02</v>
      </c>
      <c r="U66" s="580">
        <v>0</v>
      </c>
      <c r="V66" s="580">
        <v>0</v>
      </c>
      <c r="W66" s="595">
        <v>0</v>
      </c>
      <c r="X66" s="688">
        <v>0</v>
      </c>
      <c r="Y66" s="688">
        <v>0</v>
      </c>
      <c r="Z66" s="688">
        <v>0</v>
      </c>
      <c r="AA66" s="688">
        <v>0</v>
      </c>
      <c r="AB66" s="688">
        <v>0</v>
      </c>
      <c r="AC66" s="688">
        <v>0</v>
      </c>
      <c r="AD66" s="688">
        <v>0</v>
      </c>
      <c r="AE66" s="977">
        <v>0</v>
      </c>
      <c r="AF66" s="978">
        <v>0</v>
      </c>
      <c r="AG66" s="979">
        <v>0</v>
      </c>
      <c r="AH66" s="688">
        <v>0</v>
      </c>
      <c r="AI66" s="687">
        <v>0</v>
      </c>
      <c r="AJ66" s="685">
        <v>0</v>
      </c>
      <c r="AK66" s="687">
        <v>0</v>
      </c>
      <c r="AL66" s="689">
        <v>0</v>
      </c>
      <c r="AM66" s="685">
        <v>0</v>
      </c>
      <c r="AN66" s="685">
        <v>0</v>
      </c>
      <c r="AO66" s="689">
        <v>0</v>
      </c>
      <c r="AP66" s="690">
        <v>0</v>
      </c>
      <c r="AQ66" s="687">
        <f t="shared" si="17"/>
        <v>7.1428571428571426E-3</v>
      </c>
      <c r="AR66" s="685">
        <v>5.0000000000000001E-3</v>
      </c>
      <c r="AS66" s="687">
        <f t="shared" ref="AS66:AS81" si="22">1/80</f>
        <v>1.2500000000000001E-2</v>
      </c>
      <c r="AT66" s="691">
        <v>1E-3</v>
      </c>
      <c r="AU66" s="685">
        <v>0</v>
      </c>
      <c r="AV66" s="687">
        <v>0</v>
      </c>
      <c r="AW66" s="692">
        <v>0</v>
      </c>
      <c r="AX66" s="693">
        <v>0</v>
      </c>
      <c r="AY66" s="692">
        <v>0</v>
      </c>
      <c r="AZ66" s="693">
        <v>0</v>
      </c>
      <c r="BA66" s="692">
        <v>0</v>
      </c>
      <c r="BB66" s="693">
        <v>0</v>
      </c>
      <c r="BC66" s="694">
        <v>0</v>
      </c>
      <c r="BD66" s="695">
        <v>0</v>
      </c>
      <c r="BE66" s="692">
        <v>0</v>
      </c>
      <c r="BF66" s="693">
        <v>0</v>
      </c>
      <c r="BG66" s="694">
        <v>0</v>
      </c>
      <c r="BH66" s="693">
        <v>0</v>
      </c>
      <c r="BI66" s="694">
        <v>0</v>
      </c>
      <c r="BJ66" s="693">
        <v>0</v>
      </c>
      <c r="BK66" s="694">
        <v>0</v>
      </c>
      <c r="BL66" s="693">
        <v>0</v>
      </c>
      <c r="BM66" s="694">
        <v>0</v>
      </c>
      <c r="BN66" s="693">
        <v>0</v>
      </c>
      <c r="BO66" s="694">
        <v>0</v>
      </c>
      <c r="BP66" s="693">
        <v>0</v>
      </c>
      <c r="BQ66" s="694">
        <v>0</v>
      </c>
      <c r="BR66" s="693">
        <v>0</v>
      </c>
      <c r="BS66" s="694">
        <v>0</v>
      </c>
      <c r="BT66" s="693">
        <v>0</v>
      </c>
      <c r="BU66" s="694">
        <v>0</v>
      </c>
      <c r="BV66" s="693">
        <v>0</v>
      </c>
      <c r="BW66" s="694">
        <v>0</v>
      </c>
      <c r="BX66" s="693">
        <v>0</v>
      </c>
      <c r="BY66" s="694">
        <v>0</v>
      </c>
      <c r="BZ66" s="693">
        <v>0</v>
      </c>
      <c r="CA66" s="694">
        <v>0</v>
      </c>
      <c r="CB66" s="693">
        <v>0</v>
      </c>
      <c r="CC66" s="692">
        <v>0</v>
      </c>
      <c r="CD66" s="695">
        <v>0</v>
      </c>
      <c r="CE66" s="692">
        <v>0</v>
      </c>
      <c r="CF66" s="695">
        <v>0</v>
      </c>
      <c r="CG66" s="692">
        <v>0</v>
      </c>
      <c r="CH66" s="695">
        <v>0</v>
      </c>
      <c r="CI66" s="692">
        <v>0</v>
      </c>
      <c r="CJ66" s="695">
        <v>0</v>
      </c>
      <c r="CK66" s="692">
        <v>0</v>
      </c>
      <c r="CL66" s="695">
        <v>0</v>
      </c>
      <c r="CM66" s="692">
        <v>0</v>
      </c>
      <c r="CN66" s="695">
        <v>0</v>
      </c>
      <c r="CO66" s="692">
        <v>0</v>
      </c>
      <c r="CP66" s="695">
        <v>0</v>
      </c>
      <c r="CQ66" s="692">
        <v>0</v>
      </c>
      <c r="CR66" s="693">
        <v>0</v>
      </c>
      <c r="CS66" s="692">
        <v>0</v>
      </c>
      <c r="CT66" s="693">
        <v>0</v>
      </c>
      <c r="CU66" s="694">
        <v>0</v>
      </c>
      <c r="CV66" s="693">
        <v>0</v>
      </c>
    </row>
    <row r="67" spans="1:100">
      <c r="A67" s="460">
        <v>65</v>
      </c>
      <c r="B67" s="580">
        <v>0</v>
      </c>
      <c r="C67" s="580">
        <v>0</v>
      </c>
      <c r="D67" s="580">
        <v>0</v>
      </c>
      <c r="E67" s="580">
        <v>0</v>
      </c>
      <c r="F67" s="580">
        <f t="shared" si="21"/>
        <v>1.2500000000000001E-2</v>
      </c>
      <c r="G67" s="580">
        <v>0.02</v>
      </c>
      <c r="H67" s="580">
        <v>0</v>
      </c>
      <c r="I67" s="580">
        <v>0</v>
      </c>
      <c r="J67" s="580">
        <v>0</v>
      </c>
      <c r="K67" s="580">
        <v>0</v>
      </c>
      <c r="L67" s="580">
        <v>0</v>
      </c>
      <c r="M67" s="580">
        <v>0</v>
      </c>
      <c r="N67" s="580">
        <v>0</v>
      </c>
      <c r="O67" s="580">
        <v>0</v>
      </c>
      <c r="P67" s="580">
        <v>0</v>
      </c>
      <c r="Q67" s="580">
        <v>0</v>
      </c>
      <c r="R67" s="580">
        <v>0</v>
      </c>
      <c r="S67" s="580">
        <v>0</v>
      </c>
      <c r="T67" s="580">
        <v>0.02</v>
      </c>
      <c r="U67" s="580">
        <v>0</v>
      </c>
      <c r="V67" s="580">
        <v>0</v>
      </c>
      <c r="W67" s="595">
        <v>0</v>
      </c>
      <c r="X67" s="688">
        <v>0</v>
      </c>
      <c r="Y67" s="688">
        <v>0</v>
      </c>
      <c r="Z67" s="688">
        <v>0</v>
      </c>
      <c r="AA67" s="688">
        <v>0</v>
      </c>
      <c r="AB67" s="688">
        <v>0</v>
      </c>
      <c r="AC67" s="688">
        <v>0</v>
      </c>
      <c r="AD67" s="688">
        <v>0</v>
      </c>
      <c r="AE67" s="977">
        <v>0</v>
      </c>
      <c r="AF67" s="978">
        <v>0</v>
      </c>
      <c r="AG67" s="979">
        <v>0</v>
      </c>
      <c r="AH67" s="688">
        <v>0</v>
      </c>
      <c r="AI67" s="687">
        <v>0</v>
      </c>
      <c r="AJ67" s="685">
        <v>0</v>
      </c>
      <c r="AK67" s="687">
        <v>0</v>
      </c>
      <c r="AL67" s="689">
        <v>0</v>
      </c>
      <c r="AM67" s="685">
        <v>0</v>
      </c>
      <c r="AN67" s="685">
        <v>0</v>
      </c>
      <c r="AO67" s="689">
        <v>0</v>
      </c>
      <c r="AP67" s="690">
        <v>0</v>
      </c>
      <c r="AQ67" s="687">
        <f t="shared" si="17"/>
        <v>7.1428571428571426E-3</v>
      </c>
      <c r="AR67" s="685">
        <v>5.0000000000000001E-3</v>
      </c>
      <c r="AS67" s="687">
        <f t="shared" si="22"/>
        <v>1.2500000000000001E-2</v>
      </c>
      <c r="AT67" s="691">
        <v>1E-3</v>
      </c>
      <c r="AU67" s="685">
        <v>0</v>
      </c>
      <c r="AV67" s="687">
        <v>0</v>
      </c>
      <c r="AW67" s="692">
        <v>0</v>
      </c>
      <c r="AX67" s="693">
        <v>0</v>
      </c>
      <c r="AY67" s="692">
        <v>0</v>
      </c>
      <c r="AZ67" s="693">
        <v>0</v>
      </c>
      <c r="BA67" s="692">
        <v>0</v>
      </c>
      <c r="BB67" s="693">
        <v>0</v>
      </c>
      <c r="BC67" s="694">
        <v>0</v>
      </c>
      <c r="BD67" s="695">
        <v>0</v>
      </c>
      <c r="BE67" s="692">
        <v>0</v>
      </c>
      <c r="BF67" s="693">
        <v>0</v>
      </c>
      <c r="BG67" s="694">
        <v>0</v>
      </c>
      <c r="BH67" s="693">
        <v>0</v>
      </c>
      <c r="BI67" s="694">
        <v>0</v>
      </c>
      <c r="BJ67" s="693">
        <v>0</v>
      </c>
      <c r="BK67" s="694">
        <v>0</v>
      </c>
      <c r="BL67" s="693">
        <v>0</v>
      </c>
      <c r="BM67" s="694">
        <v>0</v>
      </c>
      <c r="BN67" s="693">
        <v>0</v>
      </c>
      <c r="BO67" s="694">
        <v>0</v>
      </c>
      <c r="BP67" s="693">
        <v>0</v>
      </c>
      <c r="BQ67" s="694">
        <v>0</v>
      </c>
      <c r="BR67" s="693">
        <v>0</v>
      </c>
      <c r="BS67" s="694">
        <v>0</v>
      </c>
      <c r="BT67" s="693">
        <v>0</v>
      </c>
      <c r="BU67" s="694">
        <v>0</v>
      </c>
      <c r="BV67" s="693">
        <v>0</v>
      </c>
      <c r="BW67" s="694">
        <v>0</v>
      </c>
      <c r="BX67" s="693">
        <v>0</v>
      </c>
      <c r="BY67" s="694">
        <v>0</v>
      </c>
      <c r="BZ67" s="693">
        <v>0</v>
      </c>
      <c r="CA67" s="694">
        <v>0</v>
      </c>
      <c r="CB67" s="693">
        <v>0</v>
      </c>
      <c r="CC67" s="692">
        <v>0</v>
      </c>
      <c r="CD67" s="695">
        <v>0</v>
      </c>
      <c r="CE67" s="692">
        <v>0</v>
      </c>
      <c r="CF67" s="695">
        <v>0</v>
      </c>
      <c r="CG67" s="692">
        <v>0</v>
      </c>
      <c r="CH67" s="695">
        <v>0</v>
      </c>
      <c r="CI67" s="692">
        <v>0</v>
      </c>
      <c r="CJ67" s="695">
        <v>0</v>
      </c>
      <c r="CK67" s="692">
        <v>0</v>
      </c>
      <c r="CL67" s="695">
        <v>0</v>
      </c>
      <c r="CM67" s="692">
        <v>0</v>
      </c>
      <c r="CN67" s="695">
        <v>0</v>
      </c>
      <c r="CO67" s="692">
        <v>0</v>
      </c>
      <c r="CP67" s="695">
        <v>0</v>
      </c>
      <c r="CQ67" s="692">
        <v>0</v>
      </c>
      <c r="CR67" s="693">
        <v>0</v>
      </c>
      <c r="CS67" s="692">
        <v>0</v>
      </c>
      <c r="CT67" s="693">
        <v>0</v>
      </c>
      <c r="CU67" s="694">
        <v>0</v>
      </c>
      <c r="CV67" s="693">
        <v>0</v>
      </c>
    </row>
    <row r="68" spans="1:100">
      <c r="A68" s="460">
        <v>66</v>
      </c>
      <c r="B68" s="580">
        <v>0</v>
      </c>
      <c r="C68" s="580">
        <v>0</v>
      </c>
      <c r="D68" s="580">
        <v>0</v>
      </c>
      <c r="E68" s="580">
        <v>0</v>
      </c>
      <c r="F68" s="580">
        <f t="shared" si="21"/>
        <v>1.2500000000000001E-2</v>
      </c>
      <c r="G68" s="580">
        <v>0.02</v>
      </c>
      <c r="H68" s="580">
        <v>0</v>
      </c>
      <c r="I68" s="580">
        <v>0</v>
      </c>
      <c r="J68" s="580">
        <v>0</v>
      </c>
      <c r="K68" s="580">
        <v>0</v>
      </c>
      <c r="L68" s="580">
        <v>0</v>
      </c>
      <c r="M68" s="580">
        <v>0</v>
      </c>
      <c r="N68" s="580">
        <v>0</v>
      </c>
      <c r="O68" s="580">
        <v>0</v>
      </c>
      <c r="P68" s="580">
        <v>0</v>
      </c>
      <c r="Q68" s="580">
        <v>0</v>
      </c>
      <c r="R68" s="580">
        <v>0</v>
      </c>
      <c r="S68" s="580">
        <v>0</v>
      </c>
      <c r="T68" s="580">
        <v>0.02</v>
      </c>
      <c r="U68" s="580">
        <v>0</v>
      </c>
      <c r="V68" s="580">
        <v>0</v>
      </c>
      <c r="W68" s="595">
        <v>0</v>
      </c>
      <c r="X68" s="688">
        <v>0</v>
      </c>
      <c r="Y68" s="688">
        <v>0</v>
      </c>
      <c r="Z68" s="688">
        <v>0</v>
      </c>
      <c r="AA68" s="688">
        <v>0</v>
      </c>
      <c r="AB68" s="688">
        <v>0</v>
      </c>
      <c r="AC68" s="688">
        <v>0</v>
      </c>
      <c r="AD68" s="688">
        <v>0</v>
      </c>
      <c r="AE68" s="977">
        <v>0</v>
      </c>
      <c r="AF68" s="978">
        <v>0</v>
      </c>
      <c r="AG68" s="979">
        <v>0</v>
      </c>
      <c r="AH68" s="688">
        <v>0</v>
      </c>
      <c r="AI68" s="687">
        <v>0</v>
      </c>
      <c r="AJ68" s="685">
        <v>0</v>
      </c>
      <c r="AK68" s="687">
        <v>0</v>
      </c>
      <c r="AL68" s="689">
        <v>0</v>
      </c>
      <c r="AM68" s="685">
        <v>0</v>
      </c>
      <c r="AN68" s="685">
        <v>0</v>
      </c>
      <c r="AO68" s="689">
        <v>0</v>
      </c>
      <c r="AP68" s="690">
        <v>0</v>
      </c>
      <c r="AQ68" s="687">
        <f t="shared" ref="AQ68:AQ131" si="23">1/140</f>
        <v>7.1428571428571426E-3</v>
      </c>
      <c r="AR68" s="685">
        <v>5.0000000000000001E-3</v>
      </c>
      <c r="AS68" s="687">
        <f t="shared" si="22"/>
        <v>1.2500000000000001E-2</v>
      </c>
      <c r="AT68" s="691">
        <v>1E-3</v>
      </c>
      <c r="AU68" s="685">
        <v>0</v>
      </c>
      <c r="AV68" s="687">
        <v>0</v>
      </c>
      <c r="AW68" s="692">
        <v>0</v>
      </c>
      <c r="AX68" s="693">
        <v>0</v>
      </c>
      <c r="AY68" s="692">
        <v>0</v>
      </c>
      <c r="AZ68" s="693">
        <v>0</v>
      </c>
      <c r="BA68" s="692">
        <v>0</v>
      </c>
      <c r="BB68" s="693">
        <v>0</v>
      </c>
      <c r="BC68" s="694">
        <v>0</v>
      </c>
      <c r="BD68" s="695">
        <v>0</v>
      </c>
      <c r="BE68" s="692">
        <v>0</v>
      </c>
      <c r="BF68" s="693">
        <v>0</v>
      </c>
      <c r="BG68" s="694">
        <v>0</v>
      </c>
      <c r="BH68" s="693">
        <v>0</v>
      </c>
      <c r="BI68" s="694">
        <v>0</v>
      </c>
      <c r="BJ68" s="693">
        <v>0</v>
      </c>
      <c r="BK68" s="694">
        <v>0</v>
      </c>
      <c r="BL68" s="693">
        <v>0</v>
      </c>
      <c r="BM68" s="694">
        <v>0</v>
      </c>
      <c r="BN68" s="693">
        <v>0</v>
      </c>
      <c r="BO68" s="694">
        <v>0</v>
      </c>
      <c r="BP68" s="693">
        <v>0</v>
      </c>
      <c r="BQ68" s="694">
        <v>0</v>
      </c>
      <c r="BR68" s="693">
        <v>0</v>
      </c>
      <c r="BS68" s="694">
        <v>0</v>
      </c>
      <c r="BT68" s="693">
        <v>0</v>
      </c>
      <c r="BU68" s="694">
        <v>0</v>
      </c>
      <c r="BV68" s="693">
        <v>0</v>
      </c>
      <c r="BW68" s="694">
        <v>0</v>
      </c>
      <c r="BX68" s="693">
        <v>0</v>
      </c>
      <c r="BY68" s="694">
        <v>0</v>
      </c>
      <c r="BZ68" s="693">
        <v>0</v>
      </c>
      <c r="CA68" s="694">
        <v>0</v>
      </c>
      <c r="CB68" s="693">
        <v>0</v>
      </c>
      <c r="CC68" s="692">
        <v>0</v>
      </c>
      <c r="CD68" s="695">
        <v>0</v>
      </c>
      <c r="CE68" s="692">
        <v>0</v>
      </c>
      <c r="CF68" s="695">
        <v>0</v>
      </c>
      <c r="CG68" s="692">
        <v>0</v>
      </c>
      <c r="CH68" s="695">
        <v>0</v>
      </c>
      <c r="CI68" s="692">
        <v>0</v>
      </c>
      <c r="CJ68" s="695">
        <v>0</v>
      </c>
      <c r="CK68" s="692">
        <v>0</v>
      </c>
      <c r="CL68" s="695">
        <v>0</v>
      </c>
      <c r="CM68" s="692">
        <v>0</v>
      </c>
      <c r="CN68" s="695">
        <v>0</v>
      </c>
      <c r="CO68" s="692">
        <v>0</v>
      </c>
      <c r="CP68" s="695">
        <v>0</v>
      </c>
      <c r="CQ68" s="692">
        <v>0</v>
      </c>
      <c r="CR68" s="693">
        <v>0</v>
      </c>
      <c r="CS68" s="692">
        <v>0</v>
      </c>
      <c r="CT68" s="693">
        <v>0</v>
      </c>
      <c r="CU68" s="694">
        <v>0</v>
      </c>
      <c r="CV68" s="693">
        <v>0</v>
      </c>
    </row>
    <row r="69" spans="1:100">
      <c r="A69" s="460">
        <v>67</v>
      </c>
      <c r="B69" s="580">
        <v>0</v>
      </c>
      <c r="C69" s="580">
        <v>0</v>
      </c>
      <c r="D69" s="580">
        <v>0</v>
      </c>
      <c r="E69" s="580">
        <v>0</v>
      </c>
      <c r="F69" s="580">
        <f t="shared" si="21"/>
        <v>1.2500000000000001E-2</v>
      </c>
      <c r="G69" s="580">
        <v>0.02</v>
      </c>
      <c r="H69" s="580">
        <v>0</v>
      </c>
      <c r="I69" s="580">
        <v>0</v>
      </c>
      <c r="J69" s="580">
        <v>0</v>
      </c>
      <c r="K69" s="580">
        <v>0</v>
      </c>
      <c r="L69" s="580">
        <v>0</v>
      </c>
      <c r="M69" s="580">
        <v>0</v>
      </c>
      <c r="N69" s="580">
        <v>0</v>
      </c>
      <c r="O69" s="580">
        <v>0</v>
      </c>
      <c r="P69" s="580">
        <v>0</v>
      </c>
      <c r="Q69" s="580">
        <v>0</v>
      </c>
      <c r="R69" s="580">
        <v>0</v>
      </c>
      <c r="S69" s="580">
        <v>0</v>
      </c>
      <c r="T69" s="580">
        <v>0.02</v>
      </c>
      <c r="U69" s="580">
        <v>0</v>
      </c>
      <c r="V69" s="580">
        <v>0</v>
      </c>
      <c r="W69" s="595">
        <v>0</v>
      </c>
      <c r="X69" s="688">
        <v>0</v>
      </c>
      <c r="Y69" s="688">
        <v>0</v>
      </c>
      <c r="Z69" s="688">
        <v>0</v>
      </c>
      <c r="AA69" s="688">
        <v>0</v>
      </c>
      <c r="AB69" s="688">
        <v>0</v>
      </c>
      <c r="AC69" s="688">
        <v>0</v>
      </c>
      <c r="AD69" s="688">
        <v>0</v>
      </c>
      <c r="AE69" s="977">
        <v>0</v>
      </c>
      <c r="AF69" s="978">
        <v>0</v>
      </c>
      <c r="AG69" s="979">
        <v>0</v>
      </c>
      <c r="AH69" s="688">
        <v>0</v>
      </c>
      <c r="AI69" s="687">
        <v>0</v>
      </c>
      <c r="AJ69" s="685">
        <v>0</v>
      </c>
      <c r="AK69" s="687">
        <v>0</v>
      </c>
      <c r="AL69" s="689">
        <v>0</v>
      </c>
      <c r="AM69" s="685">
        <v>0</v>
      </c>
      <c r="AN69" s="685">
        <v>0</v>
      </c>
      <c r="AO69" s="689">
        <v>0</v>
      </c>
      <c r="AP69" s="690">
        <v>0</v>
      </c>
      <c r="AQ69" s="687">
        <f t="shared" si="23"/>
        <v>7.1428571428571426E-3</v>
      </c>
      <c r="AR69" s="685">
        <v>5.0000000000000001E-3</v>
      </c>
      <c r="AS69" s="687">
        <f t="shared" si="22"/>
        <v>1.2500000000000001E-2</v>
      </c>
      <c r="AT69" s="691">
        <v>1E-3</v>
      </c>
      <c r="AU69" s="685">
        <v>0</v>
      </c>
      <c r="AV69" s="687">
        <v>0</v>
      </c>
      <c r="AW69" s="692">
        <v>0</v>
      </c>
      <c r="AX69" s="693">
        <v>0</v>
      </c>
      <c r="AY69" s="692">
        <v>0</v>
      </c>
      <c r="AZ69" s="693">
        <v>0</v>
      </c>
      <c r="BA69" s="692">
        <v>0</v>
      </c>
      <c r="BB69" s="693">
        <v>0</v>
      </c>
      <c r="BC69" s="694">
        <v>0</v>
      </c>
      <c r="BD69" s="695">
        <v>0</v>
      </c>
      <c r="BE69" s="692">
        <v>0</v>
      </c>
      <c r="BF69" s="693">
        <v>0</v>
      </c>
      <c r="BG69" s="694">
        <v>0</v>
      </c>
      <c r="BH69" s="693">
        <v>0</v>
      </c>
      <c r="BI69" s="694">
        <v>0</v>
      </c>
      <c r="BJ69" s="693">
        <v>0</v>
      </c>
      <c r="BK69" s="694">
        <v>0</v>
      </c>
      <c r="BL69" s="693">
        <v>0</v>
      </c>
      <c r="BM69" s="694">
        <v>0</v>
      </c>
      <c r="BN69" s="693">
        <v>0</v>
      </c>
      <c r="BO69" s="694">
        <v>0</v>
      </c>
      <c r="BP69" s="693">
        <v>0</v>
      </c>
      <c r="BQ69" s="694">
        <v>0</v>
      </c>
      <c r="BR69" s="693">
        <v>0</v>
      </c>
      <c r="BS69" s="694">
        <v>0</v>
      </c>
      <c r="BT69" s="693">
        <v>0</v>
      </c>
      <c r="BU69" s="694">
        <v>0</v>
      </c>
      <c r="BV69" s="693">
        <v>0</v>
      </c>
      <c r="BW69" s="694">
        <v>0</v>
      </c>
      <c r="BX69" s="693">
        <v>0</v>
      </c>
      <c r="BY69" s="694">
        <v>0</v>
      </c>
      <c r="BZ69" s="693">
        <v>0</v>
      </c>
      <c r="CA69" s="694">
        <v>0</v>
      </c>
      <c r="CB69" s="693">
        <v>0</v>
      </c>
      <c r="CC69" s="692">
        <v>0</v>
      </c>
      <c r="CD69" s="695">
        <v>0</v>
      </c>
      <c r="CE69" s="692">
        <v>0</v>
      </c>
      <c r="CF69" s="695">
        <v>0</v>
      </c>
      <c r="CG69" s="692">
        <v>0</v>
      </c>
      <c r="CH69" s="695">
        <v>0</v>
      </c>
      <c r="CI69" s="692">
        <v>0</v>
      </c>
      <c r="CJ69" s="695">
        <v>0</v>
      </c>
      <c r="CK69" s="692">
        <v>0</v>
      </c>
      <c r="CL69" s="695">
        <v>0</v>
      </c>
      <c r="CM69" s="692">
        <v>0</v>
      </c>
      <c r="CN69" s="695">
        <v>0</v>
      </c>
      <c r="CO69" s="692">
        <v>0</v>
      </c>
      <c r="CP69" s="695">
        <v>0</v>
      </c>
      <c r="CQ69" s="692">
        <v>0</v>
      </c>
      <c r="CR69" s="693">
        <v>0</v>
      </c>
      <c r="CS69" s="692">
        <v>0</v>
      </c>
      <c r="CT69" s="693">
        <v>0</v>
      </c>
      <c r="CU69" s="694">
        <v>0</v>
      </c>
      <c r="CV69" s="693">
        <v>0</v>
      </c>
    </row>
    <row r="70" spans="1:100">
      <c r="A70" s="460">
        <v>68</v>
      </c>
      <c r="B70" s="580">
        <v>0</v>
      </c>
      <c r="C70" s="580">
        <v>0</v>
      </c>
      <c r="D70" s="580">
        <v>0</v>
      </c>
      <c r="E70" s="580">
        <v>0</v>
      </c>
      <c r="F70" s="580">
        <f t="shared" si="21"/>
        <v>1.2500000000000001E-2</v>
      </c>
      <c r="G70" s="580">
        <v>0.02</v>
      </c>
      <c r="H70" s="580">
        <v>0</v>
      </c>
      <c r="I70" s="580">
        <v>0</v>
      </c>
      <c r="J70" s="580">
        <v>0</v>
      </c>
      <c r="K70" s="580">
        <v>0</v>
      </c>
      <c r="L70" s="580">
        <v>0</v>
      </c>
      <c r="M70" s="580">
        <v>0</v>
      </c>
      <c r="N70" s="580">
        <v>0</v>
      </c>
      <c r="O70" s="580">
        <v>0</v>
      </c>
      <c r="P70" s="580">
        <v>0</v>
      </c>
      <c r="Q70" s="580">
        <v>0</v>
      </c>
      <c r="R70" s="580">
        <v>0</v>
      </c>
      <c r="S70" s="580">
        <v>0</v>
      </c>
      <c r="T70" s="580">
        <v>0.02</v>
      </c>
      <c r="U70" s="580">
        <v>0</v>
      </c>
      <c r="V70" s="580">
        <v>0</v>
      </c>
      <c r="W70" s="595">
        <v>0</v>
      </c>
      <c r="X70" s="688">
        <v>0</v>
      </c>
      <c r="Y70" s="688">
        <v>0</v>
      </c>
      <c r="Z70" s="688">
        <v>0</v>
      </c>
      <c r="AA70" s="688">
        <v>0</v>
      </c>
      <c r="AB70" s="688">
        <v>0</v>
      </c>
      <c r="AC70" s="688">
        <v>0</v>
      </c>
      <c r="AD70" s="688">
        <v>0</v>
      </c>
      <c r="AE70" s="977">
        <v>0</v>
      </c>
      <c r="AF70" s="978">
        <v>0</v>
      </c>
      <c r="AG70" s="979">
        <v>0</v>
      </c>
      <c r="AH70" s="688">
        <v>0</v>
      </c>
      <c r="AI70" s="687">
        <v>0</v>
      </c>
      <c r="AJ70" s="685">
        <v>0</v>
      </c>
      <c r="AK70" s="687">
        <v>0</v>
      </c>
      <c r="AL70" s="689">
        <v>0</v>
      </c>
      <c r="AM70" s="685">
        <v>0</v>
      </c>
      <c r="AN70" s="685">
        <v>0</v>
      </c>
      <c r="AO70" s="689">
        <v>0</v>
      </c>
      <c r="AP70" s="690">
        <v>0</v>
      </c>
      <c r="AQ70" s="687">
        <f t="shared" si="23"/>
        <v>7.1428571428571426E-3</v>
      </c>
      <c r="AR70" s="685">
        <v>5.0000000000000001E-3</v>
      </c>
      <c r="AS70" s="687">
        <f t="shared" si="22"/>
        <v>1.2500000000000001E-2</v>
      </c>
      <c r="AT70" s="691">
        <v>1E-3</v>
      </c>
      <c r="AU70" s="685">
        <v>0</v>
      </c>
      <c r="AV70" s="687">
        <v>0</v>
      </c>
      <c r="AW70" s="692">
        <v>0</v>
      </c>
      <c r="AX70" s="693">
        <v>0</v>
      </c>
      <c r="AY70" s="692">
        <v>0</v>
      </c>
      <c r="AZ70" s="693">
        <v>0</v>
      </c>
      <c r="BA70" s="692">
        <v>0</v>
      </c>
      <c r="BB70" s="693">
        <v>0</v>
      </c>
      <c r="BC70" s="694">
        <v>0</v>
      </c>
      <c r="BD70" s="695">
        <v>0</v>
      </c>
      <c r="BE70" s="692">
        <v>0</v>
      </c>
      <c r="BF70" s="693">
        <v>0</v>
      </c>
      <c r="BG70" s="694">
        <v>0</v>
      </c>
      <c r="BH70" s="693">
        <v>0</v>
      </c>
      <c r="BI70" s="694">
        <v>0</v>
      </c>
      <c r="BJ70" s="693">
        <v>0</v>
      </c>
      <c r="BK70" s="694">
        <v>0</v>
      </c>
      <c r="BL70" s="693">
        <v>0</v>
      </c>
      <c r="BM70" s="694">
        <v>0</v>
      </c>
      <c r="BN70" s="693">
        <v>0</v>
      </c>
      <c r="BO70" s="694">
        <v>0</v>
      </c>
      <c r="BP70" s="693">
        <v>0</v>
      </c>
      <c r="BQ70" s="694">
        <v>0</v>
      </c>
      <c r="BR70" s="693">
        <v>0</v>
      </c>
      <c r="BS70" s="694">
        <v>0</v>
      </c>
      <c r="BT70" s="693">
        <v>0</v>
      </c>
      <c r="BU70" s="694">
        <v>0</v>
      </c>
      <c r="BV70" s="693">
        <v>0</v>
      </c>
      <c r="BW70" s="694">
        <v>0</v>
      </c>
      <c r="BX70" s="693">
        <v>0</v>
      </c>
      <c r="BY70" s="694">
        <v>0</v>
      </c>
      <c r="BZ70" s="693">
        <v>0</v>
      </c>
      <c r="CA70" s="694">
        <v>0</v>
      </c>
      <c r="CB70" s="693">
        <v>0</v>
      </c>
      <c r="CC70" s="692">
        <v>0</v>
      </c>
      <c r="CD70" s="695">
        <v>0</v>
      </c>
      <c r="CE70" s="692">
        <v>0</v>
      </c>
      <c r="CF70" s="695">
        <v>0</v>
      </c>
      <c r="CG70" s="692">
        <v>0</v>
      </c>
      <c r="CH70" s="695">
        <v>0</v>
      </c>
      <c r="CI70" s="692">
        <v>0</v>
      </c>
      <c r="CJ70" s="695">
        <v>0</v>
      </c>
      <c r="CK70" s="692">
        <v>0</v>
      </c>
      <c r="CL70" s="695">
        <v>0</v>
      </c>
      <c r="CM70" s="692">
        <v>0</v>
      </c>
      <c r="CN70" s="695">
        <v>0</v>
      </c>
      <c r="CO70" s="692">
        <v>0</v>
      </c>
      <c r="CP70" s="695">
        <v>0</v>
      </c>
      <c r="CQ70" s="692">
        <v>0</v>
      </c>
      <c r="CR70" s="693">
        <v>0</v>
      </c>
      <c r="CS70" s="692">
        <v>0</v>
      </c>
      <c r="CT70" s="693">
        <v>0</v>
      </c>
      <c r="CU70" s="694">
        <v>0</v>
      </c>
      <c r="CV70" s="693">
        <v>0</v>
      </c>
    </row>
    <row r="71" spans="1:100">
      <c r="A71" s="460">
        <v>69</v>
      </c>
      <c r="B71" s="580">
        <v>0</v>
      </c>
      <c r="C71" s="580">
        <v>0</v>
      </c>
      <c r="D71" s="580">
        <v>0</v>
      </c>
      <c r="E71" s="580">
        <v>0</v>
      </c>
      <c r="F71" s="580">
        <f t="shared" si="21"/>
        <v>1.2500000000000001E-2</v>
      </c>
      <c r="G71" s="580">
        <v>0.02</v>
      </c>
      <c r="H71" s="580">
        <v>0</v>
      </c>
      <c r="I71" s="580">
        <v>0</v>
      </c>
      <c r="J71" s="580">
        <v>0</v>
      </c>
      <c r="K71" s="580">
        <v>0</v>
      </c>
      <c r="L71" s="580">
        <v>0</v>
      </c>
      <c r="M71" s="580">
        <v>0</v>
      </c>
      <c r="N71" s="580">
        <v>0</v>
      </c>
      <c r="O71" s="580">
        <v>0</v>
      </c>
      <c r="P71" s="580">
        <v>0</v>
      </c>
      <c r="Q71" s="580">
        <v>0</v>
      </c>
      <c r="R71" s="580">
        <v>0</v>
      </c>
      <c r="S71" s="580">
        <v>0</v>
      </c>
      <c r="T71" s="580">
        <v>0.02</v>
      </c>
      <c r="U71" s="580">
        <v>0</v>
      </c>
      <c r="V71" s="580">
        <v>0</v>
      </c>
      <c r="W71" s="595">
        <v>0</v>
      </c>
      <c r="X71" s="688">
        <v>0</v>
      </c>
      <c r="Y71" s="688">
        <v>0</v>
      </c>
      <c r="Z71" s="688">
        <v>0</v>
      </c>
      <c r="AA71" s="688">
        <v>0</v>
      </c>
      <c r="AB71" s="688">
        <v>0</v>
      </c>
      <c r="AC71" s="688">
        <v>0</v>
      </c>
      <c r="AD71" s="688">
        <v>0</v>
      </c>
      <c r="AE71" s="977">
        <v>0</v>
      </c>
      <c r="AF71" s="978">
        <v>0</v>
      </c>
      <c r="AG71" s="979">
        <v>0</v>
      </c>
      <c r="AH71" s="688">
        <v>0</v>
      </c>
      <c r="AI71" s="687">
        <v>0</v>
      </c>
      <c r="AJ71" s="685">
        <v>0</v>
      </c>
      <c r="AK71" s="687">
        <v>0</v>
      </c>
      <c r="AL71" s="689">
        <v>0</v>
      </c>
      <c r="AM71" s="685">
        <v>0</v>
      </c>
      <c r="AN71" s="685">
        <v>0</v>
      </c>
      <c r="AO71" s="689">
        <v>0</v>
      </c>
      <c r="AP71" s="690">
        <v>0</v>
      </c>
      <c r="AQ71" s="687">
        <f t="shared" si="23"/>
        <v>7.1428571428571426E-3</v>
      </c>
      <c r="AR71" s="685">
        <v>5.0000000000000001E-3</v>
      </c>
      <c r="AS71" s="687">
        <f t="shared" si="22"/>
        <v>1.2500000000000001E-2</v>
      </c>
      <c r="AT71" s="691">
        <v>1E-3</v>
      </c>
      <c r="AU71" s="685">
        <v>0</v>
      </c>
      <c r="AV71" s="687">
        <v>0</v>
      </c>
      <c r="AW71" s="692">
        <v>0</v>
      </c>
      <c r="AX71" s="693">
        <v>0</v>
      </c>
      <c r="AY71" s="692">
        <v>0</v>
      </c>
      <c r="AZ71" s="693">
        <v>0</v>
      </c>
      <c r="BA71" s="692">
        <v>0</v>
      </c>
      <c r="BB71" s="693">
        <v>0</v>
      </c>
      <c r="BC71" s="694">
        <v>0</v>
      </c>
      <c r="BD71" s="695">
        <v>0</v>
      </c>
      <c r="BE71" s="692">
        <v>0</v>
      </c>
      <c r="BF71" s="693">
        <v>0</v>
      </c>
      <c r="BG71" s="694">
        <v>0</v>
      </c>
      <c r="BH71" s="693">
        <v>0</v>
      </c>
      <c r="BI71" s="694">
        <v>0</v>
      </c>
      <c r="BJ71" s="693">
        <v>0</v>
      </c>
      <c r="BK71" s="694">
        <v>0</v>
      </c>
      <c r="BL71" s="693">
        <v>0</v>
      </c>
      <c r="BM71" s="694">
        <v>0</v>
      </c>
      <c r="BN71" s="693">
        <v>0</v>
      </c>
      <c r="BO71" s="694">
        <v>0</v>
      </c>
      <c r="BP71" s="693">
        <v>0</v>
      </c>
      <c r="BQ71" s="694">
        <v>0</v>
      </c>
      <c r="BR71" s="693">
        <v>0</v>
      </c>
      <c r="BS71" s="694">
        <v>0</v>
      </c>
      <c r="BT71" s="693">
        <v>0</v>
      </c>
      <c r="BU71" s="694">
        <v>0</v>
      </c>
      <c r="BV71" s="693">
        <v>0</v>
      </c>
      <c r="BW71" s="694">
        <v>0</v>
      </c>
      <c r="BX71" s="693">
        <v>0</v>
      </c>
      <c r="BY71" s="694">
        <v>0</v>
      </c>
      <c r="BZ71" s="693">
        <v>0</v>
      </c>
      <c r="CA71" s="694">
        <v>0</v>
      </c>
      <c r="CB71" s="693">
        <v>0</v>
      </c>
      <c r="CC71" s="692">
        <v>0</v>
      </c>
      <c r="CD71" s="695">
        <v>0</v>
      </c>
      <c r="CE71" s="692">
        <v>0</v>
      </c>
      <c r="CF71" s="695">
        <v>0</v>
      </c>
      <c r="CG71" s="692">
        <v>0</v>
      </c>
      <c r="CH71" s="695">
        <v>0</v>
      </c>
      <c r="CI71" s="692">
        <v>0</v>
      </c>
      <c r="CJ71" s="695">
        <v>0</v>
      </c>
      <c r="CK71" s="692">
        <v>0</v>
      </c>
      <c r="CL71" s="695">
        <v>0</v>
      </c>
      <c r="CM71" s="692">
        <v>0</v>
      </c>
      <c r="CN71" s="695">
        <v>0</v>
      </c>
      <c r="CO71" s="692">
        <v>0</v>
      </c>
      <c r="CP71" s="695">
        <v>0</v>
      </c>
      <c r="CQ71" s="692">
        <v>0</v>
      </c>
      <c r="CR71" s="693">
        <v>0</v>
      </c>
      <c r="CS71" s="692">
        <v>0</v>
      </c>
      <c r="CT71" s="693">
        <v>0</v>
      </c>
      <c r="CU71" s="694">
        <v>0</v>
      </c>
      <c r="CV71" s="693">
        <v>0</v>
      </c>
    </row>
    <row r="72" spans="1:100">
      <c r="A72" s="460">
        <v>70</v>
      </c>
      <c r="B72" s="580">
        <v>0</v>
      </c>
      <c r="C72" s="580">
        <v>0</v>
      </c>
      <c r="D72" s="580">
        <v>0</v>
      </c>
      <c r="E72" s="580">
        <v>0</v>
      </c>
      <c r="F72" s="580">
        <f t="shared" si="21"/>
        <v>1.2500000000000001E-2</v>
      </c>
      <c r="G72" s="580">
        <v>0.02</v>
      </c>
      <c r="H72" s="580">
        <v>0</v>
      </c>
      <c r="I72" s="580">
        <v>0</v>
      </c>
      <c r="J72" s="580">
        <v>0</v>
      </c>
      <c r="K72" s="580">
        <v>0</v>
      </c>
      <c r="L72" s="580">
        <v>0</v>
      </c>
      <c r="M72" s="580">
        <v>0</v>
      </c>
      <c r="N72" s="580">
        <v>0</v>
      </c>
      <c r="O72" s="580">
        <v>0</v>
      </c>
      <c r="P72" s="580">
        <v>0</v>
      </c>
      <c r="Q72" s="580">
        <v>0</v>
      </c>
      <c r="R72" s="580">
        <v>0</v>
      </c>
      <c r="S72" s="580">
        <v>0</v>
      </c>
      <c r="T72" s="580">
        <v>0.02</v>
      </c>
      <c r="U72" s="580">
        <v>0</v>
      </c>
      <c r="V72" s="580">
        <v>0</v>
      </c>
      <c r="W72" s="595">
        <v>0</v>
      </c>
      <c r="X72" s="688">
        <v>0</v>
      </c>
      <c r="Y72" s="688">
        <v>0</v>
      </c>
      <c r="Z72" s="688">
        <v>0</v>
      </c>
      <c r="AA72" s="688">
        <v>0</v>
      </c>
      <c r="AB72" s="688">
        <v>0</v>
      </c>
      <c r="AC72" s="688">
        <v>0</v>
      </c>
      <c r="AD72" s="688">
        <v>0</v>
      </c>
      <c r="AE72" s="977">
        <v>0</v>
      </c>
      <c r="AF72" s="978">
        <v>0</v>
      </c>
      <c r="AG72" s="979">
        <v>0</v>
      </c>
      <c r="AH72" s="688">
        <v>0</v>
      </c>
      <c r="AI72" s="687">
        <v>0</v>
      </c>
      <c r="AJ72" s="685">
        <v>0</v>
      </c>
      <c r="AK72" s="687">
        <v>0</v>
      </c>
      <c r="AL72" s="689">
        <v>0</v>
      </c>
      <c r="AM72" s="685">
        <v>0</v>
      </c>
      <c r="AN72" s="685">
        <v>0</v>
      </c>
      <c r="AO72" s="689">
        <v>0</v>
      </c>
      <c r="AP72" s="690">
        <v>0</v>
      </c>
      <c r="AQ72" s="687">
        <f t="shared" si="23"/>
        <v>7.1428571428571426E-3</v>
      </c>
      <c r="AR72" s="685">
        <v>5.0000000000000001E-3</v>
      </c>
      <c r="AS72" s="687">
        <f t="shared" si="22"/>
        <v>1.2500000000000001E-2</v>
      </c>
      <c r="AT72" s="691">
        <v>1E-3</v>
      </c>
      <c r="AU72" s="685">
        <v>0</v>
      </c>
      <c r="AV72" s="687">
        <v>0</v>
      </c>
      <c r="AW72" s="692">
        <v>0</v>
      </c>
      <c r="AX72" s="693">
        <v>0</v>
      </c>
      <c r="AY72" s="692">
        <v>0</v>
      </c>
      <c r="AZ72" s="693">
        <v>0</v>
      </c>
      <c r="BA72" s="692">
        <v>0</v>
      </c>
      <c r="BB72" s="693">
        <v>0</v>
      </c>
      <c r="BC72" s="694">
        <v>0</v>
      </c>
      <c r="BD72" s="695">
        <v>0</v>
      </c>
      <c r="BE72" s="692">
        <v>0</v>
      </c>
      <c r="BF72" s="693">
        <v>0</v>
      </c>
      <c r="BG72" s="694">
        <v>0</v>
      </c>
      <c r="BH72" s="693">
        <v>0</v>
      </c>
      <c r="BI72" s="694">
        <v>0</v>
      </c>
      <c r="BJ72" s="693">
        <v>0</v>
      </c>
      <c r="BK72" s="694">
        <v>0</v>
      </c>
      <c r="BL72" s="693">
        <v>0</v>
      </c>
      <c r="BM72" s="694">
        <v>0</v>
      </c>
      <c r="BN72" s="693">
        <v>0</v>
      </c>
      <c r="BO72" s="694">
        <v>0</v>
      </c>
      <c r="BP72" s="693">
        <v>0</v>
      </c>
      <c r="BQ72" s="694">
        <v>0</v>
      </c>
      <c r="BR72" s="693">
        <v>0</v>
      </c>
      <c r="BS72" s="694">
        <v>0</v>
      </c>
      <c r="BT72" s="693">
        <v>0</v>
      </c>
      <c r="BU72" s="694">
        <v>0</v>
      </c>
      <c r="BV72" s="693">
        <v>0</v>
      </c>
      <c r="BW72" s="694">
        <v>0</v>
      </c>
      <c r="BX72" s="693">
        <v>0</v>
      </c>
      <c r="BY72" s="694">
        <v>0</v>
      </c>
      <c r="BZ72" s="693">
        <v>0</v>
      </c>
      <c r="CA72" s="694">
        <v>0</v>
      </c>
      <c r="CB72" s="693">
        <v>0</v>
      </c>
      <c r="CC72" s="692">
        <v>0</v>
      </c>
      <c r="CD72" s="695">
        <v>0</v>
      </c>
      <c r="CE72" s="692">
        <v>0</v>
      </c>
      <c r="CF72" s="695">
        <v>0</v>
      </c>
      <c r="CG72" s="692">
        <v>0</v>
      </c>
      <c r="CH72" s="695">
        <v>0</v>
      </c>
      <c r="CI72" s="692">
        <v>0</v>
      </c>
      <c r="CJ72" s="695">
        <v>0</v>
      </c>
      <c r="CK72" s="692">
        <v>0</v>
      </c>
      <c r="CL72" s="695">
        <v>0</v>
      </c>
      <c r="CM72" s="692">
        <v>0</v>
      </c>
      <c r="CN72" s="695">
        <v>0</v>
      </c>
      <c r="CO72" s="692">
        <v>0</v>
      </c>
      <c r="CP72" s="695">
        <v>0</v>
      </c>
      <c r="CQ72" s="692">
        <v>0</v>
      </c>
      <c r="CR72" s="693">
        <v>0</v>
      </c>
      <c r="CS72" s="692">
        <v>0</v>
      </c>
      <c r="CT72" s="693">
        <v>0</v>
      </c>
      <c r="CU72" s="694">
        <v>0</v>
      </c>
      <c r="CV72" s="693">
        <v>0</v>
      </c>
    </row>
    <row r="73" spans="1:100">
      <c r="A73" s="460">
        <v>71</v>
      </c>
      <c r="B73" s="580">
        <v>0</v>
      </c>
      <c r="C73" s="580">
        <v>0</v>
      </c>
      <c r="D73" s="580">
        <v>0</v>
      </c>
      <c r="E73" s="580">
        <v>0</v>
      </c>
      <c r="F73" s="580">
        <f t="shared" si="21"/>
        <v>1.2500000000000001E-2</v>
      </c>
      <c r="G73" s="580">
        <v>0.02</v>
      </c>
      <c r="H73" s="580">
        <v>0</v>
      </c>
      <c r="I73" s="580">
        <v>0</v>
      </c>
      <c r="J73" s="580">
        <v>0</v>
      </c>
      <c r="K73" s="580">
        <v>0</v>
      </c>
      <c r="L73" s="580">
        <v>0</v>
      </c>
      <c r="M73" s="580">
        <v>0</v>
      </c>
      <c r="N73" s="580">
        <v>0</v>
      </c>
      <c r="O73" s="580">
        <v>0</v>
      </c>
      <c r="P73" s="580">
        <v>0</v>
      </c>
      <c r="Q73" s="580">
        <v>0</v>
      </c>
      <c r="R73" s="580">
        <v>0</v>
      </c>
      <c r="S73" s="580">
        <v>0</v>
      </c>
      <c r="T73" s="580">
        <v>0.02</v>
      </c>
      <c r="U73" s="580">
        <v>0</v>
      </c>
      <c r="V73" s="580">
        <v>0</v>
      </c>
      <c r="W73" s="595">
        <v>0</v>
      </c>
      <c r="X73" s="688">
        <v>0</v>
      </c>
      <c r="Y73" s="688">
        <v>0</v>
      </c>
      <c r="Z73" s="688">
        <v>0</v>
      </c>
      <c r="AA73" s="688">
        <v>0</v>
      </c>
      <c r="AB73" s="688">
        <v>0</v>
      </c>
      <c r="AC73" s="688">
        <v>0</v>
      </c>
      <c r="AD73" s="688">
        <v>0</v>
      </c>
      <c r="AE73" s="977">
        <v>0</v>
      </c>
      <c r="AF73" s="978">
        <v>0</v>
      </c>
      <c r="AG73" s="979">
        <v>0</v>
      </c>
      <c r="AH73" s="688">
        <v>0</v>
      </c>
      <c r="AI73" s="687">
        <v>0</v>
      </c>
      <c r="AJ73" s="685">
        <v>0</v>
      </c>
      <c r="AK73" s="687">
        <v>0</v>
      </c>
      <c r="AL73" s="689">
        <v>0</v>
      </c>
      <c r="AM73" s="685">
        <v>0</v>
      </c>
      <c r="AN73" s="685">
        <v>0</v>
      </c>
      <c r="AO73" s="689">
        <v>0</v>
      </c>
      <c r="AP73" s="690">
        <v>0</v>
      </c>
      <c r="AQ73" s="687">
        <f t="shared" si="23"/>
        <v>7.1428571428571426E-3</v>
      </c>
      <c r="AR73" s="685">
        <v>5.0000000000000001E-3</v>
      </c>
      <c r="AS73" s="687">
        <f t="shared" si="22"/>
        <v>1.2500000000000001E-2</v>
      </c>
      <c r="AT73" s="691">
        <v>1E-3</v>
      </c>
      <c r="AU73" s="685">
        <v>0</v>
      </c>
      <c r="AV73" s="687">
        <v>0</v>
      </c>
      <c r="AW73" s="692">
        <v>0</v>
      </c>
      <c r="AX73" s="693">
        <v>0</v>
      </c>
      <c r="AY73" s="692">
        <v>0</v>
      </c>
      <c r="AZ73" s="693">
        <v>0</v>
      </c>
      <c r="BA73" s="692">
        <v>0</v>
      </c>
      <c r="BB73" s="693">
        <v>0</v>
      </c>
      <c r="BC73" s="694">
        <v>0</v>
      </c>
      <c r="BD73" s="695">
        <v>0</v>
      </c>
      <c r="BE73" s="692">
        <v>0</v>
      </c>
      <c r="BF73" s="693">
        <v>0</v>
      </c>
      <c r="BG73" s="694">
        <v>0</v>
      </c>
      <c r="BH73" s="693">
        <v>0</v>
      </c>
      <c r="BI73" s="694">
        <v>0</v>
      </c>
      <c r="BJ73" s="693">
        <v>0</v>
      </c>
      <c r="BK73" s="694">
        <v>0</v>
      </c>
      <c r="BL73" s="693">
        <v>0</v>
      </c>
      <c r="BM73" s="694">
        <v>0</v>
      </c>
      <c r="BN73" s="693">
        <v>0</v>
      </c>
      <c r="BO73" s="694">
        <v>0</v>
      </c>
      <c r="BP73" s="693">
        <v>0</v>
      </c>
      <c r="BQ73" s="694">
        <v>0</v>
      </c>
      <c r="BR73" s="693">
        <v>0</v>
      </c>
      <c r="BS73" s="694">
        <v>0</v>
      </c>
      <c r="BT73" s="693">
        <v>0</v>
      </c>
      <c r="BU73" s="694">
        <v>0</v>
      </c>
      <c r="BV73" s="693">
        <v>0</v>
      </c>
      <c r="BW73" s="694">
        <v>0</v>
      </c>
      <c r="BX73" s="693">
        <v>0</v>
      </c>
      <c r="BY73" s="694">
        <v>0</v>
      </c>
      <c r="BZ73" s="693">
        <v>0</v>
      </c>
      <c r="CA73" s="694">
        <v>0</v>
      </c>
      <c r="CB73" s="693">
        <v>0</v>
      </c>
      <c r="CC73" s="692">
        <v>0</v>
      </c>
      <c r="CD73" s="695">
        <v>0</v>
      </c>
      <c r="CE73" s="692">
        <v>0</v>
      </c>
      <c r="CF73" s="695">
        <v>0</v>
      </c>
      <c r="CG73" s="692">
        <v>0</v>
      </c>
      <c r="CH73" s="695">
        <v>0</v>
      </c>
      <c r="CI73" s="692">
        <v>0</v>
      </c>
      <c r="CJ73" s="695">
        <v>0</v>
      </c>
      <c r="CK73" s="692">
        <v>0</v>
      </c>
      <c r="CL73" s="695">
        <v>0</v>
      </c>
      <c r="CM73" s="692">
        <v>0</v>
      </c>
      <c r="CN73" s="695">
        <v>0</v>
      </c>
      <c r="CO73" s="692">
        <v>0</v>
      </c>
      <c r="CP73" s="695">
        <v>0</v>
      </c>
      <c r="CQ73" s="692">
        <v>0</v>
      </c>
      <c r="CR73" s="693">
        <v>0</v>
      </c>
      <c r="CS73" s="692">
        <v>0</v>
      </c>
      <c r="CT73" s="693">
        <v>0</v>
      </c>
      <c r="CU73" s="694">
        <v>0</v>
      </c>
      <c r="CV73" s="693">
        <v>0</v>
      </c>
    </row>
    <row r="74" spans="1:100">
      <c r="A74" s="460">
        <v>72</v>
      </c>
      <c r="B74" s="580">
        <v>0</v>
      </c>
      <c r="C74" s="580">
        <v>0</v>
      </c>
      <c r="D74" s="580">
        <v>0</v>
      </c>
      <c r="E74" s="580">
        <v>0</v>
      </c>
      <c r="F74" s="580">
        <f t="shared" si="21"/>
        <v>1.2500000000000001E-2</v>
      </c>
      <c r="G74" s="580">
        <v>0.02</v>
      </c>
      <c r="H74" s="580">
        <v>0</v>
      </c>
      <c r="I74" s="580">
        <v>0</v>
      </c>
      <c r="J74" s="580">
        <v>0</v>
      </c>
      <c r="K74" s="580">
        <v>0</v>
      </c>
      <c r="L74" s="580">
        <v>0</v>
      </c>
      <c r="M74" s="580">
        <v>0</v>
      </c>
      <c r="N74" s="580">
        <v>0</v>
      </c>
      <c r="O74" s="580">
        <v>0</v>
      </c>
      <c r="P74" s="580">
        <v>0</v>
      </c>
      <c r="Q74" s="580">
        <v>0</v>
      </c>
      <c r="R74" s="580">
        <v>0</v>
      </c>
      <c r="S74" s="580">
        <v>0</v>
      </c>
      <c r="T74" s="580">
        <v>0.02</v>
      </c>
      <c r="U74" s="580">
        <v>0</v>
      </c>
      <c r="V74" s="580">
        <v>0</v>
      </c>
      <c r="W74" s="595">
        <v>0</v>
      </c>
      <c r="X74" s="688">
        <v>0</v>
      </c>
      <c r="Y74" s="688">
        <v>0</v>
      </c>
      <c r="Z74" s="688">
        <v>0</v>
      </c>
      <c r="AA74" s="688">
        <v>0</v>
      </c>
      <c r="AB74" s="688">
        <v>0</v>
      </c>
      <c r="AC74" s="688">
        <v>0</v>
      </c>
      <c r="AD74" s="688">
        <v>0</v>
      </c>
      <c r="AE74" s="977">
        <v>0</v>
      </c>
      <c r="AF74" s="978">
        <v>0</v>
      </c>
      <c r="AG74" s="979">
        <v>0</v>
      </c>
      <c r="AH74" s="688">
        <v>0</v>
      </c>
      <c r="AI74" s="687">
        <v>0</v>
      </c>
      <c r="AJ74" s="685">
        <v>0</v>
      </c>
      <c r="AK74" s="687">
        <v>0</v>
      </c>
      <c r="AL74" s="689">
        <v>0</v>
      </c>
      <c r="AM74" s="685">
        <v>0</v>
      </c>
      <c r="AN74" s="685">
        <v>0</v>
      </c>
      <c r="AO74" s="689">
        <v>0</v>
      </c>
      <c r="AP74" s="690">
        <v>0</v>
      </c>
      <c r="AQ74" s="687">
        <f t="shared" si="23"/>
        <v>7.1428571428571426E-3</v>
      </c>
      <c r="AR74" s="685">
        <v>5.0000000000000001E-3</v>
      </c>
      <c r="AS74" s="687">
        <f t="shared" si="22"/>
        <v>1.2500000000000001E-2</v>
      </c>
      <c r="AT74" s="691">
        <v>1E-3</v>
      </c>
      <c r="AU74" s="685">
        <v>0</v>
      </c>
      <c r="AV74" s="687">
        <v>0</v>
      </c>
      <c r="AW74" s="692">
        <v>0</v>
      </c>
      <c r="AX74" s="693">
        <v>0</v>
      </c>
      <c r="AY74" s="692">
        <v>0</v>
      </c>
      <c r="AZ74" s="693">
        <v>0</v>
      </c>
      <c r="BA74" s="692">
        <v>0</v>
      </c>
      <c r="BB74" s="693">
        <v>0</v>
      </c>
      <c r="BC74" s="694">
        <v>0</v>
      </c>
      <c r="BD74" s="695">
        <v>0</v>
      </c>
      <c r="BE74" s="692">
        <v>0</v>
      </c>
      <c r="BF74" s="693">
        <v>0</v>
      </c>
      <c r="BG74" s="694">
        <v>0</v>
      </c>
      <c r="BH74" s="693">
        <v>0</v>
      </c>
      <c r="BI74" s="694">
        <v>0</v>
      </c>
      <c r="BJ74" s="693">
        <v>0</v>
      </c>
      <c r="BK74" s="694">
        <v>0</v>
      </c>
      <c r="BL74" s="693">
        <v>0</v>
      </c>
      <c r="BM74" s="694">
        <v>0</v>
      </c>
      <c r="BN74" s="693">
        <v>0</v>
      </c>
      <c r="BO74" s="694">
        <v>0</v>
      </c>
      <c r="BP74" s="693">
        <v>0</v>
      </c>
      <c r="BQ74" s="694">
        <v>0</v>
      </c>
      <c r="BR74" s="693">
        <v>0</v>
      </c>
      <c r="BS74" s="694">
        <v>0</v>
      </c>
      <c r="BT74" s="693">
        <v>0</v>
      </c>
      <c r="BU74" s="694">
        <v>0</v>
      </c>
      <c r="BV74" s="693">
        <v>0</v>
      </c>
      <c r="BW74" s="694">
        <v>0</v>
      </c>
      <c r="BX74" s="693">
        <v>0</v>
      </c>
      <c r="BY74" s="694">
        <v>0</v>
      </c>
      <c r="BZ74" s="693">
        <v>0</v>
      </c>
      <c r="CA74" s="694">
        <v>0</v>
      </c>
      <c r="CB74" s="693">
        <v>0</v>
      </c>
      <c r="CC74" s="692">
        <v>0</v>
      </c>
      <c r="CD74" s="695">
        <v>0</v>
      </c>
      <c r="CE74" s="692">
        <v>0</v>
      </c>
      <c r="CF74" s="695">
        <v>0</v>
      </c>
      <c r="CG74" s="692">
        <v>0</v>
      </c>
      <c r="CH74" s="695">
        <v>0</v>
      </c>
      <c r="CI74" s="692">
        <v>0</v>
      </c>
      <c r="CJ74" s="695">
        <v>0</v>
      </c>
      <c r="CK74" s="692">
        <v>0</v>
      </c>
      <c r="CL74" s="695">
        <v>0</v>
      </c>
      <c r="CM74" s="692">
        <v>0</v>
      </c>
      <c r="CN74" s="695">
        <v>0</v>
      </c>
      <c r="CO74" s="692">
        <v>0</v>
      </c>
      <c r="CP74" s="695">
        <v>0</v>
      </c>
      <c r="CQ74" s="692">
        <v>0</v>
      </c>
      <c r="CR74" s="693">
        <v>0</v>
      </c>
      <c r="CS74" s="692">
        <v>0</v>
      </c>
      <c r="CT74" s="693">
        <v>0</v>
      </c>
      <c r="CU74" s="694">
        <v>0</v>
      </c>
      <c r="CV74" s="693">
        <v>0</v>
      </c>
    </row>
    <row r="75" spans="1:100">
      <c r="A75" s="460">
        <v>73</v>
      </c>
      <c r="B75" s="580">
        <v>0</v>
      </c>
      <c r="C75" s="580">
        <v>0</v>
      </c>
      <c r="D75" s="580">
        <v>0</v>
      </c>
      <c r="E75" s="580">
        <v>0</v>
      </c>
      <c r="F75" s="580">
        <f t="shared" si="21"/>
        <v>1.2500000000000001E-2</v>
      </c>
      <c r="G75" s="580">
        <v>0.02</v>
      </c>
      <c r="H75" s="580">
        <v>0</v>
      </c>
      <c r="I75" s="580">
        <v>0</v>
      </c>
      <c r="J75" s="580">
        <v>0</v>
      </c>
      <c r="K75" s="580">
        <v>0</v>
      </c>
      <c r="L75" s="580">
        <v>0</v>
      </c>
      <c r="M75" s="580">
        <v>0</v>
      </c>
      <c r="N75" s="580">
        <v>0</v>
      </c>
      <c r="O75" s="580">
        <v>0</v>
      </c>
      <c r="P75" s="580">
        <v>0</v>
      </c>
      <c r="Q75" s="580">
        <v>0</v>
      </c>
      <c r="R75" s="580">
        <v>0</v>
      </c>
      <c r="S75" s="580">
        <v>0</v>
      </c>
      <c r="T75" s="580">
        <v>0.02</v>
      </c>
      <c r="U75" s="580">
        <v>0</v>
      </c>
      <c r="V75" s="580">
        <v>0</v>
      </c>
      <c r="W75" s="595">
        <v>0</v>
      </c>
      <c r="X75" s="688">
        <v>0</v>
      </c>
      <c r="Y75" s="688">
        <v>0</v>
      </c>
      <c r="Z75" s="688">
        <v>0</v>
      </c>
      <c r="AA75" s="688">
        <v>0</v>
      </c>
      <c r="AB75" s="688">
        <v>0</v>
      </c>
      <c r="AC75" s="688">
        <v>0</v>
      </c>
      <c r="AD75" s="688">
        <v>0</v>
      </c>
      <c r="AE75" s="977">
        <v>0</v>
      </c>
      <c r="AF75" s="978">
        <v>0</v>
      </c>
      <c r="AG75" s="979">
        <v>0</v>
      </c>
      <c r="AH75" s="688">
        <v>0</v>
      </c>
      <c r="AI75" s="687">
        <v>0</v>
      </c>
      <c r="AJ75" s="685">
        <v>0</v>
      </c>
      <c r="AK75" s="687">
        <v>0</v>
      </c>
      <c r="AL75" s="689">
        <v>0</v>
      </c>
      <c r="AM75" s="685">
        <v>0</v>
      </c>
      <c r="AN75" s="685">
        <v>0</v>
      </c>
      <c r="AO75" s="689">
        <v>0</v>
      </c>
      <c r="AP75" s="690">
        <v>0</v>
      </c>
      <c r="AQ75" s="687">
        <f t="shared" si="23"/>
        <v>7.1428571428571426E-3</v>
      </c>
      <c r="AR75" s="685">
        <v>5.0000000000000001E-3</v>
      </c>
      <c r="AS75" s="687">
        <f t="shared" si="22"/>
        <v>1.2500000000000001E-2</v>
      </c>
      <c r="AT75" s="691">
        <v>1E-3</v>
      </c>
      <c r="AU75" s="685">
        <v>0</v>
      </c>
      <c r="AV75" s="687">
        <v>0</v>
      </c>
      <c r="AW75" s="692">
        <v>0</v>
      </c>
      <c r="AX75" s="693">
        <v>0</v>
      </c>
      <c r="AY75" s="692">
        <v>0</v>
      </c>
      <c r="AZ75" s="693">
        <v>0</v>
      </c>
      <c r="BA75" s="692">
        <v>0</v>
      </c>
      <c r="BB75" s="693">
        <v>0</v>
      </c>
      <c r="BC75" s="694">
        <v>0</v>
      </c>
      <c r="BD75" s="695">
        <v>0</v>
      </c>
      <c r="BE75" s="692">
        <v>0</v>
      </c>
      <c r="BF75" s="693">
        <v>0</v>
      </c>
      <c r="BG75" s="694">
        <v>0</v>
      </c>
      <c r="BH75" s="693">
        <v>0</v>
      </c>
      <c r="BI75" s="694">
        <v>0</v>
      </c>
      <c r="BJ75" s="693">
        <v>0</v>
      </c>
      <c r="BK75" s="694">
        <v>0</v>
      </c>
      <c r="BL75" s="693">
        <v>0</v>
      </c>
      <c r="BM75" s="694">
        <v>0</v>
      </c>
      <c r="BN75" s="693">
        <v>0</v>
      </c>
      <c r="BO75" s="694">
        <v>0</v>
      </c>
      <c r="BP75" s="693">
        <v>0</v>
      </c>
      <c r="BQ75" s="694">
        <v>0</v>
      </c>
      <c r="BR75" s="693">
        <v>0</v>
      </c>
      <c r="BS75" s="694">
        <v>0</v>
      </c>
      <c r="BT75" s="693">
        <v>0</v>
      </c>
      <c r="BU75" s="694">
        <v>0</v>
      </c>
      <c r="BV75" s="693">
        <v>0</v>
      </c>
      <c r="BW75" s="694">
        <v>0</v>
      </c>
      <c r="BX75" s="693">
        <v>0</v>
      </c>
      <c r="BY75" s="694">
        <v>0</v>
      </c>
      <c r="BZ75" s="693">
        <v>0</v>
      </c>
      <c r="CA75" s="694">
        <v>0</v>
      </c>
      <c r="CB75" s="693">
        <v>0</v>
      </c>
      <c r="CC75" s="692">
        <v>0</v>
      </c>
      <c r="CD75" s="695">
        <v>0</v>
      </c>
      <c r="CE75" s="692">
        <v>0</v>
      </c>
      <c r="CF75" s="695">
        <v>0</v>
      </c>
      <c r="CG75" s="692">
        <v>0</v>
      </c>
      <c r="CH75" s="695">
        <v>0</v>
      </c>
      <c r="CI75" s="692">
        <v>0</v>
      </c>
      <c r="CJ75" s="695">
        <v>0</v>
      </c>
      <c r="CK75" s="692">
        <v>0</v>
      </c>
      <c r="CL75" s="695">
        <v>0</v>
      </c>
      <c r="CM75" s="692">
        <v>0</v>
      </c>
      <c r="CN75" s="695">
        <v>0</v>
      </c>
      <c r="CO75" s="692">
        <v>0</v>
      </c>
      <c r="CP75" s="695">
        <v>0</v>
      </c>
      <c r="CQ75" s="692">
        <v>0</v>
      </c>
      <c r="CR75" s="693">
        <v>0</v>
      </c>
      <c r="CS75" s="692">
        <v>0</v>
      </c>
      <c r="CT75" s="693">
        <v>0</v>
      </c>
      <c r="CU75" s="694">
        <v>0</v>
      </c>
      <c r="CV75" s="693">
        <v>0</v>
      </c>
    </row>
    <row r="76" spans="1:100">
      <c r="A76" s="460">
        <v>74</v>
      </c>
      <c r="B76" s="580">
        <v>0</v>
      </c>
      <c r="C76" s="580">
        <v>0</v>
      </c>
      <c r="D76" s="580">
        <v>0</v>
      </c>
      <c r="E76" s="580">
        <v>0</v>
      </c>
      <c r="F76" s="580">
        <f t="shared" si="21"/>
        <v>1.2500000000000001E-2</v>
      </c>
      <c r="G76" s="580">
        <v>0.02</v>
      </c>
      <c r="H76" s="580">
        <v>0</v>
      </c>
      <c r="I76" s="580">
        <v>0</v>
      </c>
      <c r="J76" s="580">
        <v>0</v>
      </c>
      <c r="K76" s="580">
        <v>0</v>
      </c>
      <c r="L76" s="580">
        <v>0</v>
      </c>
      <c r="M76" s="580">
        <v>0</v>
      </c>
      <c r="N76" s="580">
        <v>0</v>
      </c>
      <c r="O76" s="580">
        <v>0</v>
      </c>
      <c r="P76" s="580">
        <v>0</v>
      </c>
      <c r="Q76" s="580">
        <v>0</v>
      </c>
      <c r="R76" s="580">
        <v>0</v>
      </c>
      <c r="S76" s="580">
        <v>0</v>
      </c>
      <c r="T76" s="580">
        <v>0.02</v>
      </c>
      <c r="U76" s="580">
        <v>0</v>
      </c>
      <c r="V76" s="580">
        <v>0</v>
      </c>
      <c r="W76" s="595">
        <v>0</v>
      </c>
      <c r="X76" s="688">
        <v>0</v>
      </c>
      <c r="Y76" s="688">
        <v>0</v>
      </c>
      <c r="Z76" s="688">
        <v>0</v>
      </c>
      <c r="AA76" s="688">
        <v>0</v>
      </c>
      <c r="AB76" s="688">
        <v>0</v>
      </c>
      <c r="AC76" s="688">
        <v>0</v>
      </c>
      <c r="AD76" s="688">
        <v>0</v>
      </c>
      <c r="AE76" s="977">
        <v>0</v>
      </c>
      <c r="AF76" s="978">
        <v>0</v>
      </c>
      <c r="AG76" s="979">
        <v>0</v>
      </c>
      <c r="AH76" s="688">
        <v>0</v>
      </c>
      <c r="AI76" s="687">
        <v>0</v>
      </c>
      <c r="AJ76" s="685">
        <v>0</v>
      </c>
      <c r="AK76" s="687">
        <v>0</v>
      </c>
      <c r="AL76" s="689">
        <v>0</v>
      </c>
      <c r="AM76" s="685">
        <v>0</v>
      </c>
      <c r="AN76" s="685">
        <v>0</v>
      </c>
      <c r="AO76" s="689">
        <v>0</v>
      </c>
      <c r="AP76" s="690">
        <v>0</v>
      </c>
      <c r="AQ76" s="687">
        <f t="shared" si="23"/>
        <v>7.1428571428571426E-3</v>
      </c>
      <c r="AR76" s="685">
        <v>5.0000000000000001E-3</v>
      </c>
      <c r="AS76" s="687">
        <f t="shared" si="22"/>
        <v>1.2500000000000001E-2</v>
      </c>
      <c r="AT76" s="691">
        <v>1E-3</v>
      </c>
      <c r="AU76" s="685">
        <v>0</v>
      </c>
      <c r="AV76" s="687">
        <v>0</v>
      </c>
      <c r="AW76" s="692">
        <v>0</v>
      </c>
      <c r="AX76" s="693">
        <v>0</v>
      </c>
      <c r="AY76" s="692">
        <v>0</v>
      </c>
      <c r="AZ76" s="693">
        <v>0</v>
      </c>
      <c r="BA76" s="692">
        <v>0</v>
      </c>
      <c r="BB76" s="693">
        <v>0</v>
      </c>
      <c r="BC76" s="694">
        <v>0</v>
      </c>
      <c r="BD76" s="695">
        <v>0</v>
      </c>
      <c r="BE76" s="692">
        <v>0</v>
      </c>
      <c r="BF76" s="693">
        <v>0</v>
      </c>
      <c r="BG76" s="694">
        <v>0</v>
      </c>
      <c r="BH76" s="693">
        <v>0</v>
      </c>
      <c r="BI76" s="694">
        <v>0</v>
      </c>
      <c r="BJ76" s="693">
        <v>0</v>
      </c>
      <c r="BK76" s="694">
        <v>0</v>
      </c>
      <c r="BL76" s="693">
        <v>0</v>
      </c>
      <c r="BM76" s="694">
        <v>0</v>
      </c>
      <c r="BN76" s="693">
        <v>0</v>
      </c>
      <c r="BO76" s="694">
        <v>0</v>
      </c>
      <c r="BP76" s="693">
        <v>0</v>
      </c>
      <c r="BQ76" s="694">
        <v>0</v>
      </c>
      <c r="BR76" s="693">
        <v>0</v>
      </c>
      <c r="BS76" s="694">
        <v>0</v>
      </c>
      <c r="BT76" s="693">
        <v>0</v>
      </c>
      <c r="BU76" s="694">
        <v>0</v>
      </c>
      <c r="BV76" s="693">
        <v>0</v>
      </c>
      <c r="BW76" s="694">
        <v>0</v>
      </c>
      <c r="BX76" s="693">
        <v>0</v>
      </c>
      <c r="BY76" s="694">
        <v>0</v>
      </c>
      <c r="BZ76" s="693">
        <v>0</v>
      </c>
      <c r="CA76" s="694">
        <v>0</v>
      </c>
      <c r="CB76" s="693">
        <v>0</v>
      </c>
      <c r="CC76" s="692">
        <v>0</v>
      </c>
      <c r="CD76" s="695">
        <v>0</v>
      </c>
      <c r="CE76" s="692">
        <v>0</v>
      </c>
      <c r="CF76" s="695">
        <v>0</v>
      </c>
      <c r="CG76" s="692">
        <v>0</v>
      </c>
      <c r="CH76" s="695">
        <v>0</v>
      </c>
      <c r="CI76" s="692">
        <v>0</v>
      </c>
      <c r="CJ76" s="695">
        <v>0</v>
      </c>
      <c r="CK76" s="692">
        <v>0</v>
      </c>
      <c r="CL76" s="695">
        <v>0</v>
      </c>
      <c r="CM76" s="692">
        <v>0</v>
      </c>
      <c r="CN76" s="695">
        <v>0</v>
      </c>
      <c r="CO76" s="692">
        <v>0</v>
      </c>
      <c r="CP76" s="695">
        <v>0</v>
      </c>
      <c r="CQ76" s="692">
        <v>0</v>
      </c>
      <c r="CR76" s="693">
        <v>0</v>
      </c>
      <c r="CS76" s="692">
        <v>0</v>
      </c>
      <c r="CT76" s="693">
        <v>0</v>
      </c>
      <c r="CU76" s="694">
        <v>0</v>
      </c>
      <c r="CV76" s="693">
        <v>0</v>
      </c>
    </row>
    <row r="77" spans="1:100">
      <c r="A77" s="460">
        <v>75</v>
      </c>
      <c r="B77" s="580">
        <v>0</v>
      </c>
      <c r="C77" s="580">
        <v>0</v>
      </c>
      <c r="D77" s="580">
        <v>0</v>
      </c>
      <c r="E77" s="580">
        <v>0</v>
      </c>
      <c r="F77" s="580">
        <f t="shared" si="21"/>
        <v>1.2500000000000001E-2</v>
      </c>
      <c r="G77" s="580">
        <v>0.02</v>
      </c>
      <c r="H77" s="580">
        <v>0</v>
      </c>
      <c r="I77" s="580">
        <v>0</v>
      </c>
      <c r="J77" s="580">
        <v>0</v>
      </c>
      <c r="K77" s="580">
        <v>0</v>
      </c>
      <c r="L77" s="580">
        <v>0</v>
      </c>
      <c r="M77" s="580">
        <v>0</v>
      </c>
      <c r="N77" s="580">
        <v>0</v>
      </c>
      <c r="O77" s="580">
        <v>0</v>
      </c>
      <c r="P77" s="580">
        <v>0</v>
      </c>
      <c r="Q77" s="580">
        <v>0</v>
      </c>
      <c r="R77" s="580">
        <v>0</v>
      </c>
      <c r="S77" s="580">
        <v>0</v>
      </c>
      <c r="T77" s="580">
        <v>0.02</v>
      </c>
      <c r="U77" s="580">
        <v>0</v>
      </c>
      <c r="V77" s="580">
        <v>0</v>
      </c>
      <c r="W77" s="595">
        <v>0</v>
      </c>
      <c r="X77" s="688">
        <v>0</v>
      </c>
      <c r="Y77" s="688">
        <v>0</v>
      </c>
      <c r="Z77" s="688">
        <v>0</v>
      </c>
      <c r="AA77" s="688">
        <v>0</v>
      </c>
      <c r="AB77" s="688">
        <v>0</v>
      </c>
      <c r="AC77" s="688">
        <v>0</v>
      </c>
      <c r="AD77" s="688">
        <v>0</v>
      </c>
      <c r="AE77" s="977">
        <v>0</v>
      </c>
      <c r="AF77" s="978">
        <v>0</v>
      </c>
      <c r="AG77" s="979">
        <v>0</v>
      </c>
      <c r="AH77" s="688">
        <v>0</v>
      </c>
      <c r="AI77" s="687">
        <v>0</v>
      </c>
      <c r="AJ77" s="685">
        <v>0</v>
      </c>
      <c r="AK77" s="687">
        <v>0</v>
      </c>
      <c r="AL77" s="689">
        <v>0</v>
      </c>
      <c r="AM77" s="685">
        <v>0</v>
      </c>
      <c r="AN77" s="685">
        <v>0</v>
      </c>
      <c r="AO77" s="689">
        <v>0</v>
      </c>
      <c r="AP77" s="690">
        <v>0</v>
      </c>
      <c r="AQ77" s="687">
        <f t="shared" si="23"/>
        <v>7.1428571428571426E-3</v>
      </c>
      <c r="AR77" s="685">
        <v>5.0000000000000001E-3</v>
      </c>
      <c r="AS77" s="687">
        <f t="shared" si="22"/>
        <v>1.2500000000000001E-2</v>
      </c>
      <c r="AT77" s="691">
        <v>1E-3</v>
      </c>
      <c r="AU77" s="685">
        <v>0</v>
      </c>
      <c r="AV77" s="687">
        <v>0</v>
      </c>
      <c r="AW77" s="692">
        <v>0</v>
      </c>
      <c r="AX77" s="693">
        <v>0</v>
      </c>
      <c r="AY77" s="692">
        <v>0</v>
      </c>
      <c r="AZ77" s="693">
        <v>0</v>
      </c>
      <c r="BA77" s="692">
        <v>0</v>
      </c>
      <c r="BB77" s="693">
        <v>0</v>
      </c>
      <c r="BC77" s="694">
        <v>0</v>
      </c>
      <c r="BD77" s="695">
        <v>0</v>
      </c>
      <c r="BE77" s="692">
        <v>0</v>
      </c>
      <c r="BF77" s="693">
        <v>0</v>
      </c>
      <c r="BG77" s="694">
        <v>0</v>
      </c>
      <c r="BH77" s="693">
        <v>0</v>
      </c>
      <c r="BI77" s="694">
        <v>0</v>
      </c>
      <c r="BJ77" s="693">
        <v>0</v>
      </c>
      <c r="BK77" s="694">
        <v>0</v>
      </c>
      <c r="BL77" s="693">
        <v>0</v>
      </c>
      <c r="BM77" s="694">
        <v>0</v>
      </c>
      <c r="BN77" s="693">
        <v>0</v>
      </c>
      <c r="BO77" s="694">
        <v>0</v>
      </c>
      <c r="BP77" s="693">
        <v>0</v>
      </c>
      <c r="BQ77" s="694">
        <v>0</v>
      </c>
      <c r="BR77" s="693">
        <v>0</v>
      </c>
      <c r="BS77" s="694">
        <v>0</v>
      </c>
      <c r="BT77" s="693">
        <v>0</v>
      </c>
      <c r="BU77" s="694">
        <v>0</v>
      </c>
      <c r="BV77" s="693">
        <v>0</v>
      </c>
      <c r="BW77" s="694">
        <v>0</v>
      </c>
      <c r="BX77" s="693">
        <v>0</v>
      </c>
      <c r="BY77" s="694">
        <v>0</v>
      </c>
      <c r="BZ77" s="693">
        <v>0</v>
      </c>
      <c r="CA77" s="694">
        <v>0</v>
      </c>
      <c r="CB77" s="693">
        <v>0</v>
      </c>
      <c r="CC77" s="692">
        <v>0</v>
      </c>
      <c r="CD77" s="695">
        <v>0</v>
      </c>
      <c r="CE77" s="692">
        <v>0</v>
      </c>
      <c r="CF77" s="695">
        <v>0</v>
      </c>
      <c r="CG77" s="692">
        <v>0</v>
      </c>
      <c r="CH77" s="695">
        <v>0</v>
      </c>
      <c r="CI77" s="692">
        <v>0</v>
      </c>
      <c r="CJ77" s="695">
        <v>0</v>
      </c>
      <c r="CK77" s="692">
        <v>0</v>
      </c>
      <c r="CL77" s="695">
        <v>0</v>
      </c>
      <c r="CM77" s="692">
        <v>0</v>
      </c>
      <c r="CN77" s="695">
        <v>0</v>
      </c>
      <c r="CO77" s="692">
        <v>0</v>
      </c>
      <c r="CP77" s="695">
        <v>0</v>
      </c>
      <c r="CQ77" s="692">
        <v>0</v>
      </c>
      <c r="CR77" s="693">
        <v>0</v>
      </c>
      <c r="CS77" s="692">
        <v>0</v>
      </c>
      <c r="CT77" s="693">
        <v>0</v>
      </c>
      <c r="CU77" s="694">
        <v>0</v>
      </c>
      <c r="CV77" s="693">
        <v>0</v>
      </c>
    </row>
    <row r="78" spans="1:100">
      <c r="A78" s="460">
        <v>76</v>
      </c>
      <c r="B78" s="580">
        <v>0</v>
      </c>
      <c r="C78" s="580">
        <v>0</v>
      </c>
      <c r="D78" s="580">
        <v>0</v>
      </c>
      <c r="E78" s="580">
        <v>0</v>
      </c>
      <c r="F78" s="580">
        <f t="shared" si="21"/>
        <v>1.2500000000000001E-2</v>
      </c>
      <c r="G78" s="580">
        <v>0.02</v>
      </c>
      <c r="H78" s="580">
        <v>0</v>
      </c>
      <c r="I78" s="580">
        <v>0</v>
      </c>
      <c r="J78" s="580">
        <v>0</v>
      </c>
      <c r="K78" s="580">
        <v>0</v>
      </c>
      <c r="L78" s="580">
        <v>0</v>
      </c>
      <c r="M78" s="580">
        <v>0</v>
      </c>
      <c r="N78" s="580">
        <v>0</v>
      </c>
      <c r="O78" s="580">
        <v>0</v>
      </c>
      <c r="P78" s="580">
        <v>0</v>
      </c>
      <c r="Q78" s="580">
        <v>0</v>
      </c>
      <c r="R78" s="580">
        <v>0</v>
      </c>
      <c r="S78" s="580">
        <v>0</v>
      </c>
      <c r="T78" s="580">
        <v>0.02</v>
      </c>
      <c r="U78" s="580">
        <v>0</v>
      </c>
      <c r="V78" s="580">
        <v>0</v>
      </c>
      <c r="W78" s="595">
        <v>0</v>
      </c>
      <c r="X78" s="688">
        <v>0</v>
      </c>
      <c r="Y78" s="688">
        <v>0</v>
      </c>
      <c r="Z78" s="688">
        <v>0</v>
      </c>
      <c r="AA78" s="688">
        <v>0</v>
      </c>
      <c r="AB78" s="688">
        <v>0</v>
      </c>
      <c r="AC78" s="688">
        <v>0</v>
      </c>
      <c r="AD78" s="688">
        <v>0</v>
      </c>
      <c r="AE78" s="977">
        <v>0</v>
      </c>
      <c r="AF78" s="978">
        <v>0</v>
      </c>
      <c r="AG78" s="979">
        <v>0</v>
      </c>
      <c r="AH78" s="688">
        <v>0</v>
      </c>
      <c r="AI78" s="687">
        <v>0</v>
      </c>
      <c r="AJ78" s="685">
        <v>0</v>
      </c>
      <c r="AK78" s="687">
        <v>0</v>
      </c>
      <c r="AL78" s="689">
        <v>0</v>
      </c>
      <c r="AM78" s="685">
        <v>0</v>
      </c>
      <c r="AN78" s="685">
        <v>0</v>
      </c>
      <c r="AO78" s="689">
        <v>0</v>
      </c>
      <c r="AP78" s="690">
        <v>0</v>
      </c>
      <c r="AQ78" s="687">
        <f t="shared" si="23"/>
        <v>7.1428571428571426E-3</v>
      </c>
      <c r="AR78" s="685">
        <v>5.0000000000000001E-3</v>
      </c>
      <c r="AS78" s="687">
        <f t="shared" si="22"/>
        <v>1.2500000000000001E-2</v>
      </c>
      <c r="AT78" s="691">
        <v>1E-3</v>
      </c>
      <c r="AU78" s="685">
        <v>0</v>
      </c>
      <c r="AV78" s="687">
        <v>0</v>
      </c>
      <c r="AW78" s="692">
        <v>0</v>
      </c>
      <c r="AX78" s="693">
        <v>0</v>
      </c>
      <c r="AY78" s="692">
        <v>0</v>
      </c>
      <c r="AZ78" s="693">
        <v>0</v>
      </c>
      <c r="BA78" s="692">
        <v>0</v>
      </c>
      <c r="BB78" s="693">
        <v>0</v>
      </c>
      <c r="BC78" s="694">
        <v>0</v>
      </c>
      <c r="BD78" s="695">
        <v>0</v>
      </c>
      <c r="BE78" s="692">
        <v>0</v>
      </c>
      <c r="BF78" s="693">
        <v>0</v>
      </c>
      <c r="BG78" s="694">
        <v>0</v>
      </c>
      <c r="BH78" s="693">
        <v>0</v>
      </c>
      <c r="BI78" s="694">
        <v>0</v>
      </c>
      <c r="BJ78" s="693">
        <v>0</v>
      </c>
      <c r="BK78" s="694">
        <v>0</v>
      </c>
      <c r="BL78" s="693">
        <v>0</v>
      </c>
      <c r="BM78" s="694">
        <v>0</v>
      </c>
      <c r="BN78" s="693">
        <v>0</v>
      </c>
      <c r="BO78" s="694">
        <v>0</v>
      </c>
      <c r="BP78" s="693">
        <v>0</v>
      </c>
      <c r="BQ78" s="694">
        <v>0</v>
      </c>
      <c r="BR78" s="693">
        <v>0</v>
      </c>
      <c r="BS78" s="694">
        <v>0</v>
      </c>
      <c r="BT78" s="693">
        <v>0</v>
      </c>
      <c r="BU78" s="694">
        <v>0</v>
      </c>
      <c r="BV78" s="693">
        <v>0</v>
      </c>
      <c r="BW78" s="694">
        <v>0</v>
      </c>
      <c r="BX78" s="693">
        <v>0</v>
      </c>
      <c r="BY78" s="694">
        <v>0</v>
      </c>
      <c r="BZ78" s="693">
        <v>0</v>
      </c>
      <c r="CA78" s="694">
        <v>0</v>
      </c>
      <c r="CB78" s="693">
        <v>0</v>
      </c>
      <c r="CC78" s="692">
        <v>0</v>
      </c>
      <c r="CD78" s="695">
        <v>0</v>
      </c>
      <c r="CE78" s="692">
        <v>0</v>
      </c>
      <c r="CF78" s="695">
        <v>0</v>
      </c>
      <c r="CG78" s="692">
        <v>0</v>
      </c>
      <c r="CH78" s="695">
        <v>0</v>
      </c>
      <c r="CI78" s="692">
        <v>0</v>
      </c>
      <c r="CJ78" s="695">
        <v>0</v>
      </c>
      <c r="CK78" s="692">
        <v>0</v>
      </c>
      <c r="CL78" s="695">
        <v>0</v>
      </c>
      <c r="CM78" s="692">
        <v>0</v>
      </c>
      <c r="CN78" s="695">
        <v>0</v>
      </c>
      <c r="CO78" s="692">
        <v>0</v>
      </c>
      <c r="CP78" s="695">
        <v>0</v>
      </c>
      <c r="CQ78" s="692">
        <v>0</v>
      </c>
      <c r="CR78" s="693">
        <v>0</v>
      </c>
      <c r="CS78" s="692">
        <v>0</v>
      </c>
      <c r="CT78" s="693">
        <v>0</v>
      </c>
      <c r="CU78" s="694">
        <v>0</v>
      </c>
      <c r="CV78" s="693">
        <v>0</v>
      </c>
    </row>
    <row r="79" spans="1:100">
      <c r="A79" s="460">
        <v>77</v>
      </c>
      <c r="B79" s="580">
        <v>0</v>
      </c>
      <c r="C79" s="580">
        <v>0</v>
      </c>
      <c r="D79" s="580">
        <v>0</v>
      </c>
      <c r="E79" s="580">
        <v>0</v>
      </c>
      <c r="F79" s="580">
        <f t="shared" si="21"/>
        <v>1.2500000000000001E-2</v>
      </c>
      <c r="G79" s="580">
        <v>0.02</v>
      </c>
      <c r="H79" s="580">
        <v>0</v>
      </c>
      <c r="I79" s="580">
        <v>0</v>
      </c>
      <c r="J79" s="580">
        <v>0</v>
      </c>
      <c r="K79" s="580">
        <v>0</v>
      </c>
      <c r="L79" s="580">
        <v>0</v>
      </c>
      <c r="M79" s="580">
        <v>0</v>
      </c>
      <c r="N79" s="580">
        <v>0</v>
      </c>
      <c r="O79" s="580">
        <v>0</v>
      </c>
      <c r="P79" s="580">
        <v>0</v>
      </c>
      <c r="Q79" s="580">
        <v>0</v>
      </c>
      <c r="R79" s="580">
        <v>0</v>
      </c>
      <c r="S79" s="580">
        <v>0</v>
      </c>
      <c r="T79" s="580">
        <v>0.02</v>
      </c>
      <c r="U79" s="580">
        <v>0</v>
      </c>
      <c r="V79" s="580">
        <v>0</v>
      </c>
      <c r="W79" s="595">
        <v>0</v>
      </c>
      <c r="X79" s="688">
        <v>0</v>
      </c>
      <c r="Y79" s="688">
        <v>0</v>
      </c>
      <c r="Z79" s="688">
        <v>0</v>
      </c>
      <c r="AA79" s="688">
        <v>0</v>
      </c>
      <c r="AB79" s="688">
        <v>0</v>
      </c>
      <c r="AC79" s="688">
        <v>0</v>
      </c>
      <c r="AD79" s="688">
        <v>0</v>
      </c>
      <c r="AE79" s="977">
        <v>0</v>
      </c>
      <c r="AF79" s="978">
        <v>0</v>
      </c>
      <c r="AG79" s="979">
        <v>0</v>
      </c>
      <c r="AH79" s="688">
        <v>0</v>
      </c>
      <c r="AI79" s="687">
        <v>0</v>
      </c>
      <c r="AJ79" s="685">
        <v>0</v>
      </c>
      <c r="AK79" s="687">
        <v>0</v>
      </c>
      <c r="AL79" s="689">
        <v>0</v>
      </c>
      <c r="AM79" s="685">
        <v>0</v>
      </c>
      <c r="AN79" s="685">
        <v>0</v>
      </c>
      <c r="AO79" s="689">
        <v>0</v>
      </c>
      <c r="AP79" s="690">
        <v>0</v>
      </c>
      <c r="AQ79" s="687">
        <f t="shared" si="23"/>
        <v>7.1428571428571426E-3</v>
      </c>
      <c r="AR79" s="685">
        <v>5.0000000000000001E-3</v>
      </c>
      <c r="AS79" s="687">
        <f t="shared" si="22"/>
        <v>1.2500000000000001E-2</v>
      </c>
      <c r="AT79" s="691">
        <v>1E-3</v>
      </c>
      <c r="AU79" s="685">
        <v>0</v>
      </c>
      <c r="AV79" s="687">
        <v>0</v>
      </c>
      <c r="AW79" s="692">
        <v>0</v>
      </c>
      <c r="AX79" s="693">
        <v>0</v>
      </c>
      <c r="AY79" s="692">
        <v>0</v>
      </c>
      <c r="AZ79" s="693">
        <v>0</v>
      </c>
      <c r="BA79" s="692">
        <v>0</v>
      </c>
      <c r="BB79" s="693">
        <v>0</v>
      </c>
      <c r="BC79" s="694">
        <v>0</v>
      </c>
      <c r="BD79" s="695">
        <v>0</v>
      </c>
      <c r="BE79" s="692">
        <v>0</v>
      </c>
      <c r="BF79" s="693">
        <v>0</v>
      </c>
      <c r="BG79" s="694">
        <v>0</v>
      </c>
      <c r="BH79" s="693">
        <v>0</v>
      </c>
      <c r="BI79" s="694">
        <v>0</v>
      </c>
      <c r="BJ79" s="693">
        <v>0</v>
      </c>
      <c r="BK79" s="694">
        <v>0</v>
      </c>
      <c r="BL79" s="693">
        <v>0</v>
      </c>
      <c r="BM79" s="694">
        <v>0</v>
      </c>
      <c r="BN79" s="693">
        <v>0</v>
      </c>
      <c r="BO79" s="694">
        <v>0</v>
      </c>
      <c r="BP79" s="693">
        <v>0</v>
      </c>
      <c r="BQ79" s="694">
        <v>0</v>
      </c>
      <c r="BR79" s="693">
        <v>0</v>
      </c>
      <c r="BS79" s="694">
        <v>0</v>
      </c>
      <c r="BT79" s="693">
        <v>0</v>
      </c>
      <c r="BU79" s="694">
        <v>0</v>
      </c>
      <c r="BV79" s="693">
        <v>0</v>
      </c>
      <c r="BW79" s="694">
        <v>0</v>
      </c>
      <c r="BX79" s="693">
        <v>0</v>
      </c>
      <c r="BY79" s="694">
        <v>0</v>
      </c>
      <c r="BZ79" s="693">
        <v>0</v>
      </c>
      <c r="CA79" s="694">
        <v>0</v>
      </c>
      <c r="CB79" s="693">
        <v>0</v>
      </c>
      <c r="CC79" s="692">
        <v>0</v>
      </c>
      <c r="CD79" s="695">
        <v>0</v>
      </c>
      <c r="CE79" s="692">
        <v>0</v>
      </c>
      <c r="CF79" s="695">
        <v>0</v>
      </c>
      <c r="CG79" s="692">
        <v>0</v>
      </c>
      <c r="CH79" s="695">
        <v>0</v>
      </c>
      <c r="CI79" s="692">
        <v>0</v>
      </c>
      <c r="CJ79" s="695">
        <v>0</v>
      </c>
      <c r="CK79" s="692">
        <v>0</v>
      </c>
      <c r="CL79" s="695">
        <v>0</v>
      </c>
      <c r="CM79" s="692">
        <v>0</v>
      </c>
      <c r="CN79" s="695">
        <v>0</v>
      </c>
      <c r="CO79" s="692">
        <v>0</v>
      </c>
      <c r="CP79" s="695">
        <v>0</v>
      </c>
      <c r="CQ79" s="692">
        <v>0</v>
      </c>
      <c r="CR79" s="693">
        <v>0</v>
      </c>
      <c r="CS79" s="692">
        <v>0</v>
      </c>
      <c r="CT79" s="693">
        <v>0</v>
      </c>
      <c r="CU79" s="694">
        <v>0</v>
      </c>
      <c r="CV79" s="693">
        <v>0</v>
      </c>
    </row>
    <row r="80" spans="1:100">
      <c r="A80" s="460">
        <v>78</v>
      </c>
      <c r="B80" s="580">
        <v>0</v>
      </c>
      <c r="C80" s="580">
        <v>0</v>
      </c>
      <c r="D80" s="580">
        <v>0</v>
      </c>
      <c r="E80" s="580">
        <v>0</v>
      </c>
      <c r="F80" s="580">
        <f t="shared" si="21"/>
        <v>1.2500000000000001E-2</v>
      </c>
      <c r="G80" s="580">
        <v>0.02</v>
      </c>
      <c r="H80" s="580">
        <v>0</v>
      </c>
      <c r="I80" s="580">
        <v>0</v>
      </c>
      <c r="J80" s="580">
        <v>0</v>
      </c>
      <c r="K80" s="580">
        <v>0</v>
      </c>
      <c r="L80" s="580">
        <v>0</v>
      </c>
      <c r="M80" s="580">
        <v>0</v>
      </c>
      <c r="N80" s="580">
        <v>0</v>
      </c>
      <c r="O80" s="580">
        <v>0</v>
      </c>
      <c r="P80" s="580">
        <v>0</v>
      </c>
      <c r="Q80" s="580">
        <v>0</v>
      </c>
      <c r="R80" s="580">
        <v>0</v>
      </c>
      <c r="S80" s="580">
        <v>0</v>
      </c>
      <c r="T80" s="580">
        <v>0.02</v>
      </c>
      <c r="U80" s="580">
        <v>0</v>
      </c>
      <c r="V80" s="580">
        <v>0</v>
      </c>
      <c r="W80" s="595">
        <v>0</v>
      </c>
      <c r="X80" s="688">
        <v>0</v>
      </c>
      <c r="Y80" s="688">
        <v>0</v>
      </c>
      <c r="Z80" s="688">
        <v>0</v>
      </c>
      <c r="AA80" s="688">
        <v>0</v>
      </c>
      <c r="AB80" s="688">
        <v>0</v>
      </c>
      <c r="AC80" s="688">
        <v>0</v>
      </c>
      <c r="AD80" s="688">
        <v>0</v>
      </c>
      <c r="AE80" s="977">
        <v>0</v>
      </c>
      <c r="AF80" s="978">
        <v>0</v>
      </c>
      <c r="AG80" s="979">
        <v>0</v>
      </c>
      <c r="AH80" s="688">
        <v>0</v>
      </c>
      <c r="AI80" s="687">
        <v>0</v>
      </c>
      <c r="AJ80" s="685">
        <v>0</v>
      </c>
      <c r="AK80" s="687">
        <v>0</v>
      </c>
      <c r="AL80" s="689">
        <v>0</v>
      </c>
      <c r="AM80" s="685">
        <v>0</v>
      </c>
      <c r="AN80" s="685">
        <v>0</v>
      </c>
      <c r="AO80" s="689">
        <v>0</v>
      </c>
      <c r="AP80" s="690">
        <v>0</v>
      </c>
      <c r="AQ80" s="687">
        <f t="shared" si="23"/>
        <v>7.1428571428571426E-3</v>
      </c>
      <c r="AR80" s="685">
        <v>5.0000000000000001E-3</v>
      </c>
      <c r="AS80" s="687">
        <f t="shared" si="22"/>
        <v>1.2500000000000001E-2</v>
      </c>
      <c r="AT80" s="691">
        <v>1E-3</v>
      </c>
      <c r="AU80" s="685">
        <v>0</v>
      </c>
      <c r="AV80" s="687">
        <v>0</v>
      </c>
      <c r="AW80" s="692">
        <v>0</v>
      </c>
      <c r="AX80" s="693">
        <v>0</v>
      </c>
      <c r="AY80" s="692">
        <v>0</v>
      </c>
      <c r="AZ80" s="693">
        <v>0</v>
      </c>
      <c r="BA80" s="692">
        <v>0</v>
      </c>
      <c r="BB80" s="693">
        <v>0</v>
      </c>
      <c r="BC80" s="694">
        <v>0</v>
      </c>
      <c r="BD80" s="695">
        <v>0</v>
      </c>
      <c r="BE80" s="692">
        <v>0</v>
      </c>
      <c r="BF80" s="693">
        <v>0</v>
      </c>
      <c r="BG80" s="694">
        <v>0</v>
      </c>
      <c r="BH80" s="693">
        <v>0</v>
      </c>
      <c r="BI80" s="694">
        <v>0</v>
      </c>
      <c r="BJ80" s="693">
        <v>0</v>
      </c>
      <c r="BK80" s="694">
        <v>0</v>
      </c>
      <c r="BL80" s="693">
        <v>0</v>
      </c>
      <c r="BM80" s="694">
        <v>0</v>
      </c>
      <c r="BN80" s="693">
        <v>0</v>
      </c>
      <c r="BO80" s="694">
        <v>0</v>
      </c>
      <c r="BP80" s="693">
        <v>0</v>
      </c>
      <c r="BQ80" s="694">
        <v>0</v>
      </c>
      <c r="BR80" s="693">
        <v>0</v>
      </c>
      <c r="BS80" s="694">
        <v>0</v>
      </c>
      <c r="BT80" s="693">
        <v>0</v>
      </c>
      <c r="BU80" s="694">
        <v>0</v>
      </c>
      <c r="BV80" s="693">
        <v>0</v>
      </c>
      <c r="BW80" s="694">
        <v>0</v>
      </c>
      <c r="BX80" s="693">
        <v>0</v>
      </c>
      <c r="BY80" s="694">
        <v>0</v>
      </c>
      <c r="BZ80" s="693">
        <v>0</v>
      </c>
      <c r="CA80" s="694">
        <v>0</v>
      </c>
      <c r="CB80" s="693">
        <v>0</v>
      </c>
      <c r="CC80" s="692">
        <v>0</v>
      </c>
      <c r="CD80" s="695">
        <v>0</v>
      </c>
      <c r="CE80" s="692">
        <v>0</v>
      </c>
      <c r="CF80" s="695">
        <v>0</v>
      </c>
      <c r="CG80" s="692">
        <v>0</v>
      </c>
      <c r="CH80" s="695">
        <v>0</v>
      </c>
      <c r="CI80" s="692">
        <v>0</v>
      </c>
      <c r="CJ80" s="695">
        <v>0</v>
      </c>
      <c r="CK80" s="692">
        <v>0</v>
      </c>
      <c r="CL80" s="695">
        <v>0</v>
      </c>
      <c r="CM80" s="692">
        <v>0</v>
      </c>
      <c r="CN80" s="695">
        <v>0</v>
      </c>
      <c r="CO80" s="692">
        <v>0</v>
      </c>
      <c r="CP80" s="695">
        <v>0</v>
      </c>
      <c r="CQ80" s="692">
        <v>0</v>
      </c>
      <c r="CR80" s="693">
        <v>0</v>
      </c>
      <c r="CS80" s="692">
        <v>0</v>
      </c>
      <c r="CT80" s="693">
        <v>0</v>
      </c>
      <c r="CU80" s="694">
        <v>0</v>
      </c>
      <c r="CV80" s="693">
        <v>0</v>
      </c>
    </row>
    <row r="81" spans="1:100">
      <c r="A81" s="460">
        <v>79</v>
      </c>
      <c r="B81" s="580">
        <v>0</v>
      </c>
      <c r="C81" s="580">
        <v>0</v>
      </c>
      <c r="D81" s="580">
        <v>0</v>
      </c>
      <c r="E81" s="580">
        <v>0</v>
      </c>
      <c r="F81" s="580">
        <f t="shared" si="21"/>
        <v>1.2500000000000001E-2</v>
      </c>
      <c r="G81" s="580">
        <v>0.02</v>
      </c>
      <c r="H81" s="580">
        <v>0</v>
      </c>
      <c r="I81" s="580">
        <v>0</v>
      </c>
      <c r="J81" s="580">
        <v>0</v>
      </c>
      <c r="K81" s="580">
        <v>0</v>
      </c>
      <c r="L81" s="580">
        <v>0</v>
      </c>
      <c r="M81" s="580">
        <v>0</v>
      </c>
      <c r="N81" s="580">
        <v>0</v>
      </c>
      <c r="O81" s="580">
        <v>0</v>
      </c>
      <c r="P81" s="580">
        <v>0</v>
      </c>
      <c r="Q81" s="580">
        <v>0</v>
      </c>
      <c r="R81" s="580">
        <v>0</v>
      </c>
      <c r="S81" s="580">
        <v>0</v>
      </c>
      <c r="T81" s="580">
        <v>0.02</v>
      </c>
      <c r="U81" s="580">
        <v>0</v>
      </c>
      <c r="V81" s="580">
        <v>0</v>
      </c>
      <c r="W81" s="595">
        <v>0</v>
      </c>
      <c r="X81" s="688">
        <v>0</v>
      </c>
      <c r="Y81" s="688">
        <v>0</v>
      </c>
      <c r="Z81" s="688">
        <v>0</v>
      </c>
      <c r="AA81" s="688">
        <v>0</v>
      </c>
      <c r="AB81" s="688">
        <v>0</v>
      </c>
      <c r="AC81" s="688">
        <v>0</v>
      </c>
      <c r="AD81" s="688">
        <v>0</v>
      </c>
      <c r="AE81" s="977">
        <v>0</v>
      </c>
      <c r="AF81" s="978">
        <v>0</v>
      </c>
      <c r="AG81" s="979">
        <v>0</v>
      </c>
      <c r="AH81" s="688">
        <v>0</v>
      </c>
      <c r="AI81" s="687">
        <v>0</v>
      </c>
      <c r="AJ81" s="685">
        <v>0</v>
      </c>
      <c r="AK81" s="687">
        <v>0</v>
      </c>
      <c r="AL81" s="689">
        <v>0</v>
      </c>
      <c r="AM81" s="685">
        <v>0</v>
      </c>
      <c r="AN81" s="685">
        <v>0</v>
      </c>
      <c r="AO81" s="689">
        <v>0</v>
      </c>
      <c r="AP81" s="690">
        <v>0</v>
      </c>
      <c r="AQ81" s="687">
        <f t="shared" si="23"/>
        <v>7.1428571428571426E-3</v>
      </c>
      <c r="AR81" s="685">
        <v>8.3333199999957586E-4</v>
      </c>
      <c r="AS81" s="687">
        <f t="shared" si="22"/>
        <v>1.2500000000000001E-2</v>
      </c>
      <c r="AT81" s="691">
        <v>1E-3</v>
      </c>
      <c r="AU81" s="685">
        <v>0</v>
      </c>
      <c r="AV81" s="687">
        <v>0</v>
      </c>
      <c r="AW81" s="692">
        <v>0</v>
      </c>
      <c r="AX81" s="693">
        <v>0</v>
      </c>
      <c r="AY81" s="692">
        <v>0</v>
      </c>
      <c r="AZ81" s="693">
        <v>0</v>
      </c>
      <c r="BA81" s="692">
        <v>0</v>
      </c>
      <c r="BB81" s="693">
        <v>0</v>
      </c>
      <c r="BC81" s="694">
        <v>0</v>
      </c>
      <c r="BD81" s="695">
        <v>0</v>
      </c>
      <c r="BE81" s="692">
        <v>0</v>
      </c>
      <c r="BF81" s="693">
        <v>0</v>
      </c>
      <c r="BG81" s="694">
        <v>0</v>
      </c>
      <c r="BH81" s="693">
        <v>0</v>
      </c>
      <c r="BI81" s="694">
        <v>0</v>
      </c>
      <c r="BJ81" s="693">
        <v>0</v>
      </c>
      <c r="BK81" s="694">
        <v>0</v>
      </c>
      <c r="BL81" s="693">
        <v>0</v>
      </c>
      <c r="BM81" s="694">
        <v>0</v>
      </c>
      <c r="BN81" s="693">
        <v>0</v>
      </c>
      <c r="BO81" s="694">
        <v>0</v>
      </c>
      <c r="BP81" s="693">
        <v>0</v>
      </c>
      <c r="BQ81" s="694">
        <v>0</v>
      </c>
      <c r="BR81" s="693">
        <v>0</v>
      </c>
      <c r="BS81" s="694">
        <v>0</v>
      </c>
      <c r="BT81" s="693">
        <v>0</v>
      </c>
      <c r="BU81" s="694">
        <v>0</v>
      </c>
      <c r="BV81" s="693">
        <v>0</v>
      </c>
      <c r="BW81" s="694">
        <v>0</v>
      </c>
      <c r="BX81" s="693">
        <v>0</v>
      </c>
      <c r="BY81" s="694">
        <v>0</v>
      </c>
      <c r="BZ81" s="693">
        <v>0</v>
      </c>
      <c r="CA81" s="694">
        <v>0</v>
      </c>
      <c r="CB81" s="693">
        <v>0</v>
      </c>
      <c r="CC81" s="692">
        <v>0</v>
      </c>
      <c r="CD81" s="695">
        <v>0</v>
      </c>
      <c r="CE81" s="692">
        <v>0</v>
      </c>
      <c r="CF81" s="695">
        <v>0</v>
      </c>
      <c r="CG81" s="692">
        <v>0</v>
      </c>
      <c r="CH81" s="695">
        <v>0</v>
      </c>
      <c r="CI81" s="692">
        <v>0</v>
      </c>
      <c r="CJ81" s="695">
        <v>0</v>
      </c>
      <c r="CK81" s="692">
        <v>0</v>
      </c>
      <c r="CL81" s="695">
        <v>0</v>
      </c>
      <c r="CM81" s="692">
        <v>0</v>
      </c>
      <c r="CN81" s="695">
        <v>0</v>
      </c>
      <c r="CO81" s="692">
        <v>0</v>
      </c>
      <c r="CP81" s="695">
        <v>0</v>
      </c>
      <c r="CQ81" s="692">
        <v>0</v>
      </c>
      <c r="CR81" s="693">
        <v>0</v>
      </c>
      <c r="CS81" s="692">
        <v>0</v>
      </c>
      <c r="CT81" s="693">
        <v>0</v>
      </c>
      <c r="CU81" s="694">
        <v>0</v>
      </c>
      <c r="CV81" s="693">
        <v>0</v>
      </c>
    </row>
    <row r="82" spans="1:100">
      <c r="A82" s="460">
        <v>80</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0</v>
      </c>
      <c r="V82" s="580">
        <v>0</v>
      </c>
      <c r="W82" s="595">
        <v>0</v>
      </c>
      <c r="X82" s="688">
        <v>0</v>
      </c>
      <c r="Y82" s="688">
        <v>0</v>
      </c>
      <c r="Z82" s="688">
        <v>0</v>
      </c>
      <c r="AA82" s="688">
        <v>0</v>
      </c>
      <c r="AB82" s="688">
        <v>0</v>
      </c>
      <c r="AC82" s="688">
        <v>0</v>
      </c>
      <c r="AD82" s="688">
        <v>0</v>
      </c>
      <c r="AE82" s="977">
        <v>0</v>
      </c>
      <c r="AF82" s="978">
        <v>0</v>
      </c>
      <c r="AG82" s="979">
        <v>0</v>
      </c>
      <c r="AH82" s="688">
        <v>0</v>
      </c>
      <c r="AI82" s="687">
        <v>0</v>
      </c>
      <c r="AJ82" s="685">
        <v>0</v>
      </c>
      <c r="AK82" s="687">
        <v>0</v>
      </c>
      <c r="AL82" s="689">
        <v>0</v>
      </c>
      <c r="AM82" s="685">
        <v>0</v>
      </c>
      <c r="AN82" s="685">
        <v>0</v>
      </c>
      <c r="AO82" s="689">
        <v>0</v>
      </c>
      <c r="AP82" s="690">
        <v>0.02</v>
      </c>
      <c r="AQ82" s="687">
        <f t="shared" si="23"/>
        <v>7.1428571428571426E-3</v>
      </c>
      <c r="AR82" s="685">
        <v>0</v>
      </c>
      <c r="AS82" s="687">
        <v>0</v>
      </c>
      <c r="AT82" s="691">
        <v>2E-3</v>
      </c>
      <c r="AU82" s="685">
        <v>0</v>
      </c>
      <c r="AV82" s="687">
        <v>0</v>
      </c>
      <c r="AW82" s="692">
        <v>0</v>
      </c>
      <c r="AX82" s="693">
        <v>0</v>
      </c>
      <c r="AY82" s="692">
        <v>0</v>
      </c>
      <c r="AZ82" s="693">
        <v>0</v>
      </c>
      <c r="BA82" s="692">
        <v>0</v>
      </c>
      <c r="BB82" s="693">
        <v>0</v>
      </c>
      <c r="BC82" s="694">
        <v>0</v>
      </c>
      <c r="BD82" s="695">
        <v>0</v>
      </c>
      <c r="BE82" s="692">
        <v>0</v>
      </c>
      <c r="BF82" s="693">
        <v>0</v>
      </c>
      <c r="BG82" s="694">
        <v>0</v>
      </c>
      <c r="BH82" s="693">
        <v>0</v>
      </c>
      <c r="BI82" s="694">
        <v>0</v>
      </c>
      <c r="BJ82" s="693">
        <v>0</v>
      </c>
      <c r="BK82" s="694">
        <v>0</v>
      </c>
      <c r="BL82" s="693">
        <v>0</v>
      </c>
      <c r="BM82" s="694">
        <v>0</v>
      </c>
      <c r="BN82" s="693">
        <v>0</v>
      </c>
      <c r="BO82" s="694">
        <v>0</v>
      </c>
      <c r="BP82" s="693">
        <v>0</v>
      </c>
      <c r="BQ82" s="694">
        <v>0</v>
      </c>
      <c r="BR82" s="693">
        <v>0</v>
      </c>
      <c r="BS82" s="694">
        <v>0</v>
      </c>
      <c r="BT82" s="693">
        <v>0</v>
      </c>
      <c r="BU82" s="694">
        <v>0</v>
      </c>
      <c r="BV82" s="693">
        <v>0</v>
      </c>
      <c r="BW82" s="694">
        <v>0</v>
      </c>
      <c r="BX82" s="693">
        <v>0</v>
      </c>
      <c r="BY82" s="694">
        <v>0</v>
      </c>
      <c r="BZ82" s="693">
        <v>0</v>
      </c>
      <c r="CA82" s="694">
        <v>0</v>
      </c>
      <c r="CB82" s="693">
        <v>0</v>
      </c>
      <c r="CC82" s="692">
        <v>0</v>
      </c>
      <c r="CD82" s="695">
        <v>0</v>
      </c>
      <c r="CE82" s="692">
        <v>0</v>
      </c>
      <c r="CF82" s="695">
        <v>0</v>
      </c>
      <c r="CG82" s="692">
        <v>0</v>
      </c>
      <c r="CH82" s="695">
        <v>0</v>
      </c>
      <c r="CI82" s="692">
        <v>0</v>
      </c>
      <c r="CJ82" s="695">
        <v>0</v>
      </c>
      <c r="CK82" s="692">
        <v>0</v>
      </c>
      <c r="CL82" s="695">
        <v>0</v>
      </c>
      <c r="CM82" s="692">
        <v>0</v>
      </c>
      <c r="CN82" s="695">
        <v>0</v>
      </c>
      <c r="CO82" s="692">
        <v>0</v>
      </c>
      <c r="CP82" s="695">
        <v>0</v>
      </c>
      <c r="CQ82" s="692">
        <v>0</v>
      </c>
      <c r="CR82" s="693">
        <v>0</v>
      </c>
      <c r="CS82" s="692">
        <v>0</v>
      </c>
      <c r="CT82" s="693">
        <v>0</v>
      </c>
      <c r="CU82" s="694">
        <v>0</v>
      </c>
      <c r="CV82" s="693">
        <v>0</v>
      </c>
    </row>
    <row r="83" spans="1:100">
      <c r="A83" s="460">
        <v>81</v>
      </c>
      <c r="B83" s="580">
        <v>0</v>
      </c>
      <c r="C83" s="580">
        <v>0</v>
      </c>
      <c r="D83" s="580">
        <v>0</v>
      </c>
      <c r="E83" s="580">
        <v>0</v>
      </c>
      <c r="F83" s="580">
        <v>0</v>
      </c>
      <c r="G83" s="580">
        <v>0</v>
      </c>
      <c r="H83" s="580">
        <v>0</v>
      </c>
      <c r="I83" s="580">
        <v>0</v>
      </c>
      <c r="J83" s="580">
        <v>0</v>
      </c>
      <c r="K83" s="580">
        <v>0</v>
      </c>
      <c r="L83" s="580">
        <v>0</v>
      </c>
      <c r="M83" s="580">
        <v>0</v>
      </c>
      <c r="N83" s="580">
        <v>0</v>
      </c>
      <c r="O83" s="580">
        <v>0</v>
      </c>
      <c r="P83" s="580">
        <v>0</v>
      </c>
      <c r="Q83" s="580">
        <v>0</v>
      </c>
      <c r="R83" s="580">
        <v>0</v>
      </c>
      <c r="S83" s="580">
        <v>0</v>
      </c>
      <c r="T83" s="580">
        <v>0</v>
      </c>
      <c r="U83" s="580">
        <v>0</v>
      </c>
      <c r="V83" s="580">
        <v>0</v>
      </c>
      <c r="W83" s="595">
        <v>0</v>
      </c>
      <c r="X83" s="688">
        <v>0</v>
      </c>
      <c r="Y83" s="688">
        <v>0</v>
      </c>
      <c r="Z83" s="688">
        <v>0</v>
      </c>
      <c r="AA83" s="688">
        <v>0</v>
      </c>
      <c r="AB83" s="688">
        <v>0</v>
      </c>
      <c r="AC83" s="688">
        <v>0</v>
      </c>
      <c r="AD83" s="688">
        <v>0</v>
      </c>
      <c r="AE83" s="977">
        <v>0</v>
      </c>
      <c r="AF83" s="978">
        <v>0</v>
      </c>
      <c r="AG83" s="979">
        <v>0</v>
      </c>
      <c r="AH83" s="688">
        <v>0</v>
      </c>
      <c r="AI83" s="687">
        <v>0</v>
      </c>
      <c r="AJ83" s="685">
        <v>0</v>
      </c>
      <c r="AK83" s="687">
        <v>0</v>
      </c>
      <c r="AL83" s="689">
        <v>0</v>
      </c>
      <c r="AM83" s="685">
        <v>0</v>
      </c>
      <c r="AN83" s="685">
        <v>0</v>
      </c>
      <c r="AO83" s="689">
        <v>0</v>
      </c>
      <c r="AP83" s="690">
        <v>0.02</v>
      </c>
      <c r="AQ83" s="687">
        <f t="shared" si="23"/>
        <v>7.1428571428571426E-3</v>
      </c>
      <c r="AR83" s="685">
        <v>0</v>
      </c>
      <c r="AS83" s="687">
        <v>0</v>
      </c>
      <c r="AT83" s="691">
        <v>2E-3</v>
      </c>
      <c r="AU83" s="685">
        <v>0</v>
      </c>
      <c r="AV83" s="687">
        <v>0</v>
      </c>
      <c r="AW83" s="692">
        <v>0</v>
      </c>
      <c r="AX83" s="693">
        <v>0</v>
      </c>
      <c r="AY83" s="692">
        <v>0</v>
      </c>
      <c r="AZ83" s="693">
        <v>0</v>
      </c>
      <c r="BA83" s="692">
        <v>0</v>
      </c>
      <c r="BB83" s="693">
        <v>0</v>
      </c>
      <c r="BC83" s="694">
        <v>0</v>
      </c>
      <c r="BD83" s="695">
        <v>0</v>
      </c>
      <c r="BE83" s="692">
        <v>0</v>
      </c>
      <c r="BF83" s="693">
        <v>0</v>
      </c>
      <c r="BG83" s="694">
        <v>0</v>
      </c>
      <c r="BH83" s="693">
        <v>0</v>
      </c>
      <c r="BI83" s="694">
        <v>0</v>
      </c>
      <c r="BJ83" s="693">
        <v>0</v>
      </c>
      <c r="BK83" s="694">
        <v>0</v>
      </c>
      <c r="BL83" s="693">
        <v>0</v>
      </c>
      <c r="BM83" s="694">
        <v>0</v>
      </c>
      <c r="BN83" s="693">
        <v>0</v>
      </c>
      <c r="BO83" s="694">
        <v>0</v>
      </c>
      <c r="BP83" s="693">
        <v>0</v>
      </c>
      <c r="BQ83" s="694">
        <v>0</v>
      </c>
      <c r="BR83" s="693">
        <v>0</v>
      </c>
      <c r="BS83" s="694">
        <v>0</v>
      </c>
      <c r="BT83" s="693">
        <v>0</v>
      </c>
      <c r="BU83" s="694">
        <v>0</v>
      </c>
      <c r="BV83" s="693">
        <v>0</v>
      </c>
      <c r="BW83" s="694">
        <v>0</v>
      </c>
      <c r="BX83" s="693">
        <v>0</v>
      </c>
      <c r="BY83" s="694">
        <v>0</v>
      </c>
      <c r="BZ83" s="693">
        <v>0</v>
      </c>
      <c r="CA83" s="694">
        <v>0</v>
      </c>
      <c r="CB83" s="693">
        <v>0</v>
      </c>
      <c r="CC83" s="692">
        <v>0</v>
      </c>
      <c r="CD83" s="695">
        <v>0</v>
      </c>
      <c r="CE83" s="692">
        <v>0</v>
      </c>
      <c r="CF83" s="695">
        <v>0</v>
      </c>
      <c r="CG83" s="692">
        <v>0</v>
      </c>
      <c r="CH83" s="695">
        <v>0</v>
      </c>
      <c r="CI83" s="692">
        <v>0</v>
      </c>
      <c r="CJ83" s="695">
        <v>0</v>
      </c>
      <c r="CK83" s="692">
        <v>0</v>
      </c>
      <c r="CL83" s="695">
        <v>0</v>
      </c>
      <c r="CM83" s="692">
        <v>0</v>
      </c>
      <c r="CN83" s="695">
        <v>0</v>
      </c>
      <c r="CO83" s="692">
        <v>0</v>
      </c>
      <c r="CP83" s="695">
        <v>0</v>
      </c>
      <c r="CQ83" s="692">
        <v>0</v>
      </c>
      <c r="CR83" s="693">
        <v>0</v>
      </c>
      <c r="CS83" s="692">
        <v>0</v>
      </c>
      <c r="CT83" s="693">
        <v>0</v>
      </c>
      <c r="CU83" s="694">
        <v>0</v>
      </c>
      <c r="CV83" s="693">
        <v>0</v>
      </c>
    </row>
    <row r="84" spans="1:100">
      <c r="A84" s="460">
        <v>82</v>
      </c>
      <c r="B84" s="580">
        <v>0</v>
      </c>
      <c r="C84" s="580">
        <v>0</v>
      </c>
      <c r="D84" s="580">
        <v>0</v>
      </c>
      <c r="E84" s="580">
        <v>0</v>
      </c>
      <c r="F84" s="580">
        <v>0</v>
      </c>
      <c r="G84" s="580">
        <v>0</v>
      </c>
      <c r="H84" s="580">
        <v>0</v>
      </c>
      <c r="I84" s="580">
        <v>0</v>
      </c>
      <c r="J84" s="580">
        <v>0</v>
      </c>
      <c r="K84" s="580">
        <v>0</v>
      </c>
      <c r="L84" s="580">
        <v>0</v>
      </c>
      <c r="M84" s="580">
        <v>0</v>
      </c>
      <c r="N84" s="580">
        <v>0</v>
      </c>
      <c r="O84" s="580">
        <v>0</v>
      </c>
      <c r="P84" s="580">
        <v>0</v>
      </c>
      <c r="Q84" s="580">
        <v>0</v>
      </c>
      <c r="R84" s="580">
        <v>0</v>
      </c>
      <c r="S84" s="580">
        <v>0</v>
      </c>
      <c r="T84" s="580">
        <v>0</v>
      </c>
      <c r="U84" s="580">
        <v>0</v>
      </c>
      <c r="V84" s="580">
        <v>0</v>
      </c>
      <c r="W84" s="595">
        <v>0</v>
      </c>
      <c r="X84" s="688">
        <v>0</v>
      </c>
      <c r="Y84" s="688">
        <v>0</v>
      </c>
      <c r="Z84" s="688">
        <v>0</v>
      </c>
      <c r="AA84" s="688">
        <v>0</v>
      </c>
      <c r="AB84" s="688">
        <v>0</v>
      </c>
      <c r="AC84" s="688">
        <v>0</v>
      </c>
      <c r="AD84" s="688">
        <v>0</v>
      </c>
      <c r="AE84" s="977">
        <v>0</v>
      </c>
      <c r="AF84" s="978">
        <v>0</v>
      </c>
      <c r="AG84" s="979">
        <v>0</v>
      </c>
      <c r="AH84" s="688">
        <v>0</v>
      </c>
      <c r="AI84" s="687">
        <v>0</v>
      </c>
      <c r="AJ84" s="685">
        <v>0</v>
      </c>
      <c r="AK84" s="687">
        <v>0</v>
      </c>
      <c r="AL84" s="689">
        <v>0</v>
      </c>
      <c r="AM84" s="685">
        <v>0</v>
      </c>
      <c r="AN84" s="685">
        <v>0</v>
      </c>
      <c r="AO84" s="689">
        <v>0</v>
      </c>
      <c r="AP84" s="690">
        <v>0.02</v>
      </c>
      <c r="AQ84" s="687">
        <f t="shared" si="23"/>
        <v>7.1428571428571426E-3</v>
      </c>
      <c r="AR84" s="685">
        <v>0</v>
      </c>
      <c r="AS84" s="687">
        <v>0</v>
      </c>
      <c r="AT84" s="691">
        <v>2E-3</v>
      </c>
      <c r="AU84" s="685">
        <v>0</v>
      </c>
      <c r="AV84" s="687">
        <v>0</v>
      </c>
      <c r="AW84" s="692">
        <v>0</v>
      </c>
      <c r="AX84" s="693">
        <v>0</v>
      </c>
      <c r="AY84" s="692">
        <v>0</v>
      </c>
      <c r="AZ84" s="693">
        <v>0</v>
      </c>
      <c r="BA84" s="692">
        <v>0</v>
      </c>
      <c r="BB84" s="693">
        <v>0</v>
      </c>
      <c r="BC84" s="694">
        <v>0</v>
      </c>
      <c r="BD84" s="695">
        <v>0</v>
      </c>
      <c r="BE84" s="692">
        <v>0</v>
      </c>
      <c r="BF84" s="693">
        <v>0</v>
      </c>
      <c r="BG84" s="694">
        <v>0</v>
      </c>
      <c r="BH84" s="693">
        <v>0</v>
      </c>
      <c r="BI84" s="694">
        <v>0</v>
      </c>
      <c r="BJ84" s="693">
        <v>0</v>
      </c>
      <c r="BK84" s="694">
        <v>0</v>
      </c>
      <c r="BL84" s="693">
        <v>0</v>
      </c>
      <c r="BM84" s="694">
        <v>0</v>
      </c>
      <c r="BN84" s="693">
        <v>0</v>
      </c>
      <c r="BO84" s="694">
        <v>0</v>
      </c>
      <c r="BP84" s="693">
        <v>0</v>
      </c>
      <c r="BQ84" s="694">
        <v>0</v>
      </c>
      <c r="BR84" s="693">
        <v>0</v>
      </c>
      <c r="BS84" s="694">
        <v>0</v>
      </c>
      <c r="BT84" s="693">
        <v>0</v>
      </c>
      <c r="BU84" s="694">
        <v>0</v>
      </c>
      <c r="BV84" s="693">
        <v>0</v>
      </c>
      <c r="BW84" s="694">
        <v>0</v>
      </c>
      <c r="BX84" s="693">
        <v>0</v>
      </c>
      <c r="BY84" s="694">
        <v>0</v>
      </c>
      <c r="BZ84" s="693">
        <v>0</v>
      </c>
      <c r="CA84" s="694">
        <v>0</v>
      </c>
      <c r="CB84" s="693">
        <v>0</v>
      </c>
      <c r="CC84" s="692">
        <v>0</v>
      </c>
      <c r="CD84" s="695">
        <v>0</v>
      </c>
      <c r="CE84" s="692">
        <v>0</v>
      </c>
      <c r="CF84" s="695">
        <v>0</v>
      </c>
      <c r="CG84" s="692">
        <v>0</v>
      </c>
      <c r="CH84" s="695">
        <v>0</v>
      </c>
      <c r="CI84" s="692">
        <v>0</v>
      </c>
      <c r="CJ84" s="695">
        <v>0</v>
      </c>
      <c r="CK84" s="692">
        <v>0</v>
      </c>
      <c r="CL84" s="695">
        <v>0</v>
      </c>
      <c r="CM84" s="692">
        <v>0</v>
      </c>
      <c r="CN84" s="695">
        <v>0</v>
      </c>
      <c r="CO84" s="692">
        <v>0</v>
      </c>
      <c r="CP84" s="695">
        <v>0</v>
      </c>
      <c r="CQ84" s="692">
        <v>0</v>
      </c>
      <c r="CR84" s="693">
        <v>0</v>
      </c>
      <c r="CS84" s="692">
        <v>0</v>
      </c>
      <c r="CT84" s="693">
        <v>0</v>
      </c>
      <c r="CU84" s="694">
        <v>0</v>
      </c>
      <c r="CV84" s="693">
        <v>0</v>
      </c>
    </row>
    <row r="85" spans="1:100">
      <c r="A85" s="460">
        <v>83</v>
      </c>
      <c r="B85" s="580">
        <v>0</v>
      </c>
      <c r="C85" s="580">
        <v>0</v>
      </c>
      <c r="D85" s="580">
        <v>0</v>
      </c>
      <c r="E85" s="580">
        <v>0</v>
      </c>
      <c r="F85" s="580">
        <v>0</v>
      </c>
      <c r="G85" s="580">
        <v>0</v>
      </c>
      <c r="H85" s="580">
        <v>0</v>
      </c>
      <c r="I85" s="580">
        <v>0</v>
      </c>
      <c r="J85" s="580">
        <v>0</v>
      </c>
      <c r="K85" s="580">
        <v>0</v>
      </c>
      <c r="L85" s="580">
        <v>0</v>
      </c>
      <c r="M85" s="580">
        <v>0</v>
      </c>
      <c r="N85" s="580">
        <v>0</v>
      </c>
      <c r="O85" s="580">
        <v>0</v>
      </c>
      <c r="P85" s="580">
        <v>0</v>
      </c>
      <c r="Q85" s="580">
        <v>0</v>
      </c>
      <c r="R85" s="580">
        <v>0</v>
      </c>
      <c r="S85" s="580">
        <v>0</v>
      </c>
      <c r="T85" s="580">
        <v>0</v>
      </c>
      <c r="U85" s="580">
        <v>0</v>
      </c>
      <c r="V85" s="580">
        <v>0</v>
      </c>
      <c r="W85" s="595">
        <v>0</v>
      </c>
      <c r="X85" s="688">
        <v>0</v>
      </c>
      <c r="Y85" s="688">
        <v>0</v>
      </c>
      <c r="Z85" s="688">
        <v>0</v>
      </c>
      <c r="AA85" s="688">
        <v>0</v>
      </c>
      <c r="AB85" s="688">
        <v>0</v>
      </c>
      <c r="AC85" s="688">
        <v>0</v>
      </c>
      <c r="AD85" s="688">
        <v>0</v>
      </c>
      <c r="AE85" s="977">
        <v>0</v>
      </c>
      <c r="AF85" s="978">
        <v>0</v>
      </c>
      <c r="AG85" s="979">
        <v>0</v>
      </c>
      <c r="AH85" s="688">
        <v>0</v>
      </c>
      <c r="AI85" s="687">
        <v>0</v>
      </c>
      <c r="AJ85" s="685">
        <v>0</v>
      </c>
      <c r="AK85" s="687">
        <v>0</v>
      </c>
      <c r="AL85" s="689">
        <v>0</v>
      </c>
      <c r="AM85" s="685">
        <v>0</v>
      </c>
      <c r="AN85" s="685">
        <v>0</v>
      </c>
      <c r="AO85" s="689">
        <v>0</v>
      </c>
      <c r="AP85" s="690">
        <v>0.02</v>
      </c>
      <c r="AQ85" s="687">
        <f t="shared" si="23"/>
        <v>7.1428571428571426E-3</v>
      </c>
      <c r="AR85" s="685">
        <v>0</v>
      </c>
      <c r="AS85" s="687">
        <v>0</v>
      </c>
      <c r="AT85" s="691">
        <v>2E-3</v>
      </c>
      <c r="AU85" s="685">
        <v>0</v>
      </c>
      <c r="AV85" s="687">
        <v>0</v>
      </c>
      <c r="AW85" s="692">
        <v>0</v>
      </c>
      <c r="AX85" s="693">
        <v>0</v>
      </c>
      <c r="AY85" s="692">
        <v>0</v>
      </c>
      <c r="AZ85" s="693">
        <v>0</v>
      </c>
      <c r="BA85" s="692">
        <v>0</v>
      </c>
      <c r="BB85" s="693">
        <v>0</v>
      </c>
      <c r="BC85" s="694">
        <v>0</v>
      </c>
      <c r="BD85" s="695">
        <v>0</v>
      </c>
      <c r="BE85" s="692">
        <v>0</v>
      </c>
      <c r="BF85" s="693">
        <v>0</v>
      </c>
      <c r="BG85" s="694">
        <v>0</v>
      </c>
      <c r="BH85" s="693">
        <v>0</v>
      </c>
      <c r="BI85" s="694">
        <v>0</v>
      </c>
      <c r="BJ85" s="693">
        <v>0</v>
      </c>
      <c r="BK85" s="694">
        <v>0</v>
      </c>
      <c r="BL85" s="693">
        <v>0</v>
      </c>
      <c r="BM85" s="694">
        <v>0</v>
      </c>
      <c r="BN85" s="693">
        <v>0</v>
      </c>
      <c r="BO85" s="694">
        <v>0</v>
      </c>
      <c r="BP85" s="693">
        <v>0</v>
      </c>
      <c r="BQ85" s="694">
        <v>0</v>
      </c>
      <c r="BR85" s="693">
        <v>0</v>
      </c>
      <c r="BS85" s="694">
        <v>0</v>
      </c>
      <c r="BT85" s="693">
        <v>0</v>
      </c>
      <c r="BU85" s="694">
        <v>0</v>
      </c>
      <c r="BV85" s="693">
        <v>0</v>
      </c>
      <c r="BW85" s="694">
        <v>0</v>
      </c>
      <c r="BX85" s="693">
        <v>0</v>
      </c>
      <c r="BY85" s="694">
        <v>0</v>
      </c>
      <c r="BZ85" s="693">
        <v>0</v>
      </c>
      <c r="CA85" s="694">
        <v>0</v>
      </c>
      <c r="CB85" s="693">
        <v>0</v>
      </c>
      <c r="CC85" s="692">
        <v>0</v>
      </c>
      <c r="CD85" s="695">
        <v>0</v>
      </c>
      <c r="CE85" s="692">
        <v>0</v>
      </c>
      <c r="CF85" s="695">
        <v>0</v>
      </c>
      <c r="CG85" s="692">
        <v>0</v>
      </c>
      <c r="CH85" s="695">
        <v>0</v>
      </c>
      <c r="CI85" s="692">
        <v>0</v>
      </c>
      <c r="CJ85" s="695">
        <v>0</v>
      </c>
      <c r="CK85" s="692">
        <v>0</v>
      </c>
      <c r="CL85" s="695">
        <v>0</v>
      </c>
      <c r="CM85" s="692">
        <v>0</v>
      </c>
      <c r="CN85" s="695">
        <v>0</v>
      </c>
      <c r="CO85" s="692">
        <v>0</v>
      </c>
      <c r="CP85" s="695">
        <v>0</v>
      </c>
      <c r="CQ85" s="692">
        <v>0</v>
      </c>
      <c r="CR85" s="693">
        <v>0</v>
      </c>
      <c r="CS85" s="692">
        <v>0</v>
      </c>
      <c r="CT85" s="693">
        <v>0</v>
      </c>
      <c r="CU85" s="694">
        <v>0</v>
      </c>
      <c r="CV85" s="693">
        <v>0</v>
      </c>
    </row>
    <row r="86" spans="1:100">
      <c r="A86" s="460">
        <v>84</v>
      </c>
      <c r="B86" s="580">
        <v>0</v>
      </c>
      <c r="C86" s="580">
        <v>0</v>
      </c>
      <c r="D86" s="580">
        <v>0</v>
      </c>
      <c r="E86" s="580">
        <v>0</v>
      </c>
      <c r="F86" s="580">
        <v>0</v>
      </c>
      <c r="G86" s="580">
        <v>0</v>
      </c>
      <c r="H86" s="580">
        <v>0</v>
      </c>
      <c r="I86" s="580">
        <v>0</v>
      </c>
      <c r="J86" s="580">
        <v>0</v>
      </c>
      <c r="K86" s="580">
        <v>0</v>
      </c>
      <c r="L86" s="580">
        <v>0</v>
      </c>
      <c r="M86" s="580">
        <v>0</v>
      </c>
      <c r="N86" s="580">
        <v>0</v>
      </c>
      <c r="O86" s="580">
        <v>0</v>
      </c>
      <c r="P86" s="580">
        <v>0</v>
      </c>
      <c r="Q86" s="580">
        <v>0</v>
      </c>
      <c r="R86" s="580">
        <v>0</v>
      </c>
      <c r="S86" s="580">
        <v>0</v>
      </c>
      <c r="T86" s="580">
        <v>0</v>
      </c>
      <c r="U86" s="580">
        <v>0</v>
      </c>
      <c r="V86" s="580">
        <v>0</v>
      </c>
      <c r="W86" s="595">
        <v>0</v>
      </c>
      <c r="X86" s="688">
        <v>0</v>
      </c>
      <c r="Y86" s="688">
        <v>0</v>
      </c>
      <c r="Z86" s="688">
        <v>0</v>
      </c>
      <c r="AA86" s="688">
        <v>0</v>
      </c>
      <c r="AB86" s="688">
        <v>0</v>
      </c>
      <c r="AC86" s="688">
        <v>0</v>
      </c>
      <c r="AD86" s="688">
        <v>0</v>
      </c>
      <c r="AE86" s="977">
        <v>0</v>
      </c>
      <c r="AF86" s="978">
        <v>0</v>
      </c>
      <c r="AG86" s="979">
        <v>0</v>
      </c>
      <c r="AH86" s="688">
        <v>0</v>
      </c>
      <c r="AI86" s="687">
        <v>0</v>
      </c>
      <c r="AJ86" s="685">
        <v>0</v>
      </c>
      <c r="AK86" s="687">
        <v>0</v>
      </c>
      <c r="AL86" s="689">
        <v>0</v>
      </c>
      <c r="AM86" s="685">
        <v>0</v>
      </c>
      <c r="AN86" s="685">
        <v>0</v>
      </c>
      <c r="AO86" s="689">
        <v>0</v>
      </c>
      <c r="AP86" s="690">
        <v>0.02</v>
      </c>
      <c r="AQ86" s="687">
        <f t="shared" si="23"/>
        <v>7.1428571428571426E-3</v>
      </c>
      <c r="AR86" s="685">
        <v>0</v>
      </c>
      <c r="AS86" s="687">
        <v>0</v>
      </c>
      <c r="AT86" s="691">
        <v>2E-3</v>
      </c>
      <c r="AU86" s="685">
        <v>0</v>
      </c>
      <c r="AV86" s="687">
        <v>0</v>
      </c>
      <c r="AW86" s="692">
        <v>0</v>
      </c>
      <c r="AX86" s="693">
        <v>0</v>
      </c>
      <c r="AY86" s="692">
        <v>0</v>
      </c>
      <c r="AZ86" s="693">
        <v>0</v>
      </c>
      <c r="BA86" s="692">
        <v>0</v>
      </c>
      <c r="BB86" s="693">
        <v>0</v>
      </c>
      <c r="BC86" s="694">
        <v>0</v>
      </c>
      <c r="BD86" s="695">
        <v>0</v>
      </c>
      <c r="BE86" s="692">
        <v>0</v>
      </c>
      <c r="BF86" s="693">
        <v>0</v>
      </c>
      <c r="BG86" s="694">
        <v>0</v>
      </c>
      <c r="BH86" s="693">
        <v>0</v>
      </c>
      <c r="BI86" s="694">
        <v>0</v>
      </c>
      <c r="BJ86" s="693">
        <v>0</v>
      </c>
      <c r="BK86" s="694">
        <v>0</v>
      </c>
      <c r="BL86" s="693">
        <v>0</v>
      </c>
      <c r="BM86" s="694">
        <v>0</v>
      </c>
      <c r="BN86" s="693">
        <v>0</v>
      </c>
      <c r="BO86" s="694">
        <v>0</v>
      </c>
      <c r="BP86" s="693">
        <v>0</v>
      </c>
      <c r="BQ86" s="694">
        <v>0</v>
      </c>
      <c r="BR86" s="693">
        <v>0</v>
      </c>
      <c r="BS86" s="694">
        <v>0</v>
      </c>
      <c r="BT86" s="693">
        <v>0</v>
      </c>
      <c r="BU86" s="694">
        <v>0</v>
      </c>
      <c r="BV86" s="693">
        <v>0</v>
      </c>
      <c r="BW86" s="694">
        <v>0</v>
      </c>
      <c r="BX86" s="693">
        <v>0</v>
      </c>
      <c r="BY86" s="694">
        <v>0</v>
      </c>
      <c r="BZ86" s="693">
        <v>0</v>
      </c>
      <c r="CA86" s="694">
        <v>0</v>
      </c>
      <c r="CB86" s="693">
        <v>0</v>
      </c>
      <c r="CC86" s="692">
        <v>0</v>
      </c>
      <c r="CD86" s="695">
        <v>0</v>
      </c>
      <c r="CE86" s="692">
        <v>0</v>
      </c>
      <c r="CF86" s="695">
        <v>0</v>
      </c>
      <c r="CG86" s="692">
        <v>0</v>
      </c>
      <c r="CH86" s="695">
        <v>0</v>
      </c>
      <c r="CI86" s="692">
        <v>0</v>
      </c>
      <c r="CJ86" s="695">
        <v>0</v>
      </c>
      <c r="CK86" s="692">
        <v>0</v>
      </c>
      <c r="CL86" s="695">
        <v>0</v>
      </c>
      <c r="CM86" s="692">
        <v>0</v>
      </c>
      <c r="CN86" s="695">
        <v>0</v>
      </c>
      <c r="CO86" s="692">
        <v>0</v>
      </c>
      <c r="CP86" s="695">
        <v>0</v>
      </c>
      <c r="CQ86" s="692">
        <v>0</v>
      </c>
      <c r="CR86" s="693">
        <v>0</v>
      </c>
      <c r="CS86" s="692">
        <v>0</v>
      </c>
      <c r="CT86" s="693">
        <v>0</v>
      </c>
      <c r="CU86" s="694">
        <v>0</v>
      </c>
      <c r="CV86" s="693">
        <v>0</v>
      </c>
    </row>
    <row r="87" spans="1:100">
      <c r="A87" s="460">
        <v>85</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v>
      </c>
      <c r="R87" s="580">
        <v>0</v>
      </c>
      <c r="S87" s="580">
        <v>0</v>
      </c>
      <c r="T87" s="580">
        <v>0</v>
      </c>
      <c r="U87" s="580">
        <v>0</v>
      </c>
      <c r="V87" s="580">
        <v>0</v>
      </c>
      <c r="W87" s="595">
        <v>0</v>
      </c>
      <c r="X87" s="688">
        <v>0</v>
      </c>
      <c r="Y87" s="688">
        <v>0</v>
      </c>
      <c r="Z87" s="688">
        <v>0</v>
      </c>
      <c r="AA87" s="688">
        <v>0</v>
      </c>
      <c r="AB87" s="688">
        <v>0</v>
      </c>
      <c r="AC87" s="688">
        <v>0</v>
      </c>
      <c r="AD87" s="688">
        <v>0</v>
      </c>
      <c r="AE87" s="977">
        <v>0</v>
      </c>
      <c r="AF87" s="978">
        <v>0</v>
      </c>
      <c r="AG87" s="979">
        <v>0</v>
      </c>
      <c r="AH87" s="688">
        <v>0</v>
      </c>
      <c r="AI87" s="687">
        <v>0</v>
      </c>
      <c r="AJ87" s="685">
        <v>0</v>
      </c>
      <c r="AK87" s="687">
        <v>0</v>
      </c>
      <c r="AL87" s="689">
        <v>0</v>
      </c>
      <c r="AM87" s="685">
        <v>0</v>
      </c>
      <c r="AN87" s="685">
        <v>0</v>
      </c>
      <c r="AO87" s="689">
        <v>0</v>
      </c>
      <c r="AP87" s="690">
        <v>0.02</v>
      </c>
      <c r="AQ87" s="687">
        <f t="shared" si="23"/>
        <v>7.1428571428571426E-3</v>
      </c>
      <c r="AR87" s="685">
        <v>0</v>
      </c>
      <c r="AS87" s="687">
        <v>0</v>
      </c>
      <c r="AT87" s="691">
        <v>2E-3</v>
      </c>
      <c r="AU87" s="685">
        <v>0</v>
      </c>
      <c r="AV87" s="687">
        <v>0</v>
      </c>
      <c r="AW87" s="692">
        <v>0</v>
      </c>
      <c r="AX87" s="693">
        <v>0</v>
      </c>
      <c r="AY87" s="692">
        <v>0</v>
      </c>
      <c r="AZ87" s="693">
        <v>0</v>
      </c>
      <c r="BA87" s="692">
        <v>0</v>
      </c>
      <c r="BB87" s="693">
        <v>0</v>
      </c>
      <c r="BC87" s="694">
        <v>0</v>
      </c>
      <c r="BD87" s="695">
        <v>0</v>
      </c>
      <c r="BE87" s="692">
        <v>0</v>
      </c>
      <c r="BF87" s="693">
        <v>0</v>
      </c>
      <c r="BG87" s="694">
        <v>0</v>
      </c>
      <c r="BH87" s="693">
        <v>0</v>
      </c>
      <c r="BI87" s="694">
        <v>0</v>
      </c>
      <c r="BJ87" s="693">
        <v>0</v>
      </c>
      <c r="BK87" s="694">
        <v>0</v>
      </c>
      <c r="BL87" s="693">
        <v>0</v>
      </c>
      <c r="BM87" s="694">
        <v>0</v>
      </c>
      <c r="BN87" s="693">
        <v>0</v>
      </c>
      <c r="BO87" s="694">
        <v>0</v>
      </c>
      <c r="BP87" s="693">
        <v>0</v>
      </c>
      <c r="BQ87" s="694">
        <v>0</v>
      </c>
      <c r="BR87" s="693">
        <v>0</v>
      </c>
      <c r="BS87" s="694">
        <v>0</v>
      </c>
      <c r="BT87" s="693">
        <v>0</v>
      </c>
      <c r="BU87" s="694">
        <v>0</v>
      </c>
      <c r="BV87" s="693">
        <v>0</v>
      </c>
      <c r="BW87" s="694">
        <v>0</v>
      </c>
      <c r="BX87" s="693">
        <v>0</v>
      </c>
      <c r="BY87" s="694">
        <v>0</v>
      </c>
      <c r="BZ87" s="693">
        <v>0</v>
      </c>
      <c r="CA87" s="694">
        <v>0</v>
      </c>
      <c r="CB87" s="693">
        <v>0</v>
      </c>
      <c r="CC87" s="692">
        <v>0</v>
      </c>
      <c r="CD87" s="695">
        <v>0</v>
      </c>
      <c r="CE87" s="692">
        <v>0</v>
      </c>
      <c r="CF87" s="695">
        <v>0</v>
      </c>
      <c r="CG87" s="692">
        <v>0</v>
      </c>
      <c r="CH87" s="695">
        <v>0</v>
      </c>
      <c r="CI87" s="692">
        <v>0</v>
      </c>
      <c r="CJ87" s="695">
        <v>0</v>
      </c>
      <c r="CK87" s="692">
        <v>0</v>
      </c>
      <c r="CL87" s="695">
        <v>0</v>
      </c>
      <c r="CM87" s="692">
        <v>0</v>
      </c>
      <c r="CN87" s="695">
        <v>0</v>
      </c>
      <c r="CO87" s="692">
        <v>0</v>
      </c>
      <c r="CP87" s="695">
        <v>0</v>
      </c>
      <c r="CQ87" s="692">
        <v>0</v>
      </c>
      <c r="CR87" s="693">
        <v>0</v>
      </c>
      <c r="CS87" s="692">
        <v>0</v>
      </c>
      <c r="CT87" s="693">
        <v>0</v>
      </c>
      <c r="CU87" s="694">
        <v>0</v>
      </c>
      <c r="CV87" s="693">
        <v>0</v>
      </c>
    </row>
    <row r="88" spans="1:100">
      <c r="A88" s="460">
        <v>86</v>
      </c>
      <c r="B88" s="580">
        <v>0</v>
      </c>
      <c r="C88" s="580">
        <v>0</v>
      </c>
      <c r="D88" s="580">
        <v>0</v>
      </c>
      <c r="E88" s="580">
        <v>0</v>
      </c>
      <c r="F88" s="580">
        <v>0</v>
      </c>
      <c r="G88" s="580">
        <v>0</v>
      </c>
      <c r="H88" s="580">
        <v>0</v>
      </c>
      <c r="I88" s="580">
        <v>0</v>
      </c>
      <c r="J88" s="580">
        <v>0</v>
      </c>
      <c r="K88" s="580">
        <v>0</v>
      </c>
      <c r="L88" s="580">
        <v>0</v>
      </c>
      <c r="M88" s="580">
        <v>0</v>
      </c>
      <c r="N88" s="580">
        <v>0</v>
      </c>
      <c r="O88" s="580">
        <v>0</v>
      </c>
      <c r="P88" s="580">
        <v>0</v>
      </c>
      <c r="Q88" s="580">
        <v>0</v>
      </c>
      <c r="R88" s="580">
        <v>0</v>
      </c>
      <c r="S88" s="580">
        <v>0</v>
      </c>
      <c r="T88" s="580">
        <v>0</v>
      </c>
      <c r="U88" s="580">
        <v>0</v>
      </c>
      <c r="V88" s="580">
        <v>0</v>
      </c>
      <c r="W88" s="595">
        <v>0</v>
      </c>
      <c r="X88" s="688">
        <v>0</v>
      </c>
      <c r="Y88" s="688">
        <v>0</v>
      </c>
      <c r="Z88" s="688">
        <v>0</v>
      </c>
      <c r="AA88" s="688">
        <v>0</v>
      </c>
      <c r="AB88" s="688">
        <v>0</v>
      </c>
      <c r="AC88" s="688">
        <v>0</v>
      </c>
      <c r="AD88" s="688">
        <v>0</v>
      </c>
      <c r="AE88" s="977">
        <v>0</v>
      </c>
      <c r="AF88" s="978">
        <v>0</v>
      </c>
      <c r="AG88" s="979">
        <v>0</v>
      </c>
      <c r="AH88" s="688">
        <v>0</v>
      </c>
      <c r="AI88" s="687">
        <v>0</v>
      </c>
      <c r="AJ88" s="685">
        <v>0</v>
      </c>
      <c r="AK88" s="687">
        <v>0</v>
      </c>
      <c r="AL88" s="689">
        <v>0</v>
      </c>
      <c r="AM88" s="685">
        <v>0</v>
      </c>
      <c r="AN88" s="685">
        <v>0</v>
      </c>
      <c r="AO88" s="689">
        <v>0</v>
      </c>
      <c r="AP88" s="690">
        <v>0.02</v>
      </c>
      <c r="AQ88" s="687">
        <f t="shared" si="23"/>
        <v>7.1428571428571426E-3</v>
      </c>
      <c r="AR88" s="685">
        <v>0</v>
      </c>
      <c r="AS88" s="687">
        <v>0</v>
      </c>
      <c r="AT88" s="691">
        <v>2E-3</v>
      </c>
      <c r="AU88" s="685">
        <v>0</v>
      </c>
      <c r="AV88" s="687">
        <v>0</v>
      </c>
      <c r="AW88" s="692">
        <v>0</v>
      </c>
      <c r="AX88" s="693">
        <v>0</v>
      </c>
      <c r="AY88" s="692">
        <v>0</v>
      </c>
      <c r="AZ88" s="693">
        <v>0</v>
      </c>
      <c r="BA88" s="692">
        <v>0</v>
      </c>
      <c r="BB88" s="693">
        <v>0</v>
      </c>
      <c r="BC88" s="694">
        <v>0</v>
      </c>
      <c r="BD88" s="695">
        <v>0</v>
      </c>
      <c r="BE88" s="692">
        <v>0</v>
      </c>
      <c r="BF88" s="693">
        <v>0</v>
      </c>
      <c r="BG88" s="694">
        <v>0</v>
      </c>
      <c r="BH88" s="693">
        <v>0</v>
      </c>
      <c r="BI88" s="694">
        <v>0</v>
      </c>
      <c r="BJ88" s="693">
        <v>0</v>
      </c>
      <c r="BK88" s="694">
        <v>0</v>
      </c>
      <c r="BL88" s="693">
        <v>0</v>
      </c>
      <c r="BM88" s="694">
        <v>0</v>
      </c>
      <c r="BN88" s="693">
        <v>0</v>
      </c>
      <c r="BO88" s="694">
        <v>0</v>
      </c>
      <c r="BP88" s="693">
        <v>0</v>
      </c>
      <c r="BQ88" s="694">
        <v>0</v>
      </c>
      <c r="BR88" s="693">
        <v>0</v>
      </c>
      <c r="BS88" s="694">
        <v>0</v>
      </c>
      <c r="BT88" s="693">
        <v>0</v>
      </c>
      <c r="BU88" s="694">
        <v>0</v>
      </c>
      <c r="BV88" s="693">
        <v>0</v>
      </c>
      <c r="BW88" s="694">
        <v>0</v>
      </c>
      <c r="BX88" s="693">
        <v>0</v>
      </c>
      <c r="BY88" s="694">
        <v>0</v>
      </c>
      <c r="BZ88" s="693">
        <v>0</v>
      </c>
      <c r="CA88" s="694">
        <v>0</v>
      </c>
      <c r="CB88" s="693">
        <v>0</v>
      </c>
      <c r="CC88" s="692">
        <v>0</v>
      </c>
      <c r="CD88" s="695">
        <v>0</v>
      </c>
      <c r="CE88" s="692">
        <v>0</v>
      </c>
      <c r="CF88" s="695">
        <v>0</v>
      </c>
      <c r="CG88" s="692">
        <v>0</v>
      </c>
      <c r="CH88" s="695">
        <v>0</v>
      </c>
      <c r="CI88" s="692">
        <v>0</v>
      </c>
      <c r="CJ88" s="695">
        <v>0</v>
      </c>
      <c r="CK88" s="692">
        <v>0</v>
      </c>
      <c r="CL88" s="695">
        <v>0</v>
      </c>
      <c r="CM88" s="692">
        <v>0</v>
      </c>
      <c r="CN88" s="695">
        <v>0</v>
      </c>
      <c r="CO88" s="692">
        <v>0</v>
      </c>
      <c r="CP88" s="695">
        <v>0</v>
      </c>
      <c r="CQ88" s="692">
        <v>0</v>
      </c>
      <c r="CR88" s="693">
        <v>0</v>
      </c>
      <c r="CS88" s="692">
        <v>0</v>
      </c>
      <c r="CT88" s="693">
        <v>0</v>
      </c>
      <c r="CU88" s="694">
        <v>0</v>
      </c>
      <c r="CV88" s="693">
        <v>0</v>
      </c>
    </row>
    <row r="89" spans="1:100">
      <c r="A89" s="460">
        <v>87</v>
      </c>
      <c r="B89" s="580">
        <v>0</v>
      </c>
      <c r="C89" s="580">
        <v>0</v>
      </c>
      <c r="D89" s="580">
        <v>0</v>
      </c>
      <c r="E89" s="580">
        <v>0</v>
      </c>
      <c r="F89" s="580">
        <v>0</v>
      </c>
      <c r="G89" s="580">
        <v>0</v>
      </c>
      <c r="H89" s="580">
        <v>0</v>
      </c>
      <c r="I89" s="580">
        <v>0</v>
      </c>
      <c r="J89" s="580">
        <v>0</v>
      </c>
      <c r="K89" s="580">
        <v>0</v>
      </c>
      <c r="L89" s="580">
        <v>0</v>
      </c>
      <c r="M89" s="580">
        <v>0</v>
      </c>
      <c r="N89" s="580">
        <v>0</v>
      </c>
      <c r="O89" s="580">
        <v>0</v>
      </c>
      <c r="P89" s="580">
        <v>0</v>
      </c>
      <c r="Q89" s="580">
        <v>0</v>
      </c>
      <c r="R89" s="580">
        <v>0</v>
      </c>
      <c r="S89" s="580">
        <v>0</v>
      </c>
      <c r="T89" s="580">
        <v>0</v>
      </c>
      <c r="U89" s="580">
        <v>0</v>
      </c>
      <c r="V89" s="580">
        <v>0</v>
      </c>
      <c r="W89" s="595">
        <v>0</v>
      </c>
      <c r="X89" s="688">
        <v>0</v>
      </c>
      <c r="Y89" s="688">
        <v>0</v>
      </c>
      <c r="Z89" s="688">
        <v>0</v>
      </c>
      <c r="AA89" s="688">
        <v>0</v>
      </c>
      <c r="AB89" s="688">
        <v>0</v>
      </c>
      <c r="AC89" s="688">
        <v>0</v>
      </c>
      <c r="AD89" s="688">
        <v>0</v>
      </c>
      <c r="AE89" s="977">
        <v>0</v>
      </c>
      <c r="AF89" s="978">
        <v>0</v>
      </c>
      <c r="AG89" s="979">
        <v>0</v>
      </c>
      <c r="AH89" s="688">
        <v>0</v>
      </c>
      <c r="AI89" s="687">
        <v>0</v>
      </c>
      <c r="AJ89" s="685">
        <v>0</v>
      </c>
      <c r="AK89" s="687">
        <v>0</v>
      </c>
      <c r="AL89" s="689">
        <v>0</v>
      </c>
      <c r="AM89" s="685">
        <v>0</v>
      </c>
      <c r="AN89" s="685">
        <v>0</v>
      </c>
      <c r="AO89" s="689">
        <v>0</v>
      </c>
      <c r="AP89" s="690">
        <v>0.02</v>
      </c>
      <c r="AQ89" s="687">
        <f t="shared" si="23"/>
        <v>7.1428571428571426E-3</v>
      </c>
      <c r="AR89" s="685">
        <v>0</v>
      </c>
      <c r="AS89" s="687">
        <v>0</v>
      </c>
      <c r="AT89" s="691">
        <v>2E-3</v>
      </c>
      <c r="AU89" s="685">
        <v>0</v>
      </c>
      <c r="AV89" s="687">
        <v>0</v>
      </c>
      <c r="AW89" s="692">
        <v>0</v>
      </c>
      <c r="AX89" s="693">
        <v>0</v>
      </c>
      <c r="AY89" s="692">
        <v>0</v>
      </c>
      <c r="AZ89" s="693">
        <v>0</v>
      </c>
      <c r="BA89" s="692">
        <v>0</v>
      </c>
      <c r="BB89" s="693">
        <v>0</v>
      </c>
      <c r="BC89" s="694">
        <v>0</v>
      </c>
      <c r="BD89" s="695">
        <v>0</v>
      </c>
      <c r="BE89" s="692">
        <v>0</v>
      </c>
      <c r="BF89" s="693">
        <v>0</v>
      </c>
      <c r="BG89" s="694">
        <v>0</v>
      </c>
      <c r="BH89" s="693">
        <v>0</v>
      </c>
      <c r="BI89" s="694">
        <v>0</v>
      </c>
      <c r="BJ89" s="693">
        <v>0</v>
      </c>
      <c r="BK89" s="694">
        <v>0</v>
      </c>
      <c r="BL89" s="693">
        <v>0</v>
      </c>
      <c r="BM89" s="694">
        <v>0</v>
      </c>
      <c r="BN89" s="693">
        <v>0</v>
      </c>
      <c r="BO89" s="694">
        <v>0</v>
      </c>
      <c r="BP89" s="693">
        <v>0</v>
      </c>
      <c r="BQ89" s="694">
        <v>0</v>
      </c>
      <c r="BR89" s="693">
        <v>0</v>
      </c>
      <c r="BS89" s="694">
        <v>0</v>
      </c>
      <c r="BT89" s="693">
        <v>0</v>
      </c>
      <c r="BU89" s="694">
        <v>0</v>
      </c>
      <c r="BV89" s="693">
        <v>0</v>
      </c>
      <c r="BW89" s="694">
        <v>0</v>
      </c>
      <c r="BX89" s="693">
        <v>0</v>
      </c>
      <c r="BY89" s="694">
        <v>0</v>
      </c>
      <c r="BZ89" s="693">
        <v>0</v>
      </c>
      <c r="CA89" s="694">
        <v>0</v>
      </c>
      <c r="CB89" s="693">
        <v>0</v>
      </c>
      <c r="CC89" s="692">
        <v>0</v>
      </c>
      <c r="CD89" s="695">
        <v>0</v>
      </c>
      <c r="CE89" s="692">
        <v>0</v>
      </c>
      <c r="CF89" s="695">
        <v>0</v>
      </c>
      <c r="CG89" s="692">
        <v>0</v>
      </c>
      <c r="CH89" s="695">
        <v>0</v>
      </c>
      <c r="CI89" s="692">
        <v>0</v>
      </c>
      <c r="CJ89" s="695">
        <v>0</v>
      </c>
      <c r="CK89" s="692">
        <v>0</v>
      </c>
      <c r="CL89" s="695">
        <v>0</v>
      </c>
      <c r="CM89" s="692">
        <v>0</v>
      </c>
      <c r="CN89" s="695">
        <v>0</v>
      </c>
      <c r="CO89" s="692">
        <v>0</v>
      </c>
      <c r="CP89" s="695">
        <v>0</v>
      </c>
      <c r="CQ89" s="692">
        <v>0</v>
      </c>
      <c r="CR89" s="693">
        <v>0</v>
      </c>
      <c r="CS89" s="692">
        <v>0</v>
      </c>
      <c r="CT89" s="693">
        <v>0</v>
      </c>
      <c r="CU89" s="694">
        <v>0</v>
      </c>
      <c r="CV89" s="693">
        <v>0</v>
      </c>
    </row>
    <row r="90" spans="1:100">
      <c r="A90" s="460">
        <v>88</v>
      </c>
      <c r="B90" s="580">
        <v>0</v>
      </c>
      <c r="C90" s="580">
        <v>0</v>
      </c>
      <c r="D90" s="580">
        <v>0</v>
      </c>
      <c r="E90" s="580">
        <v>0</v>
      </c>
      <c r="F90" s="580">
        <v>0</v>
      </c>
      <c r="G90" s="580">
        <v>0</v>
      </c>
      <c r="H90" s="580">
        <v>0</v>
      </c>
      <c r="I90" s="580">
        <v>0</v>
      </c>
      <c r="J90" s="580">
        <v>0</v>
      </c>
      <c r="K90" s="580">
        <v>0</v>
      </c>
      <c r="L90" s="580">
        <v>0</v>
      </c>
      <c r="M90" s="580">
        <v>0</v>
      </c>
      <c r="N90" s="580">
        <v>0</v>
      </c>
      <c r="O90" s="580">
        <v>0</v>
      </c>
      <c r="P90" s="580">
        <v>0</v>
      </c>
      <c r="Q90" s="580">
        <v>0</v>
      </c>
      <c r="R90" s="580">
        <v>0</v>
      </c>
      <c r="S90" s="580">
        <v>0</v>
      </c>
      <c r="T90" s="580">
        <v>0</v>
      </c>
      <c r="U90" s="580">
        <v>0</v>
      </c>
      <c r="V90" s="580">
        <v>0</v>
      </c>
      <c r="W90" s="595">
        <v>0</v>
      </c>
      <c r="X90" s="688">
        <v>0</v>
      </c>
      <c r="Y90" s="688">
        <v>0</v>
      </c>
      <c r="Z90" s="688">
        <v>0</v>
      </c>
      <c r="AA90" s="688">
        <v>0</v>
      </c>
      <c r="AB90" s="688">
        <v>0</v>
      </c>
      <c r="AC90" s="688">
        <v>0</v>
      </c>
      <c r="AD90" s="688">
        <v>0</v>
      </c>
      <c r="AE90" s="977">
        <v>0</v>
      </c>
      <c r="AF90" s="978">
        <v>0</v>
      </c>
      <c r="AG90" s="979">
        <v>0</v>
      </c>
      <c r="AH90" s="688">
        <v>0</v>
      </c>
      <c r="AI90" s="687">
        <v>0</v>
      </c>
      <c r="AJ90" s="685">
        <v>0</v>
      </c>
      <c r="AK90" s="687">
        <v>0</v>
      </c>
      <c r="AL90" s="689">
        <v>0</v>
      </c>
      <c r="AM90" s="685">
        <v>0</v>
      </c>
      <c r="AN90" s="685">
        <v>0</v>
      </c>
      <c r="AO90" s="689">
        <v>0</v>
      </c>
      <c r="AP90" s="690">
        <v>0.02</v>
      </c>
      <c r="AQ90" s="687">
        <f t="shared" si="23"/>
        <v>7.1428571428571426E-3</v>
      </c>
      <c r="AR90" s="685">
        <v>0</v>
      </c>
      <c r="AS90" s="687">
        <v>0</v>
      </c>
      <c r="AT90" s="691">
        <v>2E-3</v>
      </c>
      <c r="AU90" s="685">
        <v>0</v>
      </c>
      <c r="AV90" s="687">
        <v>0</v>
      </c>
      <c r="AW90" s="692">
        <v>0</v>
      </c>
      <c r="AX90" s="693">
        <v>0</v>
      </c>
      <c r="AY90" s="692">
        <v>0</v>
      </c>
      <c r="AZ90" s="693">
        <v>0</v>
      </c>
      <c r="BA90" s="692">
        <v>0</v>
      </c>
      <c r="BB90" s="693">
        <v>0</v>
      </c>
      <c r="BC90" s="694">
        <v>0</v>
      </c>
      <c r="BD90" s="695">
        <v>0</v>
      </c>
      <c r="BE90" s="692">
        <v>0</v>
      </c>
      <c r="BF90" s="693">
        <v>0</v>
      </c>
      <c r="BG90" s="694">
        <v>0</v>
      </c>
      <c r="BH90" s="693">
        <v>0</v>
      </c>
      <c r="BI90" s="694">
        <v>0</v>
      </c>
      <c r="BJ90" s="693">
        <v>0</v>
      </c>
      <c r="BK90" s="694">
        <v>0</v>
      </c>
      <c r="BL90" s="693">
        <v>0</v>
      </c>
      <c r="BM90" s="694">
        <v>0</v>
      </c>
      <c r="BN90" s="693">
        <v>0</v>
      </c>
      <c r="BO90" s="694">
        <v>0</v>
      </c>
      <c r="BP90" s="693">
        <v>0</v>
      </c>
      <c r="BQ90" s="694">
        <v>0</v>
      </c>
      <c r="BR90" s="693">
        <v>0</v>
      </c>
      <c r="BS90" s="694">
        <v>0</v>
      </c>
      <c r="BT90" s="693">
        <v>0</v>
      </c>
      <c r="BU90" s="694">
        <v>0</v>
      </c>
      <c r="BV90" s="693">
        <v>0</v>
      </c>
      <c r="BW90" s="694">
        <v>0</v>
      </c>
      <c r="BX90" s="693">
        <v>0</v>
      </c>
      <c r="BY90" s="694">
        <v>0</v>
      </c>
      <c r="BZ90" s="693">
        <v>0</v>
      </c>
      <c r="CA90" s="694">
        <v>0</v>
      </c>
      <c r="CB90" s="693">
        <v>0</v>
      </c>
      <c r="CC90" s="692">
        <v>0</v>
      </c>
      <c r="CD90" s="695">
        <v>0</v>
      </c>
      <c r="CE90" s="692">
        <v>0</v>
      </c>
      <c r="CF90" s="695">
        <v>0</v>
      </c>
      <c r="CG90" s="692">
        <v>0</v>
      </c>
      <c r="CH90" s="695">
        <v>0</v>
      </c>
      <c r="CI90" s="692">
        <v>0</v>
      </c>
      <c r="CJ90" s="695">
        <v>0</v>
      </c>
      <c r="CK90" s="692">
        <v>0</v>
      </c>
      <c r="CL90" s="695">
        <v>0</v>
      </c>
      <c r="CM90" s="692">
        <v>0</v>
      </c>
      <c r="CN90" s="695">
        <v>0</v>
      </c>
      <c r="CO90" s="692">
        <v>0</v>
      </c>
      <c r="CP90" s="695">
        <v>0</v>
      </c>
      <c r="CQ90" s="692">
        <v>0</v>
      </c>
      <c r="CR90" s="693">
        <v>0</v>
      </c>
      <c r="CS90" s="692">
        <v>0</v>
      </c>
      <c r="CT90" s="693">
        <v>0</v>
      </c>
      <c r="CU90" s="694">
        <v>0</v>
      </c>
      <c r="CV90" s="693">
        <v>0</v>
      </c>
    </row>
    <row r="91" spans="1:100">
      <c r="A91" s="460">
        <v>89</v>
      </c>
      <c r="B91" s="580">
        <v>0</v>
      </c>
      <c r="C91" s="580">
        <v>0</v>
      </c>
      <c r="D91" s="580">
        <v>0</v>
      </c>
      <c r="E91" s="580">
        <v>0</v>
      </c>
      <c r="F91" s="580">
        <v>0</v>
      </c>
      <c r="G91" s="580">
        <v>0</v>
      </c>
      <c r="H91" s="580">
        <v>0</v>
      </c>
      <c r="I91" s="580">
        <v>0</v>
      </c>
      <c r="J91" s="580">
        <v>0</v>
      </c>
      <c r="K91" s="580">
        <v>0</v>
      </c>
      <c r="L91" s="580">
        <v>0</v>
      </c>
      <c r="M91" s="580">
        <v>0</v>
      </c>
      <c r="N91" s="580">
        <v>0</v>
      </c>
      <c r="O91" s="580">
        <v>0</v>
      </c>
      <c r="P91" s="580">
        <v>0</v>
      </c>
      <c r="Q91" s="580">
        <v>0</v>
      </c>
      <c r="R91" s="580">
        <v>0</v>
      </c>
      <c r="S91" s="580">
        <v>0</v>
      </c>
      <c r="T91" s="580">
        <v>0</v>
      </c>
      <c r="U91" s="580">
        <v>0</v>
      </c>
      <c r="V91" s="580">
        <v>0</v>
      </c>
      <c r="W91" s="595">
        <v>0</v>
      </c>
      <c r="X91" s="688">
        <v>0</v>
      </c>
      <c r="Y91" s="688">
        <v>0</v>
      </c>
      <c r="Z91" s="688">
        <v>0</v>
      </c>
      <c r="AA91" s="688">
        <v>0</v>
      </c>
      <c r="AB91" s="688">
        <v>0</v>
      </c>
      <c r="AC91" s="688">
        <v>0</v>
      </c>
      <c r="AD91" s="688">
        <v>0</v>
      </c>
      <c r="AE91" s="977">
        <v>0</v>
      </c>
      <c r="AF91" s="978">
        <v>0</v>
      </c>
      <c r="AG91" s="979">
        <v>0</v>
      </c>
      <c r="AH91" s="688">
        <v>0</v>
      </c>
      <c r="AI91" s="687">
        <v>0</v>
      </c>
      <c r="AJ91" s="685">
        <v>0</v>
      </c>
      <c r="AK91" s="687">
        <v>0</v>
      </c>
      <c r="AL91" s="689">
        <v>0</v>
      </c>
      <c r="AM91" s="685">
        <v>0</v>
      </c>
      <c r="AN91" s="685">
        <v>0</v>
      </c>
      <c r="AO91" s="689">
        <v>0</v>
      </c>
      <c r="AP91" s="690">
        <v>0.02</v>
      </c>
      <c r="AQ91" s="687">
        <f t="shared" si="23"/>
        <v>7.1428571428571426E-3</v>
      </c>
      <c r="AR91" s="685">
        <v>0</v>
      </c>
      <c r="AS91" s="687">
        <v>0</v>
      </c>
      <c r="AT91" s="691">
        <v>2E-3</v>
      </c>
      <c r="AU91" s="685">
        <v>0</v>
      </c>
      <c r="AV91" s="687">
        <v>0</v>
      </c>
      <c r="AW91" s="692">
        <v>0</v>
      </c>
      <c r="AX91" s="693">
        <v>0</v>
      </c>
      <c r="AY91" s="692">
        <v>0</v>
      </c>
      <c r="AZ91" s="693">
        <v>0</v>
      </c>
      <c r="BA91" s="692">
        <v>0</v>
      </c>
      <c r="BB91" s="693">
        <v>0</v>
      </c>
      <c r="BC91" s="694">
        <v>0</v>
      </c>
      <c r="BD91" s="695">
        <v>0</v>
      </c>
      <c r="BE91" s="692">
        <v>0</v>
      </c>
      <c r="BF91" s="693">
        <v>0</v>
      </c>
      <c r="BG91" s="694">
        <v>0</v>
      </c>
      <c r="BH91" s="693">
        <v>0</v>
      </c>
      <c r="BI91" s="694">
        <v>0</v>
      </c>
      <c r="BJ91" s="693">
        <v>0</v>
      </c>
      <c r="BK91" s="694">
        <v>0</v>
      </c>
      <c r="BL91" s="693">
        <v>0</v>
      </c>
      <c r="BM91" s="694">
        <v>0</v>
      </c>
      <c r="BN91" s="693">
        <v>0</v>
      </c>
      <c r="BO91" s="694">
        <v>0</v>
      </c>
      <c r="BP91" s="693">
        <v>0</v>
      </c>
      <c r="BQ91" s="694">
        <v>0</v>
      </c>
      <c r="BR91" s="693">
        <v>0</v>
      </c>
      <c r="BS91" s="694">
        <v>0</v>
      </c>
      <c r="BT91" s="693">
        <v>0</v>
      </c>
      <c r="BU91" s="694">
        <v>0</v>
      </c>
      <c r="BV91" s="693">
        <v>0</v>
      </c>
      <c r="BW91" s="694">
        <v>0</v>
      </c>
      <c r="BX91" s="693">
        <v>0</v>
      </c>
      <c r="BY91" s="694">
        <v>0</v>
      </c>
      <c r="BZ91" s="693">
        <v>0</v>
      </c>
      <c r="CA91" s="694">
        <v>0</v>
      </c>
      <c r="CB91" s="693">
        <v>0</v>
      </c>
      <c r="CC91" s="692">
        <v>0</v>
      </c>
      <c r="CD91" s="695">
        <v>0</v>
      </c>
      <c r="CE91" s="692">
        <v>0</v>
      </c>
      <c r="CF91" s="695">
        <v>0</v>
      </c>
      <c r="CG91" s="692">
        <v>0</v>
      </c>
      <c r="CH91" s="695">
        <v>0</v>
      </c>
      <c r="CI91" s="692">
        <v>0</v>
      </c>
      <c r="CJ91" s="695">
        <v>0</v>
      </c>
      <c r="CK91" s="692">
        <v>0</v>
      </c>
      <c r="CL91" s="695">
        <v>0</v>
      </c>
      <c r="CM91" s="692">
        <v>0</v>
      </c>
      <c r="CN91" s="695">
        <v>0</v>
      </c>
      <c r="CO91" s="692">
        <v>0</v>
      </c>
      <c r="CP91" s="695">
        <v>0</v>
      </c>
      <c r="CQ91" s="692">
        <v>0</v>
      </c>
      <c r="CR91" s="693">
        <v>0</v>
      </c>
      <c r="CS91" s="692">
        <v>0</v>
      </c>
      <c r="CT91" s="693">
        <v>0</v>
      </c>
      <c r="CU91" s="694">
        <v>0</v>
      </c>
      <c r="CV91" s="693">
        <v>0</v>
      </c>
    </row>
    <row r="92" spans="1:100">
      <c r="A92" s="460">
        <v>90</v>
      </c>
      <c r="B92" s="580">
        <v>0</v>
      </c>
      <c r="C92" s="580">
        <v>0</v>
      </c>
      <c r="D92" s="580">
        <v>0</v>
      </c>
      <c r="E92" s="580">
        <v>0</v>
      </c>
      <c r="F92" s="580">
        <v>0</v>
      </c>
      <c r="G92" s="580">
        <v>0</v>
      </c>
      <c r="H92" s="580">
        <v>0</v>
      </c>
      <c r="I92" s="580">
        <v>0</v>
      </c>
      <c r="J92" s="580">
        <v>0</v>
      </c>
      <c r="K92" s="580">
        <v>0</v>
      </c>
      <c r="L92" s="580">
        <v>0</v>
      </c>
      <c r="M92" s="580">
        <v>0</v>
      </c>
      <c r="N92" s="580">
        <v>0</v>
      </c>
      <c r="O92" s="580">
        <v>0</v>
      </c>
      <c r="P92" s="580">
        <v>0</v>
      </c>
      <c r="Q92" s="580">
        <v>0</v>
      </c>
      <c r="R92" s="580">
        <v>0</v>
      </c>
      <c r="S92" s="580">
        <v>0</v>
      </c>
      <c r="T92" s="580">
        <v>0</v>
      </c>
      <c r="U92" s="580">
        <v>0</v>
      </c>
      <c r="V92" s="580">
        <v>0</v>
      </c>
      <c r="W92" s="595">
        <v>0</v>
      </c>
      <c r="X92" s="688">
        <v>0</v>
      </c>
      <c r="Y92" s="688">
        <v>0</v>
      </c>
      <c r="Z92" s="688">
        <v>0</v>
      </c>
      <c r="AA92" s="688">
        <v>0</v>
      </c>
      <c r="AB92" s="688">
        <v>0</v>
      </c>
      <c r="AC92" s="688">
        <v>0</v>
      </c>
      <c r="AD92" s="688">
        <v>0</v>
      </c>
      <c r="AE92" s="977">
        <v>0</v>
      </c>
      <c r="AF92" s="978">
        <v>0</v>
      </c>
      <c r="AG92" s="979">
        <v>0</v>
      </c>
      <c r="AH92" s="688">
        <v>0</v>
      </c>
      <c r="AI92" s="687">
        <v>0</v>
      </c>
      <c r="AJ92" s="685">
        <v>0</v>
      </c>
      <c r="AK92" s="687">
        <v>0</v>
      </c>
      <c r="AL92" s="689">
        <v>0</v>
      </c>
      <c r="AM92" s="685">
        <v>0</v>
      </c>
      <c r="AN92" s="685">
        <v>0</v>
      </c>
      <c r="AO92" s="689">
        <v>0</v>
      </c>
      <c r="AP92" s="690">
        <v>0.02</v>
      </c>
      <c r="AQ92" s="687">
        <f t="shared" si="23"/>
        <v>7.1428571428571426E-3</v>
      </c>
      <c r="AR92" s="685">
        <v>0</v>
      </c>
      <c r="AS92" s="687">
        <v>0</v>
      </c>
      <c r="AT92" s="691">
        <v>2E-3</v>
      </c>
      <c r="AU92" s="685">
        <v>0</v>
      </c>
      <c r="AV92" s="687">
        <v>0</v>
      </c>
      <c r="AW92" s="692">
        <v>0</v>
      </c>
      <c r="AX92" s="693">
        <v>0</v>
      </c>
      <c r="AY92" s="692">
        <v>0</v>
      </c>
      <c r="AZ92" s="693">
        <v>0</v>
      </c>
      <c r="BA92" s="692">
        <v>0</v>
      </c>
      <c r="BB92" s="693">
        <v>0</v>
      </c>
      <c r="BC92" s="694">
        <v>0</v>
      </c>
      <c r="BD92" s="695">
        <v>0</v>
      </c>
      <c r="BE92" s="692">
        <v>0</v>
      </c>
      <c r="BF92" s="693">
        <v>0</v>
      </c>
      <c r="BG92" s="694">
        <v>0</v>
      </c>
      <c r="BH92" s="693">
        <v>0</v>
      </c>
      <c r="BI92" s="694">
        <v>0</v>
      </c>
      <c r="BJ92" s="693">
        <v>0</v>
      </c>
      <c r="BK92" s="694">
        <v>0</v>
      </c>
      <c r="BL92" s="693">
        <v>0</v>
      </c>
      <c r="BM92" s="694">
        <v>0</v>
      </c>
      <c r="BN92" s="693">
        <v>0</v>
      </c>
      <c r="BO92" s="694">
        <v>0</v>
      </c>
      <c r="BP92" s="693">
        <v>0</v>
      </c>
      <c r="BQ92" s="694">
        <v>0</v>
      </c>
      <c r="BR92" s="693">
        <v>0</v>
      </c>
      <c r="BS92" s="694">
        <v>0</v>
      </c>
      <c r="BT92" s="693">
        <v>0</v>
      </c>
      <c r="BU92" s="694">
        <v>0</v>
      </c>
      <c r="BV92" s="693">
        <v>0</v>
      </c>
      <c r="BW92" s="694">
        <v>0</v>
      </c>
      <c r="BX92" s="693">
        <v>0</v>
      </c>
      <c r="BY92" s="694">
        <v>0</v>
      </c>
      <c r="BZ92" s="693">
        <v>0</v>
      </c>
      <c r="CA92" s="694">
        <v>0</v>
      </c>
      <c r="CB92" s="693">
        <v>0</v>
      </c>
      <c r="CC92" s="692">
        <v>0</v>
      </c>
      <c r="CD92" s="695">
        <v>0</v>
      </c>
      <c r="CE92" s="692">
        <v>0</v>
      </c>
      <c r="CF92" s="695">
        <v>0</v>
      </c>
      <c r="CG92" s="692">
        <v>0</v>
      </c>
      <c r="CH92" s="695">
        <v>0</v>
      </c>
      <c r="CI92" s="692">
        <v>0</v>
      </c>
      <c r="CJ92" s="695">
        <v>0</v>
      </c>
      <c r="CK92" s="692">
        <v>0</v>
      </c>
      <c r="CL92" s="695">
        <v>0</v>
      </c>
      <c r="CM92" s="692">
        <v>0</v>
      </c>
      <c r="CN92" s="695">
        <v>0</v>
      </c>
      <c r="CO92" s="692">
        <v>0</v>
      </c>
      <c r="CP92" s="695">
        <v>0</v>
      </c>
      <c r="CQ92" s="692">
        <v>0</v>
      </c>
      <c r="CR92" s="693">
        <v>0</v>
      </c>
      <c r="CS92" s="692">
        <v>0</v>
      </c>
      <c r="CT92" s="693">
        <v>0</v>
      </c>
      <c r="CU92" s="694">
        <v>0</v>
      </c>
      <c r="CV92" s="693">
        <v>0</v>
      </c>
    </row>
    <row r="93" spans="1:100">
      <c r="A93" s="460">
        <v>91</v>
      </c>
      <c r="B93" s="580">
        <v>0</v>
      </c>
      <c r="C93" s="580">
        <v>0</v>
      </c>
      <c r="D93" s="580">
        <v>0</v>
      </c>
      <c r="E93" s="580">
        <v>0</v>
      </c>
      <c r="F93" s="580">
        <v>0</v>
      </c>
      <c r="G93" s="580">
        <v>0</v>
      </c>
      <c r="H93" s="580">
        <v>0</v>
      </c>
      <c r="I93" s="580">
        <v>0</v>
      </c>
      <c r="J93" s="580">
        <v>0</v>
      </c>
      <c r="K93" s="580">
        <v>0</v>
      </c>
      <c r="L93" s="580">
        <v>0</v>
      </c>
      <c r="M93" s="580">
        <v>0</v>
      </c>
      <c r="N93" s="580">
        <v>0</v>
      </c>
      <c r="O93" s="580">
        <v>0</v>
      </c>
      <c r="P93" s="580">
        <v>0</v>
      </c>
      <c r="Q93" s="580">
        <v>0</v>
      </c>
      <c r="R93" s="580">
        <v>0</v>
      </c>
      <c r="S93" s="580">
        <v>0</v>
      </c>
      <c r="T93" s="580">
        <v>0</v>
      </c>
      <c r="U93" s="580">
        <v>0</v>
      </c>
      <c r="V93" s="580">
        <v>0</v>
      </c>
      <c r="W93" s="595">
        <v>0</v>
      </c>
      <c r="X93" s="688">
        <v>0</v>
      </c>
      <c r="Y93" s="688">
        <v>0</v>
      </c>
      <c r="Z93" s="688">
        <v>0</v>
      </c>
      <c r="AA93" s="688">
        <v>0</v>
      </c>
      <c r="AB93" s="688">
        <v>0</v>
      </c>
      <c r="AC93" s="688">
        <v>0</v>
      </c>
      <c r="AD93" s="688">
        <v>0</v>
      </c>
      <c r="AE93" s="977">
        <v>0</v>
      </c>
      <c r="AF93" s="978">
        <v>0</v>
      </c>
      <c r="AG93" s="979">
        <v>0</v>
      </c>
      <c r="AH93" s="688">
        <v>0</v>
      </c>
      <c r="AI93" s="687">
        <v>0</v>
      </c>
      <c r="AJ93" s="685">
        <v>0</v>
      </c>
      <c r="AK93" s="687">
        <v>0</v>
      </c>
      <c r="AL93" s="689">
        <v>0</v>
      </c>
      <c r="AM93" s="685">
        <v>0</v>
      </c>
      <c r="AN93" s="685">
        <v>0</v>
      </c>
      <c r="AO93" s="689">
        <v>0</v>
      </c>
      <c r="AP93" s="690">
        <v>0.02</v>
      </c>
      <c r="AQ93" s="687">
        <f t="shared" si="23"/>
        <v>7.1428571428571426E-3</v>
      </c>
      <c r="AR93" s="685">
        <v>0</v>
      </c>
      <c r="AS93" s="687">
        <v>0</v>
      </c>
      <c r="AT93" s="691">
        <v>2E-3</v>
      </c>
      <c r="AU93" s="685">
        <v>0</v>
      </c>
      <c r="AV93" s="687">
        <v>0</v>
      </c>
      <c r="AW93" s="692">
        <v>0</v>
      </c>
      <c r="AX93" s="693">
        <v>0</v>
      </c>
      <c r="AY93" s="692">
        <v>0</v>
      </c>
      <c r="AZ93" s="693">
        <v>0</v>
      </c>
      <c r="BA93" s="692">
        <v>0</v>
      </c>
      <c r="BB93" s="693">
        <v>0</v>
      </c>
      <c r="BC93" s="694">
        <v>0</v>
      </c>
      <c r="BD93" s="695">
        <v>0</v>
      </c>
      <c r="BE93" s="692">
        <v>0</v>
      </c>
      <c r="BF93" s="693">
        <v>0</v>
      </c>
      <c r="BG93" s="694">
        <v>0</v>
      </c>
      <c r="BH93" s="693">
        <v>0</v>
      </c>
      <c r="BI93" s="694">
        <v>0</v>
      </c>
      <c r="BJ93" s="693">
        <v>0</v>
      </c>
      <c r="BK93" s="694">
        <v>0</v>
      </c>
      <c r="BL93" s="693">
        <v>0</v>
      </c>
      <c r="BM93" s="694">
        <v>0</v>
      </c>
      <c r="BN93" s="693">
        <v>0</v>
      </c>
      <c r="BO93" s="694">
        <v>0</v>
      </c>
      <c r="BP93" s="693">
        <v>0</v>
      </c>
      <c r="BQ93" s="694">
        <v>0</v>
      </c>
      <c r="BR93" s="693">
        <v>0</v>
      </c>
      <c r="BS93" s="694">
        <v>0</v>
      </c>
      <c r="BT93" s="693">
        <v>0</v>
      </c>
      <c r="BU93" s="694">
        <v>0</v>
      </c>
      <c r="BV93" s="693">
        <v>0</v>
      </c>
      <c r="BW93" s="694">
        <v>0</v>
      </c>
      <c r="BX93" s="693">
        <v>0</v>
      </c>
      <c r="BY93" s="694">
        <v>0</v>
      </c>
      <c r="BZ93" s="693">
        <v>0</v>
      </c>
      <c r="CA93" s="694">
        <v>0</v>
      </c>
      <c r="CB93" s="693">
        <v>0</v>
      </c>
      <c r="CC93" s="692">
        <v>0</v>
      </c>
      <c r="CD93" s="695">
        <v>0</v>
      </c>
      <c r="CE93" s="692">
        <v>0</v>
      </c>
      <c r="CF93" s="695">
        <v>0</v>
      </c>
      <c r="CG93" s="692">
        <v>0</v>
      </c>
      <c r="CH93" s="695">
        <v>0</v>
      </c>
      <c r="CI93" s="692">
        <v>0</v>
      </c>
      <c r="CJ93" s="695">
        <v>0</v>
      </c>
      <c r="CK93" s="692">
        <v>0</v>
      </c>
      <c r="CL93" s="695">
        <v>0</v>
      </c>
      <c r="CM93" s="692">
        <v>0</v>
      </c>
      <c r="CN93" s="695">
        <v>0</v>
      </c>
      <c r="CO93" s="692">
        <v>0</v>
      </c>
      <c r="CP93" s="695">
        <v>0</v>
      </c>
      <c r="CQ93" s="692">
        <v>0</v>
      </c>
      <c r="CR93" s="693">
        <v>0</v>
      </c>
      <c r="CS93" s="692">
        <v>0</v>
      </c>
      <c r="CT93" s="693">
        <v>0</v>
      </c>
      <c r="CU93" s="694">
        <v>0</v>
      </c>
      <c r="CV93" s="693">
        <v>0</v>
      </c>
    </row>
    <row r="94" spans="1:100">
      <c r="A94" s="460">
        <v>92</v>
      </c>
      <c r="B94" s="580">
        <v>0</v>
      </c>
      <c r="C94" s="580">
        <v>0</v>
      </c>
      <c r="D94" s="580">
        <v>0</v>
      </c>
      <c r="E94" s="580">
        <v>0</v>
      </c>
      <c r="F94" s="580">
        <v>0</v>
      </c>
      <c r="G94" s="580">
        <v>0</v>
      </c>
      <c r="H94" s="580">
        <v>0</v>
      </c>
      <c r="I94" s="580">
        <v>0</v>
      </c>
      <c r="J94" s="580">
        <v>0</v>
      </c>
      <c r="K94" s="580">
        <v>0</v>
      </c>
      <c r="L94" s="580">
        <v>0</v>
      </c>
      <c r="M94" s="580">
        <v>0</v>
      </c>
      <c r="N94" s="580">
        <v>0</v>
      </c>
      <c r="O94" s="580">
        <v>0</v>
      </c>
      <c r="P94" s="580">
        <v>0</v>
      </c>
      <c r="Q94" s="580">
        <v>0</v>
      </c>
      <c r="R94" s="580">
        <v>0</v>
      </c>
      <c r="S94" s="580">
        <v>0</v>
      </c>
      <c r="T94" s="580">
        <v>0</v>
      </c>
      <c r="U94" s="580">
        <v>0</v>
      </c>
      <c r="V94" s="580">
        <v>0</v>
      </c>
      <c r="W94" s="595">
        <v>0</v>
      </c>
      <c r="X94" s="688">
        <v>0</v>
      </c>
      <c r="Y94" s="688">
        <v>0</v>
      </c>
      <c r="Z94" s="688">
        <v>0</v>
      </c>
      <c r="AA94" s="688">
        <v>0</v>
      </c>
      <c r="AB94" s="688">
        <v>0</v>
      </c>
      <c r="AC94" s="688">
        <v>0</v>
      </c>
      <c r="AD94" s="688">
        <v>0</v>
      </c>
      <c r="AE94" s="977">
        <v>0</v>
      </c>
      <c r="AF94" s="978">
        <v>0</v>
      </c>
      <c r="AG94" s="979">
        <v>0</v>
      </c>
      <c r="AH94" s="688">
        <v>0</v>
      </c>
      <c r="AI94" s="687">
        <v>0</v>
      </c>
      <c r="AJ94" s="685">
        <v>0</v>
      </c>
      <c r="AK94" s="687">
        <v>0</v>
      </c>
      <c r="AL94" s="689">
        <v>0</v>
      </c>
      <c r="AM94" s="685">
        <v>0</v>
      </c>
      <c r="AN94" s="685">
        <v>0</v>
      </c>
      <c r="AO94" s="689">
        <v>0</v>
      </c>
      <c r="AP94" s="690">
        <v>0.02</v>
      </c>
      <c r="AQ94" s="687">
        <f t="shared" si="23"/>
        <v>7.1428571428571426E-3</v>
      </c>
      <c r="AR94" s="685">
        <v>0</v>
      </c>
      <c r="AS94" s="687">
        <v>0</v>
      </c>
      <c r="AT94" s="691">
        <v>2E-3</v>
      </c>
      <c r="AU94" s="685">
        <v>0</v>
      </c>
      <c r="AV94" s="687">
        <v>0</v>
      </c>
      <c r="AW94" s="692">
        <v>0</v>
      </c>
      <c r="AX94" s="693">
        <v>0</v>
      </c>
      <c r="AY94" s="692">
        <v>0</v>
      </c>
      <c r="AZ94" s="693">
        <v>0</v>
      </c>
      <c r="BA94" s="692">
        <v>0</v>
      </c>
      <c r="BB94" s="693">
        <v>0</v>
      </c>
      <c r="BC94" s="694">
        <v>0</v>
      </c>
      <c r="BD94" s="695">
        <v>0</v>
      </c>
      <c r="BE94" s="692">
        <v>0</v>
      </c>
      <c r="BF94" s="693">
        <v>0</v>
      </c>
      <c r="BG94" s="694">
        <v>0</v>
      </c>
      <c r="BH94" s="693">
        <v>0</v>
      </c>
      <c r="BI94" s="694">
        <v>0</v>
      </c>
      <c r="BJ94" s="693">
        <v>0</v>
      </c>
      <c r="BK94" s="694">
        <v>0</v>
      </c>
      <c r="BL94" s="693">
        <v>0</v>
      </c>
      <c r="BM94" s="694">
        <v>0</v>
      </c>
      <c r="BN94" s="693">
        <v>0</v>
      </c>
      <c r="BO94" s="694">
        <v>0</v>
      </c>
      <c r="BP94" s="693">
        <v>0</v>
      </c>
      <c r="BQ94" s="694">
        <v>0</v>
      </c>
      <c r="BR94" s="693">
        <v>0</v>
      </c>
      <c r="BS94" s="694">
        <v>0</v>
      </c>
      <c r="BT94" s="693">
        <v>0</v>
      </c>
      <c r="BU94" s="694">
        <v>0</v>
      </c>
      <c r="BV94" s="693">
        <v>0</v>
      </c>
      <c r="BW94" s="694">
        <v>0</v>
      </c>
      <c r="BX94" s="693">
        <v>0</v>
      </c>
      <c r="BY94" s="694">
        <v>0</v>
      </c>
      <c r="BZ94" s="693">
        <v>0</v>
      </c>
      <c r="CA94" s="694">
        <v>0</v>
      </c>
      <c r="CB94" s="693">
        <v>0</v>
      </c>
      <c r="CC94" s="692">
        <v>0</v>
      </c>
      <c r="CD94" s="695">
        <v>0</v>
      </c>
      <c r="CE94" s="692">
        <v>0</v>
      </c>
      <c r="CF94" s="695">
        <v>0</v>
      </c>
      <c r="CG94" s="692">
        <v>0</v>
      </c>
      <c r="CH94" s="695">
        <v>0</v>
      </c>
      <c r="CI94" s="692">
        <v>0</v>
      </c>
      <c r="CJ94" s="695">
        <v>0</v>
      </c>
      <c r="CK94" s="692">
        <v>0</v>
      </c>
      <c r="CL94" s="695">
        <v>0</v>
      </c>
      <c r="CM94" s="692">
        <v>0</v>
      </c>
      <c r="CN94" s="695">
        <v>0</v>
      </c>
      <c r="CO94" s="692">
        <v>0</v>
      </c>
      <c r="CP94" s="695">
        <v>0</v>
      </c>
      <c r="CQ94" s="692">
        <v>0</v>
      </c>
      <c r="CR94" s="693">
        <v>0</v>
      </c>
      <c r="CS94" s="692">
        <v>0</v>
      </c>
      <c r="CT94" s="693">
        <v>0</v>
      </c>
      <c r="CU94" s="694">
        <v>0</v>
      </c>
      <c r="CV94" s="693">
        <v>0</v>
      </c>
    </row>
    <row r="95" spans="1:100">
      <c r="A95" s="460">
        <v>93</v>
      </c>
      <c r="B95" s="580">
        <v>0</v>
      </c>
      <c r="C95" s="580">
        <v>0</v>
      </c>
      <c r="D95" s="580">
        <v>0</v>
      </c>
      <c r="E95" s="580">
        <v>0</v>
      </c>
      <c r="F95" s="580">
        <v>0</v>
      </c>
      <c r="G95" s="580">
        <v>0</v>
      </c>
      <c r="H95" s="580">
        <v>0</v>
      </c>
      <c r="I95" s="580">
        <v>0</v>
      </c>
      <c r="J95" s="580">
        <v>0</v>
      </c>
      <c r="K95" s="580">
        <v>0</v>
      </c>
      <c r="L95" s="580">
        <v>0</v>
      </c>
      <c r="M95" s="580">
        <v>0</v>
      </c>
      <c r="N95" s="580">
        <v>0</v>
      </c>
      <c r="O95" s="580">
        <v>0</v>
      </c>
      <c r="P95" s="580">
        <v>0</v>
      </c>
      <c r="Q95" s="580">
        <v>0</v>
      </c>
      <c r="R95" s="580">
        <v>0</v>
      </c>
      <c r="S95" s="580">
        <v>0</v>
      </c>
      <c r="T95" s="580">
        <v>0</v>
      </c>
      <c r="U95" s="580">
        <v>0</v>
      </c>
      <c r="V95" s="580">
        <v>0</v>
      </c>
      <c r="W95" s="595">
        <v>0</v>
      </c>
      <c r="X95" s="688">
        <v>0</v>
      </c>
      <c r="Y95" s="688">
        <v>0</v>
      </c>
      <c r="Z95" s="688">
        <v>0</v>
      </c>
      <c r="AA95" s="688">
        <v>0</v>
      </c>
      <c r="AB95" s="688">
        <v>0</v>
      </c>
      <c r="AC95" s="688">
        <v>0</v>
      </c>
      <c r="AD95" s="688">
        <v>0</v>
      </c>
      <c r="AE95" s="977">
        <v>0</v>
      </c>
      <c r="AF95" s="978">
        <v>0</v>
      </c>
      <c r="AG95" s="979">
        <v>0</v>
      </c>
      <c r="AH95" s="688">
        <v>0</v>
      </c>
      <c r="AI95" s="687">
        <v>0</v>
      </c>
      <c r="AJ95" s="685">
        <v>0</v>
      </c>
      <c r="AK95" s="687">
        <v>0</v>
      </c>
      <c r="AL95" s="689">
        <v>0</v>
      </c>
      <c r="AM95" s="685">
        <v>0</v>
      </c>
      <c r="AN95" s="685">
        <v>0</v>
      </c>
      <c r="AO95" s="689">
        <v>0</v>
      </c>
      <c r="AP95" s="690">
        <v>0.02</v>
      </c>
      <c r="AQ95" s="687">
        <f t="shared" si="23"/>
        <v>7.1428571428571426E-3</v>
      </c>
      <c r="AR95" s="685">
        <v>0</v>
      </c>
      <c r="AS95" s="687">
        <v>0</v>
      </c>
      <c r="AT95" s="691">
        <v>2E-3</v>
      </c>
      <c r="AU95" s="685">
        <v>0</v>
      </c>
      <c r="AV95" s="687">
        <v>0</v>
      </c>
      <c r="AW95" s="692">
        <v>0</v>
      </c>
      <c r="AX95" s="693">
        <v>0</v>
      </c>
      <c r="AY95" s="692">
        <v>0</v>
      </c>
      <c r="AZ95" s="693">
        <v>0</v>
      </c>
      <c r="BA95" s="692">
        <v>0</v>
      </c>
      <c r="BB95" s="693">
        <v>0</v>
      </c>
      <c r="BC95" s="694">
        <v>0</v>
      </c>
      <c r="BD95" s="695">
        <v>0</v>
      </c>
      <c r="BE95" s="692">
        <v>0</v>
      </c>
      <c r="BF95" s="693">
        <v>0</v>
      </c>
      <c r="BG95" s="694">
        <v>0</v>
      </c>
      <c r="BH95" s="693">
        <v>0</v>
      </c>
      <c r="BI95" s="694">
        <v>0</v>
      </c>
      <c r="BJ95" s="693">
        <v>0</v>
      </c>
      <c r="BK95" s="694">
        <v>0</v>
      </c>
      <c r="BL95" s="693">
        <v>0</v>
      </c>
      <c r="BM95" s="694">
        <v>0</v>
      </c>
      <c r="BN95" s="693">
        <v>0</v>
      </c>
      <c r="BO95" s="694">
        <v>0</v>
      </c>
      <c r="BP95" s="693">
        <v>0</v>
      </c>
      <c r="BQ95" s="694">
        <v>0</v>
      </c>
      <c r="BR95" s="693">
        <v>0</v>
      </c>
      <c r="BS95" s="694">
        <v>0</v>
      </c>
      <c r="BT95" s="693">
        <v>0</v>
      </c>
      <c r="BU95" s="694">
        <v>0</v>
      </c>
      <c r="BV95" s="693">
        <v>0</v>
      </c>
      <c r="BW95" s="694">
        <v>0</v>
      </c>
      <c r="BX95" s="693">
        <v>0</v>
      </c>
      <c r="BY95" s="694">
        <v>0</v>
      </c>
      <c r="BZ95" s="693">
        <v>0</v>
      </c>
      <c r="CA95" s="694">
        <v>0</v>
      </c>
      <c r="CB95" s="693">
        <v>0</v>
      </c>
      <c r="CC95" s="692">
        <v>0</v>
      </c>
      <c r="CD95" s="695">
        <v>0</v>
      </c>
      <c r="CE95" s="692">
        <v>0</v>
      </c>
      <c r="CF95" s="695">
        <v>0</v>
      </c>
      <c r="CG95" s="692">
        <v>0</v>
      </c>
      <c r="CH95" s="695">
        <v>0</v>
      </c>
      <c r="CI95" s="692">
        <v>0</v>
      </c>
      <c r="CJ95" s="695">
        <v>0</v>
      </c>
      <c r="CK95" s="692">
        <v>0</v>
      </c>
      <c r="CL95" s="695">
        <v>0</v>
      </c>
      <c r="CM95" s="692">
        <v>0</v>
      </c>
      <c r="CN95" s="695">
        <v>0</v>
      </c>
      <c r="CO95" s="692">
        <v>0</v>
      </c>
      <c r="CP95" s="695">
        <v>0</v>
      </c>
      <c r="CQ95" s="692">
        <v>0</v>
      </c>
      <c r="CR95" s="693">
        <v>0</v>
      </c>
      <c r="CS95" s="692">
        <v>0</v>
      </c>
      <c r="CT95" s="693">
        <v>0</v>
      </c>
      <c r="CU95" s="694">
        <v>0</v>
      </c>
      <c r="CV95" s="693">
        <v>0</v>
      </c>
    </row>
    <row r="96" spans="1:100">
      <c r="A96" s="460">
        <v>94</v>
      </c>
      <c r="B96" s="580">
        <v>0</v>
      </c>
      <c r="C96" s="580">
        <v>0</v>
      </c>
      <c r="D96" s="580">
        <v>0</v>
      </c>
      <c r="E96" s="580">
        <v>0</v>
      </c>
      <c r="F96" s="580">
        <v>0</v>
      </c>
      <c r="G96" s="580">
        <v>0</v>
      </c>
      <c r="H96" s="580">
        <v>0</v>
      </c>
      <c r="I96" s="580">
        <v>0</v>
      </c>
      <c r="J96" s="580">
        <v>0</v>
      </c>
      <c r="K96" s="580">
        <v>0</v>
      </c>
      <c r="L96" s="580">
        <v>0</v>
      </c>
      <c r="M96" s="580">
        <v>0</v>
      </c>
      <c r="N96" s="580">
        <v>0</v>
      </c>
      <c r="O96" s="580">
        <v>0</v>
      </c>
      <c r="P96" s="580">
        <v>0</v>
      </c>
      <c r="Q96" s="580">
        <v>0</v>
      </c>
      <c r="R96" s="580">
        <v>0</v>
      </c>
      <c r="S96" s="580">
        <v>0</v>
      </c>
      <c r="T96" s="580">
        <v>0</v>
      </c>
      <c r="U96" s="580">
        <v>0</v>
      </c>
      <c r="V96" s="580">
        <v>0</v>
      </c>
      <c r="W96" s="595">
        <v>0</v>
      </c>
      <c r="X96" s="688">
        <v>0</v>
      </c>
      <c r="Y96" s="688">
        <v>0</v>
      </c>
      <c r="Z96" s="688">
        <v>0</v>
      </c>
      <c r="AA96" s="688">
        <v>0</v>
      </c>
      <c r="AB96" s="688">
        <v>0</v>
      </c>
      <c r="AC96" s="688">
        <v>0</v>
      </c>
      <c r="AD96" s="688">
        <v>0</v>
      </c>
      <c r="AE96" s="977">
        <v>0</v>
      </c>
      <c r="AF96" s="978">
        <v>0</v>
      </c>
      <c r="AG96" s="979">
        <v>0</v>
      </c>
      <c r="AH96" s="688">
        <v>0</v>
      </c>
      <c r="AI96" s="687">
        <v>0</v>
      </c>
      <c r="AJ96" s="685">
        <v>0</v>
      </c>
      <c r="AK96" s="687">
        <v>0</v>
      </c>
      <c r="AL96" s="689">
        <v>0</v>
      </c>
      <c r="AM96" s="685">
        <v>0</v>
      </c>
      <c r="AN96" s="685">
        <v>0</v>
      </c>
      <c r="AO96" s="689">
        <v>0</v>
      </c>
      <c r="AP96" s="690">
        <v>0.02</v>
      </c>
      <c r="AQ96" s="687">
        <f t="shared" si="23"/>
        <v>7.1428571428571426E-3</v>
      </c>
      <c r="AR96" s="685">
        <v>0</v>
      </c>
      <c r="AS96" s="687">
        <v>0</v>
      </c>
      <c r="AT96" s="691">
        <v>2E-3</v>
      </c>
      <c r="AU96" s="685">
        <v>0</v>
      </c>
      <c r="AV96" s="687">
        <v>0</v>
      </c>
      <c r="AW96" s="692">
        <v>0</v>
      </c>
      <c r="AX96" s="693">
        <v>0</v>
      </c>
      <c r="AY96" s="692">
        <v>0</v>
      </c>
      <c r="AZ96" s="693">
        <v>0</v>
      </c>
      <c r="BA96" s="692">
        <v>0</v>
      </c>
      <c r="BB96" s="693">
        <v>0</v>
      </c>
      <c r="BC96" s="694">
        <v>0</v>
      </c>
      <c r="BD96" s="695">
        <v>0</v>
      </c>
      <c r="BE96" s="692">
        <v>0</v>
      </c>
      <c r="BF96" s="693">
        <v>0</v>
      </c>
      <c r="BG96" s="694">
        <v>0</v>
      </c>
      <c r="BH96" s="693">
        <v>0</v>
      </c>
      <c r="BI96" s="694">
        <v>0</v>
      </c>
      <c r="BJ96" s="693">
        <v>0</v>
      </c>
      <c r="BK96" s="694">
        <v>0</v>
      </c>
      <c r="BL96" s="693">
        <v>0</v>
      </c>
      <c r="BM96" s="694">
        <v>0</v>
      </c>
      <c r="BN96" s="693">
        <v>0</v>
      </c>
      <c r="BO96" s="694">
        <v>0</v>
      </c>
      <c r="BP96" s="693">
        <v>0</v>
      </c>
      <c r="BQ96" s="694">
        <v>0</v>
      </c>
      <c r="BR96" s="693">
        <v>0</v>
      </c>
      <c r="BS96" s="694">
        <v>0</v>
      </c>
      <c r="BT96" s="693">
        <v>0</v>
      </c>
      <c r="BU96" s="694">
        <v>0</v>
      </c>
      <c r="BV96" s="693">
        <v>0</v>
      </c>
      <c r="BW96" s="694">
        <v>0</v>
      </c>
      <c r="BX96" s="693">
        <v>0</v>
      </c>
      <c r="BY96" s="694">
        <v>0</v>
      </c>
      <c r="BZ96" s="693">
        <v>0</v>
      </c>
      <c r="CA96" s="694">
        <v>0</v>
      </c>
      <c r="CB96" s="693">
        <v>0</v>
      </c>
      <c r="CC96" s="692">
        <v>0</v>
      </c>
      <c r="CD96" s="695">
        <v>0</v>
      </c>
      <c r="CE96" s="692">
        <v>0</v>
      </c>
      <c r="CF96" s="695">
        <v>0</v>
      </c>
      <c r="CG96" s="692">
        <v>0</v>
      </c>
      <c r="CH96" s="695">
        <v>0</v>
      </c>
      <c r="CI96" s="692">
        <v>0</v>
      </c>
      <c r="CJ96" s="695">
        <v>0</v>
      </c>
      <c r="CK96" s="692">
        <v>0</v>
      </c>
      <c r="CL96" s="695">
        <v>0</v>
      </c>
      <c r="CM96" s="692">
        <v>0</v>
      </c>
      <c r="CN96" s="695">
        <v>0</v>
      </c>
      <c r="CO96" s="692">
        <v>0</v>
      </c>
      <c r="CP96" s="695">
        <v>0</v>
      </c>
      <c r="CQ96" s="692">
        <v>0</v>
      </c>
      <c r="CR96" s="693">
        <v>0</v>
      </c>
      <c r="CS96" s="692">
        <v>0</v>
      </c>
      <c r="CT96" s="693">
        <v>0</v>
      </c>
      <c r="CU96" s="694">
        <v>0</v>
      </c>
      <c r="CV96" s="693">
        <v>0</v>
      </c>
    </row>
    <row r="97" spans="1:100">
      <c r="A97" s="460">
        <v>95</v>
      </c>
      <c r="B97" s="580">
        <v>0</v>
      </c>
      <c r="C97" s="580">
        <v>0</v>
      </c>
      <c r="D97" s="580">
        <v>0</v>
      </c>
      <c r="E97" s="580">
        <v>0</v>
      </c>
      <c r="F97" s="580">
        <v>0</v>
      </c>
      <c r="G97" s="580">
        <v>0</v>
      </c>
      <c r="H97" s="580">
        <v>0</v>
      </c>
      <c r="I97" s="580">
        <v>0</v>
      </c>
      <c r="J97" s="580">
        <v>0</v>
      </c>
      <c r="K97" s="580">
        <v>0</v>
      </c>
      <c r="L97" s="580">
        <v>0</v>
      </c>
      <c r="M97" s="580">
        <v>0</v>
      </c>
      <c r="N97" s="580">
        <v>0</v>
      </c>
      <c r="O97" s="580">
        <v>0</v>
      </c>
      <c r="P97" s="580">
        <v>0</v>
      </c>
      <c r="Q97" s="580">
        <v>0</v>
      </c>
      <c r="R97" s="580">
        <v>0</v>
      </c>
      <c r="S97" s="580">
        <v>0</v>
      </c>
      <c r="T97" s="580">
        <v>0</v>
      </c>
      <c r="U97" s="580">
        <v>0</v>
      </c>
      <c r="V97" s="580">
        <v>0</v>
      </c>
      <c r="W97" s="595">
        <v>0</v>
      </c>
      <c r="X97" s="688">
        <v>0</v>
      </c>
      <c r="Y97" s="688">
        <v>0</v>
      </c>
      <c r="Z97" s="688">
        <v>0</v>
      </c>
      <c r="AA97" s="688">
        <v>0</v>
      </c>
      <c r="AB97" s="688">
        <v>0</v>
      </c>
      <c r="AC97" s="688">
        <v>0</v>
      </c>
      <c r="AD97" s="688">
        <v>0</v>
      </c>
      <c r="AE97" s="977">
        <v>0</v>
      </c>
      <c r="AF97" s="978">
        <v>0</v>
      </c>
      <c r="AG97" s="979">
        <v>0</v>
      </c>
      <c r="AH97" s="688">
        <v>0</v>
      </c>
      <c r="AI97" s="687">
        <v>0</v>
      </c>
      <c r="AJ97" s="685">
        <v>0</v>
      </c>
      <c r="AK97" s="687">
        <v>0</v>
      </c>
      <c r="AL97" s="689">
        <v>0</v>
      </c>
      <c r="AM97" s="685">
        <v>0</v>
      </c>
      <c r="AN97" s="685">
        <v>0</v>
      </c>
      <c r="AO97" s="689">
        <v>0</v>
      </c>
      <c r="AP97" s="690">
        <v>0.02</v>
      </c>
      <c r="AQ97" s="687">
        <f t="shared" si="23"/>
        <v>7.1428571428571426E-3</v>
      </c>
      <c r="AR97" s="685">
        <v>0</v>
      </c>
      <c r="AS97" s="687">
        <v>0</v>
      </c>
      <c r="AT97" s="691">
        <v>2E-3</v>
      </c>
      <c r="AU97" s="685">
        <v>0</v>
      </c>
      <c r="AV97" s="687">
        <v>0</v>
      </c>
      <c r="AW97" s="692">
        <v>0</v>
      </c>
      <c r="AX97" s="693">
        <v>0</v>
      </c>
      <c r="AY97" s="692">
        <v>0</v>
      </c>
      <c r="AZ97" s="693">
        <v>0</v>
      </c>
      <c r="BA97" s="692">
        <v>0</v>
      </c>
      <c r="BB97" s="693">
        <v>0</v>
      </c>
      <c r="BC97" s="694">
        <v>0</v>
      </c>
      <c r="BD97" s="695">
        <v>0</v>
      </c>
      <c r="BE97" s="692">
        <v>0</v>
      </c>
      <c r="BF97" s="693">
        <v>0</v>
      </c>
      <c r="BG97" s="694">
        <v>0</v>
      </c>
      <c r="BH97" s="693">
        <v>0</v>
      </c>
      <c r="BI97" s="694">
        <v>0</v>
      </c>
      <c r="BJ97" s="693">
        <v>0</v>
      </c>
      <c r="BK97" s="694">
        <v>0</v>
      </c>
      <c r="BL97" s="693">
        <v>0</v>
      </c>
      <c r="BM97" s="694">
        <v>0</v>
      </c>
      <c r="BN97" s="693">
        <v>0</v>
      </c>
      <c r="BO97" s="694">
        <v>0</v>
      </c>
      <c r="BP97" s="693">
        <v>0</v>
      </c>
      <c r="BQ97" s="694">
        <v>0</v>
      </c>
      <c r="BR97" s="693">
        <v>0</v>
      </c>
      <c r="BS97" s="694">
        <v>0</v>
      </c>
      <c r="BT97" s="693">
        <v>0</v>
      </c>
      <c r="BU97" s="694">
        <v>0</v>
      </c>
      <c r="BV97" s="693">
        <v>0</v>
      </c>
      <c r="BW97" s="694">
        <v>0</v>
      </c>
      <c r="BX97" s="693">
        <v>0</v>
      </c>
      <c r="BY97" s="694">
        <v>0</v>
      </c>
      <c r="BZ97" s="693">
        <v>0</v>
      </c>
      <c r="CA97" s="694">
        <v>0</v>
      </c>
      <c r="CB97" s="693">
        <v>0</v>
      </c>
      <c r="CC97" s="692">
        <v>0</v>
      </c>
      <c r="CD97" s="695">
        <v>0</v>
      </c>
      <c r="CE97" s="692">
        <v>0</v>
      </c>
      <c r="CF97" s="695">
        <v>0</v>
      </c>
      <c r="CG97" s="692">
        <v>0</v>
      </c>
      <c r="CH97" s="695">
        <v>0</v>
      </c>
      <c r="CI97" s="692">
        <v>0</v>
      </c>
      <c r="CJ97" s="695">
        <v>0</v>
      </c>
      <c r="CK97" s="692">
        <v>0</v>
      </c>
      <c r="CL97" s="695">
        <v>0</v>
      </c>
      <c r="CM97" s="692">
        <v>0</v>
      </c>
      <c r="CN97" s="695">
        <v>0</v>
      </c>
      <c r="CO97" s="692">
        <v>0</v>
      </c>
      <c r="CP97" s="695">
        <v>0</v>
      </c>
      <c r="CQ97" s="692">
        <v>0</v>
      </c>
      <c r="CR97" s="693">
        <v>0</v>
      </c>
      <c r="CS97" s="692">
        <v>0</v>
      </c>
      <c r="CT97" s="693">
        <v>0</v>
      </c>
      <c r="CU97" s="694">
        <v>0</v>
      </c>
      <c r="CV97" s="693">
        <v>0</v>
      </c>
    </row>
    <row r="98" spans="1:100">
      <c r="A98" s="460">
        <v>96</v>
      </c>
      <c r="B98" s="580">
        <v>0</v>
      </c>
      <c r="C98" s="580">
        <v>0</v>
      </c>
      <c r="D98" s="580">
        <v>0</v>
      </c>
      <c r="E98" s="580">
        <v>0</v>
      </c>
      <c r="F98" s="580">
        <v>0</v>
      </c>
      <c r="G98" s="580">
        <v>0</v>
      </c>
      <c r="H98" s="580">
        <v>0</v>
      </c>
      <c r="I98" s="580">
        <v>0</v>
      </c>
      <c r="J98" s="580">
        <v>0</v>
      </c>
      <c r="K98" s="580">
        <v>0</v>
      </c>
      <c r="L98" s="580">
        <v>0</v>
      </c>
      <c r="M98" s="580">
        <v>0</v>
      </c>
      <c r="N98" s="580">
        <v>0</v>
      </c>
      <c r="O98" s="580">
        <v>0</v>
      </c>
      <c r="P98" s="580">
        <v>0</v>
      </c>
      <c r="Q98" s="580">
        <v>0</v>
      </c>
      <c r="R98" s="580">
        <v>0</v>
      </c>
      <c r="S98" s="580">
        <v>0</v>
      </c>
      <c r="T98" s="580">
        <v>0</v>
      </c>
      <c r="U98" s="580">
        <v>0</v>
      </c>
      <c r="V98" s="580">
        <v>0</v>
      </c>
      <c r="W98" s="595">
        <v>0</v>
      </c>
      <c r="X98" s="688">
        <v>0</v>
      </c>
      <c r="Y98" s="688">
        <v>0</v>
      </c>
      <c r="Z98" s="688">
        <v>0</v>
      </c>
      <c r="AA98" s="688">
        <v>0</v>
      </c>
      <c r="AB98" s="688">
        <v>0</v>
      </c>
      <c r="AC98" s="688">
        <v>0</v>
      </c>
      <c r="AD98" s="688">
        <v>0</v>
      </c>
      <c r="AE98" s="977">
        <v>0</v>
      </c>
      <c r="AF98" s="978">
        <v>0</v>
      </c>
      <c r="AG98" s="979">
        <v>0</v>
      </c>
      <c r="AH98" s="688">
        <v>0</v>
      </c>
      <c r="AI98" s="687">
        <v>0</v>
      </c>
      <c r="AJ98" s="685">
        <v>0</v>
      </c>
      <c r="AK98" s="687">
        <v>0</v>
      </c>
      <c r="AL98" s="689">
        <v>0</v>
      </c>
      <c r="AM98" s="685">
        <v>0</v>
      </c>
      <c r="AN98" s="685">
        <v>0</v>
      </c>
      <c r="AO98" s="689">
        <v>0</v>
      </c>
      <c r="AP98" s="690">
        <v>0.02</v>
      </c>
      <c r="AQ98" s="687">
        <f t="shared" si="23"/>
        <v>7.1428571428571426E-3</v>
      </c>
      <c r="AR98" s="685">
        <v>0</v>
      </c>
      <c r="AS98" s="687">
        <v>0</v>
      </c>
      <c r="AT98" s="691">
        <v>2E-3</v>
      </c>
      <c r="AU98" s="685">
        <v>0</v>
      </c>
      <c r="AV98" s="687">
        <v>0</v>
      </c>
      <c r="AW98" s="692">
        <v>0</v>
      </c>
      <c r="AX98" s="693">
        <v>0</v>
      </c>
      <c r="AY98" s="692">
        <v>0</v>
      </c>
      <c r="AZ98" s="693">
        <v>0</v>
      </c>
      <c r="BA98" s="692">
        <v>0</v>
      </c>
      <c r="BB98" s="693">
        <v>0</v>
      </c>
      <c r="BC98" s="694">
        <v>0</v>
      </c>
      <c r="BD98" s="695">
        <v>0</v>
      </c>
      <c r="BE98" s="692">
        <v>0</v>
      </c>
      <c r="BF98" s="693">
        <v>0</v>
      </c>
      <c r="BG98" s="694">
        <v>0</v>
      </c>
      <c r="BH98" s="693">
        <v>0</v>
      </c>
      <c r="BI98" s="694">
        <v>0</v>
      </c>
      <c r="BJ98" s="693">
        <v>0</v>
      </c>
      <c r="BK98" s="694">
        <v>0</v>
      </c>
      <c r="BL98" s="693">
        <v>0</v>
      </c>
      <c r="BM98" s="694">
        <v>0</v>
      </c>
      <c r="BN98" s="693">
        <v>0</v>
      </c>
      <c r="BO98" s="694">
        <v>0</v>
      </c>
      <c r="BP98" s="693">
        <v>0</v>
      </c>
      <c r="BQ98" s="694">
        <v>0</v>
      </c>
      <c r="BR98" s="693">
        <v>0</v>
      </c>
      <c r="BS98" s="694">
        <v>0</v>
      </c>
      <c r="BT98" s="693">
        <v>0</v>
      </c>
      <c r="BU98" s="694">
        <v>0</v>
      </c>
      <c r="BV98" s="693">
        <v>0</v>
      </c>
      <c r="BW98" s="694">
        <v>0</v>
      </c>
      <c r="BX98" s="693">
        <v>0</v>
      </c>
      <c r="BY98" s="694">
        <v>0</v>
      </c>
      <c r="BZ98" s="693">
        <v>0</v>
      </c>
      <c r="CA98" s="694">
        <v>0</v>
      </c>
      <c r="CB98" s="693">
        <v>0</v>
      </c>
      <c r="CC98" s="692">
        <v>0</v>
      </c>
      <c r="CD98" s="695">
        <v>0</v>
      </c>
      <c r="CE98" s="692">
        <v>0</v>
      </c>
      <c r="CF98" s="695">
        <v>0</v>
      </c>
      <c r="CG98" s="692">
        <v>0</v>
      </c>
      <c r="CH98" s="695">
        <v>0</v>
      </c>
      <c r="CI98" s="692">
        <v>0</v>
      </c>
      <c r="CJ98" s="695">
        <v>0</v>
      </c>
      <c r="CK98" s="692">
        <v>0</v>
      </c>
      <c r="CL98" s="695">
        <v>0</v>
      </c>
      <c r="CM98" s="692">
        <v>0</v>
      </c>
      <c r="CN98" s="695">
        <v>0</v>
      </c>
      <c r="CO98" s="692">
        <v>0</v>
      </c>
      <c r="CP98" s="695">
        <v>0</v>
      </c>
      <c r="CQ98" s="692">
        <v>0</v>
      </c>
      <c r="CR98" s="693">
        <v>0</v>
      </c>
      <c r="CS98" s="692">
        <v>0</v>
      </c>
      <c r="CT98" s="693">
        <v>0</v>
      </c>
      <c r="CU98" s="694">
        <v>0</v>
      </c>
      <c r="CV98" s="693">
        <v>0</v>
      </c>
    </row>
    <row r="99" spans="1:100">
      <c r="A99" s="460">
        <v>97</v>
      </c>
      <c r="B99" s="580">
        <v>0</v>
      </c>
      <c r="C99" s="580">
        <v>0</v>
      </c>
      <c r="D99" s="580">
        <v>0</v>
      </c>
      <c r="E99" s="580">
        <v>0</v>
      </c>
      <c r="F99" s="580">
        <v>0</v>
      </c>
      <c r="G99" s="580">
        <v>0</v>
      </c>
      <c r="H99" s="580">
        <v>0</v>
      </c>
      <c r="I99" s="580">
        <v>0</v>
      </c>
      <c r="J99" s="580">
        <v>0</v>
      </c>
      <c r="K99" s="580">
        <v>0</v>
      </c>
      <c r="L99" s="580">
        <v>0</v>
      </c>
      <c r="M99" s="580">
        <v>0</v>
      </c>
      <c r="N99" s="580">
        <v>0</v>
      </c>
      <c r="O99" s="580">
        <v>0</v>
      </c>
      <c r="P99" s="580">
        <v>0</v>
      </c>
      <c r="Q99" s="580">
        <v>0</v>
      </c>
      <c r="R99" s="580">
        <v>0</v>
      </c>
      <c r="S99" s="580">
        <v>0</v>
      </c>
      <c r="T99" s="580">
        <v>0</v>
      </c>
      <c r="U99" s="580">
        <v>0</v>
      </c>
      <c r="V99" s="580">
        <v>0</v>
      </c>
      <c r="W99" s="595">
        <v>0</v>
      </c>
      <c r="X99" s="688">
        <v>0</v>
      </c>
      <c r="Y99" s="688">
        <v>0</v>
      </c>
      <c r="Z99" s="688">
        <v>0</v>
      </c>
      <c r="AA99" s="688">
        <v>0</v>
      </c>
      <c r="AB99" s="688">
        <v>0</v>
      </c>
      <c r="AC99" s="688">
        <v>0</v>
      </c>
      <c r="AD99" s="688">
        <v>0</v>
      </c>
      <c r="AE99" s="977">
        <v>0</v>
      </c>
      <c r="AF99" s="978">
        <v>0</v>
      </c>
      <c r="AG99" s="979">
        <v>0</v>
      </c>
      <c r="AH99" s="688">
        <v>0</v>
      </c>
      <c r="AI99" s="687">
        <v>0</v>
      </c>
      <c r="AJ99" s="685">
        <v>0</v>
      </c>
      <c r="AK99" s="687">
        <v>0</v>
      </c>
      <c r="AL99" s="689">
        <v>0</v>
      </c>
      <c r="AM99" s="685">
        <v>0</v>
      </c>
      <c r="AN99" s="685">
        <v>0</v>
      </c>
      <c r="AO99" s="689">
        <v>0</v>
      </c>
      <c r="AP99" s="690">
        <v>0.02</v>
      </c>
      <c r="AQ99" s="687">
        <f t="shared" si="23"/>
        <v>7.1428571428571426E-3</v>
      </c>
      <c r="AR99" s="685">
        <v>0</v>
      </c>
      <c r="AS99" s="687">
        <v>0</v>
      </c>
      <c r="AT99" s="691">
        <v>2E-3</v>
      </c>
      <c r="AU99" s="685">
        <v>0</v>
      </c>
      <c r="AV99" s="687">
        <v>0</v>
      </c>
      <c r="AW99" s="692">
        <v>0</v>
      </c>
      <c r="AX99" s="693">
        <v>0</v>
      </c>
      <c r="AY99" s="692">
        <v>0</v>
      </c>
      <c r="AZ99" s="693">
        <v>0</v>
      </c>
      <c r="BA99" s="692">
        <v>0</v>
      </c>
      <c r="BB99" s="693">
        <v>0</v>
      </c>
      <c r="BC99" s="694">
        <v>0</v>
      </c>
      <c r="BD99" s="695">
        <v>0</v>
      </c>
      <c r="BE99" s="692">
        <v>0</v>
      </c>
      <c r="BF99" s="693">
        <v>0</v>
      </c>
      <c r="BG99" s="694">
        <v>0</v>
      </c>
      <c r="BH99" s="693">
        <v>0</v>
      </c>
      <c r="BI99" s="694">
        <v>0</v>
      </c>
      <c r="BJ99" s="693">
        <v>0</v>
      </c>
      <c r="BK99" s="694">
        <v>0</v>
      </c>
      <c r="BL99" s="693">
        <v>0</v>
      </c>
      <c r="BM99" s="694">
        <v>0</v>
      </c>
      <c r="BN99" s="693">
        <v>0</v>
      </c>
      <c r="BO99" s="694">
        <v>0</v>
      </c>
      <c r="BP99" s="693">
        <v>0</v>
      </c>
      <c r="BQ99" s="694">
        <v>0</v>
      </c>
      <c r="BR99" s="693">
        <v>0</v>
      </c>
      <c r="BS99" s="694">
        <v>0</v>
      </c>
      <c r="BT99" s="693">
        <v>0</v>
      </c>
      <c r="BU99" s="694">
        <v>0</v>
      </c>
      <c r="BV99" s="693">
        <v>0</v>
      </c>
      <c r="BW99" s="694">
        <v>0</v>
      </c>
      <c r="BX99" s="693">
        <v>0</v>
      </c>
      <c r="BY99" s="694">
        <v>0</v>
      </c>
      <c r="BZ99" s="693">
        <v>0</v>
      </c>
      <c r="CA99" s="694">
        <v>0</v>
      </c>
      <c r="CB99" s="693">
        <v>0</v>
      </c>
      <c r="CC99" s="692">
        <v>0</v>
      </c>
      <c r="CD99" s="695">
        <v>0</v>
      </c>
      <c r="CE99" s="692">
        <v>0</v>
      </c>
      <c r="CF99" s="695">
        <v>0</v>
      </c>
      <c r="CG99" s="692">
        <v>0</v>
      </c>
      <c r="CH99" s="695">
        <v>0</v>
      </c>
      <c r="CI99" s="692">
        <v>0</v>
      </c>
      <c r="CJ99" s="695">
        <v>0</v>
      </c>
      <c r="CK99" s="692">
        <v>0</v>
      </c>
      <c r="CL99" s="695">
        <v>0</v>
      </c>
      <c r="CM99" s="692">
        <v>0</v>
      </c>
      <c r="CN99" s="695">
        <v>0</v>
      </c>
      <c r="CO99" s="692">
        <v>0</v>
      </c>
      <c r="CP99" s="695">
        <v>0</v>
      </c>
      <c r="CQ99" s="692">
        <v>0</v>
      </c>
      <c r="CR99" s="693">
        <v>0</v>
      </c>
      <c r="CS99" s="692">
        <v>0</v>
      </c>
      <c r="CT99" s="693">
        <v>0</v>
      </c>
      <c r="CU99" s="694">
        <v>0</v>
      </c>
      <c r="CV99" s="693">
        <v>0</v>
      </c>
    </row>
    <row r="100" spans="1:100">
      <c r="A100" s="460">
        <v>98</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95">
        <v>0</v>
      </c>
      <c r="X100" s="688">
        <v>0</v>
      </c>
      <c r="Y100" s="688">
        <v>0</v>
      </c>
      <c r="Z100" s="688">
        <v>0</v>
      </c>
      <c r="AA100" s="688">
        <v>0</v>
      </c>
      <c r="AB100" s="688">
        <v>0</v>
      </c>
      <c r="AC100" s="688">
        <v>0</v>
      </c>
      <c r="AD100" s="688">
        <v>0</v>
      </c>
      <c r="AE100" s="977">
        <v>0</v>
      </c>
      <c r="AF100" s="978">
        <v>0</v>
      </c>
      <c r="AG100" s="979">
        <v>0</v>
      </c>
      <c r="AH100" s="688">
        <v>0</v>
      </c>
      <c r="AI100" s="687">
        <v>0</v>
      </c>
      <c r="AJ100" s="685">
        <v>0</v>
      </c>
      <c r="AK100" s="687">
        <v>0</v>
      </c>
      <c r="AL100" s="689">
        <v>0</v>
      </c>
      <c r="AM100" s="685">
        <v>0</v>
      </c>
      <c r="AN100" s="685">
        <v>0</v>
      </c>
      <c r="AO100" s="689">
        <v>0</v>
      </c>
      <c r="AP100" s="690">
        <v>0.02</v>
      </c>
      <c r="AQ100" s="687">
        <f t="shared" si="23"/>
        <v>7.1428571428571426E-3</v>
      </c>
      <c r="AR100" s="685">
        <v>0</v>
      </c>
      <c r="AS100" s="687">
        <v>0</v>
      </c>
      <c r="AT100" s="691">
        <v>2E-3</v>
      </c>
      <c r="AU100" s="685">
        <v>0</v>
      </c>
      <c r="AV100" s="687">
        <v>0</v>
      </c>
      <c r="AW100" s="692">
        <v>0</v>
      </c>
      <c r="AX100" s="693">
        <v>0</v>
      </c>
      <c r="AY100" s="692">
        <v>0</v>
      </c>
      <c r="AZ100" s="693">
        <v>0</v>
      </c>
      <c r="BA100" s="692">
        <v>0</v>
      </c>
      <c r="BB100" s="693">
        <v>0</v>
      </c>
      <c r="BC100" s="694">
        <v>0</v>
      </c>
      <c r="BD100" s="695">
        <v>0</v>
      </c>
      <c r="BE100" s="692">
        <v>0</v>
      </c>
      <c r="BF100" s="693">
        <v>0</v>
      </c>
      <c r="BG100" s="694">
        <v>0</v>
      </c>
      <c r="BH100" s="693">
        <v>0</v>
      </c>
      <c r="BI100" s="694">
        <v>0</v>
      </c>
      <c r="BJ100" s="693">
        <v>0</v>
      </c>
      <c r="BK100" s="694">
        <v>0</v>
      </c>
      <c r="BL100" s="693">
        <v>0</v>
      </c>
      <c r="BM100" s="694">
        <v>0</v>
      </c>
      <c r="BN100" s="693">
        <v>0</v>
      </c>
      <c r="BO100" s="694">
        <v>0</v>
      </c>
      <c r="BP100" s="693">
        <v>0</v>
      </c>
      <c r="BQ100" s="694">
        <v>0</v>
      </c>
      <c r="BR100" s="693">
        <v>0</v>
      </c>
      <c r="BS100" s="694">
        <v>0</v>
      </c>
      <c r="BT100" s="693">
        <v>0</v>
      </c>
      <c r="BU100" s="694">
        <v>0</v>
      </c>
      <c r="BV100" s="693">
        <v>0</v>
      </c>
      <c r="BW100" s="694">
        <v>0</v>
      </c>
      <c r="BX100" s="693">
        <v>0</v>
      </c>
      <c r="BY100" s="694">
        <v>0</v>
      </c>
      <c r="BZ100" s="693">
        <v>0</v>
      </c>
      <c r="CA100" s="694">
        <v>0</v>
      </c>
      <c r="CB100" s="693">
        <v>0</v>
      </c>
      <c r="CC100" s="692">
        <v>0</v>
      </c>
      <c r="CD100" s="695">
        <v>0</v>
      </c>
      <c r="CE100" s="692">
        <v>0</v>
      </c>
      <c r="CF100" s="695">
        <v>0</v>
      </c>
      <c r="CG100" s="692">
        <v>0</v>
      </c>
      <c r="CH100" s="695">
        <v>0</v>
      </c>
      <c r="CI100" s="692">
        <v>0</v>
      </c>
      <c r="CJ100" s="695">
        <v>0</v>
      </c>
      <c r="CK100" s="692">
        <v>0</v>
      </c>
      <c r="CL100" s="695">
        <v>0</v>
      </c>
      <c r="CM100" s="692">
        <v>0</v>
      </c>
      <c r="CN100" s="695">
        <v>0</v>
      </c>
      <c r="CO100" s="692">
        <v>0</v>
      </c>
      <c r="CP100" s="695">
        <v>0</v>
      </c>
      <c r="CQ100" s="692">
        <v>0</v>
      </c>
      <c r="CR100" s="693">
        <v>0</v>
      </c>
      <c r="CS100" s="692">
        <v>0</v>
      </c>
      <c r="CT100" s="693">
        <v>0</v>
      </c>
      <c r="CU100" s="694">
        <v>0</v>
      </c>
      <c r="CV100" s="693">
        <v>0</v>
      </c>
    </row>
    <row r="101" spans="1:100">
      <c r="A101" s="460">
        <v>99</v>
      </c>
      <c r="B101" s="580">
        <v>0</v>
      </c>
      <c r="C101" s="580">
        <v>0</v>
      </c>
      <c r="D101" s="580">
        <v>0</v>
      </c>
      <c r="E101" s="580">
        <v>0</v>
      </c>
      <c r="F101" s="580">
        <v>0</v>
      </c>
      <c r="G101" s="580">
        <v>0</v>
      </c>
      <c r="H101" s="580">
        <v>0</v>
      </c>
      <c r="I101" s="580">
        <v>0</v>
      </c>
      <c r="J101" s="580">
        <v>0</v>
      </c>
      <c r="K101" s="580">
        <v>0</v>
      </c>
      <c r="L101" s="580">
        <v>0</v>
      </c>
      <c r="M101" s="580">
        <v>0</v>
      </c>
      <c r="N101" s="580">
        <v>0</v>
      </c>
      <c r="O101" s="580">
        <v>0</v>
      </c>
      <c r="P101" s="580">
        <v>0</v>
      </c>
      <c r="Q101" s="580">
        <v>0</v>
      </c>
      <c r="R101" s="580">
        <v>0</v>
      </c>
      <c r="S101" s="580">
        <v>0</v>
      </c>
      <c r="T101" s="580">
        <v>0</v>
      </c>
      <c r="U101" s="580">
        <v>0</v>
      </c>
      <c r="V101" s="580">
        <v>0</v>
      </c>
      <c r="W101" s="595">
        <v>0</v>
      </c>
      <c r="X101" s="688">
        <v>0</v>
      </c>
      <c r="Y101" s="688">
        <v>0</v>
      </c>
      <c r="Z101" s="688">
        <v>0</v>
      </c>
      <c r="AA101" s="688">
        <v>0</v>
      </c>
      <c r="AB101" s="688">
        <v>0</v>
      </c>
      <c r="AC101" s="688">
        <v>0</v>
      </c>
      <c r="AD101" s="688">
        <v>0</v>
      </c>
      <c r="AE101" s="977">
        <v>0</v>
      </c>
      <c r="AF101" s="978">
        <v>0</v>
      </c>
      <c r="AG101" s="979">
        <v>0</v>
      </c>
      <c r="AH101" s="688">
        <v>0</v>
      </c>
      <c r="AI101" s="687">
        <v>0</v>
      </c>
      <c r="AJ101" s="685">
        <v>0</v>
      </c>
      <c r="AK101" s="687">
        <v>0</v>
      </c>
      <c r="AL101" s="689">
        <v>0</v>
      </c>
      <c r="AM101" s="685">
        <v>0</v>
      </c>
      <c r="AN101" s="685">
        <v>0</v>
      </c>
      <c r="AO101" s="689">
        <v>0</v>
      </c>
      <c r="AP101" s="690">
        <v>0.02</v>
      </c>
      <c r="AQ101" s="687">
        <f t="shared" si="23"/>
        <v>7.1428571428571426E-3</v>
      </c>
      <c r="AR101" s="685">
        <v>0</v>
      </c>
      <c r="AS101" s="687">
        <v>0</v>
      </c>
      <c r="AT101" s="691">
        <v>2E-3</v>
      </c>
      <c r="AU101" s="685">
        <v>0</v>
      </c>
      <c r="AV101" s="687">
        <v>0</v>
      </c>
      <c r="AW101" s="692">
        <v>0</v>
      </c>
      <c r="AX101" s="693">
        <v>0</v>
      </c>
      <c r="AY101" s="692">
        <v>0</v>
      </c>
      <c r="AZ101" s="693">
        <v>0</v>
      </c>
      <c r="BA101" s="692">
        <v>0</v>
      </c>
      <c r="BB101" s="693">
        <v>0</v>
      </c>
      <c r="BC101" s="694">
        <v>0</v>
      </c>
      <c r="BD101" s="695">
        <v>0</v>
      </c>
      <c r="BE101" s="692">
        <v>0</v>
      </c>
      <c r="BF101" s="693">
        <v>0</v>
      </c>
      <c r="BG101" s="694">
        <v>0</v>
      </c>
      <c r="BH101" s="693">
        <v>0</v>
      </c>
      <c r="BI101" s="694">
        <v>0</v>
      </c>
      <c r="BJ101" s="693">
        <v>0</v>
      </c>
      <c r="BK101" s="694">
        <v>0</v>
      </c>
      <c r="BL101" s="693">
        <v>0</v>
      </c>
      <c r="BM101" s="694">
        <v>0</v>
      </c>
      <c r="BN101" s="693">
        <v>0</v>
      </c>
      <c r="BO101" s="694">
        <v>0</v>
      </c>
      <c r="BP101" s="693">
        <v>0</v>
      </c>
      <c r="BQ101" s="694">
        <v>0</v>
      </c>
      <c r="BR101" s="693">
        <v>0</v>
      </c>
      <c r="BS101" s="694">
        <v>0</v>
      </c>
      <c r="BT101" s="693">
        <v>0</v>
      </c>
      <c r="BU101" s="694">
        <v>0</v>
      </c>
      <c r="BV101" s="693">
        <v>0</v>
      </c>
      <c r="BW101" s="694">
        <v>0</v>
      </c>
      <c r="BX101" s="693">
        <v>0</v>
      </c>
      <c r="BY101" s="694">
        <v>0</v>
      </c>
      <c r="BZ101" s="693">
        <v>0</v>
      </c>
      <c r="CA101" s="694">
        <v>0</v>
      </c>
      <c r="CB101" s="693">
        <v>0</v>
      </c>
      <c r="CC101" s="692">
        <v>0</v>
      </c>
      <c r="CD101" s="695">
        <v>0</v>
      </c>
      <c r="CE101" s="692">
        <v>0</v>
      </c>
      <c r="CF101" s="695">
        <v>0</v>
      </c>
      <c r="CG101" s="692">
        <v>0</v>
      </c>
      <c r="CH101" s="695">
        <v>0</v>
      </c>
      <c r="CI101" s="692">
        <v>0</v>
      </c>
      <c r="CJ101" s="695">
        <v>0</v>
      </c>
      <c r="CK101" s="692">
        <v>0</v>
      </c>
      <c r="CL101" s="695">
        <v>0</v>
      </c>
      <c r="CM101" s="692">
        <v>0</v>
      </c>
      <c r="CN101" s="695">
        <v>0</v>
      </c>
      <c r="CO101" s="692">
        <v>0</v>
      </c>
      <c r="CP101" s="695">
        <v>0</v>
      </c>
      <c r="CQ101" s="692">
        <v>0</v>
      </c>
      <c r="CR101" s="693">
        <v>0</v>
      </c>
      <c r="CS101" s="692">
        <v>0</v>
      </c>
      <c r="CT101" s="693">
        <v>0</v>
      </c>
      <c r="CU101" s="694">
        <v>0</v>
      </c>
      <c r="CV101" s="693">
        <v>0</v>
      </c>
    </row>
    <row r="102" spans="1:100">
      <c r="A102" s="460">
        <v>100</v>
      </c>
      <c r="B102" s="580">
        <v>0</v>
      </c>
      <c r="C102" s="580">
        <v>0</v>
      </c>
      <c r="D102" s="580">
        <v>0</v>
      </c>
      <c r="E102" s="580">
        <v>0</v>
      </c>
      <c r="F102" s="580">
        <v>0</v>
      </c>
      <c r="G102" s="580">
        <v>0</v>
      </c>
      <c r="H102" s="580">
        <v>0</v>
      </c>
      <c r="I102" s="580">
        <v>0</v>
      </c>
      <c r="J102" s="580">
        <v>0</v>
      </c>
      <c r="K102" s="580">
        <v>0</v>
      </c>
      <c r="L102" s="580">
        <v>0</v>
      </c>
      <c r="M102" s="580">
        <v>0</v>
      </c>
      <c r="N102" s="580">
        <v>0</v>
      </c>
      <c r="O102" s="580">
        <v>0</v>
      </c>
      <c r="P102" s="580">
        <v>0</v>
      </c>
      <c r="Q102" s="580">
        <v>0</v>
      </c>
      <c r="R102" s="580">
        <v>0</v>
      </c>
      <c r="S102" s="580">
        <v>0</v>
      </c>
      <c r="T102" s="580">
        <v>0</v>
      </c>
      <c r="U102" s="580">
        <v>0</v>
      </c>
      <c r="V102" s="580">
        <v>0</v>
      </c>
      <c r="W102" s="595">
        <v>0</v>
      </c>
      <c r="X102" s="688">
        <v>0</v>
      </c>
      <c r="Y102" s="688">
        <v>0</v>
      </c>
      <c r="Z102" s="688">
        <v>0</v>
      </c>
      <c r="AA102" s="688">
        <v>0</v>
      </c>
      <c r="AB102" s="688">
        <v>0</v>
      </c>
      <c r="AC102" s="688">
        <v>0</v>
      </c>
      <c r="AD102" s="688">
        <v>0</v>
      </c>
      <c r="AE102" s="977">
        <v>0</v>
      </c>
      <c r="AF102" s="978">
        <v>0</v>
      </c>
      <c r="AG102" s="979">
        <v>0</v>
      </c>
      <c r="AH102" s="688">
        <v>0</v>
      </c>
      <c r="AI102" s="687">
        <v>0</v>
      </c>
      <c r="AJ102" s="685">
        <v>0</v>
      </c>
      <c r="AK102" s="687">
        <v>0</v>
      </c>
      <c r="AL102" s="689">
        <v>0</v>
      </c>
      <c r="AM102" s="685">
        <v>0</v>
      </c>
      <c r="AN102" s="685">
        <v>0</v>
      </c>
      <c r="AO102" s="689">
        <v>0</v>
      </c>
      <c r="AP102" s="690">
        <v>0.02</v>
      </c>
      <c r="AQ102" s="687">
        <f t="shared" si="23"/>
        <v>7.1428571428571426E-3</v>
      </c>
      <c r="AR102" s="685">
        <v>0</v>
      </c>
      <c r="AS102" s="687">
        <v>0</v>
      </c>
      <c r="AT102" s="691">
        <v>2E-3</v>
      </c>
      <c r="AU102" s="685">
        <v>0</v>
      </c>
      <c r="AV102" s="687">
        <v>0</v>
      </c>
      <c r="AW102" s="692">
        <v>0</v>
      </c>
      <c r="AX102" s="693">
        <v>0</v>
      </c>
      <c r="AY102" s="692">
        <v>0</v>
      </c>
      <c r="AZ102" s="693">
        <v>0</v>
      </c>
      <c r="BA102" s="692">
        <v>0</v>
      </c>
      <c r="BB102" s="693">
        <v>0</v>
      </c>
      <c r="BC102" s="694">
        <v>0</v>
      </c>
      <c r="BD102" s="695">
        <v>0</v>
      </c>
      <c r="BE102" s="692">
        <v>0</v>
      </c>
      <c r="BF102" s="693">
        <v>0</v>
      </c>
      <c r="BG102" s="694">
        <v>0</v>
      </c>
      <c r="BH102" s="693">
        <v>0</v>
      </c>
      <c r="BI102" s="694">
        <v>0</v>
      </c>
      <c r="BJ102" s="693">
        <v>0</v>
      </c>
      <c r="BK102" s="694">
        <v>0</v>
      </c>
      <c r="BL102" s="693">
        <v>0</v>
      </c>
      <c r="BM102" s="694">
        <v>0</v>
      </c>
      <c r="BN102" s="693">
        <v>0</v>
      </c>
      <c r="BO102" s="694">
        <v>0</v>
      </c>
      <c r="BP102" s="693">
        <v>0</v>
      </c>
      <c r="BQ102" s="694">
        <v>0</v>
      </c>
      <c r="BR102" s="693">
        <v>0</v>
      </c>
      <c r="BS102" s="694">
        <v>0</v>
      </c>
      <c r="BT102" s="693">
        <v>0</v>
      </c>
      <c r="BU102" s="694">
        <v>0</v>
      </c>
      <c r="BV102" s="693">
        <v>0</v>
      </c>
      <c r="BW102" s="694">
        <v>0</v>
      </c>
      <c r="BX102" s="693">
        <v>0</v>
      </c>
      <c r="BY102" s="694">
        <v>0</v>
      </c>
      <c r="BZ102" s="693">
        <v>0</v>
      </c>
      <c r="CA102" s="694">
        <v>0</v>
      </c>
      <c r="CB102" s="693">
        <v>0</v>
      </c>
      <c r="CC102" s="692">
        <v>0</v>
      </c>
      <c r="CD102" s="695">
        <v>0</v>
      </c>
      <c r="CE102" s="692">
        <v>0</v>
      </c>
      <c r="CF102" s="695">
        <v>0</v>
      </c>
      <c r="CG102" s="692">
        <v>0</v>
      </c>
      <c r="CH102" s="695">
        <v>0</v>
      </c>
      <c r="CI102" s="692">
        <v>0</v>
      </c>
      <c r="CJ102" s="695">
        <v>0</v>
      </c>
      <c r="CK102" s="692">
        <v>0</v>
      </c>
      <c r="CL102" s="695">
        <v>0</v>
      </c>
      <c r="CM102" s="692">
        <v>0</v>
      </c>
      <c r="CN102" s="695">
        <v>0</v>
      </c>
      <c r="CO102" s="692">
        <v>0</v>
      </c>
      <c r="CP102" s="695">
        <v>0</v>
      </c>
      <c r="CQ102" s="692">
        <v>0</v>
      </c>
      <c r="CR102" s="693">
        <v>0</v>
      </c>
      <c r="CS102" s="692">
        <v>0</v>
      </c>
      <c r="CT102" s="693">
        <v>0</v>
      </c>
      <c r="CU102" s="694">
        <v>0</v>
      </c>
      <c r="CV102" s="693">
        <v>0</v>
      </c>
    </row>
    <row r="103" spans="1:100">
      <c r="A103" s="460">
        <v>101</v>
      </c>
      <c r="B103" s="580">
        <v>0</v>
      </c>
      <c r="C103" s="580">
        <v>0</v>
      </c>
      <c r="D103" s="580">
        <v>0</v>
      </c>
      <c r="E103" s="580">
        <v>0</v>
      </c>
      <c r="F103" s="580">
        <v>0</v>
      </c>
      <c r="G103" s="580">
        <v>0</v>
      </c>
      <c r="H103" s="580">
        <v>0</v>
      </c>
      <c r="I103" s="580">
        <v>0</v>
      </c>
      <c r="J103" s="580">
        <v>0</v>
      </c>
      <c r="K103" s="580">
        <v>0</v>
      </c>
      <c r="L103" s="580">
        <v>0</v>
      </c>
      <c r="M103" s="580">
        <v>0</v>
      </c>
      <c r="N103" s="580">
        <v>0</v>
      </c>
      <c r="O103" s="580">
        <v>0</v>
      </c>
      <c r="P103" s="580">
        <v>0</v>
      </c>
      <c r="Q103" s="580">
        <v>0</v>
      </c>
      <c r="R103" s="580">
        <v>0</v>
      </c>
      <c r="S103" s="580">
        <v>0</v>
      </c>
      <c r="T103" s="580">
        <v>0</v>
      </c>
      <c r="U103" s="580">
        <v>0</v>
      </c>
      <c r="V103" s="580">
        <v>0</v>
      </c>
      <c r="W103" s="595">
        <v>0</v>
      </c>
      <c r="X103" s="688">
        <v>0</v>
      </c>
      <c r="Y103" s="688">
        <v>0</v>
      </c>
      <c r="Z103" s="688">
        <v>0</v>
      </c>
      <c r="AA103" s="688">
        <v>0</v>
      </c>
      <c r="AB103" s="688">
        <v>0</v>
      </c>
      <c r="AC103" s="688">
        <v>0</v>
      </c>
      <c r="AD103" s="688">
        <v>0</v>
      </c>
      <c r="AE103" s="977">
        <v>0</v>
      </c>
      <c r="AF103" s="978">
        <v>0</v>
      </c>
      <c r="AG103" s="979">
        <v>0</v>
      </c>
      <c r="AH103" s="688">
        <v>0</v>
      </c>
      <c r="AI103" s="687">
        <v>0</v>
      </c>
      <c r="AJ103" s="685">
        <v>0</v>
      </c>
      <c r="AK103" s="687">
        <v>0</v>
      </c>
      <c r="AL103" s="689">
        <v>0</v>
      </c>
      <c r="AM103" s="685">
        <v>0</v>
      </c>
      <c r="AN103" s="685">
        <v>0</v>
      </c>
      <c r="AO103" s="689">
        <v>0</v>
      </c>
      <c r="AP103" s="690">
        <v>2E-3</v>
      </c>
      <c r="AQ103" s="687">
        <f t="shared" si="23"/>
        <v>7.1428571428571426E-3</v>
      </c>
      <c r="AR103" s="685">
        <v>0</v>
      </c>
      <c r="AS103" s="687">
        <v>0</v>
      </c>
      <c r="AT103" s="691">
        <v>2E-3</v>
      </c>
      <c r="AU103" s="685">
        <v>0</v>
      </c>
      <c r="AV103" s="687">
        <v>0</v>
      </c>
      <c r="AW103" s="692">
        <v>0</v>
      </c>
      <c r="AX103" s="693">
        <v>0</v>
      </c>
      <c r="AY103" s="692">
        <v>0</v>
      </c>
      <c r="AZ103" s="693">
        <v>0</v>
      </c>
      <c r="BA103" s="692">
        <v>0</v>
      </c>
      <c r="BB103" s="693">
        <v>0</v>
      </c>
      <c r="BC103" s="694">
        <v>0</v>
      </c>
      <c r="BD103" s="695">
        <v>0</v>
      </c>
      <c r="BE103" s="692">
        <v>0</v>
      </c>
      <c r="BF103" s="693">
        <v>0</v>
      </c>
      <c r="BG103" s="694">
        <v>0</v>
      </c>
      <c r="BH103" s="693">
        <v>0</v>
      </c>
      <c r="BI103" s="694">
        <v>0</v>
      </c>
      <c r="BJ103" s="693">
        <v>0</v>
      </c>
      <c r="BK103" s="694">
        <v>0</v>
      </c>
      <c r="BL103" s="693">
        <v>0</v>
      </c>
      <c r="BM103" s="694">
        <v>0</v>
      </c>
      <c r="BN103" s="693">
        <v>0</v>
      </c>
      <c r="BO103" s="694">
        <v>0</v>
      </c>
      <c r="BP103" s="693">
        <v>0</v>
      </c>
      <c r="BQ103" s="694">
        <v>0</v>
      </c>
      <c r="BR103" s="693">
        <v>0</v>
      </c>
      <c r="BS103" s="694">
        <v>0</v>
      </c>
      <c r="BT103" s="693">
        <v>0</v>
      </c>
      <c r="BU103" s="694">
        <v>0</v>
      </c>
      <c r="BV103" s="693">
        <v>0</v>
      </c>
      <c r="BW103" s="694">
        <v>0</v>
      </c>
      <c r="BX103" s="693">
        <v>0</v>
      </c>
      <c r="BY103" s="694">
        <v>0</v>
      </c>
      <c r="BZ103" s="693">
        <v>0</v>
      </c>
      <c r="CA103" s="694">
        <v>0</v>
      </c>
      <c r="CB103" s="693">
        <v>0</v>
      </c>
      <c r="CC103" s="692">
        <v>0</v>
      </c>
      <c r="CD103" s="695">
        <v>0</v>
      </c>
      <c r="CE103" s="692">
        <v>0</v>
      </c>
      <c r="CF103" s="695">
        <v>0</v>
      </c>
      <c r="CG103" s="692">
        <v>0</v>
      </c>
      <c r="CH103" s="695">
        <v>0</v>
      </c>
      <c r="CI103" s="692">
        <v>0</v>
      </c>
      <c r="CJ103" s="695">
        <v>0</v>
      </c>
      <c r="CK103" s="692">
        <v>0</v>
      </c>
      <c r="CL103" s="695">
        <v>0</v>
      </c>
      <c r="CM103" s="692">
        <v>0</v>
      </c>
      <c r="CN103" s="695">
        <v>0</v>
      </c>
      <c r="CO103" s="692">
        <v>0</v>
      </c>
      <c r="CP103" s="695">
        <v>0</v>
      </c>
      <c r="CQ103" s="692">
        <v>0</v>
      </c>
      <c r="CR103" s="693">
        <v>0</v>
      </c>
      <c r="CS103" s="692">
        <v>0</v>
      </c>
      <c r="CT103" s="693">
        <v>0</v>
      </c>
      <c r="CU103" s="694">
        <v>0</v>
      </c>
      <c r="CV103" s="693">
        <v>0</v>
      </c>
    </row>
    <row r="104" spans="1:100">
      <c r="A104" s="460">
        <v>102</v>
      </c>
      <c r="B104" s="580">
        <v>0</v>
      </c>
      <c r="C104" s="580">
        <v>0</v>
      </c>
      <c r="D104" s="580">
        <v>0</v>
      </c>
      <c r="E104" s="580">
        <v>0</v>
      </c>
      <c r="F104" s="580">
        <v>0</v>
      </c>
      <c r="G104" s="580">
        <v>0</v>
      </c>
      <c r="H104" s="580">
        <v>0</v>
      </c>
      <c r="I104" s="580">
        <v>0</v>
      </c>
      <c r="J104" s="580">
        <v>0</v>
      </c>
      <c r="K104" s="580">
        <v>0</v>
      </c>
      <c r="L104" s="580">
        <v>0</v>
      </c>
      <c r="M104" s="580">
        <v>0</v>
      </c>
      <c r="N104" s="580">
        <v>0</v>
      </c>
      <c r="O104" s="580">
        <v>0</v>
      </c>
      <c r="P104" s="580">
        <v>0</v>
      </c>
      <c r="Q104" s="580">
        <v>0</v>
      </c>
      <c r="R104" s="580">
        <v>0</v>
      </c>
      <c r="S104" s="580">
        <v>0</v>
      </c>
      <c r="T104" s="580">
        <v>0</v>
      </c>
      <c r="U104" s="580">
        <v>0</v>
      </c>
      <c r="V104" s="580">
        <v>0</v>
      </c>
      <c r="W104" s="595">
        <v>0</v>
      </c>
      <c r="X104" s="688">
        <v>0</v>
      </c>
      <c r="Y104" s="688">
        <v>0</v>
      </c>
      <c r="Z104" s="688">
        <v>0</v>
      </c>
      <c r="AA104" s="688">
        <v>0</v>
      </c>
      <c r="AB104" s="688">
        <v>0</v>
      </c>
      <c r="AC104" s="688">
        <v>0</v>
      </c>
      <c r="AD104" s="688">
        <v>0</v>
      </c>
      <c r="AE104" s="977">
        <v>0</v>
      </c>
      <c r="AF104" s="978">
        <v>0</v>
      </c>
      <c r="AG104" s="979">
        <v>0</v>
      </c>
      <c r="AH104" s="688">
        <v>0</v>
      </c>
      <c r="AI104" s="687">
        <v>0</v>
      </c>
      <c r="AJ104" s="685">
        <v>0</v>
      </c>
      <c r="AK104" s="687">
        <v>0</v>
      </c>
      <c r="AL104" s="689">
        <v>0</v>
      </c>
      <c r="AM104" s="685">
        <v>0</v>
      </c>
      <c r="AN104" s="685">
        <v>0</v>
      </c>
      <c r="AO104" s="689">
        <v>0</v>
      </c>
      <c r="AP104" s="690">
        <v>2E-3</v>
      </c>
      <c r="AQ104" s="687">
        <f t="shared" si="23"/>
        <v>7.1428571428571426E-3</v>
      </c>
      <c r="AR104" s="685">
        <v>0</v>
      </c>
      <c r="AS104" s="687">
        <v>0</v>
      </c>
      <c r="AT104" s="691">
        <v>2E-3</v>
      </c>
      <c r="AU104" s="685">
        <v>0</v>
      </c>
      <c r="AV104" s="687">
        <v>0</v>
      </c>
      <c r="AW104" s="692">
        <v>0</v>
      </c>
      <c r="AX104" s="693">
        <v>0</v>
      </c>
      <c r="AY104" s="692">
        <v>0</v>
      </c>
      <c r="AZ104" s="693">
        <v>0</v>
      </c>
      <c r="BA104" s="692">
        <v>0</v>
      </c>
      <c r="BB104" s="693">
        <v>0</v>
      </c>
      <c r="BC104" s="694">
        <v>0</v>
      </c>
      <c r="BD104" s="695">
        <v>0</v>
      </c>
      <c r="BE104" s="692">
        <v>0</v>
      </c>
      <c r="BF104" s="693">
        <v>0</v>
      </c>
      <c r="BG104" s="694">
        <v>0</v>
      </c>
      <c r="BH104" s="693">
        <v>0</v>
      </c>
      <c r="BI104" s="694">
        <v>0</v>
      </c>
      <c r="BJ104" s="693">
        <v>0</v>
      </c>
      <c r="BK104" s="694">
        <v>0</v>
      </c>
      <c r="BL104" s="693">
        <v>0</v>
      </c>
      <c r="BM104" s="694">
        <v>0</v>
      </c>
      <c r="BN104" s="693">
        <v>0</v>
      </c>
      <c r="BO104" s="694">
        <v>0</v>
      </c>
      <c r="BP104" s="693">
        <v>0</v>
      </c>
      <c r="BQ104" s="694">
        <v>0</v>
      </c>
      <c r="BR104" s="693">
        <v>0</v>
      </c>
      <c r="BS104" s="694">
        <v>0</v>
      </c>
      <c r="BT104" s="693">
        <v>0</v>
      </c>
      <c r="BU104" s="694">
        <v>0</v>
      </c>
      <c r="BV104" s="693">
        <v>0</v>
      </c>
      <c r="BW104" s="694">
        <v>0</v>
      </c>
      <c r="BX104" s="693">
        <v>0</v>
      </c>
      <c r="BY104" s="694">
        <v>0</v>
      </c>
      <c r="BZ104" s="693">
        <v>0</v>
      </c>
      <c r="CA104" s="694">
        <v>0</v>
      </c>
      <c r="CB104" s="693">
        <v>0</v>
      </c>
      <c r="CC104" s="692">
        <v>0</v>
      </c>
      <c r="CD104" s="695">
        <v>0</v>
      </c>
      <c r="CE104" s="692">
        <v>0</v>
      </c>
      <c r="CF104" s="695">
        <v>0</v>
      </c>
      <c r="CG104" s="692">
        <v>0</v>
      </c>
      <c r="CH104" s="695">
        <v>0</v>
      </c>
      <c r="CI104" s="692">
        <v>0</v>
      </c>
      <c r="CJ104" s="695">
        <v>0</v>
      </c>
      <c r="CK104" s="692">
        <v>0</v>
      </c>
      <c r="CL104" s="695">
        <v>0</v>
      </c>
      <c r="CM104" s="692">
        <v>0</v>
      </c>
      <c r="CN104" s="695">
        <v>0</v>
      </c>
      <c r="CO104" s="692">
        <v>0</v>
      </c>
      <c r="CP104" s="695">
        <v>0</v>
      </c>
      <c r="CQ104" s="692">
        <v>0</v>
      </c>
      <c r="CR104" s="693">
        <v>0</v>
      </c>
      <c r="CS104" s="692">
        <v>0</v>
      </c>
      <c r="CT104" s="693">
        <v>0</v>
      </c>
      <c r="CU104" s="694">
        <v>0</v>
      </c>
      <c r="CV104" s="693">
        <v>0</v>
      </c>
    </row>
    <row r="105" spans="1:100">
      <c r="A105" s="460">
        <v>103</v>
      </c>
      <c r="B105" s="580">
        <v>0</v>
      </c>
      <c r="C105" s="580">
        <v>0</v>
      </c>
      <c r="D105" s="580">
        <v>0</v>
      </c>
      <c r="E105" s="580">
        <v>0</v>
      </c>
      <c r="F105" s="580">
        <v>0</v>
      </c>
      <c r="G105" s="580">
        <v>0</v>
      </c>
      <c r="H105" s="580">
        <v>0</v>
      </c>
      <c r="I105" s="580">
        <v>0</v>
      </c>
      <c r="J105" s="580">
        <v>0</v>
      </c>
      <c r="K105" s="580">
        <v>0</v>
      </c>
      <c r="L105" s="580">
        <v>0</v>
      </c>
      <c r="M105" s="580">
        <v>0</v>
      </c>
      <c r="N105" s="580">
        <v>0</v>
      </c>
      <c r="O105" s="580">
        <v>0</v>
      </c>
      <c r="P105" s="580">
        <v>0</v>
      </c>
      <c r="Q105" s="580">
        <v>0</v>
      </c>
      <c r="R105" s="580">
        <v>0</v>
      </c>
      <c r="S105" s="580">
        <v>0</v>
      </c>
      <c r="T105" s="580">
        <v>0</v>
      </c>
      <c r="U105" s="580">
        <v>0</v>
      </c>
      <c r="V105" s="580">
        <v>0</v>
      </c>
      <c r="W105" s="595">
        <v>0</v>
      </c>
      <c r="X105" s="688">
        <v>0</v>
      </c>
      <c r="Y105" s="688">
        <v>0</v>
      </c>
      <c r="Z105" s="688">
        <v>0</v>
      </c>
      <c r="AA105" s="688">
        <v>0</v>
      </c>
      <c r="AB105" s="688">
        <v>0</v>
      </c>
      <c r="AC105" s="688">
        <v>0</v>
      </c>
      <c r="AD105" s="688">
        <v>0</v>
      </c>
      <c r="AE105" s="977">
        <v>0</v>
      </c>
      <c r="AF105" s="978">
        <v>0</v>
      </c>
      <c r="AG105" s="979">
        <v>0</v>
      </c>
      <c r="AH105" s="688">
        <v>0</v>
      </c>
      <c r="AI105" s="687">
        <v>0</v>
      </c>
      <c r="AJ105" s="685">
        <v>0</v>
      </c>
      <c r="AK105" s="687">
        <v>0</v>
      </c>
      <c r="AL105" s="689">
        <v>0</v>
      </c>
      <c r="AM105" s="685">
        <v>0</v>
      </c>
      <c r="AN105" s="685">
        <v>0</v>
      </c>
      <c r="AO105" s="689">
        <v>0</v>
      </c>
      <c r="AP105" s="690">
        <v>2E-3</v>
      </c>
      <c r="AQ105" s="687">
        <f t="shared" si="23"/>
        <v>7.1428571428571426E-3</v>
      </c>
      <c r="AR105" s="685">
        <v>0</v>
      </c>
      <c r="AS105" s="687">
        <v>0</v>
      </c>
      <c r="AT105" s="691">
        <v>2E-3</v>
      </c>
      <c r="AU105" s="685">
        <v>0</v>
      </c>
      <c r="AV105" s="687">
        <v>0</v>
      </c>
      <c r="AW105" s="692">
        <v>0</v>
      </c>
      <c r="AX105" s="693">
        <v>0</v>
      </c>
      <c r="AY105" s="692">
        <v>0</v>
      </c>
      <c r="AZ105" s="693">
        <v>0</v>
      </c>
      <c r="BA105" s="692">
        <v>0</v>
      </c>
      <c r="BB105" s="693">
        <v>0</v>
      </c>
      <c r="BC105" s="694">
        <v>0</v>
      </c>
      <c r="BD105" s="695">
        <v>0</v>
      </c>
      <c r="BE105" s="692">
        <v>0</v>
      </c>
      <c r="BF105" s="693">
        <v>0</v>
      </c>
      <c r="BG105" s="694">
        <v>0</v>
      </c>
      <c r="BH105" s="693">
        <v>0</v>
      </c>
      <c r="BI105" s="694">
        <v>0</v>
      </c>
      <c r="BJ105" s="693">
        <v>0</v>
      </c>
      <c r="BK105" s="694">
        <v>0</v>
      </c>
      <c r="BL105" s="693">
        <v>0</v>
      </c>
      <c r="BM105" s="694">
        <v>0</v>
      </c>
      <c r="BN105" s="693">
        <v>0</v>
      </c>
      <c r="BO105" s="694">
        <v>0</v>
      </c>
      <c r="BP105" s="693">
        <v>0</v>
      </c>
      <c r="BQ105" s="694">
        <v>0</v>
      </c>
      <c r="BR105" s="693">
        <v>0</v>
      </c>
      <c r="BS105" s="694">
        <v>0</v>
      </c>
      <c r="BT105" s="693">
        <v>0</v>
      </c>
      <c r="BU105" s="694">
        <v>0</v>
      </c>
      <c r="BV105" s="693">
        <v>0</v>
      </c>
      <c r="BW105" s="694">
        <v>0</v>
      </c>
      <c r="BX105" s="693">
        <v>0</v>
      </c>
      <c r="BY105" s="694">
        <v>0</v>
      </c>
      <c r="BZ105" s="693">
        <v>0</v>
      </c>
      <c r="CA105" s="694">
        <v>0</v>
      </c>
      <c r="CB105" s="693">
        <v>0</v>
      </c>
      <c r="CC105" s="692">
        <v>0</v>
      </c>
      <c r="CD105" s="695">
        <v>0</v>
      </c>
      <c r="CE105" s="692">
        <v>0</v>
      </c>
      <c r="CF105" s="695">
        <v>0</v>
      </c>
      <c r="CG105" s="692">
        <v>0</v>
      </c>
      <c r="CH105" s="695">
        <v>0</v>
      </c>
      <c r="CI105" s="692">
        <v>0</v>
      </c>
      <c r="CJ105" s="695">
        <v>0</v>
      </c>
      <c r="CK105" s="692">
        <v>0</v>
      </c>
      <c r="CL105" s="695">
        <v>0</v>
      </c>
      <c r="CM105" s="692">
        <v>0</v>
      </c>
      <c r="CN105" s="695">
        <v>0</v>
      </c>
      <c r="CO105" s="692">
        <v>0</v>
      </c>
      <c r="CP105" s="695">
        <v>0</v>
      </c>
      <c r="CQ105" s="692">
        <v>0</v>
      </c>
      <c r="CR105" s="693">
        <v>0</v>
      </c>
      <c r="CS105" s="692">
        <v>0</v>
      </c>
      <c r="CT105" s="693">
        <v>0</v>
      </c>
      <c r="CU105" s="694">
        <v>0</v>
      </c>
      <c r="CV105" s="693">
        <v>0</v>
      </c>
    </row>
    <row r="106" spans="1:100">
      <c r="A106" s="460">
        <v>104</v>
      </c>
      <c r="B106" s="580">
        <v>0</v>
      </c>
      <c r="C106" s="580">
        <v>0</v>
      </c>
      <c r="D106" s="580">
        <v>0</v>
      </c>
      <c r="E106" s="580">
        <v>0</v>
      </c>
      <c r="F106" s="580">
        <v>0</v>
      </c>
      <c r="G106" s="580">
        <v>0</v>
      </c>
      <c r="H106" s="580">
        <v>0</v>
      </c>
      <c r="I106" s="580">
        <v>0</v>
      </c>
      <c r="J106" s="580">
        <v>0</v>
      </c>
      <c r="K106" s="580">
        <v>0</v>
      </c>
      <c r="L106" s="580">
        <v>0</v>
      </c>
      <c r="M106" s="580">
        <v>0</v>
      </c>
      <c r="N106" s="580">
        <v>0</v>
      </c>
      <c r="O106" s="580">
        <v>0</v>
      </c>
      <c r="P106" s="580">
        <v>0</v>
      </c>
      <c r="Q106" s="580">
        <v>0</v>
      </c>
      <c r="R106" s="580">
        <v>0</v>
      </c>
      <c r="S106" s="580">
        <v>0</v>
      </c>
      <c r="T106" s="580">
        <v>0</v>
      </c>
      <c r="U106" s="580">
        <v>0</v>
      </c>
      <c r="V106" s="580">
        <v>0</v>
      </c>
      <c r="W106" s="595">
        <v>0</v>
      </c>
      <c r="X106" s="688">
        <v>0</v>
      </c>
      <c r="Y106" s="688">
        <v>0</v>
      </c>
      <c r="Z106" s="688">
        <v>0</v>
      </c>
      <c r="AA106" s="688">
        <v>0</v>
      </c>
      <c r="AB106" s="688">
        <v>0</v>
      </c>
      <c r="AC106" s="688">
        <v>0</v>
      </c>
      <c r="AD106" s="688">
        <v>0</v>
      </c>
      <c r="AE106" s="977">
        <v>0</v>
      </c>
      <c r="AF106" s="978">
        <v>0</v>
      </c>
      <c r="AG106" s="979">
        <v>0</v>
      </c>
      <c r="AH106" s="688">
        <v>0</v>
      </c>
      <c r="AI106" s="687">
        <v>0</v>
      </c>
      <c r="AJ106" s="685">
        <v>0</v>
      </c>
      <c r="AK106" s="687">
        <v>0</v>
      </c>
      <c r="AL106" s="689">
        <v>0</v>
      </c>
      <c r="AM106" s="685">
        <v>0</v>
      </c>
      <c r="AN106" s="685">
        <v>0</v>
      </c>
      <c r="AO106" s="689">
        <v>0</v>
      </c>
      <c r="AP106" s="690">
        <v>2E-3</v>
      </c>
      <c r="AQ106" s="687">
        <f t="shared" si="23"/>
        <v>7.1428571428571426E-3</v>
      </c>
      <c r="AR106" s="685">
        <v>0</v>
      </c>
      <c r="AS106" s="687">
        <v>0</v>
      </c>
      <c r="AT106" s="691">
        <v>2E-3</v>
      </c>
      <c r="AU106" s="685">
        <v>0</v>
      </c>
      <c r="AV106" s="687">
        <v>0</v>
      </c>
      <c r="AW106" s="692">
        <v>0</v>
      </c>
      <c r="AX106" s="693">
        <v>0</v>
      </c>
      <c r="AY106" s="692">
        <v>0</v>
      </c>
      <c r="AZ106" s="693">
        <v>0</v>
      </c>
      <c r="BA106" s="692">
        <v>0</v>
      </c>
      <c r="BB106" s="693">
        <v>0</v>
      </c>
      <c r="BC106" s="694">
        <v>0</v>
      </c>
      <c r="BD106" s="695">
        <v>0</v>
      </c>
      <c r="BE106" s="692">
        <v>0</v>
      </c>
      <c r="BF106" s="693">
        <v>0</v>
      </c>
      <c r="BG106" s="694">
        <v>0</v>
      </c>
      <c r="BH106" s="693">
        <v>0</v>
      </c>
      <c r="BI106" s="694">
        <v>0</v>
      </c>
      <c r="BJ106" s="693">
        <v>0</v>
      </c>
      <c r="BK106" s="694">
        <v>0</v>
      </c>
      <c r="BL106" s="693">
        <v>0</v>
      </c>
      <c r="BM106" s="694">
        <v>0</v>
      </c>
      <c r="BN106" s="693">
        <v>0</v>
      </c>
      <c r="BO106" s="694">
        <v>0</v>
      </c>
      <c r="BP106" s="693">
        <v>0</v>
      </c>
      <c r="BQ106" s="694">
        <v>0</v>
      </c>
      <c r="BR106" s="693">
        <v>0</v>
      </c>
      <c r="BS106" s="694">
        <v>0</v>
      </c>
      <c r="BT106" s="693">
        <v>0</v>
      </c>
      <c r="BU106" s="694">
        <v>0</v>
      </c>
      <c r="BV106" s="693">
        <v>0</v>
      </c>
      <c r="BW106" s="694">
        <v>0</v>
      </c>
      <c r="BX106" s="693">
        <v>0</v>
      </c>
      <c r="BY106" s="694">
        <v>0</v>
      </c>
      <c r="BZ106" s="693">
        <v>0</v>
      </c>
      <c r="CA106" s="694">
        <v>0</v>
      </c>
      <c r="CB106" s="693">
        <v>0</v>
      </c>
      <c r="CC106" s="692">
        <v>0</v>
      </c>
      <c r="CD106" s="695">
        <v>0</v>
      </c>
      <c r="CE106" s="692">
        <v>0</v>
      </c>
      <c r="CF106" s="695">
        <v>0</v>
      </c>
      <c r="CG106" s="692">
        <v>0</v>
      </c>
      <c r="CH106" s="695">
        <v>0</v>
      </c>
      <c r="CI106" s="692">
        <v>0</v>
      </c>
      <c r="CJ106" s="695">
        <v>0</v>
      </c>
      <c r="CK106" s="692">
        <v>0</v>
      </c>
      <c r="CL106" s="695">
        <v>0</v>
      </c>
      <c r="CM106" s="692">
        <v>0</v>
      </c>
      <c r="CN106" s="695">
        <v>0</v>
      </c>
      <c r="CO106" s="692">
        <v>0</v>
      </c>
      <c r="CP106" s="695">
        <v>0</v>
      </c>
      <c r="CQ106" s="692">
        <v>0</v>
      </c>
      <c r="CR106" s="693">
        <v>0</v>
      </c>
      <c r="CS106" s="692">
        <v>0</v>
      </c>
      <c r="CT106" s="693">
        <v>0</v>
      </c>
      <c r="CU106" s="694">
        <v>0</v>
      </c>
      <c r="CV106" s="693">
        <v>0</v>
      </c>
    </row>
    <row r="107" spans="1:100">
      <c r="A107" s="460">
        <v>105</v>
      </c>
      <c r="B107" s="580">
        <v>0</v>
      </c>
      <c r="C107" s="580">
        <v>0</v>
      </c>
      <c r="D107" s="580">
        <v>0</v>
      </c>
      <c r="E107" s="580">
        <v>0</v>
      </c>
      <c r="F107" s="580">
        <v>0</v>
      </c>
      <c r="G107" s="580">
        <v>0</v>
      </c>
      <c r="H107" s="580">
        <v>0</v>
      </c>
      <c r="I107" s="580">
        <v>0</v>
      </c>
      <c r="J107" s="580">
        <v>0</v>
      </c>
      <c r="K107" s="580">
        <v>0</v>
      </c>
      <c r="L107" s="580">
        <v>0</v>
      </c>
      <c r="M107" s="580">
        <v>0</v>
      </c>
      <c r="N107" s="580">
        <v>0</v>
      </c>
      <c r="O107" s="580">
        <v>0</v>
      </c>
      <c r="P107" s="580">
        <v>0</v>
      </c>
      <c r="Q107" s="580">
        <v>0</v>
      </c>
      <c r="R107" s="580">
        <v>0</v>
      </c>
      <c r="S107" s="580">
        <v>0</v>
      </c>
      <c r="T107" s="580">
        <v>0</v>
      </c>
      <c r="U107" s="580">
        <v>0</v>
      </c>
      <c r="V107" s="580">
        <v>0</v>
      </c>
      <c r="W107" s="595">
        <v>0</v>
      </c>
      <c r="X107" s="688">
        <v>0</v>
      </c>
      <c r="Y107" s="688">
        <v>0</v>
      </c>
      <c r="Z107" s="688">
        <v>0</v>
      </c>
      <c r="AA107" s="688">
        <v>0</v>
      </c>
      <c r="AB107" s="688">
        <v>0</v>
      </c>
      <c r="AC107" s="688">
        <v>0</v>
      </c>
      <c r="AD107" s="688">
        <v>0</v>
      </c>
      <c r="AE107" s="977">
        <v>0</v>
      </c>
      <c r="AF107" s="978">
        <v>0</v>
      </c>
      <c r="AG107" s="979">
        <v>0</v>
      </c>
      <c r="AH107" s="688">
        <v>0</v>
      </c>
      <c r="AI107" s="687">
        <v>0</v>
      </c>
      <c r="AJ107" s="685">
        <v>0</v>
      </c>
      <c r="AK107" s="687">
        <v>0</v>
      </c>
      <c r="AL107" s="689">
        <v>0</v>
      </c>
      <c r="AM107" s="685">
        <v>0</v>
      </c>
      <c r="AN107" s="685">
        <v>0</v>
      </c>
      <c r="AO107" s="689">
        <v>0</v>
      </c>
      <c r="AP107" s="690">
        <v>2E-3</v>
      </c>
      <c r="AQ107" s="687">
        <f t="shared" si="23"/>
        <v>7.1428571428571426E-3</v>
      </c>
      <c r="AR107" s="685">
        <v>0</v>
      </c>
      <c r="AS107" s="687">
        <v>0</v>
      </c>
      <c r="AT107" s="691">
        <v>2E-3</v>
      </c>
      <c r="AU107" s="685">
        <v>0</v>
      </c>
      <c r="AV107" s="687">
        <v>0</v>
      </c>
      <c r="AW107" s="692">
        <v>0</v>
      </c>
      <c r="AX107" s="693">
        <v>0</v>
      </c>
      <c r="AY107" s="692">
        <v>0</v>
      </c>
      <c r="AZ107" s="693">
        <v>0</v>
      </c>
      <c r="BA107" s="692">
        <v>0</v>
      </c>
      <c r="BB107" s="693">
        <v>0</v>
      </c>
      <c r="BC107" s="694">
        <v>0</v>
      </c>
      <c r="BD107" s="695">
        <v>0</v>
      </c>
      <c r="BE107" s="692">
        <v>0</v>
      </c>
      <c r="BF107" s="693">
        <v>0</v>
      </c>
      <c r="BG107" s="694">
        <v>0</v>
      </c>
      <c r="BH107" s="693">
        <v>0</v>
      </c>
      <c r="BI107" s="694">
        <v>0</v>
      </c>
      <c r="BJ107" s="693">
        <v>0</v>
      </c>
      <c r="BK107" s="694">
        <v>0</v>
      </c>
      <c r="BL107" s="693">
        <v>0</v>
      </c>
      <c r="BM107" s="694">
        <v>0</v>
      </c>
      <c r="BN107" s="693">
        <v>0</v>
      </c>
      <c r="BO107" s="694">
        <v>0</v>
      </c>
      <c r="BP107" s="693">
        <v>0</v>
      </c>
      <c r="BQ107" s="694">
        <v>0</v>
      </c>
      <c r="BR107" s="693">
        <v>0</v>
      </c>
      <c r="BS107" s="694">
        <v>0</v>
      </c>
      <c r="BT107" s="693">
        <v>0</v>
      </c>
      <c r="BU107" s="694">
        <v>0</v>
      </c>
      <c r="BV107" s="693">
        <v>0</v>
      </c>
      <c r="BW107" s="694">
        <v>0</v>
      </c>
      <c r="BX107" s="693">
        <v>0</v>
      </c>
      <c r="BY107" s="694">
        <v>0</v>
      </c>
      <c r="BZ107" s="693">
        <v>0</v>
      </c>
      <c r="CA107" s="694">
        <v>0</v>
      </c>
      <c r="CB107" s="693">
        <v>0</v>
      </c>
      <c r="CC107" s="692">
        <v>0</v>
      </c>
      <c r="CD107" s="695">
        <v>0</v>
      </c>
      <c r="CE107" s="692">
        <v>0</v>
      </c>
      <c r="CF107" s="695">
        <v>0</v>
      </c>
      <c r="CG107" s="692">
        <v>0</v>
      </c>
      <c r="CH107" s="695">
        <v>0</v>
      </c>
      <c r="CI107" s="692">
        <v>0</v>
      </c>
      <c r="CJ107" s="695">
        <v>0</v>
      </c>
      <c r="CK107" s="692">
        <v>0</v>
      </c>
      <c r="CL107" s="695">
        <v>0</v>
      </c>
      <c r="CM107" s="692">
        <v>0</v>
      </c>
      <c r="CN107" s="695">
        <v>0</v>
      </c>
      <c r="CO107" s="692">
        <v>0</v>
      </c>
      <c r="CP107" s="695">
        <v>0</v>
      </c>
      <c r="CQ107" s="692">
        <v>0</v>
      </c>
      <c r="CR107" s="693">
        <v>0</v>
      </c>
      <c r="CS107" s="692">
        <v>0</v>
      </c>
      <c r="CT107" s="693">
        <v>0</v>
      </c>
      <c r="CU107" s="694">
        <v>0</v>
      </c>
      <c r="CV107" s="693">
        <v>0</v>
      </c>
    </row>
    <row r="108" spans="1:100">
      <c r="A108" s="460">
        <v>106</v>
      </c>
      <c r="B108" s="580">
        <v>0</v>
      </c>
      <c r="C108" s="580">
        <v>0</v>
      </c>
      <c r="D108" s="580">
        <v>0</v>
      </c>
      <c r="E108" s="580">
        <v>0</v>
      </c>
      <c r="F108" s="580">
        <v>0</v>
      </c>
      <c r="G108" s="580">
        <v>0</v>
      </c>
      <c r="H108" s="580">
        <v>0</v>
      </c>
      <c r="I108" s="580">
        <v>0</v>
      </c>
      <c r="J108" s="580">
        <v>0</v>
      </c>
      <c r="K108" s="580">
        <v>0</v>
      </c>
      <c r="L108" s="580">
        <v>0</v>
      </c>
      <c r="M108" s="580">
        <v>0</v>
      </c>
      <c r="N108" s="580">
        <v>0</v>
      </c>
      <c r="O108" s="580">
        <v>0</v>
      </c>
      <c r="P108" s="580">
        <v>0</v>
      </c>
      <c r="Q108" s="580">
        <v>0</v>
      </c>
      <c r="R108" s="580">
        <v>0</v>
      </c>
      <c r="S108" s="580">
        <v>0</v>
      </c>
      <c r="T108" s="580">
        <v>0</v>
      </c>
      <c r="U108" s="580">
        <v>0</v>
      </c>
      <c r="V108" s="580">
        <v>0</v>
      </c>
      <c r="W108" s="595">
        <v>0</v>
      </c>
      <c r="X108" s="688">
        <v>0</v>
      </c>
      <c r="Y108" s="688">
        <v>0</v>
      </c>
      <c r="Z108" s="688">
        <v>0</v>
      </c>
      <c r="AA108" s="688">
        <v>0</v>
      </c>
      <c r="AB108" s="688">
        <v>0</v>
      </c>
      <c r="AC108" s="688">
        <v>0</v>
      </c>
      <c r="AD108" s="688">
        <v>0</v>
      </c>
      <c r="AE108" s="977">
        <v>0</v>
      </c>
      <c r="AF108" s="978">
        <v>0</v>
      </c>
      <c r="AG108" s="979">
        <v>0</v>
      </c>
      <c r="AH108" s="688">
        <v>0</v>
      </c>
      <c r="AI108" s="687">
        <v>0</v>
      </c>
      <c r="AJ108" s="685">
        <v>0</v>
      </c>
      <c r="AK108" s="687">
        <v>0</v>
      </c>
      <c r="AL108" s="689">
        <v>0</v>
      </c>
      <c r="AM108" s="685">
        <v>0</v>
      </c>
      <c r="AN108" s="685">
        <v>0</v>
      </c>
      <c r="AO108" s="689">
        <v>0</v>
      </c>
      <c r="AP108" s="690">
        <v>2E-3</v>
      </c>
      <c r="AQ108" s="687">
        <f t="shared" si="23"/>
        <v>7.1428571428571426E-3</v>
      </c>
      <c r="AR108" s="685">
        <v>0</v>
      </c>
      <c r="AS108" s="687">
        <v>0</v>
      </c>
      <c r="AT108" s="691">
        <v>2E-3</v>
      </c>
      <c r="AU108" s="685">
        <v>0</v>
      </c>
      <c r="AV108" s="687">
        <v>0</v>
      </c>
      <c r="AW108" s="692">
        <v>0</v>
      </c>
      <c r="AX108" s="693">
        <v>0</v>
      </c>
      <c r="AY108" s="692">
        <v>0</v>
      </c>
      <c r="AZ108" s="693">
        <v>0</v>
      </c>
      <c r="BA108" s="692">
        <v>0</v>
      </c>
      <c r="BB108" s="693">
        <v>0</v>
      </c>
      <c r="BC108" s="694">
        <v>0</v>
      </c>
      <c r="BD108" s="695">
        <v>0</v>
      </c>
      <c r="BE108" s="692">
        <v>0</v>
      </c>
      <c r="BF108" s="693">
        <v>0</v>
      </c>
      <c r="BG108" s="694">
        <v>0</v>
      </c>
      <c r="BH108" s="693">
        <v>0</v>
      </c>
      <c r="BI108" s="694">
        <v>0</v>
      </c>
      <c r="BJ108" s="693">
        <v>0</v>
      </c>
      <c r="BK108" s="694">
        <v>0</v>
      </c>
      <c r="BL108" s="693">
        <v>0</v>
      </c>
      <c r="BM108" s="694">
        <v>0</v>
      </c>
      <c r="BN108" s="693">
        <v>0</v>
      </c>
      <c r="BO108" s="694">
        <v>0</v>
      </c>
      <c r="BP108" s="693">
        <v>0</v>
      </c>
      <c r="BQ108" s="694">
        <v>0</v>
      </c>
      <c r="BR108" s="693">
        <v>0</v>
      </c>
      <c r="BS108" s="694">
        <v>0</v>
      </c>
      <c r="BT108" s="693">
        <v>0</v>
      </c>
      <c r="BU108" s="694">
        <v>0</v>
      </c>
      <c r="BV108" s="693">
        <v>0</v>
      </c>
      <c r="BW108" s="694">
        <v>0</v>
      </c>
      <c r="BX108" s="693">
        <v>0</v>
      </c>
      <c r="BY108" s="694">
        <v>0</v>
      </c>
      <c r="BZ108" s="693">
        <v>0</v>
      </c>
      <c r="CA108" s="694">
        <v>0</v>
      </c>
      <c r="CB108" s="693">
        <v>0</v>
      </c>
      <c r="CC108" s="692">
        <v>0</v>
      </c>
      <c r="CD108" s="695">
        <v>0</v>
      </c>
      <c r="CE108" s="692">
        <v>0</v>
      </c>
      <c r="CF108" s="695">
        <v>0</v>
      </c>
      <c r="CG108" s="692">
        <v>0</v>
      </c>
      <c r="CH108" s="695">
        <v>0</v>
      </c>
      <c r="CI108" s="692">
        <v>0</v>
      </c>
      <c r="CJ108" s="695">
        <v>0</v>
      </c>
      <c r="CK108" s="692">
        <v>0</v>
      </c>
      <c r="CL108" s="695">
        <v>0</v>
      </c>
      <c r="CM108" s="692">
        <v>0</v>
      </c>
      <c r="CN108" s="695">
        <v>0</v>
      </c>
      <c r="CO108" s="692">
        <v>0</v>
      </c>
      <c r="CP108" s="695">
        <v>0</v>
      </c>
      <c r="CQ108" s="692">
        <v>0</v>
      </c>
      <c r="CR108" s="693">
        <v>0</v>
      </c>
      <c r="CS108" s="692">
        <v>0</v>
      </c>
      <c r="CT108" s="693">
        <v>0</v>
      </c>
      <c r="CU108" s="694">
        <v>0</v>
      </c>
      <c r="CV108" s="693">
        <v>0</v>
      </c>
    </row>
    <row r="109" spans="1:100">
      <c r="A109" s="460">
        <v>107</v>
      </c>
      <c r="B109" s="580">
        <v>0</v>
      </c>
      <c r="C109" s="580">
        <v>0</v>
      </c>
      <c r="D109" s="580">
        <v>0</v>
      </c>
      <c r="E109" s="580">
        <v>0</v>
      </c>
      <c r="F109" s="580">
        <v>0</v>
      </c>
      <c r="G109" s="580">
        <v>0</v>
      </c>
      <c r="H109" s="580">
        <v>0</v>
      </c>
      <c r="I109" s="580">
        <v>0</v>
      </c>
      <c r="J109" s="580">
        <v>0</v>
      </c>
      <c r="K109" s="580">
        <v>0</v>
      </c>
      <c r="L109" s="580">
        <v>0</v>
      </c>
      <c r="M109" s="580">
        <v>0</v>
      </c>
      <c r="N109" s="580">
        <v>0</v>
      </c>
      <c r="O109" s="580">
        <v>0</v>
      </c>
      <c r="P109" s="580">
        <v>0</v>
      </c>
      <c r="Q109" s="580">
        <v>0</v>
      </c>
      <c r="R109" s="580">
        <v>0</v>
      </c>
      <c r="S109" s="580">
        <v>0</v>
      </c>
      <c r="T109" s="580">
        <v>0</v>
      </c>
      <c r="U109" s="580">
        <v>0</v>
      </c>
      <c r="V109" s="580">
        <v>0</v>
      </c>
      <c r="W109" s="595">
        <v>0</v>
      </c>
      <c r="X109" s="688">
        <v>0</v>
      </c>
      <c r="Y109" s="688">
        <v>0</v>
      </c>
      <c r="Z109" s="688">
        <v>0</v>
      </c>
      <c r="AA109" s="688">
        <v>0</v>
      </c>
      <c r="AB109" s="688">
        <v>0</v>
      </c>
      <c r="AC109" s="688">
        <v>0</v>
      </c>
      <c r="AD109" s="688">
        <v>0</v>
      </c>
      <c r="AE109" s="977">
        <v>0</v>
      </c>
      <c r="AF109" s="978">
        <v>0</v>
      </c>
      <c r="AG109" s="979">
        <v>0</v>
      </c>
      <c r="AH109" s="688">
        <v>0</v>
      </c>
      <c r="AI109" s="687">
        <v>0</v>
      </c>
      <c r="AJ109" s="685">
        <v>0</v>
      </c>
      <c r="AK109" s="687">
        <v>0</v>
      </c>
      <c r="AL109" s="689">
        <v>0</v>
      </c>
      <c r="AM109" s="685">
        <v>0</v>
      </c>
      <c r="AN109" s="685">
        <v>0</v>
      </c>
      <c r="AO109" s="689">
        <v>0</v>
      </c>
      <c r="AP109" s="690">
        <v>2E-3</v>
      </c>
      <c r="AQ109" s="687">
        <f t="shared" si="23"/>
        <v>7.1428571428571426E-3</v>
      </c>
      <c r="AR109" s="685">
        <v>0</v>
      </c>
      <c r="AS109" s="687">
        <v>0</v>
      </c>
      <c r="AT109" s="691">
        <v>2E-3</v>
      </c>
      <c r="AU109" s="685">
        <v>0</v>
      </c>
      <c r="AV109" s="687">
        <v>0</v>
      </c>
      <c r="AW109" s="692">
        <v>0</v>
      </c>
      <c r="AX109" s="693">
        <v>0</v>
      </c>
      <c r="AY109" s="692">
        <v>0</v>
      </c>
      <c r="AZ109" s="693">
        <v>0</v>
      </c>
      <c r="BA109" s="692">
        <v>0</v>
      </c>
      <c r="BB109" s="693">
        <v>0</v>
      </c>
      <c r="BC109" s="694">
        <v>0</v>
      </c>
      <c r="BD109" s="695">
        <v>0</v>
      </c>
      <c r="BE109" s="692">
        <v>0</v>
      </c>
      <c r="BF109" s="693">
        <v>0</v>
      </c>
      <c r="BG109" s="694">
        <v>0</v>
      </c>
      <c r="BH109" s="693">
        <v>0</v>
      </c>
      <c r="BI109" s="694">
        <v>0</v>
      </c>
      <c r="BJ109" s="693">
        <v>0</v>
      </c>
      <c r="BK109" s="694">
        <v>0</v>
      </c>
      <c r="BL109" s="693">
        <v>0</v>
      </c>
      <c r="BM109" s="694">
        <v>0</v>
      </c>
      <c r="BN109" s="693">
        <v>0</v>
      </c>
      <c r="BO109" s="694">
        <v>0</v>
      </c>
      <c r="BP109" s="693">
        <v>0</v>
      </c>
      <c r="BQ109" s="694">
        <v>0</v>
      </c>
      <c r="BR109" s="693">
        <v>0</v>
      </c>
      <c r="BS109" s="694">
        <v>0</v>
      </c>
      <c r="BT109" s="693">
        <v>0</v>
      </c>
      <c r="BU109" s="694">
        <v>0</v>
      </c>
      <c r="BV109" s="693">
        <v>0</v>
      </c>
      <c r="BW109" s="694">
        <v>0</v>
      </c>
      <c r="BX109" s="693">
        <v>0</v>
      </c>
      <c r="BY109" s="694">
        <v>0</v>
      </c>
      <c r="BZ109" s="693">
        <v>0</v>
      </c>
      <c r="CA109" s="694">
        <v>0</v>
      </c>
      <c r="CB109" s="693">
        <v>0</v>
      </c>
      <c r="CC109" s="692">
        <v>0</v>
      </c>
      <c r="CD109" s="695">
        <v>0</v>
      </c>
      <c r="CE109" s="692">
        <v>0</v>
      </c>
      <c r="CF109" s="695">
        <v>0</v>
      </c>
      <c r="CG109" s="692">
        <v>0</v>
      </c>
      <c r="CH109" s="695">
        <v>0</v>
      </c>
      <c r="CI109" s="692">
        <v>0</v>
      </c>
      <c r="CJ109" s="695">
        <v>0</v>
      </c>
      <c r="CK109" s="692">
        <v>0</v>
      </c>
      <c r="CL109" s="695">
        <v>0</v>
      </c>
      <c r="CM109" s="692">
        <v>0</v>
      </c>
      <c r="CN109" s="695">
        <v>0</v>
      </c>
      <c r="CO109" s="692">
        <v>0</v>
      </c>
      <c r="CP109" s="695">
        <v>0</v>
      </c>
      <c r="CQ109" s="692">
        <v>0</v>
      </c>
      <c r="CR109" s="693">
        <v>0</v>
      </c>
      <c r="CS109" s="692">
        <v>0</v>
      </c>
      <c r="CT109" s="693">
        <v>0</v>
      </c>
      <c r="CU109" s="694">
        <v>0</v>
      </c>
      <c r="CV109" s="693">
        <v>0</v>
      </c>
    </row>
    <row r="110" spans="1:100">
      <c r="A110" s="460">
        <v>108</v>
      </c>
      <c r="B110" s="580">
        <v>0</v>
      </c>
      <c r="C110" s="580">
        <v>0</v>
      </c>
      <c r="D110" s="580">
        <v>0</v>
      </c>
      <c r="E110" s="580">
        <v>0</v>
      </c>
      <c r="F110" s="580">
        <v>0</v>
      </c>
      <c r="G110" s="580">
        <v>0</v>
      </c>
      <c r="H110" s="580">
        <v>0</v>
      </c>
      <c r="I110" s="580">
        <v>0</v>
      </c>
      <c r="J110" s="580">
        <v>0</v>
      </c>
      <c r="K110" s="580">
        <v>0</v>
      </c>
      <c r="L110" s="580">
        <v>0</v>
      </c>
      <c r="M110" s="580">
        <v>0</v>
      </c>
      <c r="N110" s="580">
        <v>0</v>
      </c>
      <c r="O110" s="580">
        <v>0</v>
      </c>
      <c r="P110" s="580">
        <v>0</v>
      </c>
      <c r="Q110" s="580">
        <v>0</v>
      </c>
      <c r="R110" s="580">
        <v>0</v>
      </c>
      <c r="S110" s="580">
        <v>0</v>
      </c>
      <c r="T110" s="580">
        <v>0</v>
      </c>
      <c r="U110" s="580">
        <v>0</v>
      </c>
      <c r="V110" s="580">
        <v>0</v>
      </c>
      <c r="W110" s="595">
        <v>0</v>
      </c>
      <c r="X110" s="688">
        <v>0</v>
      </c>
      <c r="Y110" s="688">
        <v>0</v>
      </c>
      <c r="Z110" s="688">
        <v>0</v>
      </c>
      <c r="AA110" s="688">
        <v>0</v>
      </c>
      <c r="AB110" s="688">
        <v>0</v>
      </c>
      <c r="AC110" s="688">
        <v>0</v>
      </c>
      <c r="AD110" s="688">
        <v>0</v>
      </c>
      <c r="AE110" s="977">
        <v>0</v>
      </c>
      <c r="AF110" s="978">
        <v>0</v>
      </c>
      <c r="AG110" s="979">
        <v>0</v>
      </c>
      <c r="AH110" s="688">
        <v>0</v>
      </c>
      <c r="AI110" s="687">
        <v>0</v>
      </c>
      <c r="AJ110" s="685">
        <v>0</v>
      </c>
      <c r="AK110" s="687">
        <v>0</v>
      </c>
      <c r="AL110" s="689">
        <v>0</v>
      </c>
      <c r="AM110" s="685">
        <v>0</v>
      </c>
      <c r="AN110" s="685">
        <v>0</v>
      </c>
      <c r="AO110" s="689">
        <v>0</v>
      </c>
      <c r="AP110" s="690">
        <v>2E-3</v>
      </c>
      <c r="AQ110" s="687">
        <f t="shared" si="23"/>
        <v>7.1428571428571426E-3</v>
      </c>
      <c r="AR110" s="685">
        <v>0</v>
      </c>
      <c r="AS110" s="687">
        <v>0</v>
      </c>
      <c r="AT110" s="691">
        <v>2E-3</v>
      </c>
      <c r="AU110" s="685">
        <v>0</v>
      </c>
      <c r="AV110" s="687">
        <v>0</v>
      </c>
      <c r="AW110" s="692">
        <v>0</v>
      </c>
      <c r="AX110" s="693">
        <v>0</v>
      </c>
      <c r="AY110" s="692">
        <v>0</v>
      </c>
      <c r="AZ110" s="693">
        <v>0</v>
      </c>
      <c r="BA110" s="692">
        <v>0</v>
      </c>
      <c r="BB110" s="693">
        <v>0</v>
      </c>
      <c r="BC110" s="694">
        <v>0</v>
      </c>
      <c r="BD110" s="695">
        <v>0</v>
      </c>
      <c r="BE110" s="692">
        <v>0</v>
      </c>
      <c r="BF110" s="693">
        <v>0</v>
      </c>
      <c r="BG110" s="694">
        <v>0</v>
      </c>
      <c r="BH110" s="693">
        <v>0</v>
      </c>
      <c r="BI110" s="694">
        <v>0</v>
      </c>
      <c r="BJ110" s="693">
        <v>0</v>
      </c>
      <c r="BK110" s="694">
        <v>0</v>
      </c>
      <c r="BL110" s="693">
        <v>0</v>
      </c>
      <c r="BM110" s="694">
        <v>0</v>
      </c>
      <c r="BN110" s="693">
        <v>0</v>
      </c>
      <c r="BO110" s="694">
        <v>0</v>
      </c>
      <c r="BP110" s="693">
        <v>0</v>
      </c>
      <c r="BQ110" s="694">
        <v>0</v>
      </c>
      <c r="BR110" s="693">
        <v>0</v>
      </c>
      <c r="BS110" s="694">
        <v>0</v>
      </c>
      <c r="BT110" s="693">
        <v>0</v>
      </c>
      <c r="BU110" s="694">
        <v>0</v>
      </c>
      <c r="BV110" s="693">
        <v>0</v>
      </c>
      <c r="BW110" s="694">
        <v>0</v>
      </c>
      <c r="BX110" s="693">
        <v>0</v>
      </c>
      <c r="BY110" s="694">
        <v>0</v>
      </c>
      <c r="BZ110" s="693">
        <v>0</v>
      </c>
      <c r="CA110" s="694">
        <v>0</v>
      </c>
      <c r="CB110" s="693">
        <v>0</v>
      </c>
      <c r="CC110" s="692">
        <v>0</v>
      </c>
      <c r="CD110" s="695">
        <v>0</v>
      </c>
      <c r="CE110" s="692">
        <v>0</v>
      </c>
      <c r="CF110" s="695">
        <v>0</v>
      </c>
      <c r="CG110" s="692">
        <v>0</v>
      </c>
      <c r="CH110" s="695">
        <v>0</v>
      </c>
      <c r="CI110" s="692">
        <v>0</v>
      </c>
      <c r="CJ110" s="695">
        <v>0</v>
      </c>
      <c r="CK110" s="692">
        <v>0</v>
      </c>
      <c r="CL110" s="695">
        <v>0</v>
      </c>
      <c r="CM110" s="692">
        <v>0</v>
      </c>
      <c r="CN110" s="695">
        <v>0</v>
      </c>
      <c r="CO110" s="692">
        <v>0</v>
      </c>
      <c r="CP110" s="695">
        <v>0</v>
      </c>
      <c r="CQ110" s="692">
        <v>0</v>
      </c>
      <c r="CR110" s="693">
        <v>0</v>
      </c>
      <c r="CS110" s="692">
        <v>0</v>
      </c>
      <c r="CT110" s="693">
        <v>0</v>
      </c>
      <c r="CU110" s="694">
        <v>0</v>
      </c>
      <c r="CV110" s="693">
        <v>0</v>
      </c>
    </row>
    <row r="111" spans="1:100">
      <c r="A111" s="460">
        <v>109</v>
      </c>
      <c r="B111" s="580">
        <v>0</v>
      </c>
      <c r="C111" s="580">
        <v>0</v>
      </c>
      <c r="D111" s="580">
        <v>0</v>
      </c>
      <c r="E111" s="580">
        <v>0</v>
      </c>
      <c r="F111" s="580">
        <v>0</v>
      </c>
      <c r="G111" s="580">
        <v>0</v>
      </c>
      <c r="H111" s="580">
        <v>0</v>
      </c>
      <c r="I111" s="580">
        <v>0</v>
      </c>
      <c r="J111" s="580">
        <v>0</v>
      </c>
      <c r="K111" s="580">
        <v>0</v>
      </c>
      <c r="L111" s="580">
        <v>0</v>
      </c>
      <c r="M111" s="580">
        <v>0</v>
      </c>
      <c r="N111" s="580">
        <v>0</v>
      </c>
      <c r="O111" s="580">
        <v>0</v>
      </c>
      <c r="P111" s="580">
        <v>0</v>
      </c>
      <c r="Q111" s="580">
        <v>0</v>
      </c>
      <c r="R111" s="580">
        <v>0</v>
      </c>
      <c r="S111" s="580">
        <v>0</v>
      </c>
      <c r="T111" s="580">
        <v>0</v>
      </c>
      <c r="U111" s="580">
        <v>0</v>
      </c>
      <c r="V111" s="580">
        <v>0</v>
      </c>
      <c r="W111" s="595">
        <v>0</v>
      </c>
      <c r="X111" s="688">
        <v>0</v>
      </c>
      <c r="Y111" s="688">
        <v>0</v>
      </c>
      <c r="Z111" s="688">
        <v>0</v>
      </c>
      <c r="AA111" s="688">
        <v>0</v>
      </c>
      <c r="AB111" s="688">
        <v>0</v>
      </c>
      <c r="AC111" s="688">
        <v>0</v>
      </c>
      <c r="AD111" s="688">
        <v>0</v>
      </c>
      <c r="AE111" s="977">
        <v>0</v>
      </c>
      <c r="AF111" s="978">
        <v>0</v>
      </c>
      <c r="AG111" s="979">
        <v>0</v>
      </c>
      <c r="AH111" s="688">
        <v>0</v>
      </c>
      <c r="AI111" s="687">
        <v>0</v>
      </c>
      <c r="AJ111" s="685">
        <v>0</v>
      </c>
      <c r="AK111" s="687">
        <v>0</v>
      </c>
      <c r="AL111" s="689">
        <v>0</v>
      </c>
      <c r="AM111" s="685">
        <v>0</v>
      </c>
      <c r="AN111" s="685">
        <v>0</v>
      </c>
      <c r="AO111" s="689">
        <v>0</v>
      </c>
      <c r="AP111" s="690">
        <v>2E-3</v>
      </c>
      <c r="AQ111" s="687">
        <f t="shared" si="23"/>
        <v>7.1428571428571426E-3</v>
      </c>
      <c r="AR111" s="685">
        <v>0</v>
      </c>
      <c r="AS111" s="687">
        <v>0</v>
      </c>
      <c r="AT111" s="691">
        <v>2E-3</v>
      </c>
      <c r="AU111" s="685">
        <v>0</v>
      </c>
      <c r="AV111" s="687">
        <v>0</v>
      </c>
      <c r="AW111" s="692">
        <v>0</v>
      </c>
      <c r="AX111" s="693">
        <v>0</v>
      </c>
      <c r="AY111" s="692">
        <v>0</v>
      </c>
      <c r="AZ111" s="693">
        <v>0</v>
      </c>
      <c r="BA111" s="692">
        <v>0</v>
      </c>
      <c r="BB111" s="693">
        <v>0</v>
      </c>
      <c r="BC111" s="694">
        <v>0</v>
      </c>
      <c r="BD111" s="695">
        <v>0</v>
      </c>
      <c r="BE111" s="692">
        <v>0</v>
      </c>
      <c r="BF111" s="693">
        <v>0</v>
      </c>
      <c r="BG111" s="694">
        <v>0</v>
      </c>
      <c r="BH111" s="693">
        <v>0</v>
      </c>
      <c r="BI111" s="694">
        <v>0</v>
      </c>
      <c r="BJ111" s="693">
        <v>0</v>
      </c>
      <c r="BK111" s="694">
        <v>0</v>
      </c>
      <c r="BL111" s="693">
        <v>0</v>
      </c>
      <c r="BM111" s="694">
        <v>0</v>
      </c>
      <c r="BN111" s="693">
        <v>0</v>
      </c>
      <c r="BO111" s="694">
        <v>0</v>
      </c>
      <c r="BP111" s="693">
        <v>0</v>
      </c>
      <c r="BQ111" s="694">
        <v>0</v>
      </c>
      <c r="BR111" s="693">
        <v>0</v>
      </c>
      <c r="BS111" s="694">
        <v>0</v>
      </c>
      <c r="BT111" s="693">
        <v>0</v>
      </c>
      <c r="BU111" s="694">
        <v>0</v>
      </c>
      <c r="BV111" s="693">
        <v>0</v>
      </c>
      <c r="BW111" s="694">
        <v>0</v>
      </c>
      <c r="BX111" s="693">
        <v>0</v>
      </c>
      <c r="BY111" s="694">
        <v>0</v>
      </c>
      <c r="BZ111" s="693">
        <v>0</v>
      </c>
      <c r="CA111" s="694">
        <v>0</v>
      </c>
      <c r="CB111" s="693">
        <v>0</v>
      </c>
      <c r="CC111" s="692">
        <v>0</v>
      </c>
      <c r="CD111" s="695">
        <v>0</v>
      </c>
      <c r="CE111" s="692">
        <v>0</v>
      </c>
      <c r="CF111" s="695">
        <v>0</v>
      </c>
      <c r="CG111" s="692">
        <v>0</v>
      </c>
      <c r="CH111" s="695">
        <v>0</v>
      </c>
      <c r="CI111" s="692">
        <v>0</v>
      </c>
      <c r="CJ111" s="695">
        <v>0</v>
      </c>
      <c r="CK111" s="692">
        <v>0</v>
      </c>
      <c r="CL111" s="695">
        <v>0</v>
      </c>
      <c r="CM111" s="692">
        <v>0</v>
      </c>
      <c r="CN111" s="695">
        <v>0</v>
      </c>
      <c r="CO111" s="692">
        <v>0</v>
      </c>
      <c r="CP111" s="695">
        <v>0</v>
      </c>
      <c r="CQ111" s="692">
        <v>0</v>
      </c>
      <c r="CR111" s="693">
        <v>0</v>
      </c>
      <c r="CS111" s="692">
        <v>0</v>
      </c>
      <c r="CT111" s="693">
        <v>0</v>
      </c>
      <c r="CU111" s="694">
        <v>0</v>
      </c>
      <c r="CV111" s="693">
        <v>0</v>
      </c>
    </row>
    <row r="112" spans="1:100">
      <c r="A112" s="460">
        <v>110</v>
      </c>
      <c r="B112" s="580">
        <v>0</v>
      </c>
      <c r="C112" s="580">
        <v>0</v>
      </c>
      <c r="D112" s="580">
        <v>0</v>
      </c>
      <c r="E112" s="580">
        <v>0</v>
      </c>
      <c r="F112" s="580">
        <v>0</v>
      </c>
      <c r="G112" s="580">
        <v>0</v>
      </c>
      <c r="H112" s="580">
        <v>0</v>
      </c>
      <c r="I112" s="580">
        <v>0</v>
      </c>
      <c r="J112" s="580">
        <v>0</v>
      </c>
      <c r="K112" s="580">
        <v>0</v>
      </c>
      <c r="L112" s="580">
        <v>0</v>
      </c>
      <c r="M112" s="580">
        <v>0</v>
      </c>
      <c r="N112" s="580">
        <v>0</v>
      </c>
      <c r="O112" s="580">
        <v>0</v>
      </c>
      <c r="P112" s="580">
        <v>0</v>
      </c>
      <c r="Q112" s="580">
        <v>0</v>
      </c>
      <c r="R112" s="580">
        <v>0</v>
      </c>
      <c r="S112" s="580">
        <v>0</v>
      </c>
      <c r="T112" s="580">
        <v>0</v>
      </c>
      <c r="U112" s="580">
        <v>0</v>
      </c>
      <c r="V112" s="580">
        <v>0</v>
      </c>
      <c r="W112" s="595">
        <v>0</v>
      </c>
      <c r="X112" s="688">
        <v>0</v>
      </c>
      <c r="Y112" s="688">
        <v>0</v>
      </c>
      <c r="Z112" s="688">
        <v>0</v>
      </c>
      <c r="AA112" s="688">
        <v>0</v>
      </c>
      <c r="AB112" s="688">
        <v>0</v>
      </c>
      <c r="AC112" s="688">
        <v>0</v>
      </c>
      <c r="AD112" s="688">
        <v>0</v>
      </c>
      <c r="AE112" s="977">
        <v>0</v>
      </c>
      <c r="AF112" s="978">
        <v>0</v>
      </c>
      <c r="AG112" s="979">
        <v>0</v>
      </c>
      <c r="AH112" s="688">
        <v>0</v>
      </c>
      <c r="AI112" s="687">
        <v>0</v>
      </c>
      <c r="AJ112" s="685">
        <v>0</v>
      </c>
      <c r="AK112" s="687">
        <v>0</v>
      </c>
      <c r="AL112" s="689">
        <v>0</v>
      </c>
      <c r="AM112" s="685">
        <v>0</v>
      </c>
      <c r="AN112" s="685">
        <v>0</v>
      </c>
      <c r="AO112" s="689">
        <v>0</v>
      </c>
      <c r="AP112" s="690">
        <v>2E-3</v>
      </c>
      <c r="AQ112" s="687">
        <f t="shared" si="23"/>
        <v>7.1428571428571426E-3</v>
      </c>
      <c r="AR112" s="685">
        <v>0</v>
      </c>
      <c r="AS112" s="687">
        <v>0</v>
      </c>
      <c r="AT112" s="691">
        <v>2E-3</v>
      </c>
      <c r="AU112" s="685">
        <v>0</v>
      </c>
      <c r="AV112" s="687">
        <v>0</v>
      </c>
      <c r="AW112" s="692">
        <v>0</v>
      </c>
      <c r="AX112" s="693">
        <v>0</v>
      </c>
      <c r="AY112" s="692">
        <v>0</v>
      </c>
      <c r="AZ112" s="693">
        <v>0</v>
      </c>
      <c r="BA112" s="692">
        <v>0</v>
      </c>
      <c r="BB112" s="693">
        <v>0</v>
      </c>
      <c r="BC112" s="694">
        <v>0</v>
      </c>
      <c r="BD112" s="695">
        <v>0</v>
      </c>
      <c r="BE112" s="692">
        <v>0</v>
      </c>
      <c r="BF112" s="693">
        <v>0</v>
      </c>
      <c r="BG112" s="694">
        <v>0</v>
      </c>
      <c r="BH112" s="693">
        <v>0</v>
      </c>
      <c r="BI112" s="694">
        <v>0</v>
      </c>
      <c r="BJ112" s="693">
        <v>0</v>
      </c>
      <c r="BK112" s="694">
        <v>0</v>
      </c>
      <c r="BL112" s="693">
        <v>0</v>
      </c>
      <c r="BM112" s="694">
        <v>0</v>
      </c>
      <c r="BN112" s="693">
        <v>0</v>
      </c>
      <c r="BO112" s="694">
        <v>0</v>
      </c>
      <c r="BP112" s="693">
        <v>0</v>
      </c>
      <c r="BQ112" s="694">
        <v>0</v>
      </c>
      <c r="BR112" s="693">
        <v>0</v>
      </c>
      <c r="BS112" s="694">
        <v>0</v>
      </c>
      <c r="BT112" s="693">
        <v>0</v>
      </c>
      <c r="BU112" s="694">
        <v>0</v>
      </c>
      <c r="BV112" s="693">
        <v>0</v>
      </c>
      <c r="BW112" s="694">
        <v>0</v>
      </c>
      <c r="BX112" s="693">
        <v>0</v>
      </c>
      <c r="BY112" s="694">
        <v>0</v>
      </c>
      <c r="BZ112" s="693">
        <v>0</v>
      </c>
      <c r="CA112" s="694">
        <v>0</v>
      </c>
      <c r="CB112" s="693">
        <v>0</v>
      </c>
      <c r="CC112" s="692">
        <v>0</v>
      </c>
      <c r="CD112" s="695">
        <v>0</v>
      </c>
      <c r="CE112" s="692">
        <v>0</v>
      </c>
      <c r="CF112" s="695">
        <v>0</v>
      </c>
      <c r="CG112" s="692">
        <v>0</v>
      </c>
      <c r="CH112" s="695">
        <v>0</v>
      </c>
      <c r="CI112" s="692">
        <v>0</v>
      </c>
      <c r="CJ112" s="695">
        <v>0</v>
      </c>
      <c r="CK112" s="692">
        <v>0</v>
      </c>
      <c r="CL112" s="695">
        <v>0</v>
      </c>
      <c r="CM112" s="692">
        <v>0</v>
      </c>
      <c r="CN112" s="695">
        <v>0</v>
      </c>
      <c r="CO112" s="692">
        <v>0</v>
      </c>
      <c r="CP112" s="695">
        <v>0</v>
      </c>
      <c r="CQ112" s="692">
        <v>0</v>
      </c>
      <c r="CR112" s="693">
        <v>0</v>
      </c>
      <c r="CS112" s="692">
        <v>0</v>
      </c>
      <c r="CT112" s="693">
        <v>0</v>
      </c>
      <c r="CU112" s="694">
        <v>0</v>
      </c>
      <c r="CV112" s="693">
        <v>0</v>
      </c>
    </row>
    <row r="113" spans="1:100">
      <c r="A113" s="460">
        <v>111</v>
      </c>
      <c r="B113" s="580">
        <v>0</v>
      </c>
      <c r="C113" s="580">
        <v>0</v>
      </c>
      <c r="D113" s="580">
        <v>0</v>
      </c>
      <c r="E113" s="580">
        <v>0</v>
      </c>
      <c r="F113" s="580">
        <v>0</v>
      </c>
      <c r="G113" s="580">
        <v>0</v>
      </c>
      <c r="H113" s="580">
        <v>0</v>
      </c>
      <c r="I113" s="580">
        <v>0</v>
      </c>
      <c r="J113" s="580">
        <v>0</v>
      </c>
      <c r="K113" s="580">
        <v>0</v>
      </c>
      <c r="L113" s="580">
        <v>0</v>
      </c>
      <c r="M113" s="580">
        <v>0</v>
      </c>
      <c r="N113" s="580">
        <v>0</v>
      </c>
      <c r="O113" s="580">
        <v>0</v>
      </c>
      <c r="P113" s="580">
        <v>0</v>
      </c>
      <c r="Q113" s="580">
        <v>0</v>
      </c>
      <c r="R113" s="580">
        <v>0</v>
      </c>
      <c r="S113" s="580">
        <v>0</v>
      </c>
      <c r="T113" s="580">
        <v>0</v>
      </c>
      <c r="U113" s="580">
        <v>0</v>
      </c>
      <c r="V113" s="580">
        <v>0</v>
      </c>
      <c r="W113" s="595">
        <v>0</v>
      </c>
      <c r="X113" s="688">
        <v>0</v>
      </c>
      <c r="Y113" s="688">
        <v>0</v>
      </c>
      <c r="Z113" s="688">
        <v>0</v>
      </c>
      <c r="AA113" s="688">
        <v>0</v>
      </c>
      <c r="AB113" s="688">
        <v>0</v>
      </c>
      <c r="AC113" s="688">
        <v>0</v>
      </c>
      <c r="AD113" s="688">
        <v>0</v>
      </c>
      <c r="AE113" s="977">
        <v>0</v>
      </c>
      <c r="AF113" s="978">
        <v>0</v>
      </c>
      <c r="AG113" s="979">
        <v>0</v>
      </c>
      <c r="AH113" s="688">
        <v>0</v>
      </c>
      <c r="AI113" s="687">
        <v>0</v>
      </c>
      <c r="AJ113" s="685">
        <v>0</v>
      </c>
      <c r="AK113" s="687">
        <v>0</v>
      </c>
      <c r="AL113" s="689">
        <v>0</v>
      </c>
      <c r="AM113" s="685">
        <v>0</v>
      </c>
      <c r="AN113" s="685">
        <v>0</v>
      </c>
      <c r="AO113" s="689">
        <v>0</v>
      </c>
      <c r="AP113" s="690">
        <v>2E-3</v>
      </c>
      <c r="AQ113" s="687">
        <f t="shared" si="23"/>
        <v>7.1428571428571426E-3</v>
      </c>
      <c r="AR113" s="685">
        <v>0</v>
      </c>
      <c r="AS113" s="687">
        <v>0</v>
      </c>
      <c r="AT113" s="691">
        <v>2E-3</v>
      </c>
      <c r="AU113" s="685">
        <v>0</v>
      </c>
      <c r="AV113" s="687">
        <v>0</v>
      </c>
      <c r="AW113" s="692">
        <v>0</v>
      </c>
      <c r="AX113" s="693">
        <v>0</v>
      </c>
      <c r="AY113" s="692">
        <v>0</v>
      </c>
      <c r="AZ113" s="693">
        <v>0</v>
      </c>
      <c r="BA113" s="692">
        <v>0</v>
      </c>
      <c r="BB113" s="693">
        <v>0</v>
      </c>
      <c r="BC113" s="694">
        <v>0</v>
      </c>
      <c r="BD113" s="695">
        <v>0</v>
      </c>
      <c r="BE113" s="692">
        <v>0</v>
      </c>
      <c r="BF113" s="693">
        <v>0</v>
      </c>
      <c r="BG113" s="694">
        <v>0</v>
      </c>
      <c r="BH113" s="693">
        <v>0</v>
      </c>
      <c r="BI113" s="694">
        <v>0</v>
      </c>
      <c r="BJ113" s="693">
        <v>0</v>
      </c>
      <c r="BK113" s="694">
        <v>0</v>
      </c>
      <c r="BL113" s="693">
        <v>0</v>
      </c>
      <c r="BM113" s="694">
        <v>0</v>
      </c>
      <c r="BN113" s="693">
        <v>0</v>
      </c>
      <c r="BO113" s="694">
        <v>0</v>
      </c>
      <c r="BP113" s="693">
        <v>0</v>
      </c>
      <c r="BQ113" s="694">
        <v>0</v>
      </c>
      <c r="BR113" s="693">
        <v>0</v>
      </c>
      <c r="BS113" s="694">
        <v>0</v>
      </c>
      <c r="BT113" s="693">
        <v>0</v>
      </c>
      <c r="BU113" s="694">
        <v>0</v>
      </c>
      <c r="BV113" s="693">
        <v>0</v>
      </c>
      <c r="BW113" s="694">
        <v>0</v>
      </c>
      <c r="BX113" s="693">
        <v>0</v>
      </c>
      <c r="BY113" s="694">
        <v>0</v>
      </c>
      <c r="BZ113" s="693">
        <v>0</v>
      </c>
      <c r="CA113" s="694">
        <v>0</v>
      </c>
      <c r="CB113" s="693">
        <v>0</v>
      </c>
      <c r="CC113" s="692">
        <v>0</v>
      </c>
      <c r="CD113" s="695">
        <v>0</v>
      </c>
      <c r="CE113" s="692">
        <v>0</v>
      </c>
      <c r="CF113" s="695">
        <v>0</v>
      </c>
      <c r="CG113" s="692">
        <v>0</v>
      </c>
      <c r="CH113" s="695">
        <v>0</v>
      </c>
      <c r="CI113" s="692">
        <v>0</v>
      </c>
      <c r="CJ113" s="695">
        <v>0</v>
      </c>
      <c r="CK113" s="692">
        <v>0</v>
      </c>
      <c r="CL113" s="695">
        <v>0</v>
      </c>
      <c r="CM113" s="692">
        <v>0</v>
      </c>
      <c r="CN113" s="695">
        <v>0</v>
      </c>
      <c r="CO113" s="692">
        <v>0</v>
      </c>
      <c r="CP113" s="695">
        <v>0</v>
      </c>
      <c r="CQ113" s="692">
        <v>0</v>
      </c>
      <c r="CR113" s="693">
        <v>0</v>
      </c>
      <c r="CS113" s="692">
        <v>0</v>
      </c>
      <c r="CT113" s="693">
        <v>0</v>
      </c>
      <c r="CU113" s="694">
        <v>0</v>
      </c>
      <c r="CV113" s="693">
        <v>0</v>
      </c>
    </row>
    <row r="114" spans="1:100">
      <c r="A114" s="460">
        <v>112</v>
      </c>
      <c r="B114" s="580">
        <v>0</v>
      </c>
      <c r="C114" s="580">
        <v>0</v>
      </c>
      <c r="D114" s="580">
        <v>0</v>
      </c>
      <c r="E114" s="580">
        <v>0</v>
      </c>
      <c r="F114" s="580">
        <v>0</v>
      </c>
      <c r="G114" s="580">
        <v>0</v>
      </c>
      <c r="H114" s="580">
        <v>0</v>
      </c>
      <c r="I114" s="580">
        <v>0</v>
      </c>
      <c r="J114" s="580">
        <v>0</v>
      </c>
      <c r="K114" s="580">
        <v>0</v>
      </c>
      <c r="L114" s="580">
        <v>0</v>
      </c>
      <c r="M114" s="580">
        <v>0</v>
      </c>
      <c r="N114" s="580">
        <v>0</v>
      </c>
      <c r="O114" s="580">
        <v>0</v>
      </c>
      <c r="P114" s="580">
        <v>0</v>
      </c>
      <c r="Q114" s="580">
        <v>0</v>
      </c>
      <c r="R114" s="580">
        <v>0</v>
      </c>
      <c r="S114" s="580">
        <v>0</v>
      </c>
      <c r="T114" s="580">
        <v>0</v>
      </c>
      <c r="U114" s="580">
        <v>0</v>
      </c>
      <c r="V114" s="580">
        <v>0</v>
      </c>
      <c r="W114" s="595">
        <v>0</v>
      </c>
      <c r="X114" s="688">
        <v>0</v>
      </c>
      <c r="Y114" s="688">
        <v>0</v>
      </c>
      <c r="Z114" s="688">
        <v>0</v>
      </c>
      <c r="AA114" s="688">
        <v>0</v>
      </c>
      <c r="AB114" s="688">
        <v>0</v>
      </c>
      <c r="AC114" s="688">
        <v>0</v>
      </c>
      <c r="AD114" s="688">
        <v>0</v>
      </c>
      <c r="AE114" s="977">
        <v>0</v>
      </c>
      <c r="AF114" s="978">
        <v>0</v>
      </c>
      <c r="AG114" s="979">
        <v>0</v>
      </c>
      <c r="AH114" s="688">
        <v>0</v>
      </c>
      <c r="AI114" s="687">
        <v>0</v>
      </c>
      <c r="AJ114" s="685">
        <v>0</v>
      </c>
      <c r="AK114" s="687">
        <v>0</v>
      </c>
      <c r="AL114" s="689">
        <v>0</v>
      </c>
      <c r="AM114" s="685">
        <v>0</v>
      </c>
      <c r="AN114" s="685">
        <v>0</v>
      </c>
      <c r="AO114" s="689">
        <v>0</v>
      </c>
      <c r="AP114" s="690">
        <v>2E-3</v>
      </c>
      <c r="AQ114" s="687">
        <f t="shared" si="23"/>
        <v>7.1428571428571426E-3</v>
      </c>
      <c r="AR114" s="685">
        <v>0</v>
      </c>
      <c r="AS114" s="687">
        <v>0</v>
      </c>
      <c r="AT114" s="691">
        <v>2E-3</v>
      </c>
      <c r="AU114" s="685">
        <v>0</v>
      </c>
      <c r="AV114" s="687">
        <v>0</v>
      </c>
      <c r="AW114" s="692">
        <v>0</v>
      </c>
      <c r="AX114" s="693">
        <v>0</v>
      </c>
      <c r="AY114" s="692">
        <v>0</v>
      </c>
      <c r="AZ114" s="693">
        <v>0</v>
      </c>
      <c r="BA114" s="692">
        <v>0</v>
      </c>
      <c r="BB114" s="693">
        <v>0</v>
      </c>
      <c r="BC114" s="694">
        <v>0</v>
      </c>
      <c r="BD114" s="695">
        <v>0</v>
      </c>
      <c r="BE114" s="692">
        <v>0</v>
      </c>
      <c r="BF114" s="693">
        <v>0</v>
      </c>
      <c r="BG114" s="694">
        <v>0</v>
      </c>
      <c r="BH114" s="693">
        <v>0</v>
      </c>
      <c r="BI114" s="694">
        <v>0</v>
      </c>
      <c r="BJ114" s="693">
        <v>0</v>
      </c>
      <c r="BK114" s="694">
        <v>0</v>
      </c>
      <c r="BL114" s="693">
        <v>0</v>
      </c>
      <c r="BM114" s="694">
        <v>0</v>
      </c>
      <c r="BN114" s="693">
        <v>0</v>
      </c>
      <c r="BO114" s="694">
        <v>0</v>
      </c>
      <c r="BP114" s="693">
        <v>0</v>
      </c>
      <c r="BQ114" s="694">
        <v>0</v>
      </c>
      <c r="BR114" s="693">
        <v>0</v>
      </c>
      <c r="BS114" s="694">
        <v>0</v>
      </c>
      <c r="BT114" s="693">
        <v>0</v>
      </c>
      <c r="BU114" s="694">
        <v>0</v>
      </c>
      <c r="BV114" s="693">
        <v>0</v>
      </c>
      <c r="BW114" s="694">
        <v>0</v>
      </c>
      <c r="BX114" s="693">
        <v>0</v>
      </c>
      <c r="BY114" s="694">
        <v>0</v>
      </c>
      <c r="BZ114" s="693">
        <v>0</v>
      </c>
      <c r="CA114" s="694">
        <v>0</v>
      </c>
      <c r="CB114" s="693">
        <v>0</v>
      </c>
      <c r="CC114" s="692">
        <v>0</v>
      </c>
      <c r="CD114" s="695">
        <v>0</v>
      </c>
      <c r="CE114" s="692">
        <v>0</v>
      </c>
      <c r="CF114" s="695">
        <v>0</v>
      </c>
      <c r="CG114" s="692">
        <v>0</v>
      </c>
      <c r="CH114" s="695">
        <v>0</v>
      </c>
      <c r="CI114" s="692">
        <v>0</v>
      </c>
      <c r="CJ114" s="695">
        <v>0</v>
      </c>
      <c r="CK114" s="692">
        <v>0</v>
      </c>
      <c r="CL114" s="695">
        <v>0</v>
      </c>
      <c r="CM114" s="692">
        <v>0</v>
      </c>
      <c r="CN114" s="695">
        <v>0</v>
      </c>
      <c r="CO114" s="692">
        <v>0</v>
      </c>
      <c r="CP114" s="695">
        <v>0</v>
      </c>
      <c r="CQ114" s="692">
        <v>0</v>
      </c>
      <c r="CR114" s="693">
        <v>0</v>
      </c>
      <c r="CS114" s="692">
        <v>0</v>
      </c>
      <c r="CT114" s="693">
        <v>0</v>
      </c>
      <c r="CU114" s="694">
        <v>0</v>
      </c>
      <c r="CV114" s="693">
        <v>0</v>
      </c>
    </row>
    <row r="115" spans="1:100">
      <c r="A115" s="460">
        <v>113</v>
      </c>
      <c r="B115" s="580">
        <v>0</v>
      </c>
      <c r="C115" s="580">
        <v>0</v>
      </c>
      <c r="D115" s="580">
        <v>0</v>
      </c>
      <c r="E115" s="580">
        <v>0</v>
      </c>
      <c r="F115" s="580">
        <v>0</v>
      </c>
      <c r="G115" s="580">
        <v>0</v>
      </c>
      <c r="H115" s="580">
        <v>0</v>
      </c>
      <c r="I115" s="580">
        <v>0</v>
      </c>
      <c r="J115" s="580">
        <v>0</v>
      </c>
      <c r="K115" s="580">
        <v>0</v>
      </c>
      <c r="L115" s="580">
        <v>0</v>
      </c>
      <c r="M115" s="580">
        <v>0</v>
      </c>
      <c r="N115" s="580">
        <v>0</v>
      </c>
      <c r="O115" s="580">
        <v>0</v>
      </c>
      <c r="P115" s="580">
        <v>0</v>
      </c>
      <c r="Q115" s="580">
        <v>0</v>
      </c>
      <c r="R115" s="580">
        <v>0</v>
      </c>
      <c r="S115" s="580">
        <v>0</v>
      </c>
      <c r="T115" s="580">
        <v>0</v>
      </c>
      <c r="U115" s="580">
        <v>0</v>
      </c>
      <c r="V115" s="580">
        <v>0</v>
      </c>
      <c r="W115" s="595">
        <v>0</v>
      </c>
      <c r="X115" s="688">
        <v>0</v>
      </c>
      <c r="Y115" s="688">
        <v>0</v>
      </c>
      <c r="Z115" s="688">
        <v>0</v>
      </c>
      <c r="AA115" s="688">
        <v>0</v>
      </c>
      <c r="AB115" s="688">
        <v>0</v>
      </c>
      <c r="AC115" s="688">
        <v>0</v>
      </c>
      <c r="AD115" s="688">
        <v>0</v>
      </c>
      <c r="AE115" s="977">
        <v>0</v>
      </c>
      <c r="AF115" s="978">
        <v>0</v>
      </c>
      <c r="AG115" s="979">
        <v>0</v>
      </c>
      <c r="AH115" s="688">
        <v>0</v>
      </c>
      <c r="AI115" s="687">
        <v>0</v>
      </c>
      <c r="AJ115" s="685">
        <v>0</v>
      </c>
      <c r="AK115" s="687">
        <v>0</v>
      </c>
      <c r="AL115" s="689">
        <v>0</v>
      </c>
      <c r="AM115" s="685">
        <v>0</v>
      </c>
      <c r="AN115" s="685">
        <v>0</v>
      </c>
      <c r="AO115" s="689">
        <v>0</v>
      </c>
      <c r="AP115" s="690">
        <v>2E-3</v>
      </c>
      <c r="AQ115" s="687">
        <f t="shared" si="23"/>
        <v>7.1428571428571426E-3</v>
      </c>
      <c r="AR115" s="685">
        <v>0</v>
      </c>
      <c r="AS115" s="687">
        <v>0</v>
      </c>
      <c r="AT115" s="691">
        <v>2E-3</v>
      </c>
      <c r="AU115" s="685">
        <v>0</v>
      </c>
      <c r="AV115" s="687">
        <v>0</v>
      </c>
      <c r="AW115" s="692">
        <v>0</v>
      </c>
      <c r="AX115" s="693">
        <v>0</v>
      </c>
      <c r="AY115" s="692">
        <v>0</v>
      </c>
      <c r="AZ115" s="693">
        <v>0</v>
      </c>
      <c r="BA115" s="692">
        <v>0</v>
      </c>
      <c r="BB115" s="693">
        <v>0</v>
      </c>
      <c r="BC115" s="694">
        <v>0</v>
      </c>
      <c r="BD115" s="695">
        <v>0</v>
      </c>
      <c r="BE115" s="692">
        <v>0</v>
      </c>
      <c r="BF115" s="693">
        <v>0</v>
      </c>
      <c r="BG115" s="694">
        <v>0</v>
      </c>
      <c r="BH115" s="693">
        <v>0</v>
      </c>
      <c r="BI115" s="694">
        <v>0</v>
      </c>
      <c r="BJ115" s="693">
        <v>0</v>
      </c>
      <c r="BK115" s="694">
        <v>0</v>
      </c>
      <c r="BL115" s="693">
        <v>0</v>
      </c>
      <c r="BM115" s="694">
        <v>0</v>
      </c>
      <c r="BN115" s="693">
        <v>0</v>
      </c>
      <c r="BO115" s="694">
        <v>0</v>
      </c>
      <c r="BP115" s="693">
        <v>0</v>
      </c>
      <c r="BQ115" s="694">
        <v>0</v>
      </c>
      <c r="BR115" s="693">
        <v>0</v>
      </c>
      <c r="BS115" s="694">
        <v>0</v>
      </c>
      <c r="BT115" s="693">
        <v>0</v>
      </c>
      <c r="BU115" s="694">
        <v>0</v>
      </c>
      <c r="BV115" s="693">
        <v>0</v>
      </c>
      <c r="BW115" s="694">
        <v>0</v>
      </c>
      <c r="BX115" s="693">
        <v>0</v>
      </c>
      <c r="BY115" s="694">
        <v>0</v>
      </c>
      <c r="BZ115" s="693">
        <v>0</v>
      </c>
      <c r="CA115" s="694">
        <v>0</v>
      </c>
      <c r="CB115" s="693">
        <v>0</v>
      </c>
      <c r="CC115" s="692">
        <v>0</v>
      </c>
      <c r="CD115" s="695">
        <v>0</v>
      </c>
      <c r="CE115" s="692">
        <v>0</v>
      </c>
      <c r="CF115" s="695">
        <v>0</v>
      </c>
      <c r="CG115" s="692">
        <v>0</v>
      </c>
      <c r="CH115" s="695">
        <v>0</v>
      </c>
      <c r="CI115" s="692">
        <v>0</v>
      </c>
      <c r="CJ115" s="695">
        <v>0</v>
      </c>
      <c r="CK115" s="692">
        <v>0</v>
      </c>
      <c r="CL115" s="695">
        <v>0</v>
      </c>
      <c r="CM115" s="692">
        <v>0</v>
      </c>
      <c r="CN115" s="695">
        <v>0</v>
      </c>
      <c r="CO115" s="692">
        <v>0</v>
      </c>
      <c r="CP115" s="695">
        <v>0</v>
      </c>
      <c r="CQ115" s="692">
        <v>0</v>
      </c>
      <c r="CR115" s="693">
        <v>0</v>
      </c>
      <c r="CS115" s="692">
        <v>0</v>
      </c>
      <c r="CT115" s="693">
        <v>0</v>
      </c>
      <c r="CU115" s="694">
        <v>0</v>
      </c>
      <c r="CV115" s="693">
        <v>0</v>
      </c>
    </row>
    <row r="116" spans="1:100">
      <c r="A116" s="460">
        <v>114</v>
      </c>
      <c r="B116" s="580">
        <v>0</v>
      </c>
      <c r="C116" s="580">
        <v>0</v>
      </c>
      <c r="D116" s="580">
        <v>0</v>
      </c>
      <c r="E116" s="580">
        <v>0</v>
      </c>
      <c r="F116" s="580">
        <v>0</v>
      </c>
      <c r="G116" s="580">
        <v>0</v>
      </c>
      <c r="H116" s="580">
        <v>0</v>
      </c>
      <c r="I116" s="580">
        <v>0</v>
      </c>
      <c r="J116" s="580">
        <v>0</v>
      </c>
      <c r="K116" s="580">
        <v>0</v>
      </c>
      <c r="L116" s="580">
        <v>0</v>
      </c>
      <c r="M116" s="580">
        <v>0</v>
      </c>
      <c r="N116" s="580">
        <v>0</v>
      </c>
      <c r="O116" s="580">
        <v>0</v>
      </c>
      <c r="P116" s="580">
        <v>0</v>
      </c>
      <c r="Q116" s="580">
        <v>0</v>
      </c>
      <c r="R116" s="580">
        <v>0</v>
      </c>
      <c r="S116" s="580">
        <v>0</v>
      </c>
      <c r="T116" s="580">
        <v>0</v>
      </c>
      <c r="U116" s="580">
        <v>0</v>
      </c>
      <c r="V116" s="580">
        <v>0</v>
      </c>
      <c r="W116" s="595">
        <v>0</v>
      </c>
      <c r="X116" s="688">
        <v>0</v>
      </c>
      <c r="Y116" s="688">
        <v>0</v>
      </c>
      <c r="Z116" s="688">
        <v>0</v>
      </c>
      <c r="AA116" s="688">
        <v>0</v>
      </c>
      <c r="AB116" s="688">
        <v>0</v>
      </c>
      <c r="AC116" s="688">
        <v>0</v>
      </c>
      <c r="AD116" s="688">
        <v>0</v>
      </c>
      <c r="AE116" s="977">
        <v>0</v>
      </c>
      <c r="AF116" s="978">
        <v>0</v>
      </c>
      <c r="AG116" s="979">
        <v>0</v>
      </c>
      <c r="AH116" s="688">
        <v>0</v>
      </c>
      <c r="AI116" s="687">
        <v>0</v>
      </c>
      <c r="AJ116" s="685">
        <v>0</v>
      </c>
      <c r="AK116" s="687">
        <v>0</v>
      </c>
      <c r="AL116" s="689">
        <v>0</v>
      </c>
      <c r="AM116" s="685">
        <v>0</v>
      </c>
      <c r="AN116" s="685">
        <v>0</v>
      </c>
      <c r="AO116" s="689">
        <v>0</v>
      </c>
      <c r="AP116" s="690">
        <v>2E-3</v>
      </c>
      <c r="AQ116" s="687">
        <f t="shared" si="23"/>
        <v>7.1428571428571426E-3</v>
      </c>
      <c r="AR116" s="685">
        <v>0</v>
      </c>
      <c r="AS116" s="687">
        <v>0</v>
      </c>
      <c r="AT116" s="691">
        <v>2E-3</v>
      </c>
      <c r="AU116" s="685">
        <v>0</v>
      </c>
      <c r="AV116" s="687">
        <v>0</v>
      </c>
      <c r="AW116" s="692">
        <v>0</v>
      </c>
      <c r="AX116" s="693">
        <v>0</v>
      </c>
      <c r="AY116" s="692">
        <v>0</v>
      </c>
      <c r="AZ116" s="693">
        <v>0</v>
      </c>
      <c r="BA116" s="692">
        <v>0</v>
      </c>
      <c r="BB116" s="693">
        <v>0</v>
      </c>
      <c r="BC116" s="694">
        <v>0</v>
      </c>
      <c r="BD116" s="695">
        <v>0</v>
      </c>
      <c r="BE116" s="692">
        <v>0</v>
      </c>
      <c r="BF116" s="693">
        <v>0</v>
      </c>
      <c r="BG116" s="694">
        <v>0</v>
      </c>
      <c r="BH116" s="693">
        <v>0</v>
      </c>
      <c r="BI116" s="694">
        <v>0</v>
      </c>
      <c r="BJ116" s="693">
        <v>0</v>
      </c>
      <c r="BK116" s="694">
        <v>0</v>
      </c>
      <c r="BL116" s="693">
        <v>0</v>
      </c>
      <c r="BM116" s="694">
        <v>0</v>
      </c>
      <c r="BN116" s="693">
        <v>0</v>
      </c>
      <c r="BO116" s="694">
        <v>0</v>
      </c>
      <c r="BP116" s="693">
        <v>0</v>
      </c>
      <c r="BQ116" s="694">
        <v>0</v>
      </c>
      <c r="BR116" s="693">
        <v>0</v>
      </c>
      <c r="BS116" s="694">
        <v>0</v>
      </c>
      <c r="BT116" s="693">
        <v>0</v>
      </c>
      <c r="BU116" s="694">
        <v>0</v>
      </c>
      <c r="BV116" s="693">
        <v>0</v>
      </c>
      <c r="BW116" s="694">
        <v>0</v>
      </c>
      <c r="BX116" s="693">
        <v>0</v>
      </c>
      <c r="BY116" s="694">
        <v>0</v>
      </c>
      <c r="BZ116" s="693">
        <v>0</v>
      </c>
      <c r="CA116" s="694">
        <v>0</v>
      </c>
      <c r="CB116" s="693">
        <v>0</v>
      </c>
      <c r="CC116" s="692">
        <v>0</v>
      </c>
      <c r="CD116" s="695">
        <v>0</v>
      </c>
      <c r="CE116" s="692">
        <v>0</v>
      </c>
      <c r="CF116" s="695">
        <v>0</v>
      </c>
      <c r="CG116" s="692">
        <v>0</v>
      </c>
      <c r="CH116" s="695">
        <v>0</v>
      </c>
      <c r="CI116" s="692">
        <v>0</v>
      </c>
      <c r="CJ116" s="695">
        <v>0</v>
      </c>
      <c r="CK116" s="692">
        <v>0</v>
      </c>
      <c r="CL116" s="695">
        <v>0</v>
      </c>
      <c r="CM116" s="692">
        <v>0</v>
      </c>
      <c r="CN116" s="695">
        <v>0</v>
      </c>
      <c r="CO116" s="692">
        <v>0</v>
      </c>
      <c r="CP116" s="695">
        <v>0</v>
      </c>
      <c r="CQ116" s="692">
        <v>0</v>
      </c>
      <c r="CR116" s="693">
        <v>0</v>
      </c>
      <c r="CS116" s="692">
        <v>0</v>
      </c>
      <c r="CT116" s="693">
        <v>0</v>
      </c>
      <c r="CU116" s="694">
        <v>0</v>
      </c>
      <c r="CV116" s="693">
        <v>0</v>
      </c>
    </row>
    <row r="117" spans="1:100">
      <c r="A117" s="460">
        <v>115</v>
      </c>
      <c r="B117" s="580">
        <v>0</v>
      </c>
      <c r="C117" s="580">
        <v>0</v>
      </c>
      <c r="D117" s="580">
        <v>0</v>
      </c>
      <c r="E117" s="580">
        <v>0</v>
      </c>
      <c r="F117" s="580">
        <v>0</v>
      </c>
      <c r="G117" s="580">
        <v>0</v>
      </c>
      <c r="H117" s="580">
        <v>0</v>
      </c>
      <c r="I117" s="580">
        <v>0</v>
      </c>
      <c r="J117" s="580">
        <v>0</v>
      </c>
      <c r="K117" s="580">
        <v>0</v>
      </c>
      <c r="L117" s="580">
        <v>0</v>
      </c>
      <c r="M117" s="580">
        <v>0</v>
      </c>
      <c r="N117" s="580">
        <v>0</v>
      </c>
      <c r="O117" s="580">
        <v>0</v>
      </c>
      <c r="P117" s="580">
        <v>0</v>
      </c>
      <c r="Q117" s="580">
        <v>0</v>
      </c>
      <c r="R117" s="580">
        <v>0</v>
      </c>
      <c r="S117" s="580">
        <v>0</v>
      </c>
      <c r="T117" s="580">
        <v>0</v>
      </c>
      <c r="U117" s="580">
        <v>0</v>
      </c>
      <c r="V117" s="580">
        <v>0</v>
      </c>
      <c r="W117" s="595">
        <v>0</v>
      </c>
      <c r="X117" s="688">
        <v>0</v>
      </c>
      <c r="Y117" s="688">
        <v>0</v>
      </c>
      <c r="Z117" s="688">
        <v>0</v>
      </c>
      <c r="AA117" s="688">
        <v>0</v>
      </c>
      <c r="AB117" s="688">
        <v>0</v>
      </c>
      <c r="AC117" s="688">
        <v>0</v>
      </c>
      <c r="AD117" s="688">
        <v>0</v>
      </c>
      <c r="AE117" s="977">
        <v>0</v>
      </c>
      <c r="AF117" s="978">
        <v>0</v>
      </c>
      <c r="AG117" s="979">
        <v>0</v>
      </c>
      <c r="AH117" s="688">
        <v>0</v>
      </c>
      <c r="AI117" s="687">
        <v>0</v>
      </c>
      <c r="AJ117" s="685">
        <v>0</v>
      </c>
      <c r="AK117" s="687">
        <v>0</v>
      </c>
      <c r="AL117" s="689">
        <v>0</v>
      </c>
      <c r="AM117" s="685">
        <v>0</v>
      </c>
      <c r="AN117" s="685">
        <v>0</v>
      </c>
      <c r="AO117" s="689">
        <v>0</v>
      </c>
      <c r="AP117" s="690">
        <v>2E-3</v>
      </c>
      <c r="AQ117" s="687">
        <f t="shared" si="23"/>
        <v>7.1428571428571426E-3</v>
      </c>
      <c r="AR117" s="685">
        <v>0</v>
      </c>
      <c r="AS117" s="687">
        <v>0</v>
      </c>
      <c r="AT117" s="691">
        <v>2E-3</v>
      </c>
      <c r="AU117" s="685">
        <v>0</v>
      </c>
      <c r="AV117" s="687">
        <v>0</v>
      </c>
      <c r="AW117" s="692">
        <v>0</v>
      </c>
      <c r="AX117" s="693">
        <v>0</v>
      </c>
      <c r="AY117" s="692">
        <v>0</v>
      </c>
      <c r="AZ117" s="693">
        <v>0</v>
      </c>
      <c r="BA117" s="692">
        <v>0</v>
      </c>
      <c r="BB117" s="693">
        <v>0</v>
      </c>
      <c r="BC117" s="694">
        <v>0</v>
      </c>
      <c r="BD117" s="695">
        <v>0</v>
      </c>
      <c r="BE117" s="692">
        <v>0</v>
      </c>
      <c r="BF117" s="693">
        <v>0</v>
      </c>
      <c r="BG117" s="694">
        <v>0</v>
      </c>
      <c r="BH117" s="693">
        <v>0</v>
      </c>
      <c r="BI117" s="694">
        <v>0</v>
      </c>
      <c r="BJ117" s="693">
        <v>0</v>
      </c>
      <c r="BK117" s="694">
        <v>0</v>
      </c>
      <c r="BL117" s="693">
        <v>0</v>
      </c>
      <c r="BM117" s="694">
        <v>0</v>
      </c>
      <c r="BN117" s="693">
        <v>0</v>
      </c>
      <c r="BO117" s="694">
        <v>0</v>
      </c>
      <c r="BP117" s="693">
        <v>0</v>
      </c>
      <c r="BQ117" s="694">
        <v>0</v>
      </c>
      <c r="BR117" s="693">
        <v>0</v>
      </c>
      <c r="BS117" s="694">
        <v>0</v>
      </c>
      <c r="BT117" s="693">
        <v>0</v>
      </c>
      <c r="BU117" s="694">
        <v>0</v>
      </c>
      <c r="BV117" s="693">
        <v>0</v>
      </c>
      <c r="BW117" s="694">
        <v>0</v>
      </c>
      <c r="BX117" s="693">
        <v>0</v>
      </c>
      <c r="BY117" s="694">
        <v>0</v>
      </c>
      <c r="BZ117" s="693">
        <v>0</v>
      </c>
      <c r="CA117" s="694">
        <v>0</v>
      </c>
      <c r="CB117" s="693">
        <v>0</v>
      </c>
      <c r="CC117" s="692">
        <v>0</v>
      </c>
      <c r="CD117" s="695">
        <v>0</v>
      </c>
      <c r="CE117" s="692">
        <v>0</v>
      </c>
      <c r="CF117" s="695">
        <v>0</v>
      </c>
      <c r="CG117" s="692">
        <v>0</v>
      </c>
      <c r="CH117" s="695">
        <v>0</v>
      </c>
      <c r="CI117" s="692">
        <v>0</v>
      </c>
      <c r="CJ117" s="695">
        <v>0</v>
      </c>
      <c r="CK117" s="692">
        <v>0</v>
      </c>
      <c r="CL117" s="695">
        <v>0</v>
      </c>
      <c r="CM117" s="692">
        <v>0</v>
      </c>
      <c r="CN117" s="695">
        <v>0</v>
      </c>
      <c r="CO117" s="692">
        <v>0</v>
      </c>
      <c r="CP117" s="695">
        <v>0</v>
      </c>
      <c r="CQ117" s="692">
        <v>0</v>
      </c>
      <c r="CR117" s="693">
        <v>0</v>
      </c>
      <c r="CS117" s="692">
        <v>0</v>
      </c>
      <c r="CT117" s="693">
        <v>0</v>
      </c>
      <c r="CU117" s="694">
        <v>0</v>
      </c>
      <c r="CV117" s="693">
        <v>0</v>
      </c>
    </row>
    <row r="118" spans="1:100">
      <c r="A118" s="460">
        <v>116</v>
      </c>
      <c r="B118" s="580">
        <v>0</v>
      </c>
      <c r="C118" s="580">
        <v>0</v>
      </c>
      <c r="D118" s="580">
        <v>0</v>
      </c>
      <c r="E118" s="580">
        <v>0</v>
      </c>
      <c r="F118" s="580">
        <v>0</v>
      </c>
      <c r="G118" s="580">
        <v>0</v>
      </c>
      <c r="H118" s="580">
        <v>0</v>
      </c>
      <c r="I118" s="580">
        <v>0</v>
      </c>
      <c r="J118" s="580">
        <v>0</v>
      </c>
      <c r="K118" s="580">
        <v>0</v>
      </c>
      <c r="L118" s="580">
        <v>0</v>
      </c>
      <c r="M118" s="580">
        <v>0</v>
      </c>
      <c r="N118" s="580">
        <v>0</v>
      </c>
      <c r="O118" s="580">
        <v>0</v>
      </c>
      <c r="P118" s="580">
        <v>0</v>
      </c>
      <c r="Q118" s="580">
        <v>0</v>
      </c>
      <c r="R118" s="580">
        <v>0</v>
      </c>
      <c r="S118" s="580">
        <v>0</v>
      </c>
      <c r="T118" s="580">
        <v>0</v>
      </c>
      <c r="U118" s="580">
        <v>0</v>
      </c>
      <c r="V118" s="580">
        <v>0</v>
      </c>
      <c r="W118" s="595">
        <v>0</v>
      </c>
      <c r="X118" s="688">
        <v>0</v>
      </c>
      <c r="Y118" s="688">
        <v>0</v>
      </c>
      <c r="Z118" s="688">
        <v>0</v>
      </c>
      <c r="AA118" s="688">
        <v>0</v>
      </c>
      <c r="AB118" s="688">
        <v>0</v>
      </c>
      <c r="AC118" s="688">
        <v>0</v>
      </c>
      <c r="AD118" s="688">
        <v>0</v>
      </c>
      <c r="AE118" s="977">
        <v>0</v>
      </c>
      <c r="AF118" s="978">
        <v>0</v>
      </c>
      <c r="AG118" s="979">
        <v>0</v>
      </c>
      <c r="AH118" s="688">
        <v>0</v>
      </c>
      <c r="AI118" s="687">
        <v>0</v>
      </c>
      <c r="AJ118" s="685">
        <v>0</v>
      </c>
      <c r="AK118" s="687">
        <v>0</v>
      </c>
      <c r="AL118" s="689">
        <v>0</v>
      </c>
      <c r="AM118" s="685">
        <v>0</v>
      </c>
      <c r="AN118" s="685">
        <v>0</v>
      </c>
      <c r="AO118" s="689">
        <v>0</v>
      </c>
      <c r="AP118" s="690">
        <v>2E-3</v>
      </c>
      <c r="AQ118" s="687">
        <f t="shared" si="23"/>
        <v>7.1428571428571426E-3</v>
      </c>
      <c r="AR118" s="685">
        <v>0</v>
      </c>
      <c r="AS118" s="687">
        <v>0</v>
      </c>
      <c r="AT118" s="691">
        <v>2E-3</v>
      </c>
      <c r="AU118" s="685">
        <v>0</v>
      </c>
      <c r="AV118" s="687">
        <v>0</v>
      </c>
      <c r="AW118" s="692">
        <v>0</v>
      </c>
      <c r="AX118" s="693">
        <v>0</v>
      </c>
      <c r="AY118" s="692">
        <v>0</v>
      </c>
      <c r="AZ118" s="693">
        <v>0</v>
      </c>
      <c r="BA118" s="692">
        <v>0</v>
      </c>
      <c r="BB118" s="693">
        <v>0</v>
      </c>
      <c r="BC118" s="694">
        <v>0</v>
      </c>
      <c r="BD118" s="695">
        <v>0</v>
      </c>
      <c r="BE118" s="692">
        <v>0</v>
      </c>
      <c r="BF118" s="693">
        <v>0</v>
      </c>
      <c r="BG118" s="694">
        <v>0</v>
      </c>
      <c r="BH118" s="693">
        <v>0</v>
      </c>
      <c r="BI118" s="694">
        <v>0</v>
      </c>
      <c r="BJ118" s="693">
        <v>0</v>
      </c>
      <c r="BK118" s="694">
        <v>0</v>
      </c>
      <c r="BL118" s="693">
        <v>0</v>
      </c>
      <c r="BM118" s="694">
        <v>0</v>
      </c>
      <c r="BN118" s="693">
        <v>0</v>
      </c>
      <c r="BO118" s="694">
        <v>0</v>
      </c>
      <c r="BP118" s="693">
        <v>0</v>
      </c>
      <c r="BQ118" s="694">
        <v>0</v>
      </c>
      <c r="BR118" s="693">
        <v>0</v>
      </c>
      <c r="BS118" s="694">
        <v>0</v>
      </c>
      <c r="BT118" s="693">
        <v>0</v>
      </c>
      <c r="BU118" s="694">
        <v>0</v>
      </c>
      <c r="BV118" s="693">
        <v>0</v>
      </c>
      <c r="BW118" s="694">
        <v>0</v>
      </c>
      <c r="BX118" s="693">
        <v>0</v>
      </c>
      <c r="BY118" s="694">
        <v>0</v>
      </c>
      <c r="BZ118" s="693">
        <v>0</v>
      </c>
      <c r="CA118" s="694">
        <v>0</v>
      </c>
      <c r="CB118" s="693">
        <v>0</v>
      </c>
      <c r="CC118" s="692">
        <v>0</v>
      </c>
      <c r="CD118" s="695">
        <v>0</v>
      </c>
      <c r="CE118" s="692">
        <v>0</v>
      </c>
      <c r="CF118" s="695">
        <v>0</v>
      </c>
      <c r="CG118" s="692">
        <v>0</v>
      </c>
      <c r="CH118" s="695">
        <v>0</v>
      </c>
      <c r="CI118" s="692">
        <v>0</v>
      </c>
      <c r="CJ118" s="695">
        <v>0</v>
      </c>
      <c r="CK118" s="692">
        <v>0</v>
      </c>
      <c r="CL118" s="695">
        <v>0</v>
      </c>
      <c r="CM118" s="692">
        <v>0</v>
      </c>
      <c r="CN118" s="695">
        <v>0</v>
      </c>
      <c r="CO118" s="692">
        <v>0</v>
      </c>
      <c r="CP118" s="695">
        <v>0</v>
      </c>
      <c r="CQ118" s="692">
        <v>0</v>
      </c>
      <c r="CR118" s="693">
        <v>0</v>
      </c>
      <c r="CS118" s="692">
        <v>0</v>
      </c>
      <c r="CT118" s="693">
        <v>0</v>
      </c>
      <c r="CU118" s="694">
        <v>0</v>
      </c>
      <c r="CV118" s="693">
        <v>0</v>
      </c>
    </row>
    <row r="119" spans="1:100">
      <c r="A119" s="460">
        <v>117</v>
      </c>
      <c r="B119" s="580">
        <v>0</v>
      </c>
      <c r="C119" s="580">
        <v>0</v>
      </c>
      <c r="D119" s="580">
        <v>0</v>
      </c>
      <c r="E119" s="580">
        <v>0</v>
      </c>
      <c r="F119" s="580">
        <v>0</v>
      </c>
      <c r="G119" s="580">
        <v>0</v>
      </c>
      <c r="H119" s="580">
        <v>0</v>
      </c>
      <c r="I119" s="580">
        <v>0</v>
      </c>
      <c r="J119" s="580">
        <v>0</v>
      </c>
      <c r="K119" s="580">
        <v>0</v>
      </c>
      <c r="L119" s="580">
        <v>0</v>
      </c>
      <c r="M119" s="580">
        <v>0</v>
      </c>
      <c r="N119" s="580">
        <v>0</v>
      </c>
      <c r="O119" s="580">
        <v>0</v>
      </c>
      <c r="P119" s="580">
        <v>0</v>
      </c>
      <c r="Q119" s="580">
        <v>0</v>
      </c>
      <c r="R119" s="580">
        <v>0</v>
      </c>
      <c r="S119" s="580">
        <v>0</v>
      </c>
      <c r="T119" s="580">
        <v>0</v>
      </c>
      <c r="U119" s="580">
        <v>0</v>
      </c>
      <c r="V119" s="580">
        <v>0</v>
      </c>
      <c r="W119" s="595">
        <v>0</v>
      </c>
      <c r="X119" s="688">
        <v>0</v>
      </c>
      <c r="Y119" s="688">
        <v>0</v>
      </c>
      <c r="Z119" s="688">
        <v>0</v>
      </c>
      <c r="AA119" s="688">
        <v>0</v>
      </c>
      <c r="AB119" s="688">
        <v>0</v>
      </c>
      <c r="AC119" s="688">
        <v>0</v>
      </c>
      <c r="AD119" s="688">
        <v>0</v>
      </c>
      <c r="AE119" s="977">
        <v>0</v>
      </c>
      <c r="AF119" s="978">
        <v>0</v>
      </c>
      <c r="AG119" s="979">
        <v>0</v>
      </c>
      <c r="AH119" s="688">
        <v>0</v>
      </c>
      <c r="AI119" s="687">
        <v>0</v>
      </c>
      <c r="AJ119" s="685">
        <v>0</v>
      </c>
      <c r="AK119" s="687">
        <v>0</v>
      </c>
      <c r="AL119" s="689">
        <v>0</v>
      </c>
      <c r="AM119" s="685">
        <v>0</v>
      </c>
      <c r="AN119" s="685">
        <v>0</v>
      </c>
      <c r="AO119" s="689">
        <v>0</v>
      </c>
      <c r="AP119" s="690">
        <v>2E-3</v>
      </c>
      <c r="AQ119" s="687">
        <f t="shared" si="23"/>
        <v>7.1428571428571426E-3</v>
      </c>
      <c r="AR119" s="685">
        <v>0</v>
      </c>
      <c r="AS119" s="687">
        <v>0</v>
      </c>
      <c r="AT119" s="691">
        <v>0</v>
      </c>
      <c r="AU119" s="685">
        <v>0</v>
      </c>
      <c r="AV119" s="687">
        <v>0</v>
      </c>
      <c r="AW119" s="692">
        <v>0</v>
      </c>
      <c r="AX119" s="693">
        <v>0</v>
      </c>
      <c r="AY119" s="692">
        <v>0</v>
      </c>
      <c r="AZ119" s="693">
        <v>0</v>
      </c>
      <c r="BA119" s="692">
        <v>0</v>
      </c>
      <c r="BB119" s="693">
        <v>0</v>
      </c>
      <c r="BC119" s="694">
        <v>0</v>
      </c>
      <c r="BD119" s="695">
        <v>0</v>
      </c>
      <c r="BE119" s="692">
        <v>0</v>
      </c>
      <c r="BF119" s="693">
        <v>0</v>
      </c>
      <c r="BG119" s="694">
        <v>0</v>
      </c>
      <c r="BH119" s="693">
        <v>0</v>
      </c>
      <c r="BI119" s="694">
        <v>0</v>
      </c>
      <c r="BJ119" s="693">
        <v>0</v>
      </c>
      <c r="BK119" s="694">
        <v>0</v>
      </c>
      <c r="BL119" s="693">
        <v>0</v>
      </c>
      <c r="BM119" s="694">
        <v>0</v>
      </c>
      <c r="BN119" s="693">
        <v>0</v>
      </c>
      <c r="BO119" s="694">
        <v>0</v>
      </c>
      <c r="BP119" s="693">
        <v>0</v>
      </c>
      <c r="BQ119" s="694">
        <v>0</v>
      </c>
      <c r="BR119" s="693">
        <v>0</v>
      </c>
      <c r="BS119" s="694">
        <v>0</v>
      </c>
      <c r="BT119" s="693">
        <v>0</v>
      </c>
      <c r="BU119" s="694">
        <v>0</v>
      </c>
      <c r="BV119" s="693">
        <v>0</v>
      </c>
      <c r="BW119" s="694">
        <v>0</v>
      </c>
      <c r="BX119" s="693">
        <v>0</v>
      </c>
      <c r="BY119" s="694">
        <v>0</v>
      </c>
      <c r="BZ119" s="693">
        <v>0</v>
      </c>
      <c r="CA119" s="694">
        <v>0</v>
      </c>
      <c r="CB119" s="693">
        <v>0</v>
      </c>
      <c r="CC119" s="692">
        <v>0</v>
      </c>
      <c r="CD119" s="695">
        <v>0</v>
      </c>
      <c r="CE119" s="692">
        <v>0</v>
      </c>
      <c r="CF119" s="695">
        <v>0</v>
      </c>
      <c r="CG119" s="692">
        <v>0</v>
      </c>
      <c r="CH119" s="695">
        <v>0</v>
      </c>
      <c r="CI119" s="692">
        <v>0</v>
      </c>
      <c r="CJ119" s="695">
        <v>0</v>
      </c>
      <c r="CK119" s="692">
        <v>0</v>
      </c>
      <c r="CL119" s="695">
        <v>0</v>
      </c>
      <c r="CM119" s="692">
        <v>0</v>
      </c>
      <c r="CN119" s="695">
        <v>0</v>
      </c>
      <c r="CO119" s="692">
        <v>0</v>
      </c>
      <c r="CP119" s="695">
        <v>0</v>
      </c>
      <c r="CQ119" s="692">
        <v>0</v>
      </c>
      <c r="CR119" s="693">
        <v>0</v>
      </c>
      <c r="CS119" s="692">
        <v>0</v>
      </c>
      <c r="CT119" s="693">
        <v>0</v>
      </c>
      <c r="CU119" s="694">
        <v>0</v>
      </c>
      <c r="CV119" s="693">
        <v>0</v>
      </c>
    </row>
    <row r="120" spans="1:100">
      <c r="A120" s="460">
        <v>118</v>
      </c>
      <c r="B120" s="580">
        <v>0</v>
      </c>
      <c r="C120" s="580">
        <v>0</v>
      </c>
      <c r="D120" s="580">
        <v>0</v>
      </c>
      <c r="E120" s="580">
        <v>0</v>
      </c>
      <c r="F120" s="580">
        <v>0</v>
      </c>
      <c r="G120" s="580">
        <v>0</v>
      </c>
      <c r="H120" s="580">
        <v>0</v>
      </c>
      <c r="I120" s="580">
        <v>0</v>
      </c>
      <c r="J120" s="580">
        <v>0</v>
      </c>
      <c r="K120" s="580">
        <v>0</v>
      </c>
      <c r="L120" s="580">
        <v>0</v>
      </c>
      <c r="M120" s="580">
        <v>0</v>
      </c>
      <c r="N120" s="580">
        <v>0</v>
      </c>
      <c r="O120" s="580">
        <v>0</v>
      </c>
      <c r="P120" s="580">
        <v>0</v>
      </c>
      <c r="Q120" s="580">
        <v>0</v>
      </c>
      <c r="R120" s="580">
        <v>0</v>
      </c>
      <c r="S120" s="580">
        <v>0</v>
      </c>
      <c r="T120" s="580">
        <v>0</v>
      </c>
      <c r="U120" s="580">
        <v>0</v>
      </c>
      <c r="V120" s="580">
        <v>0</v>
      </c>
      <c r="W120" s="595">
        <v>0</v>
      </c>
      <c r="X120" s="688">
        <v>0</v>
      </c>
      <c r="Y120" s="688">
        <v>0</v>
      </c>
      <c r="Z120" s="688">
        <v>0</v>
      </c>
      <c r="AA120" s="688">
        <v>0</v>
      </c>
      <c r="AB120" s="688">
        <v>0</v>
      </c>
      <c r="AC120" s="688">
        <v>0</v>
      </c>
      <c r="AD120" s="688">
        <v>0</v>
      </c>
      <c r="AE120" s="977">
        <v>0</v>
      </c>
      <c r="AF120" s="978">
        <v>0</v>
      </c>
      <c r="AG120" s="979">
        <v>0</v>
      </c>
      <c r="AH120" s="688">
        <v>0</v>
      </c>
      <c r="AI120" s="687">
        <v>0</v>
      </c>
      <c r="AJ120" s="685">
        <v>0</v>
      </c>
      <c r="AK120" s="687">
        <v>0</v>
      </c>
      <c r="AL120" s="689">
        <v>0</v>
      </c>
      <c r="AM120" s="685">
        <v>0</v>
      </c>
      <c r="AN120" s="685">
        <v>0</v>
      </c>
      <c r="AO120" s="689">
        <v>0</v>
      </c>
      <c r="AP120" s="690">
        <v>2E-3</v>
      </c>
      <c r="AQ120" s="687">
        <f t="shared" si="23"/>
        <v>7.1428571428571426E-3</v>
      </c>
      <c r="AR120" s="685">
        <v>0</v>
      </c>
      <c r="AS120" s="687">
        <v>0</v>
      </c>
      <c r="AT120" s="691">
        <v>0</v>
      </c>
      <c r="AU120" s="685">
        <v>0</v>
      </c>
      <c r="AV120" s="687">
        <v>0</v>
      </c>
      <c r="AW120" s="692">
        <v>0</v>
      </c>
      <c r="AX120" s="693">
        <v>0</v>
      </c>
      <c r="AY120" s="692">
        <v>0</v>
      </c>
      <c r="AZ120" s="693">
        <v>0</v>
      </c>
      <c r="BA120" s="692">
        <v>0</v>
      </c>
      <c r="BB120" s="693">
        <v>0</v>
      </c>
      <c r="BC120" s="694">
        <v>0</v>
      </c>
      <c r="BD120" s="695">
        <v>0</v>
      </c>
      <c r="BE120" s="692">
        <v>0</v>
      </c>
      <c r="BF120" s="693">
        <v>0</v>
      </c>
      <c r="BG120" s="694">
        <v>0</v>
      </c>
      <c r="BH120" s="693">
        <v>0</v>
      </c>
      <c r="BI120" s="694">
        <v>0</v>
      </c>
      <c r="BJ120" s="693">
        <v>0</v>
      </c>
      <c r="BK120" s="694">
        <v>0</v>
      </c>
      <c r="BL120" s="693">
        <v>0</v>
      </c>
      <c r="BM120" s="694">
        <v>0</v>
      </c>
      <c r="BN120" s="693">
        <v>0</v>
      </c>
      <c r="BO120" s="694">
        <v>0</v>
      </c>
      <c r="BP120" s="693">
        <v>0</v>
      </c>
      <c r="BQ120" s="694">
        <v>0</v>
      </c>
      <c r="BR120" s="693">
        <v>0</v>
      </c>
      <c r="BS120" s="694">
        <v>0</v>
      </c>
      <c r="BT120" s="693">
        <v>0</v>
      </c>
      <c r="BU120" s="694">
        <v>0</v>
      </c>
      <c r="BV120" s="693">
        <v>0</v>
      </c>
      <c r="BW120" s="694">
        <v>0</v>
      </c>
      <c r="BX120" s="693">
        <v>0</v>
      </c>
      <c r="BY120" s="694">
        <v>0</v>
      </c>
      <c r="BZ120" s="693">
        <v>0</v>
      </c>
      <c r="CA120" s="694">
        <v>0</v>
      </c>
      <c r="CB120" s="693">
        <v>0</v>
      </c>
      <c r="CC120" s="692">
        <v>0</v>
      </c>
      <c r="CD120" s="695">
        <v>0</v>
      </c>
      <c r="CE120" s="692">
        <v>0</v>
      </c>
      <c r="CF120" s="695">
        <v>0</v>
      </c>
      <c r="CG120" s="692">
        <v>0</v>
      </c>
      <c r="CH120" s="695">
        <v>0</v>
      </c>
      <c r="CI120" s="692">
        <v>0</v>
      </c>
      <c r="CJ120" s="695">
        <v>0</v>
      </c>
      <c r="CK120" s="692">
        <v>0</v>
      </c>
      <c r="CL120" s="695">
        <v>0</v>
      </c>
      <c r="CM120" s="692">
        <v>0</v>
      </c>
      <c r="CN120" s="695">
        <v>0</v>
      </c>
      <c r="CO120" s="692">
        <v>0</v>
      </c>
      <c r="CP120" s="695">
        <v>0</v>
      </c>
      <c r="CQ120" s="692">
        <v>0</v>
      </c>
      <c r="CR120" s="693">
        <v>0</v>
      </c>
      <c r="CS120" s="692">
        <v>0</v>
      </c>
      <c r="CT120" s="693">
        <v>0</v>
      </c>
      <c r="CU120" s="694">
        <v>0</v>
      </c>
      <c r="CV120" s="693">
        <v>0</v>
      </c>
    </row>
    <row r="121" spans="1:100">
      <c r="A121" s="460">
        <v>119</v>
      </c>
      <c r="B121" s="580">
        <v>0</v>
      </c>
      <c r="C121" s="580">
        <v>0</v>
      </c>
      <c r="D121" s="580">
        <v>0</v>
      </c>
      <c r="E121" s="580">
        <v>0</v>
      </c>
      <c r="F121" s="580">
        <v>0</v>
      </c>
      <c r="G121" s="580">
        <v>0</v>
      </c>
      <c r="H121" s="580">
        <v>0</v>
      </c>
      <c r="I121" s="580">
        <v>0</v>
      </c>
      <c r="J121" s="580">
        <v>0</v>
      </c>
      <c r="K121" s="580">
        <v>0</v>
      </c>
      <c r="L121" s="580">
        <v>0</v>
      </c>
      <c r="M121" s="580">
        <v>0</v>
      </c>
      <c r="N121" s="580">
        <v>0</v>
      </c>
      <c r="O121" s="580">
        <v>0</v>
      </c>
      <c r="P121" s="580">
        <v>0</v>
      </c>
      <c r="Q121" s="580">
        <v>0</v>
      </c>
      <c r="R121" s="580">
        <v>0</v>
      </c>
      <c r="S121" s="580">
        <v>0</v>
      </c>
      <c r="T121" s="580">
        <v>0</v>
      </c>
      <c r="U121" s="580">
        <v>0</v>
      </c>
      <c r="V121" s="580">
        <v>0</v>
      </c>
      <c r="W121" s="595">
        <v>0</v>
      </c>
      <c r="X121" s="688">
        <v>0</v>
      </c>
      <c r="Y121" s="688">
        <v>0</v>
      </c>
      <c r="Z121" s="688">
        <v>0</v>
      </c>
      <c r="AA121" s="688">
        <v>0</v>
      </c>
      <c r="AB121" s="688">
        <v>0</v>
      </c>
      <c r="AC121" s="688">
        <v>0</v>
      </c>
      <c r="AD121" s="688">
        <v>0</v>
      </c>
      <c r="AE121" s="977">
        <v>0</v>
      </c>
      <c r="AF121" s="978">
        <v>0</v>
      </c>
      <c r="AG121" s="979">
        <v>0</v>
      </c>
      <c r="AH121" s="688">
        <v>0</v>
      </c>
      <c r="AI121" s="687">
        <v>0</v>
      </c>
      <c r="AJ121" s="685">
        <v>0</v>
      </c>
      <c r="AK121" s="687">
        <v>0</v>
      </c>
      <c r="AL121" s="689">
        <v>0</v>
      </c>
      <c r="AM121" s="685">
        <v>0</v>
      </c>
      <c r="AN121" s="685">
        <v>0</v>
      </c>
      <c r="AO121" s="689">
        <v>0</v>
      </c>
      <c r="AP121" s="690">
        <v>2E-3</v>
      </c>
      <c r="AQ121" s="687">
        <f t="shared" si="23"/>
        <v>7.1428571428571426E-3</v>
      </c>
      <c r="AR121" s="685">
        <v>0</v>
      </c>
      <c r="AS121" s="687">
        <v>0</v>
      </c>
      <c r="AT121" s="691">
        <v>0</v>
      </c>
      <c r="AU121" s="685">
        <v>0</v>
      </c>
      <c r="AV121" s="687">
        <v>0</v>
      </c>
      <c r="AW121" s="692">
        <v>0</v>
      </c>
      <c r="AX121" s="693">
        <v>0</v>
      </c>
      <c r="AY121" s="692">
        <v>0</v>
      </c>
      <c r="AZ121" s="693">
        <v>0</v>
      </c>
      <c r="BA121" s="692">
        <v>0</v>
      </c>
      <c r="BB121" s="693">
        <v>0</v>
      </c>
      <c r="BC121" s="694">
        <v>0</v>
      </c>
      <c r="BD121" s="695">
        <v>0</v>
      </c>
      <c r="BE121" s="692">
        <v>0</v>
      </c>
      <c r="BF121" s="693">
        <v>0</v>
      </c>
      <c r="BG121" s="694">
        <v>0</v>
      </c>
      <c r="BH121" s="693">
        <v>0</v>
      </c>
      <c r="BI121" s="694">
        <v>0</v>
      </c>
      <c r="BJ121" s="693">
        <v>0</v>
      </c>
      <c r="BK121" s="694">
        <v>0</v>
      </c>
      <c r="BL121" s="693">
        <v>0</v>
      </c>
      <c r="BM121" s="694">
        <v>0</v>
      </c>
      <c r="BN121" s="693">
        <v>0</v>
      </c>
      <c r="BO121" s="694">
        <v>0</v>
      </c>
      <c r="BP121" s="693">
        <v>0</v>
      </c>
      <c r="BQ121" s="694">
        <v>0</v>
      </c>
      <c r="BR121" s="693">
        <v>0</v>
      </c>
      <c r="BS121" s="694">
        <v>0</v>
      </c>
      <c r="BT121" s="693">
        <v>0</v>
      </c>
      <c r="BU121" s="694">
        <v>0</v>
      </c>
      <c r="BV121" s="693">
        <v>0</v>
      </c>
      <c r="BW121" s="694">
        <v>0</v>
      </c>
      <c r="BX121" s="693">
        <v>0</v>
      </c>
      <c r="BY121" s="694">
        <v>0</v>
      </c>
      <c r="BZ121" s="693">
        <v>0</v>
      </c>
      <c r="CA121" s="694">
        <v>0</v>
      </c>
      <c r="CB121" s="693">
        <v>0</v>
      </c>
      <c r="CC121" s="692">
        <v>0</v>
      </c>
      <c r="CD121" s="695">
        <v>0</v>
      </c>
      <c r="CE121" s="692">
        <v>0</v>
      </c>
      <c r="CF121" s="695">
        <v>0</v>
      </c>
      <c r="CG121" s="692">
        <v>0</v>
      </c>
      <c r="CH121" s="695">
        <v>0</v>
      </c>
      <c r="CI121" s="692">
        <v>0</v>
      </c>
      <c r="CJ121" s="695">
        <v>0</v>
      </c>
      <c r="CK121" s="692">
        <v>0</v>
      </c>
      <c r="CL121" s="695">
        <v>0</v>
      </c>
      <c r="CM121" s="692">
        <v>0</v>
      </c>
      <c r="CN121" s="695">
        <v>0</v>
      </c>
      <c r="CO121" s="692">
        <v>0</v>
      </c>
      <c r="CP121" s="695">
        <v>0</v>
      </c>
      <c r="CQ121" s="692">
        <v>0</v>
      </c>
      <c r="CR121" s="693">
        <v>0</v>
      </c>
      <c r="CS121" s="692">
        <v>0</v>
      </c>
      <c r="CT121" s="693">
        <v>0</v>
      </c>
      <c r="CU121" s="694">
        <v>0</v>
      </c>
      <c r="CV121" s="693">
        <v>0</v>
      </c>
    </row>
    <row r="122" spans="1:100">
      <c r="A122" s="460">
        <v>120</v>
      </c>
      <c r="B122" s="580">
        <v>0</v>
      </c>
      <c r="C122" s="580">
        <v>0</v>
      </c>
      <c r="D122" s="580">
        <v>0</v>
      </c>
      <c r="E122" s="580">
        <v>0</v>
      </c>
      <c r="F122" s="580">
        <v>0</v>
      </c>
      <c r="G122" s="580">
        <v>0</v>
      </c>
      <c r="H122" s="580">
        <v>0</v>
      </c>
      <c r="I122" s="580">
        <v>0</v>
      </c>
      <c r="J122" s="580">
        <v>0</v>
      </c>
      <c r="K122" s="580">
        <v>0</v>
      </c>
      <c r="L122" s="580">
        <v>0</v>
      </c>
      <c r="M122" s="580">
        <v>0</v>
      </c>
      <c r="N122" s="580">
        <v>0</v>
      </c>
      <c r="O122" s="580">
        <v>0</v>
      </c>
      <c r="P122" s="580">
        <v>0</v>
      </c>
      <c r="Q122" s="580">
        <v>0</v>
      </c>
      <c r="R122" s="580">
        <v>0</v>
      </c>
      <c r="S122" s="580">
        <v>0</v>
      </c>
      <c r="T122" s="580">
        <v>0</v>
      </c>
      <c r="U122" s="580">
        <v>0</v>
      </c>
      <c r="V122" s="580">
        <v>0</v>
      </c>
      <c r="W122" s="595">
        <v>0</v>
      </c>
      <c r="X122" s="688">
        <v>0</v>
      </c>
      <c r="Y122" s="688">
        <v>0</v>
      </c>
      <c r="Z122" s="688">
        <v>0</v>
      </c>
      <c r="AA122" s="688">
        <v>0</v>
      </c>
      <c r="AB122" s="688">
        <v>0</v>
      </c>
      <c r="AC122" s="688">
        <v>0</v>
      </c>
      <c r="AD122" s="688">
        <v>0</v>
      </c>
      <c r="AE122" s="977">
        <v>0</v>
      </c>
      <c r="AF122" s="978">
        <v>0</v>
      </c>
      <c r="AG122" s="979">
        <v>0</v>
      </c>
      <c r="AH122" s="688">
        <v>0</v>
      </c>
      <c r="AI122" s="687">
        <v>0</v>
      </c>
      <c r="AJ122" s="685">
        <v>0</v>
      </c>
      <c r="AK122" s="687">
        <v>0</v>
      </c>
      <c r="AL122" s="689">
        <v>0</v>
      </c>
      <c r="AM122" s="685">
        <v>0</v>
      </c>
      <c r="AN122" s="685">
        <v>0</v>
      </c>
      <c r="AO122" s="689">
        <v>0</v>
      </c>
      <c r="AP122" s="690">
        <v>2E-3</v>
      </c>
      <c r="AQ122" s="687">
        <f t="shared" si="23"/>
        <v>7.1428571428571426E-3</v>
      </c>
      <c r="AR122" s="685">
        <v>0</v>
      </c>
      <c r="AS122" s="687">
        <v>0</v>
      </c>
      <c r="AT122" s="691">
        <v>0</v>
      </c>
      <c r="AU122" s="685">
        <v>0</v>
      </c>
      <c r="AV122" s="687">
        <v>0</v>
      </c>
      <c r="AW122" s="692">
        <v>0</v>
      </c>
      <c r="AX122" s="693">
        <v>0</v>
      </c>
      <c r="AY122" s="692">
        <v>0</v>
      </c>
      <c r="AZ122" s="693">
        <v>0</v>
      </c>
      <c r="BA122" s="692">
        <v>0</v>
      </c>
      <c r="BB122" s="693">
        <v>0</v>
      </c>
      <c r="BC122" s="694">
        <v>0</v>
      </c>
      <c r="BD122" s="695">
        <v>0</v>
      </c>
      <c r="BE122" s="692">
        <v>0</v>
      </c>
      <c r="BF122" s="693">
        <v>0</v>
      </c>
      <c r="BG122" s="694">
        <v>0</v>
      </c>
      <c r="BH122" s="693">
        <v>0</v>
      </c>
      <c r="BI122" s="694">
        <v>0</v>
      </c>
      <c r="BJ122" s="693">
        <v>0</v>
      </c>
      <c r="BK122" s="694">
        <v>0</v>
      </c>
      <c r="BL122" s="693">
        <v>0</v>
      </c>
      <c r="BM122" s="694">
        <v>0</v>
      </c>
      <c r="BN122" s="693">
        <v>0</v>
      </c>
      <c r="BO122" s="694">
        <v>0</v>
      </c>
      <c r="BP122" s="693">
        <v>0</v>
      </c>
      <c r="BQ122" s="694">
        <v>0</v>
      </c>
      <c r="BR122" s="693">
        <v>0</v>
      </c>
      <c r="BS122" s="694">
        <v>0</v>
      </c>
      <c r="BT122" s="693">
        <v>0</v>
      </c>
      <c r="BU122" s="694">
        <v>0</v>
      </c>
      <c r="BV122" s="693">
        <v>0</v>
      </c>
      <c r="BW122" s="694">
        <v>0</v>
      </c>
      <c r="BX122" s="693">
        <v>0</v>
      </c>
      <c r="BY122" s="694">
        <v>0</v>
      </c>
      <c r="BZ122" s="693">
        <v>0</v>
      </c>
      <c r="CA122" s="694">
        <v>0</v>
      </c>
      <c r="CB122" s="693">
        <v>0</v>
      </c>
      <c r="CC122" s="692">
        <v>0</v>
      </c>
      <c r="CD122" s="695">
        <v>0</v>
      </c>
      <c r="CE122" s="692">
        <v>0</v>
      </c>
      <c r="CF122" s="695">
        <v>0</v>
      </c>
      <c r="CG122" s="692">
        <v>0</v>
      </c>
      <c r="CH122" s="695">
        <v>0</v>
      </c>
      <c r="CI122" s="692">
        <v>0</v>
      </c>
      <c r="CJ122" s="695">
        <v>0</v>
      </c>
      <c r="CK122" s="692">
        <v>0</v>
      </c>
      <c r="CL122" s="695">
        <v>0</v>
      </c>
      <c r="CM122" s="692">
        <v>0</v>
      </c>
      <c r="CN122" s="695">
        <v>0</v>
      </c>
      <c r="CO122" s="692">
        <v>0</v>
      </c>
      <c r="CP122" s="695">
        <v>0</v>
      </c>
      <c r="CQ122" s="692">
        <v>0</v>
      </c>
      <c r="CR122" s="693">
        <v>0</v>
      </c>
      <c r="CS122" s="692">
        <v>0</v>
      </c>
      <c r="CT122" s="693">
        <v>0</v>
      </c>
      <c r="CU122" s="694">
        <v>0</v>
      </c>
      <c r="CV122" s="693">
        <v>0</v>
      </c>
    </row>
    <row r="123" spans="1:100">
      <c r="A123" s="460">
        <v>121</v>
      </c>
      <c r="B123" s="580">
        <v>0</v>
      </c>
      <c r="C123" s="580">
        <v>0</v>
      </c>
      <c r="D123" s="580">
        <v>0</v>
      </c>
      <c r="E123" s="580">
        <v>0</v>
      </c>
      <c r="F123" s="580">
        <v>0</v>
      </c>
      <c r="G123" s="580">
        <v>0</v>
      </c>
      <c r="H123" s="580">
        <v>0</v>
      </c>
      <c r="I123" s="580">
        <v>0</v>
      </c>
      <c r="J123" s="580">
        <v>0</v>
      </c>
      <c r="K123" s="580">
        <v>0</v>
      </c>
      <c r="L123" s="580">
        <v>0</v>
      </c>
      <c r="M123" s="580">
        <v>0</v>
      </c>
      <c r="N123" s="580">
        <v>0</v>
      </c>
      <c r="O123" s="580">
        <v>0</v>
      </c>
      <c r="P123" s="580">
        <v>0</v>
      </c>
      <c r="Q123" s="580">
        <v>0</v>
      </c>
      <c r="R123" s="580">
        <v>0</v>
      </c>
      <c r="S123" s="580">
        <v>0</v>
      </c>
      <c r="T123" s="580">
        <v>0</v>
      </c>
      <c r="U123" s="580">
        <v>0</v>
      </c>
      <c r="V123" s="580">
        <v>0</v>
      </c>
      <c r="W123" s="595">
        <v>0</v>
      </c>
      <c r="X123" s="688">
        <v>0</v>
      </c>
      <c r="Y123" s="688">
        <v>0</v>
      </c>
      <c r="Z123" s="688">
        <v>0</v>
      </c>
      <c r="AA123" s="688">
        <v>0</v>
      </c>
      <c r="AB123" s="688">
        <v>0</v>
      </c>
      <c r="AC123" s="688">
        <v>0</v>
      </c>
      <c r="AD123" s="688">
        <v>0</v>
      </c>
      <c r="AE123" s="977">
        <v>0</v>
      </c>
      <c r="AF123" s="978">
        <v>0</v>
      </c>
      <c r="AG123" s="979">
        <v>0</v>
      </c>
      <c r="AH123" s="688">
        <v>0</v>
      </c>
      <c r="AI123" s="687">
        <v>0</v>
      </c>
      <c r="AJ123" s="685">
        <v>0</v>
      </c>
      <c r="AK123" s="687">
        <v>0</v>
      </c>
      <c r="AL123" s="689">
        <v>0</v>
      </c>
      <c r="AM123" s="685">
        <v>0</v>
      </c>
      <c r="AN123" s="685">
        <v>0</v>
      </c>
      <c r="AO123" s="689">
        <v>0</v>
      </c>
      <c r="AP123" s="690">
        <v>2E-3</v>
      </c>
      <c r="AQ123" s="687">
        <f t="shared" si="23"/>
        <v>7.1428571428571426E-3</v>
      </c>
      <c r="AR123" s="685">
        <v>0</v>
      </c>
      <c r="AS123" s="687">
        <v>0</v>
      </c>
      <c r="AT123" s="691">
        <v>0</v>
      </c>
      <c r="AU123" s="685">
        <v>0</v>
      </c>
      <c r="AV123" s="687">
        <v>0</v>
      </c>
      <c r="AW123" s="692">
        <v>0</v>
      </c>
      <c r="AX123" s="693">
        <v>0</v>
      </c>
      <c r="AY123" s="692">
        <v>0</v>
      </c>
      <c r="AZ123" s="693">
        <v>0</v>
      </c>
      <c r="BA123" s="692">
        <v>0</v>
      </c>
      <c r="BB123" s="693">
        <v>0</v>
      </c>
      <c r="BC123" s="694">
        <v>0</v>
      </c>
      <c r="BD123" s="695">
        <v>0</v>
      </c>
      <c r="BE123" s="692">
        <v>0</v>
      </c>
      <c r="BF123" s="693">
        <v>0</v>
      </c>
      <c r="BG123" s="694">
        <v>0</v>
      </c>
      <c r="BH123" s="693">
        <v>0</v>
      </c>
      <c r="BI123" s="694">
        <v>0</v>
      </c>
      <c r="BJ123" s="693">
        <v>0</v>
      </c>
      <c r="BK123" s="694">
        <v>0</v>
      </c>
      <c r="BL123" s="693">
        <v>0</v>
      </c>
      <c r="BM123" s="694">
        <v>0</v>
      </c>
      <c r="BN123" s="693">
        <v>0</v>
      </c>
      <c r="BO123" s="694">
        <v>0</v>
      </c>
      <c r="BP123" s="693">
        <v>0</v>
      </c>
      <c r="BQ123" s="694">
        <v>0</v>
      </c>
      <c r="BR123" s="693">
        <v>0</v>
      </c>
      <c r="BS123" s="694">
        <v>0</v>
      </c>
      <c r="BT123" s="693">
        <v>0</v>
      </c>
      <c r="BU123" s="694">
        <v>0</v>
      </c>
      <c r="BV123" s="693">
        <v>0</v>
      </c>
      <c r="BW123" s="694">
        <v>0</v>
      </c>
      <c r="BX123" s="693">
        <v>0</v>
      </c>
      <c r="BY123" s="694">
        <v>0</v>
      </c>
      <c r="BZ123" s="693">
        <v>0</v>
      </c>
      <c r="CA123" s="694">
        <v>0</v>
      </c>
      <c r="CB123" s="693">
        <v>0</v>
      </c>
      <c r="CC123" s="692">
        <v>0</v>
      </c>
      <c r="CD123" s="695">
        <v>0</v>
      </c>
      <c r="CE123" s="692">
        <v>0</v>
      </c>
      <c r="CF123" s="695">
        <v>0</v>
      </c>
      <c r="CG123" s="692">
        <v>0</v>
      </c>
      <c r="CH123" s="695">
        <v>0</v>
      </c>
      <c r="CI123" s="692">
        <v>0</v>
      </c>
      <c r="CJ123" s="695">
        <v>0</v>
      </c>
      <c r="CK123" s="692">
        <v>0</v>
      </c>
      <c r="CL123" s="695">
        <v>0</v>
      </c>
      <c r="CM123" s="692">
        <v>0</v>
      </c>
      <c r="CN123" s="695">
        <v>0</v>
      </c>
      <c r="CO123" s="692">
        <v>0</v>
      </c>
      <c r="CP123" s="695">
        <v>0</v>
      </c>
      <c r="CQ123" s="692">
        <v>0</v>
      </c>
      <c r="CR123" s="693">
        <v>0</v>
      </c>
      <c r="CS123" s="692">
        <v>0</v>
      </c>
      <c r="CT123" s="693">
        <v>0</v>
      </c>
      <c r="CU123" s="694">
        <v>0</v>
      </c>
      <c r="CV123" s="693">
        <v>0</v>
      </c>
    </row>
    <row r="124" spans="1:100">
      <c r="A124" s="460">
        <v>122</v>
      </c>
      <c r="B124" s="580">
        <v>0</v>
      </c>
      <c r="C124" s="580">
        <v>0</v>
      </c>
      <c r="D124" s="580">
        <v>0</v>
      </c>
      <c r="E124" s="580">
        <v>0</v>
      </c>
      <c r="F124" s="580">
        <v>0</v>
      </c>
      <c r="G124" s="580">
        <v>0</v>
      </c>
      <c r="H124" s="580">
        <v>0</v>
      </c>
      <c r="I124" s="580">
        <v>0</v>
      </c>
      <c r="J124" s="580">
        <v>0</v>
      </c>
      <c r="K124" s="580">
        <v>0</v>
      </c>
      <c r="L124" s="580">
        <v>0</v>
      </c>
      <c r="M124" s="580">
        <v>0</v>
      </c>
      <c r="N124" s="580">
        <v>0</v>
      </c>
      <c r="O124" s="580">
        <v>0</v>
      </c>
      <c r="P124" s="580">
        <v>0</v>
      </c>
      <c r="Q124" s="580">
        <v>0</v>
      </c>
      <c r="R124" s="580">
        <v>0</v>
      </c>
      <c r="S124" s="580">
        <v>0</v>
      </c>
      <c r="T124" s="580">
        <v>0</v>
      </c>
      <c r="U124" s="580">
        <v>0</v>
      </c>
      <c r="V124" s="580">
        <v>0</v>
      </c>
      <c r="W124" s="595">
        <v>0</v>
      </c>
      <c r="X124" s="688">
        <v>0</v>
      </c>
      <c r="Y124" s="688">
        <v>0</v>
      </c>
      <c r="Z124" s="688">
        <v>0</v>
      </c>
      <c r="AA124" s="688">
        <v>0</v>
      </c>
      <c r="AB124" s="688">
        <v>0</v>
      </c>
      <c r="AC124" s="688">
        <v>0</v>
      </c>
      <c r="AD124" s="688">
        <v>0</v>
      </c>
      <c r="AE124" s="977">
        <v>0</v>
      </c>
      <c r="AF124" s="978">
        <v>0</v>
      </c>
      <c r="AG124" s="979">
        <v>0</v>
      </c>
      <c r="AH124" s="688">
        <v>0</v>
      </c>
      <c r="AI124" s="687">
        <v>0</v>
      </c>
      <c r="AJ124" s="685">
        <v>0</v>
      </c>
      <c r="AK124" s="687">
        <v>0</v>
      </c>
      <c r="AL124" s="689">
        <v>0</v>
      </c>
      <c r="AM124" s="685">
        <v>0</v>
      </c>
      <c r="AN124" s="685">
        <v>0</v>
      </c>
      <c r="AO124" s="689">
        <v>0</v>
      </c>
      <c r="AP124" s="690">
        <v>2E-3</v>
      </c>
      <c r="AQ124" s="687">
        <f t="shared" si="23"/>
        <v>7.1428571428571426E-3</v>
      </c>
      <c r="AR124" s="685">
        <v>0</v>
      </c>
      <c r="AS124" s="687">
        <v>0</v>
      </c>
      <c r="AT124" s="691">
        <v>0</v>
      </c>
      <c r="AU124" s="685">
        <v>0</v>
      </c>
      <c r="AV124" s="687">
        <v>0</v>
      </c>
      <c r="AW124" s="692">
        <v>0</v>
      </c>
      <c r="AX124" s="693">
        <v>0</v>
      </c>
      <c r="AY124" s="692">
        <v>0</v>
      </c>
      <c r="AZ124" s="693">
        <v>0</v>
      </c>
      <c r="BA124" s="692">
        <v>0</v>
      </c>
      <c r="BB124" s="693">
        <v>0</v>
      </c>
      <c r="BC124" s="694">
        <v>0</v>
      </c>
      <c r="BD124" s="695">
        <v>0</v>
      </c>
      <c r="BE124" s="692">
        <v>0</v>
      </c>
      <c r="BF124" s="693">
        <v>0</v>
      </c>
      <c r="BG124" s="694">
        <v>0</v>
      </c>
      <c r="BH124" s="693">
        <v>0</v>
      </c>
      <c r="BI124" s="694">
        <v>0</v>
      </c>
      <c r="BJ124" s="693">
        <v>0</v>
      </c>
      <c r="BK124" s="694">
        <v>0</v>
      </c>
      <c r="BL124" s="693">
        <v>0</v>
      </c>
      <c r="BM124" s="694">
        <v>0</v>
      </c>
      <c r="BN124" s="693">
        <v>0</v>
      </c>
      <c r="BO124" s="694">
        <v>0</v>
      </c>
      <c r="BP124" s="693">
        <v>0</v>
      </c>
      <c r="BQ124" s="694">
        <v>0</v>
      </c>
      <c r="BR124" s="693">
        <v>0</v>
      </c>
      <c r="BS124" s="694">
        <v>0</v>
      </c>
      <c r="BT124" s="693">
        <v>0</v>
      </c>
      <c r="BU124" s="694">
        <v>0</v>
      </c>
      <c r="BV124" s="693">
        <v>0</v>
      </c>
      <c r="BW124" s="694">
        <v>0</v>
      </c>
      <c r="BX124" s="693">
        <v>0</v>
      </c>
      <c r="BY124" s="694">
        <v>0</v>
      </c>
      <c r="BZ124" s="693">
        <v>0</v>
      </c>
      <c r="CA124" s="694">
        <v>0</v>
      </c>
      <c r="CB124" s="693">
        <v>0</v>
      </c>
      <c r="CC124" s="692">
        <v>0</v>
      </c>
      <c r="CD124" s="695">
        <v>0</v>
      </c>
      <c r="CE124" s="692">
        <v>0</v>
      </c>
      <c r="CF124" s="695">
        <v>0</v>
      </c>
      <c r="CG124" s="692">
        <v>0</v>
      </c>
      <c r="CH124" s="695">
        <v>0</v>
      </c>
      <c r="CI124" s="692">
        <v>0</v>
      </c>
      <c r="CJ124" s="695">
        <v>0</v>
      </c>
      <c r="CK124" s="692">
        <v>0</v>
      </c>
      <c r="CL124" s="695">
        <v>0</v>
      </c>
      <c r="CM124" s="692">
        <v>0</v>
      </c>
      <c r="CN124" s="695">
        <v>0</v>
      </c>
      <c r="CO124" s="692">
        <v>0</v>
      </c>
      <c r="CP124" s="695">
        <v>0</v>
      </c>
      <c r="CQ124" s="692">
        <v>0</v>
      </c>
      <c r="CR124" s="693">
        <v>0</v>
      </c>
      <c r="CS124" s="692">
        <v>0</v>
      </c>
      <c r="CT124" s="693">
        <v>0</v>
      </c>
      <c r="CU124" s="694">
        <v>0</v>
      </c>
      <c r="CV124" s="693">
        <v>0</v>
      </c>
    </row>
    <row r="125" spans="1:100">
      <c r="A125" s="460">
        <v>123</v>
      </c>
      <c r="B125" s="580">
        <v>0</v>
      </c>
      <c r="C125" s="580">
        <v>0</v>
      </c>
      <c r="D125" s="580">
        <v>0</v>
      </c>
      <c r="E125" s="580">
        <v>0</v>
      </c>
      <c r="F125" s="580">
        <v>0</v>
      </c>
      <c r="G125" s="580">
        <v>0</v>
      </c>
      <c r="H125" s="580">
        <v>0</v>
      </c>
      <c r="I125" s="580">
        <v>0</v>
      </c>
      <c r="J125" s="580">
        <v>0</v>
      </c>
      <c r="K125" s="580">
        <v>0</v>
      </c>
      <c r="L125" s="580">
        <v>0</v>
      </c>
      <c r="M125" s="580">
        <v>0</v>
      </c>
      <c r="N125" s="580">
        <v>0</v>
      </c>
      <c r="O125" s="580">
        <v>0</v>
      </c>
      <c r="P125" s="580">
        <v>0</v>
      </c>
      <c r="Q125" s="580">
        <v>0</v>
      </c>
      <c r="R125" s="580">
        <v>0</v>
      </c>
      <c r="S125" s="580">
        <v>0</v>
      </c>
      <c r="T125" s="580">
        <v>0</v>
      </c>
      <c r="U125" s="580">
        <v>0</v>
      </c>
      <c r="V125" s="580">
        <v>0</v>
      </c>
      <c r="W125" s="595">
        <v>0</v>
      </c>
      <c r="X125" s="688">
        <v>0</v>
      </c>
      <c r="Y125" s="688">
        <v>0</v>
      </c>
      <c r="Z125" s="688">
        <v>0</v>
      </c>
      <c r="AA125" s="688">
        <v>0</v>
      </c>
      <c r="AB125" s="688">
        <v>0</v>
      </c>
      <c r="AC125" s="688">
        <v>0</v>
      </c>
      <c r="AD125" s="688">
        <v>0</v>
      </c>
      <c r="AE125" s="977">
        <v>0</v>
      </c>
      <c r="AF125" s="978">
        <v>0</v>
      </c>
      <c r="AG125" s="979">
        <v>0</v>
      </c>
      <c r="AH125" s="688">
        <v>0</v>
      </c>
      <c r="AI125" s="687">
        <v>0</v>
      </c>
      <c r="AJ125" s="685">
        <v>0</v>
      </c>
      <c r="AK125" s="687">
        <v>0</v>
      </c>
      <c r="AL125" s="689">
        <v>0</v>
      </c>
      <c r="AM125" s="685">
        <v>0</v>
      </c>
      <c r="AN125" s="685">
        <v>0</v>
      </c>
      <c r="AO125" s="689">
        <v>0</v>
      </c>
      <c r="AP125" s="690">
        <v>2E-3</v>
      </c>
      <c r="AQ125" s="687">
        <f t="shared" si="23"/>
        <v>7.1428571428571426E-3</v>
      </c>
      <c r="AR125" s="685">
        <v>0</v>
      </c>
      <c r="AS125" s="687">
        <v>0</v>
      </c>
      <c r="AT125" s="691">
        <v>0</v>
      </c>
      <c r="AU125" s="685">
        <v>0</v>
      </c>
      <c r="AV125" s="687">
        <v>0</v>
      </c>
      <c r="AW125" s="692">
        <v>0</v>
      </c>
      <c r="AX125" s="693">
        <v>0</v>
      </c>
      <c r="AY125" s="692">
        <v>0</v>
      </c>
      <c r="AZ125" s="693">
        <v>0</v>
      </c>
      <c r="BA125" s="692">
        <v>0</v>
      </c>
      <c r="BB125" s="693">
        <v>0</v>
      </c>
      <c r="BC125" s="694">
        <v>0</v>
      </c>
      <c r="BD125" s="695">
        <v>0</v>
      </c>
      <c r="BE125" s="692">
        <v>0</v>
      </c>
      <c r="BF125" s="693">
        <v>0</v>
      </c>
      <c r="BG125" s="694">
        <v>0</v>
      </c>
      <c r="BH125" s="693">
        <v>0</v>
      </c>
      <c r="BI125" s="694">
        <v>0</v>
      </c>
      <c r="BJ125" s="693">
        <v>0</v>
      </c>
      <c r="BK125" s="694">
        <v>0</v>
      </c>
      <c r="BL125" s="693">
        <v>0</v>
      </c>
      <c r="BM125" s="694">
        <v>0</v>
      </c>
      <c r="BN125" s="693">
        <v>0</v>
      </c>
      <c r="BO125" s="694">
        <v>0</v>
      </c>
      <c r="BP125" s="693">
        <v>0</v>
      </c>
      <c r="BQ125" s="694">
        <v>0</v>
      </c>
      <c r="BR125" s="693">
        <v>0</v>
      </c>
      <c r="BS125" s="694">
        <v>0</v>
      </c>
      <c r="BT125" s="693">
        <v>0</v>
      </c>
      <c r="BU125" s="694">
        <v>0</v>
      </c>
      <c r="BV125" s="693">
        <v>0</v>
      </c>
      <c r="BW125" s="694">
        <v>0</v>
      </c>
      <c r="BX125" s="693">
        <v>0</v>
      </c>
      <c r="BY125" s="694">
        <v>0</v>
      </c>
      <c r="BZ125" s="693">
        <v>0</v>
      </c>
      <c r="CA125" s="694">
        <v>0</v>
      </c>
      <c r="CB125" s="693">
        <v>0</v>
      </c>
      <c r="CC125" s="692">
        <v>0</v>
      </c>
      <c r="CD125" s="695">
        <v>0</v>
      </c>
      <c r="CE125" s="692">
        <v>0</v>
      </c>
      <c r="CF125" s="695">
        <v>0</v>
      </c>
      <c r="CG125" s="692">
        <v>0</v>
      </c>
      <c r="CH125" s="695">
        <v>0</v>
      </c>
      <c r="CI125" s="692">
        <v>0</v>
      </c>
      <c r="CJ125" s="695">
        <v>0</v>
      </c>
      <c r="CK125" s="692">
        <v>0</v>
      </c>
      <c r="CL125" s="695">
        <v>0</v>
      </c>
      <c r="CM125" s="692">
        <v>0</v>
      </c>
      <c r="CN125" s="695">
        <v>0</v>
      </c>
      <c r="CO125" s="692">
        <v>0</v>
      </c>
      <c r="CP125" s="695">
        <v>0</v>
      </c>
      <c r="CQ125" s="692">
        <v>0</v>
      </c>
      <c r="CR125" s="693">
        <v>0</v>
      </c>
      <c r="CS125" s="692">
        <v>0</v>
      </c>
      <c r="CT125" s="693">
        <v>0</v>
      </c>
      <c r="CU125" s="694">
        <v>0</v>
      </c>
      <c r="CV125" s="693">
        <v>0</v>
      </c>
    </row>
    <row r="126" spans="1:100">
      <c r="A126" s="460">
        <v>124</v>
      </c>
      <c r="B126" s="580">
        <v>0</v>
      </c>
      <c r="C126" s="580">
        <v>0</v>
      </c>
      <c r="D126" s="580">
        <v>0</v>
      </c>
      <c r="E126" s="580">
        <v>0</v>
      </c>
      <c r="F126" s="580">
        <v>0</v>
      </c>
      <c r="G126" s="580">
        <v>0</v>
      </c>
      <c r="H126" s="580">
        <v>0</v>
      </c>
      <c r="I126" s="580">
        <v>0</v>
      </c>
      <c r="J126" s="580">
        <v>0</v>
      </c>
      <c r="K126" s="580">
        <v>0</v>
      </c>
      <c r="L126" s="580">
        <v>0</v>
      </c>
      <c r="M126" s="580">
        <v>0</v>
      </c>
      <c r="N126" s="580">
        <v>0</v>
      </c>
      <c r="O126" s="580">
        <v>0</v>
      </c>
      <c r="P126" s="580">
        <v>0</v>
      </c>
      <c r="Q126" s="580">
        <v>0</v>
      </c>
      <c r="R126" s="580">
        <v>0</v>
      </c>
      <c r="S126" s="580">
        <v>0</v>
      </c>
      <c r="T126" s="580">
        <v>0</v>
      </c>
      <c r="U126" s="580">
        <v>0</v>
      </c>
      <c r="V126" s="580">
        <v>0</v>
      </c>
      <c r="W126" s="595">
        <v>0</v>
      </c>
      <c r="X126" s="688">
        <v>0</v>
      </c>
      <c r="Y126" s="688">
        <v>0</v>
      </c>
      <c r="Z126" s="688">
        <v>0</v>
      </c>
      <c r="AA126" s="688">
        <v>0</v>
      </c>
      <c r="AB126" s="688">
        <v>0</v>
      </c>
      <c r="AC126" s="688">
        <v>0</v>
      </c>
      <c r="AD126" s="688">
        <v>0</v>
      </c>
      <c r="AE126" s="977">
        <v>0</v>
      </c>
      <c r="AF126" s="978">
        <v>0</v>
      </c>
      <c r="AG126" s="979">
        <v>0</v>
      </c>
      <c r="AH126" s="688">
        <v>0</v>
      </c>
      <c r="AI126" s="687">
        <v>0</v>
      </c>
      <c r="AJ126" s="685">
        <v>0</v>
      </c>
      <c r="AK126" s="687">
        <v>0</v>
      </c>
      <c r="AL126" s="689">
        <v>0</v>
      </c>
      <c r="AM126" s="685">
        <v>0</v>
      </c>
      <c r="AN126" s="685">
        <v>0</v>
      </c>
      <c r="AO126" s="689">
        <v>0</v>
      </c>
      <c r="AP126" s="690">
        <v>2E-3</v>
      </c>
      <c r="AQ126" s="687">
        <f t="shared" si="23"/>
        <v>7.1428571428571426E-3</v>
      </c>
      <c r="AR126" s="685">
        <v>0</v>
      </c>
      <c r="AS126" s="687">
        <v>0</v>
      </c>
      <c r="AT126" s="691">
        <v>0</v>
      </c>
      <c r="AU126" s="685">
        <v>0</v>
      </c>
      <c r="AV126" s="687">
        <v>0</v>
      </c>
      <c r="AW126" s="692">
        <v>0</v>
      </c>
      <c r="AX126" s="693">
        <v>0</v>
      </c>
      <c r="AY126" s="692">
        <v>0</v>
      </c>
      <c r="AZ126" s="693">
        <v>0</v>
      </c>
      <c r="BA126" s="692">
        <v>0</v>
      </c>
      <c r="BB126" s="693">
        <v>0</v>
      </c>
      <c r="BC126" s="694">
        <v>0</v>
      </c>
      <c r="BD126" s="695">
        <v>0</v>
      </c>
      <c r="BE126" s="692">
        <v>0</v>
      </c>
      <c r="BF126" s="693">
        <v>0</v>
      </c>
      <c r="BG126" s="694">
        <v>0</v>
      </c>
      <c r="BH126" s="693">
        <v>0</v>
      </c>
      <c r="BI126" s="694">
        <v>0</v>
      </c>
      <c r="BJ126" s="693">
        <v>0</v>
      </c>
      <c r="BK126" s="694">
        <v>0</v>
      </c>
      <c r="BL126" s="693">
        <v>0</v>
      </c>
      <c r="BM126" s="694">
        <v>0</v>
      </c>
      <c r="BN126" s="693">
        <v>0</v>
      </c>
      <c r="BO126" s="694">
        <v>0</v>
      </c>
      <c r="BP126" s="693">
        <v>0</v>
      </c>
      <c r="BQ126" s="694">
        <v>0</v>
      </c>
      <c r="BR126" s="693">
        <v>0</v>
      </c>
      <c r="BS126" s="694">
        <v>0</v>
      </c>
      <c r="BT126" s="693">
        <v>0</v>
      </c>
      <c r="BU126" s="694">
        <v>0</v>
      </c>
      <c r="BV126" s="693">
        <v>0</v>
      </c>
      <c r="BW126" s="694">
        <v>0</v>
      </c>
      <c r="BX126" s="693">
        <v>0</v>
      </c>
      <c r="BY126" s="694">
        <v>0</v>
      </c>
      <c r="BZ126" s="693">
        <v>0</v>
      </c>
      <c r="CA126" s="694">
        <v>0</v>
      </c>
      <c r="CB126" s="693">
        <v>0</v>
      </c>
      <c r="CC126" s="692">
        <v>0</v>
      </c>
      <c r="CD126" s="695">
        <v>0</v>
      </c>
      <c r="CE126" s="692">
        <v>0</v>
      </c>
      <c r="CF126" s="695">
        <v>0</v>
      </c>
      <c r="CG126" s="692">
        <v>0</v>
      </c>
      <c r="CH126" s="695">
        <v>0</v>
      </c>
      <c r="CI126" s="692">
        <v>0</v>
      </c>
      <c r="CJ126" s="695">
        <v>0</v>
      </c>
      <c r="CK126" s="692">
        <v>0</v>
      </c>
      <c r="CL126" s="695">
        <v>0</v>
      </c>
      <c r="CM126" s="692">
        <v>0</v>
      </c>
      <c r="CN126" s="695">
        <v>0</v>
      </c>
      <c r="CO126" s="692">
        <v>0</v>
      </c>
      <c r="CP126" s="695">
        <v>0</v>
      </c>
      <c r="CQ126" s="692">
        <v>0</v>
      </c>
      <c r="CR126" s="693">
        <v>0</v>
      </c>
      <c r="CS126" s="692">
        <v>0</v>
      </c>
      <c r="CT126" s="693">
        <v>0</v>
      </c>
      <c r="CU126" s="694">
        <v>0</v>
      </c>
      <c r="CV126" s="693">
        <v>0</v>
      </c>
    </row>
    <row r="127" spans="1:100">
      <c r="A127" s="460">
        <v>125</v>
      </c>
      <c r="B127" s="580">
        <v>0</v>
      </c>
      <c r="C127" s="580">
        <v>0</v>
      </c>
      <c r="D127" s="580">
        <v>0</v>
      </c>
      <c r="E127" s="580">
        <v>0</v>
      </c>
      <c r="F127" s="580">
        <v>0</v>
      </c>
      <c r="G127" s="580">
        <v>0</v>
      </c>
      <c r="H127" s="580">
        <v>0</v>
      </c>
      <c r="I127" s="580">
        <v>0</v>
      </c>
      <c r="J127" s="580">
        <v>0</v>
      </c>
      <c r="K127" s="580">
        <v>0</v>
      </c>
      <c r="L127" s="580">
        <v>0</v>
      </c>
      <c r="M127" s="580">
        <v>0</v>
      </c>
      <c r="N127" s="580">
        <v>0</v>
      </c>
      <c r="O127" s="580">
        <v>0</v>
      </c>
      <c r="P127" s="580">
        <v>0</v>
      </c>
      <c r="Q127" s="580">
        <v>0</v>
      </c>
      <c r="R127" s="580">
        <v>0</v>
      </c>
      <c r="S127" s="580">
        <v>0</v>
      </c>
      <c r="T127" s="580">
        <v>0</v>
      </c>
      <c r="U127" s="580">
        <v>0</v>
      </c>
      <c r="V127" s="580">
        <v>0</v>
      </c>
      <c r="W127" s="595">
        <v>0</v>
      </c>
      <c r="X127" s="688">
        <v>0</v>
      </c>
      <c r="Y127" s="688">
        <v>0</v>
      </c>
      <c r="Z127" s="688">
        <v>0</v>
      </c>
      <c r="AA127" s="688">
        <v>0</v>
      </c>
      <c r="AB127" s="688">
        <v>0</v>
      </c>
      <c r="AC127" s="688">
        <v>0</v>
      </c>
      <c r="AD127" s="688">
        <v>0</v>
      </c>
      <c r="AE127" s="977">
        <v>0</v>
      </c>
      <c r="AF127" s="978">
        <v>0</v>
      </c>
      <c r="AG127" s="979">
        <v>0</v>
      </c>
      <c r="AH127" s="688">
        <v>0</v>
      </c>
      <c r="AI127" s="687">
        <v>0</v>
      </c>
      <c r="AJ127" s="685">
        <v>0</v>
      </c>
      <c r="AK127" s="687">
        <v>0</v>
      </c>
      <c r="AL127" s="689">
        <v>0</v>
      </c>
      <c r="AM127" s="685">
        <v>0</v>
      </c>
      <c r="AN127" s="685">
        <v>0</v>
      </c>
      <c r="AO127" s="689">
        <v>0</v>
      </c>
      <c r="AP127" s="690">
        <v>2E-3</v>
      </c>
      <c r="AQ127" s="687">
        <f t="shared" si="23"/>
        <v>7.1428571428571426E-3</v>
      </c>
      <c r="AR127" s="685">
        <v>0</v>
      </c>
      <c r="AS127" s="687">
        <v>0</v>
      </c>
      <c r="AT127" s="691">
        <v>0</v>
      </c>
      <c r="AU127" s="685">
        <v>0</v>
      </c>
      <c r="AV127" s="687">
        <v>0</v>
      </c>
      <c r="AW127" s="692">
        <v>0</v>
      </c>
      <c r="AX127" s="693">
        <v>0</v>
      </c>
      <c r="AY127" s="692">
        <v>0</v>
      </c>
      <c r="AZ127" s="693">
        <v>0</v>
      </c>
      <c r="BA127" s="692">
        <v>0</v>
      </c>
      <c r="BB127" s="693">
        <v>0</v>
      </c>
      <c r="BC127" s="694">
        <v>0</v>
      </c>
      <c r="BD127" s="695">
        <v>0</v>
      </c>
      <c r="BE127" s="692">
        <v>0</v>
      </c>
      <c r="BF127" s="693">
        <v>0</v>
      </c>
      <c r="BG127" s="694">
        <v>0</v>
      </c>
      <c r="BH127" s="693">
        <v>0</v>
      </c>
      <c r="BI127" s="694">
        <v>0</v>
      </c>
      <c r="BJ127" s="693">
        <v>0</v>
      </c>
      <c r="BK127" s="694">
        <v>0</v>
      </c>
      <c r="BL127" s="693">
        <v>0</v>
      </c>
      <c r="BM127" s="694">
        <v>0</v>
      </c>
      <c r="BN127" s="693">
        <v>0</v>
      </c>
      <c r="BO127" s="694">
        <v>0</v>
      </c>
      <c r="BP127" s="693">
        <v>0</v>
      </c>
      <c r="BQ127" s="694">
        <v>0</v>
      </c>
      <c r="BR127" s="693">
        <v>0</v>
      </c>
      <c r="BS127" s="694">
        <v>0</v>
      </c>
      <c r="BT127" s="693">
        <v>0</v>
      </c>
      <c r="BU127" s="694">
        <v>0</v>
      </c>
      <c r="BV127" s="693">
        <v>0</v>
      </c>
      <c r="BW127" s="694">
        <v>0</v>
      </c>
      <c r="BX127" s="693">
        <v>0</v>
      </c>
      <c r="BY127" s="694">
        <v>0</v>
      </c>
      <c r="BZ127" s="693">
        <v>0</v>
      </c>
      <c r="CA127" s="694">
        <v>0</v>
      </c>
      <c r="CB127" s="693">
        <v>0</v>
      </c>
      <c r="CC127" s="692">
        <v>0</v>
      </c>
      <c r="CD127" s="695">
        <v>0</v>
      </c>
      <c r="CE127" s="692">
        <v>0</v>
      </c>
      <c r="CF127" s="695">
        <v>0</v>
      </c>
      <c r="CG127" s="692">
        <v>0</v>
      </c>
      <c r="CH127" s="695">
        <v>0</v>
      </c>
      <c r="CI127" s="692">
        <v>0</v>
      </c>
      <c r="CJ127" s="695">
        <v>0</v>
      </c>
      <c r="CK127" s="692">
        <v>0</v>
      </c>
      <c r="CL127" s="695">
        <v>0</v>
      </c>
      <c r="CM127" s="692">
        <v>0</v>
      </c>
      <c r="CN127" s="695">
        <v>0</v>
      </c>
      <c r="CO127" s="692">
        <v>0</v>
      </c>
      <c r="CP127" s="695">
        <v>0</v>
      </c>
      <c r="CQ127" s="692">
        <v>0</v>
      </c>
      <c r="CR127" s="693">
        <v>0</v>
      </c>
      <c r="CS127" s="692">
        <v>0</v>
      </c>
      <c r="CT127" s="693">
        <v>0</v>
      </c>
      <c r="CU127" s="694">
        <v>0</v>
      </c>
      <c r="CV127" s="693">
        <v>0</v>
      </c>
    </row>
    <row r="128" spans="1:100">
      <c r="A128" s="460">
        <v>126</v>
      </c>
      <c r="B128" s="580">
        <v>0</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95">
        <v>0</v>
      </c>
      <c r="X128" s="688">
        <v>0</v>
      </c>
      <c r="Y128" s="688">
        <v>0</v>
      </c>
      <c r="Z128" s="688">
        <v>0</v>
      </c>
      <c r="AA128" s="688">
        <v>0</v>
      </c>
      <c r="AB128" s="688">
        <v>0</v>
      </c>
      <c r="AC128" s="688">
        <v>0</v>
      </c>
      <c r="AD128" s="688">
        <v>0</v>
      </c>
      <c r="AE128" s="977">
        <v>0</v>
      </c>
      <c r="AF128" s="978">
        <v>0</v>
      </c>
      <c r="AG128" s="979">
        <v>0</v>
      </c>
      <c r="AH128" s="688">
        <v>0</v>
      </c>
      <c r="AI128" s="687">
        <v>0</v>
      </c>
      <c r="AJ128" s="685">
        <v>0</v>
      </c>
      <c r="AK128" s="687">
        <v>0</v>
      </c>
      <c r="AL128" s="689">
        <v>0</v>
      </c>
      <c r="AM128" s="685">
        <v>0</v>
      </c>
      <c r="AN128" s="685">
        <v>0</v>
      </c>
      <c r="AO128" s="689">
        <v>0</v>
      </c>
      <c r="AP128" s="690">
        <v>2E-3</v>
      </c>
      <c r="AQ128" s="687">
        <f t="shared" si="23"/>
        <v>7.1428571428571426E-3</v>
      </c>
      <c r="AR128" s="685">
        <v>0</v>
      </c>
      <c r="AS128" s="687">
        <v>0</v>
      </c>
      <c r="AT128" s="691">
        <v>0</v>
      </c>
      <c r="AU128" s="685">
        <v>0</v>
      </c>
      <c r="AV128" s="687">
        <v>0</v>
      </c>
      <c r="AW128" s="692">
        <v>0</v>
      </c>
      <c r="AX128" s="693">
        <v>0</v>
      </c>
      <c r="AY128" s="692">
        <v>0</v>
      </c>
      <c r="AZ128" s="693">
        <v>0</v>
      </c>
      <c r="BA128" s="692">
        <v>0</v>
      </c>
      <c r="BB128" s="693">
        <v>0</v>
      </c>
      <c r="BC128" s="694">
        <v>0</v>
      </c>
      <c r="BD128" s="695">
        <v>0</v>
      </c>
      <c r="BE128" s="692">
        <v>0</v>
      </c>
      <c r="BF128" s="693">
        <v>0</v>
      </c>
      <c r="BG128" s="694">
        <v>0</v>
      </c>
      <c r="BH128" s="693">
        <v>0</v>
      </c>
      <c r="BI128" s="694">
        <v>0</v>
      </c>
      <c r="BJ128" s="693">
        <v>0</v>
      </c>
      <c r="BK128" s="694">
        <v>0</v>
      </c>
      <c r="BL128" s="693">
        <v>0</v>
      </c>
      <c r="BM128" s="694">
        <v>0</v>
      </c>
      <c r="BN128" s="693">
        <v>0</v>
      </c>
      <c r="BO128" s="694">
        <v>0</v>
      </c>
      <c r="BP128" s="693">
        <v>0</v>
      </c>
      <c r="BQ128" s="694">
        <v>0</v>
      </c>
      <c r="BR128" s="693">
        <v>0</v>
      </c>
      <c r="BS128" s="694">
        <v>0</v>
      </c>
      <c r="BT128" s="693">
        <v>0</v>
      </c>
      <c r="BU128" s="694">
        <v>0</v>
      </c>
      <c r="BV128" s="693">
        <v>0</v>
      </c>
      <c r="BW128" s="694">
        <v>0</v>
      </c>
      <c r="BX128" s="693">
        <v>0</v>
      </c>
      <c r="BY128" s="694">
        <v>0</v>
      </c>
      <c r="BZ128" s="693">
        <v>0</v>
      </c>
      <c r="CA128" s="694">
        <v>0</v>
      </c>
      <c r="CB128" s="693">
        <v>0</v>
      </c>
      <c r="CC128" s="692">
        <v>0</v>
      </c>
      <c r="CD128" s="695">
        <v>0</v>
      </c>
      <c r="CE128" s="692">
        <v>0</v>
      </c>
      <c r="CF128" s="695">
        <v>0</v>
      </c>
      <c r="CG128" s="692">
        <v>0</v>
      </c>
      <c r="CH128" s="695">
        <v>0</v>
      </c>
      <c r="CI128" s="692">
        <v>0</v>
      </c>
      <c r="CJ128" s="695">
        <v>0</v>
      </c>
      <c r="CK128" s="692">
        <v>0</v>
      </c>
      <c r="CL128" s="695">
        <v>0</v>
      </c>
      <c r="CM128" s="692">
        <v>0</v>
      </c>
      <c r="CN128" s="695">
        <v>0</v>
      </c>
      <c r="CO128" s="692">
        <v>0</v>
      </c>
      <c r="CP128" s="695">
        <v>0</v>
      </c>
      <c r="CQ128" s="692">
        <v>0</v>
      </c>
      <c r="CR128" s="693">
        <v>0</v>
      </c>
      <c r="CS128" s="692">
        <v>0</v>
      </c>
      <c r="CT128" s="693">
        <v>0</v>
      </c>
      <c r="CU128" s="694">
        <v>0</v>
      </c>
      <c r="CV128" s="693">
        <v>0</v>
      </c>
    </row>
    <row r="129" spans="1:100">
      <c r="A129" s="460">
        <v>127</v>
      </c>
      <c r="B129" s="580">
        <v>0</v>
      </c>
      <c r="C129" s="580">
        <v>0</v>
      </c>
      <c r="D129" s="580">
        <v>0</v>
      </c>
      <c r="E129" s="580">
        <v>0</v>
      </c>
      <c r="F129" s="580">
        <v>0</v>
      </c>
      <c r="G129" s="580">
        <v>0</v>
      </c>
      <c r="H129" s="580">
        <v>0</v>
      </c>
      <c r="I129" s="580">
        <v>0</v>
      </c>
      <c r="J129" s="580">
        <v>0</v>
      </c>
      <c r="K129" s="580">
        <v>0</v>
      </c>
      <c r="L129" s="580">
        <v>0</v>
      </c>
      <c r="M129" s="580">
        <v>0</v>
      </c>
      <c r="N129" s="580">
        <v>0</v>
      </c>
      <c r="O129" s="580">
        <v>0</v>
      </c>
      <c r="P129" s="580">
        <v>0</v>
      </c>
      <c r="Q129" s="580">
        <v>0</v>
      </c>
      <c r="R129" s="580">
        <v>0</v>
      </c>
      <c r="S129" s="580">
        <v>0</v>
      </c>
      <c r="T129" s="580">
        <v>0</v>
      </c>
      <c r="U129" s="580">
        <v>0</v>
      </c>
      <c r="V129" s="580">
        <v>0</v>
      </c>
      <c r="W129" s="595">
        <v>0</v>
      </c>
      <c r="X129" s="688">
        <v>0</v>
      </c>
      <c r="Y129" s="688">
        <v>0</v>
      </c>
      <c r="Z129" s="688">
        <v>0</v>
      </c>
      <c r="AA129" s="688">
        <v>0</v>
      </c>
      <c r="AB129" s="688">
        <v>0</v>
      </c>
      <c r="AC129" s="688">
        <v>0</v>
      </c>
      <c r="AD129" s="688">
        <v>0</v>
      </c>
      <c r="AE129" s="977">
        <v>0</v>
      </c>
      <c r="AF129" s="978">
        <v>0</v>
      </c>
      <c r="AG129" s="979">
        <v>0</v>
      </c>
      <c r="AH129" s="688">
        <v>0</v>
      </c>
      <c r="AI129" s="687">
        <v>0</v>
      </c>
      <c r="AJ129" s="685">
        <v>0</v>
      </c>
      <c r="AK129" s="687">
        <v>0</v>
      </c>
      <c r="AL129" s="689">
        <v>0</v>
      </c>
      <c r="AM129" s="685">
        <v>0</v>
      </c>
      <c r="AN129" s="685">
        <v>0</v>
      </c>
      <c r="AO129" s="689">
        <v>0</v>
      </c>
      <c r="AP129" s="690">
        <v>2E-3</v>
      </c>
      <c r="AQ129" s="687">
        <f t="shared" si="23"/>
        <v>7.1428571428571426E-3</v>
      </c>
      <c r="AR129" s="685">
        <v>0</v>
      </c>
      <c r="AS129" s="687">
        <v>0</v>
      </c>
      <c r="AT129" s="691">
        <v>0</v>
      </c>
      <c r="AU129" s="685">
        <v>0</v>
      </c>
      <c r="AV129" s="687">
        <v>0</v>
      </c>
      <c r="AW129" s="692">
        <v>0</v>
      </c>
      <c r="AX129" s="693">
        <v>0</v>
      </c>
      <c r="AY129" s="692">
        <v>0</v>
      </c>
      <c r="AZ129" s="693">
        <v>0</v>
      </c>
      <c r="BA129" s="692">
        <v>0</v>
      </c>
      <c r="BB129" s="693">
        <v>0</v>
      </c>
      <c r="BC129" s="694">
        <v>0</v>
      </c>
      <c r="BD129" s="695">
        <v>0</v>
      </c>
      <c r="BE129" s="692">
        <v>0</v>
      </c>
      <c r="BF129" s="693">
        <v>0</v>
      </c>
      <c r="BG129" s="694">
        <v>0</v>
      </c>
      <c r="BH129" s="693">
        <v>0</v>
      </c>
      <c r="BI129" s="694">
        <v>0</v>
      </c>
      <c r="BJ129" s="693">
        <v>0</v>
      </c>
      <c r="BK129" s="694">
        <v>0</v>
      </c>
      <c r="BL129" s="693">
        <v>0</v>
      </c>
      <c r="BM129" s="694">
        <v>0</v>
      </c>
      <c r="BN129" s="693">
        <v>0</v>
      </c>
      <c r="BO129" s="694">
        <v>0</v>
      </c>
      <c r="BP129" s="693">
        <v>0</v>
      </c>
      <c r="BQ129" s="694">
        <v>0</v>
      </c>
      <c r="BR129" s="693">
        <v>0</v>
      </c>
      <c r="BS129" s="694">
        <v>0</v>
      </c>
      <c r="BT129" s="693">
        <v>0</v>
      </c>
      <c r="BU129" s="694">
        <v>0</v>
      </c>
      <c r="BV129" s="693">
        <v>0</v>
      </c>
      <c r="BW129" s="694">
        <v>0</v>
      </c>
      <c r="BX129" s="693">
        <v>0</v>
      </c>
      <c r="BY129" s="694">
        <v>0</v>
      </c>
      <c r="BZ129" s="693">
        <v>0</v>
      </c>
      <c r="CA129" s="694">
        <v>0</v>
      </c>
      <c r="CB129" s="693">
        <v>0</v>
      </c>
      <c r="CC129" s="692">
        <v>0</v>
      </c>
      <c r="CD129" s="695">
        <v>0</v>
      </c>
      <c r="CE129" s="692">
        <v>0</v>
      </c>
      <c r="CF129" s="695">
        <v>0</v>
      </c>
      <c r="CG129" s="692">
        <v>0</v>
      </c>
      <c r="CH129" s="695">
        <v>0</v>
      </c>
      <c r="CI129" s="692">
        <v>0</v>
      </c>
      <c r="CJ129" s="695">
        <v>0</v>
      </c>
      <c r="CK129" s="692">
        <v>0</v>
      </c>
      <c r="CL129" s="695">
        <v>0</v>
      </c>
      <c r="CM129" s="692">
        <v>0</v>
      </c>
      <c r="CN129" s="695">
        <v>0</v>
      </c>
      <c r="CO129" s="692">
        <v>0</v>
      </c>
      <c r="CP129" s="695">
        <v>0</v>
      </c>
      <c r="CQ129" s="692">
        <v>0</v>
      </c>
      <c r="CR129" s="693">
        <v>0</v>
      </c>
      <c r="CS129" s="692">
        <v>0</v>
      </c>
      <c r="CT129" s="693">
        <v>0</v>
      </c>
      <c r="CU129" s="694">
        <v>0</v>
      </c>
      <c r="CV129" s="693">
        <v>0</v>
      </c>
    </row>
    <row r="130" spans="1:100">
      <c r="A130" s="460">
        <v>128</v>
      </c>
      <c r="B130" s="580">
        <v>0</v>
      </c>
      <c r="C130" s="580">
        <v>0</v>
      </c>
      <c r="D130" s="580">
        <v>0</v>
      </c>
      <c r="E130" s="580">
        <v>0</v>
      </c>
      <c r="F130" s="580">
        <v>0</v>
      </c>
      <c r="G130" s="580">
        <v>0</v>
      </c>
      <c r="H130" s="580">
        <v>0</v>
      </c>
      <c r="I130" s="580">
        <v>0</v>
      </c>
      <c r="J130" s="580">
        <v>0</v>
      </c>
      <c r="K130" s="580">
        <v>0</v>
      </c>
      <c r="L130" s="580">
        <v>0</v>
      </c>
      <c r="M130" s="580">
        <v>0</v>
      </c>
      <c r="N130" s="580">
        <v>0</v>
      </c>
      <c r="O130" s="580">
        <v>0</v>
      </c>
      <c r="P130" s="580">
        <v>0</v>
      </c>
      <c r="Q130" s="580">
        <v>0</v>
      </c>
      <c r="R130" s="580">
        <v>0</v>
      </c>
      <c r="S130" s="580">
        <v>0</v>
      </c>
      <c r="T130" s="580">
        <v>0</v>
      </c>
      <c r="U130" s="580">
        <v>0</v>
      </c>
      <c r="V130" s="580">
        <v>0</v>
      </c>
      <c r="W130" s="595">
        <v>0</v>
      </c>
      <c r="X130" s="688">
        <v>0</v>
      </c>
      <c r="Y130" s="688">
        <v>0</v>
      </c>
      <c r="Z130" s="688">
        <v>0</v>
      </c>
      <c r="AA130" s="688">
        <v>0</v>
      </c>
      <c r="AB130" s="688">
        <v>0</v>
      </c>
      <c r="AC130" s="688">
        <v>0</v>
      </c>
      <c r="AD130" s="688">
        <v>0</v>
      </c>
      <c r="AE130" s="977">
        <v>0</v>
      </c>
      <c r="AF130" s="978">
        <v>0</v>
      </c>
      <c r="AG130" s="979">
        <v>0</v>
      </c>
      <c r="AH130" s="688">
        <v>0</v>
      </c>
      <c r="AI130" s="687">
        <v>0</v>
      </c>
      <c r="AJ130" s="685">
        <v>0</v>
      </c>
      <c r="AK130" s="687">
        <v>0</v>
      </c>
      <c r="AL130" s="689">
        <v>0</v>
      </c>
      <c r="AM130" s="685">
        <v>0</v>
      </c>
      <c r="AN130" s="685">
        <v>0</v>
      </c>
      <c r="AO130" s="689">
        <v>0</v>
      </c>
      <c r="AP130" s="690">
        <v>2E-3</v>
      </c>
      <c r="AQ130" s="687">
        <f t="shared" si="23"/>
        <v>7.1428571428571426E-3</v>
      </c>
      <c r="AR130" s="685">
        <v>0</v>
      </c>
      <c r="AS130" s="687">
        <v>0</v>
      </c>
      <c r="AT130" s="691">
        <v>0</v>
      </c>
      <c r="AU130" s="685">
        <v>0</v>
      </c>
      <c r="AV130" s="687">
        <v>0</v>
      </c>
      <c r="AW130" s="692">
        <v>0</v>
      </c>
      <c r="AX130" s="693">
        <v>0</v>
      </c>
      <c r="AY130" s="692">
        <v>0</v>
      </c>
      <c r="AZ130" s="693">
        <v>0</v>
      </c>
      <c r="BA130" s="692">
        <v>0</v>
      </c>
      <c r="BB130" s="693">
        <v>0</v>
      </c>
      <c r="BC130" s="694">
        <v>0</v>
      </c>
      <c r="BD130" s="695">
        <v>0</v>
      </c>
      <c r="BE130" s="692">
        <v>0</v>
      </c>
      <c r="BF130" s="693">
        <v>0</v>
      </c>
      <c r="BG130" s="694">
        <v>0</v>
      </c>
      <c r="BH130" s="693">
        <v>0</v>
      </c>
      <c r="BI130" s="694">
        <v>0</v>
      </c>
      <c r="BJ130" s="693">
        <v>0</v>
      </c>
      <c r="BK130" s="694">
        <v>0</v>
      </c>
      <c r="BL130" s="693">
        <v>0</v>
      </c>
      <c r="BM130" s="694">
        <v>0</v>
      </c>
      <c r="BN130" s="693">
        <v>0</v>
      </c>
      <c r="BO130" s="694">
        <v>0</v>
      </c>
      <c r="BP130" s="693">
        <v>0</v>
      </c>
      <c r="BQ130" s="694">
        <v>0</v>
      </c>
      <c r="BR130" s="693">
        <v>0</v>
      </c>
      <c r="BS130" s="694">
        <v>0</v>
      </c>
      <c r="BT130" s="693">
        <v>0</v>
      </c>
      <c r="BU130" s="694">
        <v>0</v>
      </c>
      <c r="BV130" s="693">
        <v>0</v>
      </c>
      <c r="BW130" s="694">
        <v>0</v>
      </c>
      <c r="BX130" s="693">
        <v>0</v>
      </c>
      <c r="BY130" s="694">
        <v>0</v>
      </c>
      <c r="BZ130" s="693">
        <v>0</v>
      </c>
      <c r="CA130" s="694">
        <v>0</v>
      </c>
      <c r="CB130" s="693">
        <v>0</v>
      </c>
      <c r="CC130" s="692">
        <v>0</v>
      </c>
      <c r="CD130" s="695">
        <v>0</v>
      </c>
      <c r="CE130" s="692">
        <v>0</v>
      </c>
      <c r="CF130" s="695">
        <v>0</v>
      </c>
      <c r="CG130" s="692">
        <v>0</v>
      </c>
      <c r="CH130" s="695">
        <v>0</v>
      </c>
      <c r="CI130" s="692">
        <v>0</v>
      </c>
      <c r="CJ130" s="695">
        <v>0</v>
      </c>
      <c r="CK130" s="692">
        <v>0</v>
      </c>
      <c r="CL130" s="695">
        <v>0</v>
      </c>
      <c r="CM130" s="692">
        <v>0</v>
      </c>
      <c r="CN130" s="695">
        <v>0</v>
      </c>
      <c r="CO130" s="692">
        <v>0</v>
      </c>
      <c r="CP130" s="695">
        <v>0</v>
      </c>
      <c r="CQ130" s="692">
        <v>0</v>
      </c>
      <c r="CR130" s="693">
        <v>0</v>
      </c>
      <c r="CS130" s="692">
        <v>0</v>
      </c>
      <c r="CT130" s="693">
        <v>0</v>
      </c>
      <c r="CU130" s="694">
        <v>0</v>
      </c>
      <c r="CV130" s="693">
        <v>0</v>
      </c>
    </row>
    <row r="131" spans="1:100">
      <c r="A131" s="460">
        <v>129</v>
      </c>
      <c r="B131" s="580">
        <v>0</v>
      </c>
      <c r="C131" s="580">
        <v>0</v>
      </c>
      <c r="D131" s="580">
        <v>0</v>
      </c>
      <c r="E131" s="580">
        <v>0</v>
      </c>
      <c r="F131" s="580">
        <v>0</v>
      </c>
      <c r="G131" s="580">
        <v>0</v>
      </c>
      <c r="H131" s="580">
        <v>0</v>
      </c>
      <c r="I131" s="580">
        <v>0</v>
      </c>
      <c r="J131" s="580">
        <v>0</v>
      </c>
      <c r="K131" s="580">
        <v>0</v>
      </c>
      <c r="L131" s="580">
        <v>0</v>
      </c>
      <c r="M131" s="580">
        <v>0</v>
      </c>
      <c r="N131" s="580">
        <v>0</v>
      </c>
      <c r="O131" s="580">
        <v>0</v>
      </c>
      <c r="P131" s="580">
        <v>0</v>
      </c>
      <c r="Q131" s="580">
        <v>0</v>
      </c>
      <c r="R131" s="580">
        <v>0</v>
      </c>
      <c r="S131" s="580">
        <v>0</v>
      </c>
      <c r="T131" s="580">
        <v>0</v>
      </c>
      <c r="U131" s="580">
        <v>0</v>
      </c>
      <c r="V131" s="580">
        <v>0</v>
      </c>
      <c r="W131" s="595">
        <v>0</v>
      </c>
      <c r="X131" s="688">
        <v>0</v>
      </c>
      <c r="Y131" s="688">
        <v>0</v>
      </c>
      <c r="Z131" s="688">
        <v>0</v>
      </c>
      <c r="AA131" s="688">
        <v>0</v>
      </c>
      <c r="AB131" s="688">
        <v>0</v>
      </c>
      <c r="AC131" s="688">
        <v>0</v>
      </c>
      <c r="AD131" s="688">
        <v>0</v>
      </c>
      <c r="AE131" s="977">
        <v>0</v>
      </c>
      <c r="AF131" s="978">
        <v>0</v>
      </c>
      <c r="AG131" s="979">
        <v>0</v>
      </c>
      <c r="AH131" s="688">
        <v>0</v>
      </c>
      <c r="AI131" s="687">
        <v>0</v>
      </c>
      <c r="AJ131" s="685">
        <v>0</v>
      </c>
      <c r="AK131" s="687">
        <v>0</v>
      </c>
      <c r="AL131" s="689">
        <v>0</v>
      </c>
      <c r="AM131" s="685">
        <v>0</v>
      </c>
      <c r="AN131" s="685">
        <v>0</v>
      </c>
      <c r="AO131" s="689">
        <v>0</v>
      </c>
      <c r="AP131" s="690">
        <v>2E-3</v>
      </c>
      <c r="AQ131" s="687">
        <f t="shared" si="23"/>
        <v>7.1428571428571426E-3</v>
      </c>
      <c r="AR131" s="685">
        <v>0</v>
      </c>
      <c r="AS131" s="687">
        <v>0</v>
      </c>
      <c r="AT131" s="691">
        <v>0</v>
      </c>
      <c r="AU131" s="685">
        <v>0</v>
      </c>
      <c r="AV131" s="687">
        <v>0</v>
      </c>
      <c r="AW131" s="692">
        <v>0</v>
      </c>
      <c r="AX131" s="693">
        <v>0</v>
      </c>
      <c r="AY131" s="692">
        <v>0</v>
      </c>
      <c r="AZ131" s="693">
        <v>0</v>
      </c>
      <c r="BA131" s="692">
        <v>0</v>
      </c>
      <c r="BB131" s="693">
        <v>0</v>
      </c>
      <c r="BC131" s="694">
        <v>0</v>
      </c>
      <c r="BD131" s="695">
        <v>0</v>
      </c>
      <c r="BE131" s="692">
        <v>0</v>
      </c>
      <c r="BF131" s="693">
        <v>0</v>
      </c>
      <c r="BG131" s="694">
        <v>0</v>
      </c>
      <c r="BH131" s="693">
        <v>0</v>
      </c>
      <c r="BI131" s="694">
        <v>0</v>
      </c>
      <c r="BJ131" s="693">
        <v>0</v>
      </c>
      <c r="BK131" s="694">
        <v>0</v>
      </c>
      <c r="BL131" s="693">
        <v>0</v>
      </c>
      <c r="BM131" s="694">
        <v>0</v>
      </c>
      <c r="BN131" s="693">
        <v>0</v>
      </c>
      <c r="BO131" s="694">
        <v>0</v>
      </c>
      <c r="BP131" s="693">
        <v>0</v>
      </c>
      <c r="BQ131" s="694">
        <v>0</v>
      </c>
      <c r="BR131" s="693">
        <v>0</v>
      </c>
      <c r="BS131" s="694">
        <v>0</v>
      </c>
      <c r="BT131" s="693">
        <v>0</v>
      </c>
      <c r="BU131" s="694">
        <v>0</v>
      </c>
      <c r="BV131" s="693">
        <v>0</v>
      </c>
      <c r="BW131" s="694">
        <v>0</v>
      </c>
      <c r="BX131" s="693">
        <v>0</v>
      </c>
      <c r="BY131" s="694">
        <v>0</v>
      </c>
      <c r="BZ131" s="693">
        <v>0</v>
      </c>
      <c r="CA131" s="694">
        <v>0</v>
      </c>
      <c r="CB131" s="693">
        <v>0</v>
      </c>
      <c r="CC131" s="692">
        <v>0</v>
      </c>
      <c r="CD131" s="695">
        <v>0</v>
      </c>
      <c r="CE131" s="692">
        <v>0</v>
      </c>
      <c r="CF131" s="695">
        <v>0</v>
      </c>
      <c r="CG131" s="692">
        <v>0</v>
      </c>
      <c r="CH131" s="695">
        <v>0</v>
      </c>
      <c r="CI131" s="692">
        <v>0</v>
      </c>
      <c r="CJ131" s="695">
        <v>0</v>
      </c>
      <c r="CK131" s="692">
        <v>0</v>
      </c>
      <c r="CL131" s="695">
        <v>0</v>
      </c>
      <c r="CM131" s="692">
        <v>0</v>
      </c>
      <c r="CN131" s="695">
        <v>0</v>
      </c>
      <c r="CO131" s="692">
        <v>0</v>
      </c>
      <c r="CP131" s="695">
        <v>0</v>
      </c>
      <c r="CQ131" s="692">
        <v>0</v>
      </c>
      <c r="CR131" s="693">
        <v>0</v>
      </c>
      <c r="CS131" s="692">
        <v>0</v>
      </c>
      <c r="CT131" s="693">
        <v>0</v>
      </c>
      <c r="CU131" s="694">
        <v>0</v>
      </c>
      <c r="CV131" s="693">
        <v>0</v>
      </c>
    </row>
    <row r="132" spans="1:100">
      <c r="A132" s="460">
        <v>130</v>
      </c>
      <c r="B132" s="580">
        <v>0</v>
      </c>
      <c r="C132" s="580">
        <v>0</v>
      </c>
      <c r="D132" s="580">
        <v>0</v>
      </c>
      <c r="E132" s="580">
        <v>0</v>
      </c>
      <c r="F132" s="580">
        <v>0</v>
      </c>
      <c r="G132" s="580">
        <v>0</v>
      </c>
      <c r="H132" s="580">
        <v>0</v>
      </c>
      <c r="I132" s="580">
        <v>0</v>
      </c>
      <c r="J132" s="580">
        <v>0</v>
      </c>
      <c r="K132" s="580">
        <v>0</v>
      </c>
      <c r="L132" s="580">
        <v>0</v>
      </c>
      <c r="M132" s="580">
        <v>0</v>
      </c>
      <c r="N132" s="580">
        <v>0</v>
      </c>
      <c r="O132" s="580">
        <v>0</v>
      </c>
      <c r="P132" s="580">
        <v>0</v>
      </c>
      <c r="Q132" s="580">
        <v>0</v>
      </c>
      <c r="R132" s="580">
        <v>0</v>
      </c>
      <c r="S132" s="580">
        <v>0</v>
      </c>
      <c r="T132" s="580">
        <v>0</v>
      </c>
      <c r="U132" s="580">
        <v>0</v>
      </c>
      <c r="V132" s="580">
        <v>0</v>
      </c>
      <c r="W132" s="595">
        <v>0</v>
      </c>
      <c r="X132" s="688">
        <v>0</v>
      </c>
      <c r="Y132" s="688">
        <v>0</v>
      </c>
      <c r="Z132" s="688">
        <v>0</v>
      </c>
      <c r="AA132" s="688">
        <v>0</v>
      </c>
      <c r="AB132" s="688">
        <v>0</v>
      </c>
      <c r="AC132" s="688">
        <v>0</v>
      </c>
      <c r="AD132" s="688">
        <v>0</v>
      </c>
      <c r="AE132" s="977">
        <v>0</v>
      </c>
      <c r="AF132" s="978">
        <v>0</v>
      </c>
      <c r="AG132" s="979">
        <v>0</v>
      </c>
      <c r="AH132" s="688">
        <v>0</v>
      </c>
      <c r="AI132" s="687">
        <v>0</v>
      </c>
      <c r="AJ132" s="685">
        <v>0</v>
      </c>
      <c r="AK132" s="687">
        <v>0</v>
      </c>
      <c r="AL132" s="689">
        <v>0</v>
      </c>
      <c r="AM132" s="685">
        <v>0</v>
      </c>
      <c r="AN132" s="685">
        <v>0</v>
      </c>
      <c r="AO132" s="689">
        <v>0</v>
      </c>
      <c r="AP132" s="690">
        <v>2E-3</v>
      </c>
      <c r="AQ132" s="687">
        <f t="shared" ref="AQ132:AQ141" si="24">1/140</f>
        <v>7.1428571428571426E-3</v>
      </c>
      <c r="AR132" s="685">
        <v>0</v>
      </c>
      <c r="AS132" s="687">
        <v>0</v>
      </c>
      <c r="AT132" s="691">
        <v>0</v>
      </c>
      <c r="AU132" s="685">
        <v>0</v>
      </c>
      <c r="AV132" s="687">
        <v>0</v>
      </c>
      <c r="AW132" s="692">
        <v>0</v>
      </c>
      <c r="AX132" s="693">
        <v>0</v>
      </c>
      <c r="AY132" s="692">
        <v>0</v>
      </c>
      <c r="AZ132" s="693">
        <v>0</v>
      </c>
      <c r="BA132" s="692">
        <v>0</v>
      </c>
      <c r="BB132" s="693">
        <v>0</v>
      </c>
      <c r="BC132" s="694">
        <v>0</v>
      </c>
      <c r="BD132" s="695">
        <v>0</v>
      </c>
      <c r="BE132" s="692">
        <v>0</v>
      </c>
      <c r="BF132" s="693">
        <v>0</v>
      </c>
      <c r="BG132" s="694">
        <v>0</v>
      </c>
      <c r="BH132" s="693">
        <v>0</v>
      </c>
      <c r="BI132" s="694">
        <v>0</v>
      </c>
      <c r="BJ132" s="693">
        <v>0</v>
      </c>
      <c r="BK132" s="694">
        <v>0</v>
      </c>
      <c r="BL132" s="693">
        <v>0</v>
      </c>
      <c r="BM132" s="694">
        <v>0</v>
      </c>
      <c r="BN132" s="693">
        <v>0</v>
      </c>
      <c r="BO132" s="694">
        <v>0</v>
      </c>
      <c r="BP132" s="693">
        <v>0</v>
      </c>
      <c r="BQ132" s="694">
        <v>0</v>
      </c>
      <c r="BR132" s="693">
        <v>0</v>
      </c>
      <c r="BS132" s="694">
        <v>0</v>
      </c>
      <c r="BT132" s="693">
        <v>0</v>
      </c>
      <c r="BU132" s="694">
        <v>0</v>
      </c>
      <c r="BV132" s="693">
        <v>0</v>
      </c>
      <c r="BW132" s="694">
        <v>0</v>
      </c>
      <c r="BX132" s="693">
        <v>0</v>
      </c>
      <c r="BY132" s="694">
        <v>0</v>
      </c>
      <c r="BZ132" s="693">
        <v>0</v>
      </c>
      <c r="CA132" s="694">
        <v>0</v>
      </c>
      <c r="CB132" s="693">
        <v>0</v>
      </c>
      <c r="CC132" s="692">
        <v>0</v>
      </c>
      <c r="CD132" s="695">
        <v>0</v>
      </c>
      <c r="CE132" s="692">
        <v>0</v>
      </c>
      <c r="CF132" s="695">
        <v>0</v>
      </c>
      <c r="CG132" s="692">
        <v>0</v>
      </c>
      <c r="CH132" s="695">
        <v>0</v>
      </c>
      <c r="CI132" s="692">
        <v>0</v>
      </c>
      <c r="CJ132" s="695">
        <v>0</v>
      </c>
      <c r="CK132" s="692">
        <v>0</v>
      </c>
      <c r="CL132" s="695">
        <v>0</v>
      </c>
      <c r="CM132" s="692">
        <v>0</v>
      </c>
      <c r="CN132" s="695">
        <v>0</v>
      </c>
      <c r="CO132" s="692">
        <v>0</v>
      </c>
      <c r="CP132" s="695">
        <v>0</v>
      </c>
      <c r="CQ132" s="692">
        <v>0</v>
      </c>
      <c r="CR132" s="693">
        <v>0</v>
      </c>
      <c r="CS132" s="692">
        <v>0</v>
      </c>
      <c r="CT132" s="693">
        <v>0</v>
      </c>
      <c r="CU132" s="694">
        <v>0</v>
      </c>
      <c r="CV132" s="693">
        <v>0</v>
      </c>
    </row>
    <row r="133" spans="1:100">
      <c r="A133" s="460">
        <v>131</v>
      </c>
      <c r="B133" s="580">
        <v>0</v>
      </c>
      <c r="C133" s="580">
        <v>0</v>
      </c>
      <c r="D133" s="580">
        <v>0</v>
      </c>
      <c r="E133" s="580">
        <v>0</v>
      </c>
      <c r="F133" s="580">
        <v>0</v>
      </c>
      <c r="G133" s="580">
        <v>0</v>
      </c>
      <c r="H133" s="580">
        <v>0</v>
      </c>
      <c r="I133" s="580">
        <v>0</v>
      </c>
      <c r="J133" s="580">
        <v>0</v>
      </c>
      <c r="K133" s="580">
        <v>0</v>
      </c>
      <c r="L133" s="580">
        <v>0</v>
      </c>
      <c r="M133" s="580">
        <v>0</v>
      </c>
      <c r="N133" s="580">
        <v>0</v>
      </c>
      <c r="O133" s="580">
        <v>0</v>
      </c>
      <c r="P133" s="580">
        <v>0</v>
      </c>
      <c r="Q133" s="580">
        <v>0</v>
      </c>
      <c r="R133" s="580">
        <v>0</v>
      </c>
      <c r="S133" s="580">
        <v>0</v>
      </c>
      <c r="T133" s="580">
        <v>0</v>
      </c>
      <c r="U133" s="580">
        <v>0</v>
      </c>
      <c r="V133" s="580">
        <v>0</v>
      </c>
      <c r="W133" s="595">
        <v>0</v>
      </c>
      <c r="X133" s="688">
        <v>0</v>
      </c>
      <c r="Y133" s="688">
        <v>0</v>
      </c>
      <c r="Z133" s="688">
        <v>0</v>
      </c>
      <c r="AA133" s="688">
        <v>0</v>
      </c>
      <c r="AB133" s="688">
        <v>0</v>
      </c>
      <c r="AC133" s="688">
        <v>0</v>
      </c>
      <c r="AD133" s="688">
        <v>0</v>
      </c>
      <c r="AE133" s="977">
        <v>0</v>
      </c>
      <c r="AF133" s="978">
        <v>0</v>
      </c>
      <c r="AG133" s="979">
        <v>0</v>
      </c>
      <c r="AH133" s="688">
        <v>0</v>
      </c>
      <c r="AI133" s="687">
        <v>0</v>
      </c>
      <c r="AJ133" s="685">
        <v>0</v>
      </c>
      <c r="AK133" s="687">
        <v>0</v>
      </c>
      <c r="AL133" s="689">
        <v>0</v>
      </c>
      <c r="AM133" s="685">
        <v>0</v>
      </c>
      <c r="AN133" s="685">
        <v>0</v>
      </c>
      <c r="AO133" s="689">
        <v>0</v>
      </c>
      <c r="AP133" s="690">
        <v>2E-3</v>
      </c>
      <c r="AQ133" s="687">
        <f t="shared" si="24"/>
        <v>7.1428571428571426E-3</v>
      </c>
      <c r="AR133" s="685">
        <v>0</v>
      </c>
      <c r="AS133" s="687">
        <v>0</v>
      </c>
      <c r="AT133" s="691">
        <v>0</v>
      </c>
      <c r="AU133" s="685">
        <v>0</v>
      </c>
      <c r="AV133" s="687">
        <v>0</v>
      </c>
      <c r="AW133" s="692">
        <v>0</v>
      </c>
      <c r="AX133" s="693">
        <v>0</v>
      </c>
      <c r="AY133" s="692">
        <v>0</v>
      </c>
      <c r="AZ133" s="693">
        <v>0</v>
      </c>
      <c r="BA133" s="692">
        <v>0</v>
      </c>
      <c r="BB133" s="693">
        <v>0</v>
      </c>
      <c r="BC133" s="694">
        <v>0</v>
      </c>
      <c r="BD133" s="695">
        <v>0</v>
      </c>
      <c r="BE133" s="692">
        <v>0</v>
      </c>
      <c r="BF133" s="693">
        <v>0</v>
      </c>
      <c r="BG133" s="694">
        <v>0</v>
      </c>
      <c r="BH133" s="693">
        <v>0</v>
      </c>
      <c r="BI133" s="694">
        <v>0</v>
      </c>
      <c r="BJ133" s="693">
        <v>0</v>
      </c>
      <c r="BK133" s="694">
        <v>0</v>
      </c>
      <c r="BL133" s="693">
        <v>0</v>
      </c>
      <c r="BM133" s="694">
        <v>0</v>
      </c>
      <c r="BN133" s="693">
        <v>0</v>
      </c>
      <c r="BO133" s="694">
        <v>0</v>
      </c>
      <c r="BP133" s="693">
        <v>0</v>
      </c>
      <c r="BQ133" s="694">
        <v>0</v>
      </c>
      <c r="BR133" s="693">
        <v>0</v>
      </c>
      <c r="BS133" s="694">
        <v>0</v>
      </c>
      <c r="BT133" s="693">
        <v>0</v>
      </c>
      <c r="BU133" s="694">
        <v>0</v>
      </c>
      <c r="BV133" s="693">
        <v>0</v>
      </c>
      <c r="BW133" s="694">
        <v>0</v>
      </c>
      <c r="BX133" s="693">
        <v>0</v>
      </c>
      <c r="BY133" s="694">
        <v>0</v>
      </c>
      <c r="BZ133" s="693">
        <v>0</v>
      </c>
      <c r="CA133" s="694">
        <v>0</v>
      </c>
      <c r="CB133" s="693">
        <v>0</v>
      </c>
      <c r="CC133" s="692">
        <v>0</v>
      </c>
      <c r="CD133" s="695">
        <v>0</v>
      </c>
      <c r="CE133" s="692">
        <v>0</v>
      </c>
      <c r="CF133" s="695">
        <v>0</v>
      </c>
      <c r="CG133" s="692">
        <v>0</v>
      </c>
      <c r="CH133" s="695">
        <v>0</v>
      </c>
      <c r="CI133" s="692">
        <v>0</v>
      </c>
      <c r="CJ133" s="695">
        <v>0</v>
      </c>
      <c r="CK133" s="692">
        <v>0</v>
      </c>
      <c r="CL133" s="695">
        <v>0</v>
      </c>
      <c r="CM133" s="692">
        <v>0</v>
      </c>
      <c r="CN133" s="695">
        <v>0</v>
      </c>
      <c r="CO133" s="692">
        <v>0</v>
      </c>
      <c r="CP133" s="695">
        <v>0</v>
      </c>
      <c r="CQ133" s="692">
        <v>0</v>
      </c>
      <c r="CR133" s="693">
        <v>0</v>
      </c>
      <c r="CS133" s="692">
        <v>0</v>
      </c>
      <c r="CT133" s="693">
        <v>0</v>
      </c>
      <c r="CU133" s="694">
        <v>0</v>
      </c>
      <c r="CV133" s="693">
        <v>0</v>
      </c>
    </row>
    <row r="134" spans="1:100">
      <c r="A134" s="460">
        <v>132</v>
      </c>
      <c r="B134" s="580">
        <v>0</v>
      </c>
      <c r="C134" s="580">
        <v>0</v>
      </c>
      <c r="D134" s="580">
        <v>0</v>
      </c>
      <c r="E134" s="580">
        <v>0</v>
      </c>
      <c r="F134" s="580">
        <v>0</v>
      </c>
      <c r="G134" s="580">
        <v>0</v>
      </c>
      <c r="H134" s="580">
        <v>0</v>
      </c>
      <c r="I134" s="580">
        <v>0</v>
      </c>
      <c r="J134" s="580">
        <v>0</v>
      </c>
      <c r="K134" s="580">
        <v>0</v>
      </c>
      <c r="L134" s="580">
        <v>0</v>
      </c>
      <c r="M134" s="580">
        <v>0</v>
      </c>
      <c r="N134" s="580">
        <v>0</v>
      </c>
      <c r="O134" s="580">
        <v>0</v>
      </c>
      <c r="P134" s="580">
        <v>0</v>
      </c>
      <c r="Q134" s="580">
        <v>0</v>
      </c>
      <c r="R134" s="580">
        <v>0</v>
      </c>
      <c r="S134" s="580">
        <v>0</v>
      </c>
      <c r="T134" s="580">
        <v>0</v>
      </c>
      <c r="U134" s="580">
        <v>0</v>
      </c>
      <c r="V134" s="580">
        <v>0</v>
      </c>
      <c r="W134" s="595">
        <v>0</v>
      </c>
      <c r="X134" s="688">
        <v>0</v>
      </c>
      <c r="Y134" s="688">
        <v>0</v>
      </c>
      <c r="Z134" s="688">
        <v>0</v>
      </c>
      <c r="AA134" s="688">
        <v>0</v>
      </c>
      <c r="AB134" s="688">
        <v>0</v>
      </c>
      <c r="AC134" s="688">
        <v>0</v>
      </c>
      <c r="AD134" s="688">
        <v>0</v>
      </c>
      <c r="AE134" s="977">
        <v>0</v>
      </c>
      <c r="AF134" s="978">
        <v>0</v>
      </c>
      <c r="AG134" s="979">
        <v>0</v>
      </c>
      <c r="AH134" s="688">
        <v>0</v>
      </c>
      <c r="AI134" s="687">
        <v>0</v>
      </c>
      <c r="AJ134" s="685">
        <v>0</v>
      </c>
      <c r="AK134" s="687">
        <v>0</v>
      </c>
      <c r="AL134" s="689">
        <v>0</v>
      </c>
      <c r="AM134" s="685">
        <v>0</v>
      </c>
      <c r="AN134" s="685">
        <v>0</v>
      </c>
      <c r="AO134" s="689">
        <v>0</v>
      </c>
      <c r="AP134" s="690">
        <v>2E-3</v>
      </c>
      <c r="AQ134" s="687">
        <f t="shared" si="24"/>
        <v>7.1428571428571426E-3</v>
      </c>
      <c r="AR134" s="685">
        <v>0</v>
      </c>
      <c r="AS134" s="687">
        <v>0</v>
      </c>
      <c r="AT134" s="691">
        <v>0</v>
      </c>
      <c r="AU134" s="685">
        <v>0</v>
      </c>
      <c r="AV134" s="687">
        <v>0</v>
      </c>
      <c r="AW134" s="692">
        <v>0</v>
      </c>
      <c r="AX134" s="693">
        <v>0</v>
      </c>
      <c r="AY134" s="692">
        <v>0</v>
      </c>
      <c r="AZ134" s="693">
        <v>0</v>
      </c>
      <c r="BA134" s="692">
        <v>0</v>
      </c>
      <c r="BB134" s="693">
        <v>0</v>
      </c>
      <c r="BC134" s="694">
        <v>0</v>
      </c>
      <c r="BD134" s="695">
        <v>0</v>
      </c>
      <c r="BE134" s="692">
        <v>0</v>
      </c>
      <c r="BF134" s="693">
        <v>0</v>
      </c>
      <c r="BG134" s="694">
        <v>0</v>
      </c>
      <c r="BH134" s="693">
        <v>0</v>
      </c>
      <c r="BI134" s="694">
        <v>0</v>
      </c>
      <c r="BJ134" s="693">
        <v>0</v>
      </c>
      <c r="BK134" s="694">
        <v>0</v>
      </c>
      <c r="BL134" s="693">
        <v>0</v>
      </c>
      <c r="BM134" s="694">
        <v>0</v>
      </c>
      <c r="BN134" s="693">
        <v>0</v>
      </c>
      <c r="BO134" s="694">
        <v>0</v>
      </c>
      <c r="BP134" s="693">
        <v>0</v>
      </c>
      <c r="BQ134" s="694">
        <v>0</v>
      </c>
      <c r="BR134" s="693">
        <v>0</v>
      </c>
      <c r="BS134" s="694">
        <v>0</v>
      </c>
      <c r="BT134" s="693">
        <v>0</v>
      </c>
      <c r="BU134" s="694">
        <v>0</v>
      </c>
      <c r="BV134" s="693">
        <v>0</v>
      </c>
      <c r="BW134" s="694">
        <v>0</v>
      </c>
      <c r="BX134" s="693">
        <v>0</v>
      </c>
      <c r="BY134" s="694">
        <v>0</v>
      </c>
      <c r="BZ134" s="693">
        <v>0</v>
      </c>
      <c r="CA134" s="694">
        <v>0</v>
      </c>
      <c r="CB134" s="693">
        <v>0</v>
      </c>
      <c r="CC134" s="692">
        <v>0</v>
      </c>
      <c r="CD134" s="695">
        <v>0</v>
      </c>
      <c r="CE134" s="692">
        <v>0</v>
      </c>
      <c r="CF134" s="695">
        <v>0</v>
      </c>
      <c r="CG134" s="692">
        <v>0</v>
      </c>
      <c r="CH134" s="695">
        <v>0</v>
      </c>
      <c r="CI134" s="692">
        <v>0</v>
      </c>
      <c r="CJ134" s="695">
        <v>0</v>
      </c>
      <c r="CK134" s="692">
        <v>0</v>
      </c>
      <c r="CL134" s="695">
        <v>0</v>
      </c>
      <c r="CM134" s="692">
        <v>0</v>
      </c>
      <c r="CN134" s="695">
        <v>0</v>
      </c>
      <c r="CO134" s="692">
        <v>0</v>
      </c>
      <c r="CP134" s="695">
        <v>0</v>
      </c>
      <c r="CQ134" s="692">
        <v>0</v>
      </c>
      <c r="CR134" s="693">
        <v>0</v>
      </c>
      <c r="CS134" s="692">
        <v>0</v>
      </c>
      <c r="CT134" s="693">
        <v>0</v>
      </c>
      <c r="CU134" s="694">
        <v>0</v>
      </c>
      <c r="CV134" s="693">
        <v>0</v>
      </c>
    </row>
    <row r="135" spans="1:100">
      <c r="A135" s="460">
        <v>133</v>
      </c>
      <c r="B135" s="580">
        <v>0</v>
      </c>
      <c r="C135" s="580">
        <v>0</v>
      </c>
      <c r="D135" s="580">
        <v>0</v>
      </c>
      <c r="E135" s="580">
        <v>0</v>
      </c>
      <c r="F135" s="580">
        <v>0</v>
      </c>
      <c r="G135" s="580">
        <v>0</v>
      </c>
      <c r="H135" s="580">
        <v>0</v>
      </c>
      <c r="I135" s="580">
        <v>0</v>
      </c>
      <c r="J135" s="580">
        <v>0</v>
      </c>
      <c r="K135" s="580">
        <v>0</v>
      </c>
      <c r="L135" s="580">
        <v>0</v>
      </c>
      <c r="M135" s="580">
        <v>0</v>
      </c>
      <c r="N135" s="580">
        <v>0</v>
      </c>
      <c r="O135" s="580">
        <v>0</v>
      </c>
      <c r="P135" s="580">
        <v>0</v>
      </c>
      <c r="Q135" s="580">
        <v>0</v>
      </c>
      <c r="R135" s="580">
        <v>0</v>
      </c>
      <c r="S135" s="580">
        <v>0</v>
      </c>
      <c r="T135" s="580">
        <v>0</v>
      </c>
      <c r="U135" s="580">
        <v>0</v>
      </c>
      <c r="V135" s="580">
        <v>0</v>
      </c>
      <c r="W135" s="595">
        <v>0</v>
      </c>
      <c r="X135" s="688">
        <v>0</v>
      </c>
      <c r="Y135" s="688">
        <v>0</v>
      </c>
      <c r="Z135" s="688">
        <v>0</v>
      </c>
      <c r="AA135" s="688">
        <v>0</v>
      </c>
      <c r="AB135" s="688">
        <v>0</v>
      </c>
      <c r="AC135" s="688">
        <v>0</v>
      </c>
      <c r="AD135" s="688">
        <v>0</v>
      </c>
      <c r="AE135" s="977">
        <v>0</v>
      </c>
      <c r="AF135" s="978">
        <v>0</v>
      </c>
      <c r="AG135" s="979">
        <v>0</v>
      </c>
      <c r="AH135" s="688">
        <v>0</v>
      </c>
      <c r="AI135" s="687">
        <v>0</v>
      </c>
      <c r="AJ135" s="685">
        <v>0</v>
      </c>
      <c r="AK135" s="687">
        <v>0</v>
      </c>
      <c r="AL135" s="689">
        <v>0</v>
      </c>
      <c r="AM135" s="685">
        <v>0</v>
      </c>
      <c r="AN135" s="685">
        <v>0</v>
      </c>
      <c r="AO135" s="689">
        <v>0</v>
      </c>
      <c r="AP135" s="690">
        <v>2E-3</v>
      </c>
      <c r="AQ135" s="687">
        <f t="shared" si="24"/>
        <v>7.1428571428571426E-3</v>
      </c>
      <c r="AR135" s="685">
        <v>0</v>
      </c>
      <c r="AS135" s="687">
        <v>0</v>
      </c>
      <c r="AT135" s="691">
        <v>0</v>
      </c>
      <c r="AU135" s="685">
        <v>0</v>
      </c>
      <c r="AV135" s="687">
        <v>0</v>
      </c>
      <c r="AW135" s="692">
        <v>0</v>
      </c>
      <c r="AX135" s="693">
        <v>0</v>
      </c>
      <c r="AY135" s="692">
        <v>0</v>
      </c>
      <c r="AZ135" s="693">
        <v>0</v>
      </c>
      <c r="BA135" s="692">
        <v>0</v>
      </c>
      <c r="BB135" s="693">
        <v>0</v>
      </c>
      <c r="BC135" s="694">
        <v>0</v>
      </c>
      <c r="BD135" s="695">
        <v>0</v>
      </c>
      <c r="BE135" s="692">
        <v>0</v>
      </c>
      <c r="BF135" s="693">
        <v>0</v>
      </c>
      <c r="BG135" s="694">
        <v>0</v>
      </c>
      <c r="BH135" s="693">
        <v>0</v>
      </c>
      <c r="BI135" s="694">
        <v>0</v>
      </c>
      <c r="BJ135" s="693">
        <v>0</v>
      </c>
      <c r="BK135" s="694">
        <v>0</v>
      </c>
      <c r="BL135" s="693">
        <v>0</v>
      </c>
      <c r="BM135" s="694">
        <v>0</v>
      </c>
      <c r="BN135" s="693">
        <v>0</v>
      </c>
      <c r="BO135" s="694">
        <v>0</v>
      </c>
      <c r="BP135" s="693">
        <v>0</v>
      </c>
      <c r="BQ135" s="694">
        <v>0</v>
      </c>
      <c r="BR135" s="693">
        <v>0</v>
      </c>
      <c r="BS135" s="694">
        <v>0</v>
      </c>
      <c r="BT135" s="693">
        <v>0</v>
      </c>
      <c r="BU135" s="694">
        <v>0</v>
      </c>
      <c r="BV135" s="693">
        <v>0</v>
      </c>
      <c r="BW135" s="694">
        <v>0</v>
      </c>
      <c r="BX135" s="693">
        <v>0</v>
      </c>
      <c r="BY135" s="694">
        <v>0</v>
      </c>
      <c r="BZ135" s="693">
        <v>0</v>
      </c>
      <c r="CA135" s="694">
        <v>0</v>
      </c>
      <c r="CB135" s="693">
        <v>0</v>
      </c>
      <c r="CC135" s="692">
        <v>0</v>
      </c>
      <c r="CD135" s="695">
        <v>0</v>
      </c>
      <c r="CE135" s="692">
        <v>0</v>
      </c>
      <c r="CF135" s="695">
        <v>0</v>
      </c>
      <c r="CG135" s="692">
        <v>0</v>
      </c>
      <c r="CH135" s="695">
        <v>0</v>
      </c>
      <c r="CI135" s="692">
        <v>0</v>
      </c>
      <c r="CJ135" s="695">
        <v>0</v>
      </c>
      <c r="CK135" s="692">
        <v>0</v>
      </c>
      <c r="CL135" s="695">
        <v>0</v>
      </c>
      <c r="CM135" s="692">
        <v>0</v>
      </c>
      <c r="CN135" s="695">
        <v>0</v>
      </c>
      <c r="CO135" s="692">
        <v>0</v>
      </c>
      <c r="CP135" s="695">
        <v>0</v>
      </c>
      <c r="CQ135" s="692">
        <v>0</v>
      </c>
      <c r="CR135" s="693">
        <v>0</v>
      </c>
      <c r="CS135" s="692">
        <v>0</v>
      </c>
      <c r="CT135" s="693">
        <v>0</v>
      </c>
      <c r="CU135" s="694">
        <v>0</v>
      </c>
      <c r="CV135" s="693">
        <v>0</v>
      </c>
    </row>
    <row r="136" spans="1:100">
      <c r="A136" s="460">
        <v>134</v>
      </c>
      <c r="B136" s="580">
        <v>0</v>
      </c>
      <c r="C136" s="580">
        <v>0</v>
      </c>
      <c r="D136" s="580">
        <v>0</v>
      </c>
      <c r="E136" s="580">
        <v>0</v>
      </c>
      <c r="F136" s="580">
        <v>0</v>
      </c>
      <c r="G136" s="580">
        <v>0</v>
      </c>
      <c r="H136" s="580">
        <v>0</v>
      </c>
      <c r="I136" s="580">
        <v>0</v>
      </c>
      <c r="J136" s="580">
        <v>0</v>
      </c>
      <c r="K136" s="580">
        <v>0</v>
      </c>
      <c r="L136" s="580">
        <v>0</v>
      </c>
      <c r="M136" s="580">
        <v>0</v>
      </c>
      <c r="N136" s="580">
        <v>0</v>
      </c>
      <c r="O136" s="580">
        <v>0</v>
      </c>
      <c r="P136" s="580">
        <v>0</v>
      </c>
      <c r="Q136" s="580">
        <v>0</v>
      </c>
      <c r="R136" s="580">
        <v>0</v>
      </c>
      <c r="S136" s="580">
        <v>0</v>
      </c>
      <c r="T136" s="580">
        <v>0</v>
      </c>
      <c r="U136" s="580">
        <v>0</v>
      </c>
      <c r="V136" s="580">
        <v>0</v>
      </c>
      <c r="W136" s="595">
        <v>0</v>
      </c>
      <c r="X136" s="688">
        <v>0</v>
      </c>
      <c r="Y136" s="688">
        <v>0</v>
      </c>
      <c r="Z136" s="688">
        <v>0</v>
      </c>
      <c r="AA136" s="688">
        <v>0</v>
      </c>
      <c r="AB136" s="688">
        <v>0</v>
      </c>
      <c r="AC136" s="688">
        <v>0</v>
      </c>
      <c r="AD136" s="688">
        <v>0</v>
      </c>
      <c r="AE136" s="977">
        <v>0</v>
      </c>
      <c r="AF136" s="978">
        <v>0</v>
      </c>
      <c r="AG136" s="979">
        <v>0</v>
      </c>
      <c r="AH136" s="688">
        <v>0</v>
      </c>
      <c r="AI136" s="687">
        <v>0</v>
      </c>
      <c r="AJ136" s="685">
        <v>0</v>
      </c>
      <c r="AK136" s="687">
        <v>0</v>
      </c>
      <c r="AL136" s="689">
        <v>0</v>
      </c>
      <c r="AM136" s="685">
        <v>0</v>
      </c>
      <c r="AN136" s="685">
        <v>0</v>
      </c>
      <c r="AO136" s="689">
        <v>0</v>
      </c>
      <c r="AP136" s="690">
        <v>2E-3</v>
      </c>
      <c r="AQ136" s="687">
        <f t="shared" si="24"/>
        <v>7.1428571428571426E-3</v>
      </c>
      <c r="AR136" s="685">
        <v>0</v>
      </c>
      <c r="AS136" s="687">
        <v>0</v>
      </c>
      <c r="AT136" s="691">
        <v>0</v>
      </c>
      <c r="AU136" s="685">
        <v>0</v>
      </c>
      <c r="AV136" s="687">
        <v>0</v>
      </c>
      <c r="AW136" s="692">
        <v>0</v>
      </c>
      <c r="AX136" s="693">
        <v>0</v>
      </c>
      <c r="AY136" s="692">
        <v>0</v>
      </c>
      <c r="AZ136" s="693">
        <v>0</v>
      </c>
      <c r="BA136" s="692">
        <v>0</v>
      </c>
      <c r="BB136" s="693">
        <v>0</v>
      </c>
      <c r="BC136" s="694">
        <v>0</v>
      </c>
      <c r="BD136" s="695">
        <v>0</v>
      </c>
      <c r="BE136" s="692">
        <v>0</v>
      </c>
      <c r="BF136" s="693">
        <v>0</v>
      </c>
      <c r="BG136" s="694">
        <v>0</v>
      </c>
      <c r="BH136" s="693">
        <v>0</v>
      </c>
      <c r="BI136" s="694">
        <v>0</v>
      </c>
      <c r="BJ136" s="693">
        <v>0</v>
      </c>
      <c r="BK136" s="694">
        <v>0</v>
      </c>
      <c r="BL136" s="693">
        <v>0</v>
      </c>
      <c r="BM136" s="694">
        <v>0</v>
      </c>
      <c r="BN136" s="693">
        <v>0</v>
      </c>
      <c r="BO136" s="694">
        <v>0</v>
      </c>
      <c r="BP136" s="693">
        <v>0</v>
      </c>
      <c r="BQ136" s="694">
        <v>0</v>
      </c>
      <c r="BR136" s="693">
        <v>0</v>
      </c>
      <c r="BS136" s="694">
        <v>0</v>
      </c>
      <c r="BT136" s="693">
        <v>0</v>
      </c>
      <c r="BU136" s="694">
        <v>0</v>
      </c>
      <c r="BV136" s="693">
        <v>0</v>
      </c>
      <c r="BW136" s="694">
        <v>0</v>
      </c>
      <c r="BX136" s="693">
        <v>0</v>
      </c>
      <c r="BY136" s="694">
        <v>0</v>
      </c>
      <c r="BZ136" s="693">
        <v>0</v>
      </c>
      <c r="CA136" s="694">
        <v>0</v>
      </c>
      <c r="CB136" s="693">
        <v>0</v>
      </c>
      <c r="CC136" s="692">
        <v>0</v>
      </c>
      <c r="CD136" s="695">
        <v>0</v>
      </c>
      <c r="CE136" s="692">
        <v>0</v>
      </c>
      <c r="CF136" s="695">
        <v>0</v>
      </c>
      <c r="CG136" s="692">
        <v>0</v>
      </c>
      <c r="CH136" s="695">
        <v>0</v>
      </c>
      <c r="CI136" s="692">
        <v>0</v>
      </c>
      <c r="CJ136" s="695">
        <v>0</v>
      </c>
      <c r="CK136" s="692">
        <v>0</v>
      </c>
      <c r="CL136" s="695">
        <v>0</v>
      </c>
      <c r="CM136" s="692">
        <v>0</v>
      </c>
      <c r="CN136" s="695">
        <v>0</v>
      </c>
      <c r="CO136" s="692">
        <v>0</v>
      </c>
      <c r="CP136" s="695">
        <v>0</v>
      </c>
      <c r="CQ136" s="692">
        <v>0</v>
      </c>
      <c r="CR136" s="693">
        <v>0</v>
      </c>
      <c r="CS136" s="692">
        <v>0</v>
      </c>
      <c r="CT136" s="693">
        <v>0</v>
      </c>
      <c r="CU136" s="694">
        <v>0</v>
      </c>
      <c r="CV136" s="693">
        <v>0</v>
      </c>
    </row>
    <row r="137" spans="1:100">
      <c r="A137" s="460">
        <v>135</v>
      </c>
      <c r="B137" s="580">
        <v>0</v>
      </c>
      <c r="C137" s="580">
        <v>0</v>
      </c>
      <c r="D137" s="580">
        <v>0</v>
      </c>
      <c r="E137" s="580">
        <v>0</v>
      </c>
      <c r="F137" s="580">
        <v>0</v>
      </c>
      <c r="G137" s="580">
        <v>0</v>
      </c>
      <c r="H137" s="580">
        <v>0</v>
      </c>
      <c r="I137" s="580">
        <v>0</v>
      </c>
      <c r="J137" s="580">
        <v>0</v>
      </c>
      <c r="K137" s="580">
        <v>0</v>
      </c>
      <c r="L137" s="580">
        <v>0</v>
      </c>
      <c r="M137" s="580">
        <v>0</v>
      </c>
      <c r="N137" s="580">
        <v>0</v>
      </c>
      <c r="O137" s="580">
        <v>0</v>
      </c>
      <c r="P137" s="580">
        <v>0</v>
      </c>
      <c r="Q137" s="580">
        <v>0</v>
      </c>
      <c r="R137" s="580">
        <v>0</v>
      </c>
      <c r="S137" s="580">
        <v>0</v>
      </c>
      <c r="T137" s="580">
        <v>0</v>
      </c>
      <c r="U137" s="580">
        <v>0</v>
      </c>
      <c r="V137" s="580">
        <v>0</v>
      </c>
      <c r="W137" s="595">
        <v>0</v>
      </c>
      <c r="X137" s="688">
        <v>0</v>
      </c>
      <c r="Y137" s="688">
        <v>0</v>
      </c>
      <c r="Z137" s="688">
        <v>0</v>
      </c>
      <c r="AA137" s="688">
        <v>0</v>
      </c>
      <c r="AB137" s="688">
        <v>0</v>
      </c>
      <c r="AC137" s="688">
        <v>0</v>
      </c>
      <c r="AD137" s="688">
        <v>0</v>
      </c>
      <c r="AE137" s="977">
        <v>0</v>
      </c>
      <c r="AF137" s="978">
        <v>0</v>
      </c>
      <c r="AG137" s="979">
        <v>0</v>
      </c>
      <c r="AH137" s="688">
        <v>0</v>
      </c>
      <c r="AI137" s="687">
        <v>0</v>
      </c>
      <c r="AJ137" s="685">
        <v>0</v>
      </c>
      <c r="AK137" s="687">
        <v>0</v>
      </c>
      <c r="AL137" s="689">
        <v>0</v>
      </c>
      <c r="AM137" s="685">
        <v>0</v>
      </c>
      <c r="AN137" s="685">
        <v>0</v>
      </c>
      <c r="AO137" s="689">
        <v>0</v>
      </c>
      <c r="AP137" s="690">
        <v>2E-3</v>
      </c>
      <c r="AQ137" s="687">
        <f t="shared" si="24"/>
        <v>7.1428571428571426E-3</v>
      </c>
      <c r="AR137" s="685">
        <v>0</v>
      </c>
      <c r="AS137" s="687">
        <v>0</v>
      </c>
      <c r="AT137" s="691">
        <v>0</v>
      </c>
      <c r="AU137" s="685">
        <v>0</v>
      </c>
      <c r="AV137" s="687">
        <v>0</v>
      </c>
      <c r="AW137" s="692">
        <v>0</v>
      </c>
      <c r="AX137" s="693">
        <v>0</v>
      </c>
      <c r="AY137" s="692">
        <v>0</v>
      </c>
      <c r="AZ137" s="693">
        <v>0</v>
      </c>
      <c r="BA137" s="692">
        <v>0</v>
      </c>
      <c r="BB137" s="693">
        <v>0</v>
      </c>
      <c r="BC137" s="694">
        <v>0</v>
      </c>
      <c r="BD137" s="695">
        <v>0</v>
      </c>
      <c r="BE137" s="692">
        <v>0</v>
      </c>
      <c r="BF137" s="693">
        <v>0</v>
      </c>
      <c r="BG137" s="694">
        <v>0</v>
      </c>
      <c r="BH137" s="693">
        <v>0</v>
      </c>
      <c r="BI137" s="694">
        <v>0</v>
      </c>
      <c r="BJ137" s="693">
        <v>0</v>
      </c>
      <c r="BK137" s="694">
        <v>0</v>
      </c>
      <c r="BL137" s="693">
        <v>0</v>
      </c>
      <c r="BM137" s="694">
        <v>0</v>
      </c>
      <c r="BN137" s="693">
        <v>0</v>
      </c>
      <c r="BO137" s="694">
        <v>0</v>
      </c>
      <c r="BP137" s="693">
        <v>0</v>
      </c>
      <c r="BQ137" s="694">
        <v>0</v>
      </c>
      <c r="BR137" s="693">
        <v>0</v>
      </c>
      <c r="BS137" s="694">
        <v>0</v>
      </c>
      <c r="BT137" s="693">
        <v>0</v>
      </c>
      <c r="BU137" s="694">
        <v>0</v>
      </c>
      <c r="BV137" s="693">
        <v>0</v>
      </c>
      <c r="BW137" s="694">
        <v>0</v>
      </c>
      <c r="BX137" s="693">
        <v>0</v>
      </c>
      <c r="BY137" s="694">
        <v>0</v>
      </c>
      <c r="BZ137" s="693">
        <v>0</v>
      </c>
      <c r="CA137" s="694">
        <v>0</v>
      </c>
      <c r="CB137" s="693">
        <v>0</v>
      </c>
      <c r="CC137" s="692">
        <v>0</v>
      </c>
      <c r="CD137" s="695">
        <v>0</v>
      </c>
      <c r="CE137" s="692">
        <v>0</v>
      </c>
      <c r="CF137" s="695">
        <v>0</v>
      </c>
      <c r="CG137" s="692">
        <v>0</v>
      </c>
      <c r="CH137" s="695">
        <v>0</v>
      </c>
      <c r="CI137" s="692">
        <v>0</v>
      </c>
      <c r="CJ137" s="695">
        <v>0</v>
      </c>
      <c r="CK137" s="692">
        <v>0</v>
      </c>
      <c r="CL137" s="695">
        <v>0</v>
      </c>
      <c r="CM137" s="692">
        <v>0</v>
      </c>
      <c r="CN137" s="695">
        <v>0</v>
      </c>
      <c r="CO137" s="692">
        <v>0</v>
      </c>
      <c r="CP137" s="695">
        <v>0</v>
      </c>
      <c r="CQ137" s="692">
        <v>0</v>
      </c>
      <c r="CR137" s="693">
        <v>0</v>
      </c>
      <c r="CS137" s="692">
        <v>0</v>
      </c>
      <c r="CT137" s="693">
        <v>0</v>
      </c>
      <c r="CU137" s="694">
        <v>0</v>
      </c>
      <c r="CV137" s="693">
        <v>0</v>
      </c>
    </row>
    <row r="138" spans="1:100">
      <c r="A138" s="460">
        <v>136</v>
      </c>
      <c r="B138" s="580">
        <v>0</v>
      </c>
      <c r="C138" s="580">
        <v>0</v>
      </c>
      <c r="D138" s="580">
        <v>0</v>
      </c>
      <c r="E138" s="580">
        <v>0</v>
      </c>
      <c r="F138" s="580">
        <v>0</v>
      </c>
      <c r="G138" s="580">
        <v>0</v>
      </c>
      <c r="H138" s="580">
        <v>0</v>
      </c>
      <c r="I138" s="580">
        <v>0</v>
      </c>
      <c r="J138" s="580">
        <v>0</v>
      </c>
      <c r="K138" s="580">
        <v>0</v>
      </c>
      <c r="L138" s="580">
        <v>0</v>
      </c>
      <c r="M138" s="580">
        <v>0</v>
      </c>
      <c r="N138" s="580">
        <v>0</v>
      </c>
      <c r="O138" s="580">
        <v>0</v>
      </c>
      <c r="P138" s="580">
        <v>0</v>
      </c>
      <c r="Q138" s="580">
        <v>0</v>
      </c>
      <c r="R138" s="580">
        <v>0</v>
      </c>
      <c r="S138" s="580">
        <v>0</v>
      </c>
      <c r="T138" s="580">
        <v>0</v>
      </c>
      <c r="U138" s="580">
        <v>0</v>
      </c>
      <c r="V138" s="580">
        <v>0</v>
      </c>
      <c r="W138" s="595">
        <v>0</v>
      </c>
      <c r="X138" s="688">
        <v>0</v>
      </c>
      <c r="Y138" s="688">
        <v>0</v>
      </c>
      <c r="Z138" s="688">
        <v>0</v>
      </c>
      <c r="AA138" s="688">
        <v>0</v>
      </c>
      <c r="AB138" s="688">
        <v>0</v>
      </c>
      <c r="AC138" s="688">
        <v>0</v>
      </c>
      <c r="AD138" s="688">
        <v>0</v>
      </c>
      <c r="AE138" s="977">
        <v>0</v>
      </c>
      <c r="AF138" s="978">
        <v>0</v>
      </c>
      <c r="AG138" s="979">
        <v>0</v>
      </c>
      <c r="AH138" s="688">
        <v>0</v>
      </c>
      <c r="AI138" s="687">
        <v>0</v>
      </c>
      <c r="AJ138" s="685">
        <v>0</v>
      </c>
      <c r="AK138" s="687">
        <v>0</v>
      </c>
      <c r="AL138" s="689">
        <v>0</v>
      </c>
      <c r="AM138" s="685">
        <v>0</v>
      </c>
      <c r="AN138" s="685">
        <v>0</v>
      </c>
      <c r="AO138" s="689">
        <v>0</v>
      </c>
      <c r="AP138" s="690">
        <v>2E-3</v>
      </c>
      <c r="AQ138" s="687">
        <f t="shared" si="24"/>
        <v>7.1428571428571426E-3</v>
      </c>
      <c r="AR138" s="685">
        <v>0</v>
      </c>
      <c r="AS138" s="687">
        <v>0</v>
      </c>
      <c r="AT138" s="691">
        <v>0</v>
      </c>
      <c r="AU138" s="685">
        <v>0</v>
      </c>
      <c r="AV138" s="687">
        <v>0</v>
      </c>
      <c r="AW138" s="692">
        <v>0</v>
      </c>
      <c r="AX138" s="693">
        <v>0</v>
      </c>
      <c r="AY138" s="692">
        <v>0</v>
      </c>
      <c r="AZ138" s="693">
        <v>0</v>
      </c>
      <c r="BA138" s="692">
        <v>0</v>
      </c>
      <c r="BB138" s="693">
        <v>0</v>
      </c>
      <c r="BC138" s="694">
        <v>0</v>
      </c>
      <c r="BD138" s="695">
        <v>0</v>
      </c>
      <c r="BE138" s="692">
        <v>0</v>
      </c>
      <c r="BF138" s="693">
        <v>0</v>
      </c>
      <c r="BG138" s="694">
        <v>0</v>
      </c>
      <c r="BH138" s="693">
        <v>0</v>
      </c>
      <c r="BI138" s="694">
        <v>0</v>
      </c>
      <c r="BJ138" s="693">
        <v>0</v>
      </c>
      <c r="BK138" s="694">
        <v>0</v>
      </c>
      <c r="BL138" s="693">
        <v>0</v>
      </c>
      <c r="BM138" s="694">
        <v>0</v>
      </c>
      <c r="BN138" s="693">
        <v>0</v>
      </c>
      <c r="BO138" s="694">
        <v>0</v>
      </c>
      <c r="BP138" s="693">
        <v>0</v>
      </c>
      <c r="BQ138" s="694">
        <v>0</v>
      </c>
      <c r="BR138" s="693">
        <v>0</v>
      </c>
      <c r="BS138" s="694">
        <v>0</v>
      </c>
      <c r="BT138" s="693">
        <v>0</v>
      </c>
      <c r="BU138" s="694">
        <v>0</v>
      </c>
      <c r="BV138" s="693">
        <v>0</v>
      </c>
      <c r="BW138" s="694">
        <v>0</v>
      </c>
      <c r="BX138" s="693">
        <v>0</v>
      </c>
      <c r="BY138" s="694">
        <v>0</v>
      </c>
      <c r="BZ138" s="693">
        <v>0</v>
      </c>
      <c r="CA138" s="694">
        <v>0</v>
      </c>
      <c r="CB138" s="693">
        <v>0</v>
      </c>
      <c r="CC138" s="692">
        <v>0</v>
      </c>
      <c r="CD138" s="695">
        <v>0</v>
      </c>
      <c r="CE138" s="692">
        <v>0</v>
      </c>
      <c r="CF138" s="695">
        <v>0</v>
      </c>
      <c r="CG138" s="692">
        <v>0</v>
      </c>
      <c r="CH138" s="695">
        <v>0</v>
      </c>
      <c r="CI138" s="692">
        <v>0</v>
      </c>
      <c r="CJ138" s="695">
        <v>0</v>
      </c>
      <c r="CK138" s="692">
        <v>0</v>
      </c>
      <c r="CL138" s="695">
        <v>0</v>
      </c>
      <c r="CM138" s="692">
        <v>0</v>
      </c>
      <c r="CN138" s="695">
        <v>0</v>
      </c>
      <c r="CO138" s="692">
        <v>0</v>
      </c>
      <c r="CP138" s="695">
        <v>0</v>
      </c>
      <c r="CQ138" s="692">
        <v>0</v>
      </c>
      <c r="CR138" s="693">
        <v>0</v>
      </c>
      <c r="CS138" s="692">
        <v>0</v>
      </c>
      <c r="CT138" s="693">
        <v>0</v>
      </c>
      <c r="CU138" s="694">
        <v>0</v>
      </c>
      <c r="CV138" s="693">
        <v>0</v>
      </c>
    </row>
    <row r="139" spans="1:100">
      <c r="A139" s="460">
        <v>137</v>
      </c>
      <c r="B139" s="580">
        <v>0</v>
      </c>
      <c r="C139" s="580">
        <v>0</v>
      </c>
      <c r="D139" s="580">
        <v>0</v>
      </c>
      <c r="E139" s="580">
        <v>0</v>
      </c>
      <c r="F139" s="580">
        <v>0</v>
      </c>
      <c r="G139" s="580">
        <v>0</v>
      </c>
      <c r="H139" s="580">
        <v>0</v>
      </c>
      <c r="I139" s="580">
        <v>0</v>
      </c>
      <c r="J139" s="580">
        <v>0</v>
      </c>
      <c r="K139" s="580">
        <v>0</v>
      </c>
      <c r="L139" s="580">
        <v>0</v>
      </c>
      <c r="M139" s="580">
        <v>0</v>
      </c>
      <c r="N139" s="580">
        <v>0</v>
      </c>
      <c r="O139" s="580">
        <v>0</v>
      </c>
      <c r="P139" s="580">
        <v>0</v>
      </c>
      <c r="Q139" s="580">
        <v>0</v>
      </c>
      <c r="R139" s="580">
        <v>0</v>
      </c>
      <c r="S139" s="580">
        <v>0</v>
      </c>
      <c r="T139" s="580">
        <v>0</v>
      </c>
      <c r="U139" s="580">
        <v>0</v>
      </c>
      <c r="V139" s="580">
        <v>0</v>
      </c>
      <c r="W139" s="595">
        <v>0</v>
      </c>
      <c r="X139" s="688">
        <v>0</v>
      </c>
      <c r="Y139" s="688">
        <v>0</v>
      </c>
      <c r="Z139" s="688">
        <v>0</v>
      </c>
      <c r="AA139" s="688">
        <v>0</v>
      </c>
      <c r="AB139" s="688">
        <v>0</v>
      </c>
      <c r="AC139" s="688">
        <v>0</v>
      </c>
      <c r="AD139" s="688">
        <v>0</v>
      </c>
      <c r="AE139" s="977">
        <v>0</v>
      </c>
      <c r="AF139" s="978">
        <v>0</v>
      </c>
      <c r="AG139" s="979">
        <v>0</v>
      </c>
      <c r="AH139" s="688">
        <v>0</v>
      </c>
      <c r="AI139" s="687">
        <v>0</v>
      </c>
      <c r="AJ139" s="685">
        <v>0</v>
      </c>
      <c r="AK139" s="687">
        <v>0</v>
      </c>
      <c r="AL139" s="689">
        <v>0</v>
      </c>
      <c r="AM139" s="685">
        <v>0</v>
      </c>
      <c r="AN139" s="685">
        <v>0</v>
      </c>
      <c r="AO139" s="689">
        <v>0</v>
      </c>
      <c r="AP139" s="690">
        <v>2E-3</v>
      </c>
      <c r="AQ139" s="687">
        <f t="shared" si="24"/>
        <v>7.1428571428571426E-3</v>
      </c>
      <c r="AR139" s="685">
        <v>0</v>
      </c>
      <c r="AS139" s="687">
        <v>0</v>
      </c>
      <c r="AT139" s="691">
        <v>0</v>
      </c>
      <c r="AU139" s="685">
        <v>0</v>
      </c>
      <c r="AV139" s="687">
        <v>0</v>
      </c>
      <c r="AW139" s="692">
        <v>0</v>
      </c>
      <c r="AX139" s="693">
        <v>0</v>
      </c>
      <c r="AY139" s="692">
        <v>0</v>
      </c>
      <c r="AZ139" s="693">
        <v>0</v>
      </c>
      <c r="BA139" s="692">
        <v>0</v>
      </c>
      <c r="BB139" s="693">
        <v>0</v>
      </c>
      <c r="BC139" s="694">
        <v>0</v>
      </c>
      <c r="BD139" s="695">
        <v>0</v>
      </c>
      <c r="BE139" s="692">
        <v>0</v>
      </c>
      <c r="BF139" s="693">
        <v>0</v>
      </c>
      <c r="BG139" s="694">
        <v>0</v>
      </c>
      <c r="BH139" s="693">
        <v>0</v>
      </c>
      <c r="BI139" s="694">
        <v>0</v>
      </c>
      <c r="BJ139" s="693">
        <v>0</v>
      </c>
      <c r="BK139" s="694">
        <v>0</v>
      </c>
      <c r="BL139" s="693">
        <v>0</v>
      </c>
      <c r="BM139" s="694">
        <v>0</v>
      </c>
      <c r="BN139" s="693">
        <v>0</v>
      </c>
      <c r="BO139" s="694">
        <v>0</v>
      </c>
      <c r="BP139" s="693">
        <v>0</v>
      </c>
      <c r="BQ139" s="694">
        <v>0</v>
      </c>
      <c r="BR139" s="693">
        <v>0</v>
      </c>
      <c r="BS139" s="694">
        <v>0</v>
      </c>
      <c r="BT139" s="693">
        <v>0</v>
      </c>
      <c r="BU139" s="694">
        <v>0</v>
      </c>
      <c r="BV139" s="693">
        <v>0</v>
      </c>
      <c r="BW139" s="694">
        <v>0</v>
      </c>
      <c r="BX139" s="693">
        <v>0</v>
      </c>
      <c r="BY139" s="694">
        <v>0</v>
      </c>
      <c r="BZ139" s="693">
        <v>0</v>
      </c>
      <c r="CA139" s="694">
        <v>0</v>
      </c>
      <c r="CB139" s="693">
        <v>0</v>
      </c>
      <c r="CC139" s="692">
        <v>0</v>
      </c>
      <c r="CD139" s="695">
        <v>0</v>
      </c>
      <c r="CE139" s="692">
        <v>0</v>
      </c>
      <c r="CF139" s="695">
        <v>0</v>
      </c>
      <c r="CG139" s="692">
        <v>0</v>
      </c>
      <c r="CH139" s="695">
        <v>0</v>
      </c>
      <c r="CI139" s="692">
        <v>0</v>
      </c>
      <c r="CJ139" s="695">
        <v>0</v>
      </c>
      <c r="CK139" s="692">
        <v>0</v>
      </c>
      <c r="CL139" s="695">
        <v>0</v>
      </c>
      <c r="CM139" s="692">
        <v>0</v>
      </c>
      <c r="CN139" s="695">
        <v>0</v>
      </c>
      <c r="CO139" s="692">
        <v>0</v>
      </c>
      <c r="CP139" s="695">
        <v>0</v>
      </c>
      <c r="CQ139" s="692">
        <v>0</v>
      </c>
      <c r="CR139" s="693">
        <v>0</v>
      </c>
      <c r="CS139" s="692">
        <v>0</v>
      </c>
      <c r="CT139" s="693">
        <v>0</v>
      </c>
      <c r="CU139" s="694">
        <v>0</v>
      </c>
      <c r="CV139" s="693">
        <v>0</v>
      </c>
    </row>
    <row r="140" spans="1:100">
      <c r="A140" s="460">
        <v>138</v>
      </c>
      <c r="B140" s="580">
        <v>0</v>
      </c>
      <c r="C140" s="580">
        <v>0</v>
      </c>
      <c r="D140" s="580">
        <v>0</v>
      </c>
      <c r="E140" s="580">
        <v>0</v>
      </c>
      <c r="F140" s="580">
        <v>0</v>
      </c>
      <c r="G140" s="580">
        <v>0</v>
      </c>
      <c r="H140" s="580">
        <v>0</v>
      </c>
      <c r="I140" s="580">
        <v>0</v>
      </c>
      <c r="J140" s="580">
        <v>0</v>
      </c>
      <c r="K140" s="580">
        <v>0</v>
      </c>
      <c r="L140" s="580">
        <v>0</v>
      </c>
      <c r="M140" s="580">
        <v>0</v>
      </c>
      <c r="N140" s="580">
        <v>0</v>
      </c>
      <c r="O140" s="580">
        <v>0</v>
      </c>
      <c r="P140" s="580">
        <v>0</v>
      </c>
      <c r="Q140" s="580">
        <v>0</v>
      </c>
      <c r="R140" s="580">
        <v>0</v>
      </c>
      <c r="S140" s="580">
        <v>0</v>
      </c>
      <c r="T140" s="580">
        <v>0</v>
      </c>
      <c r="U140" s="580">
        <v>0</v>
      </c>
      <c r="V140" s="580">
        <v>0</v>
      </c>
      <c r="W140" s="595">
        <v>0</v>
      </c>
      <c r="X140" s="688">
        <v>0</v>
      </c>
      <c r="Y140" s="688">
        <v>0</v>
      </c>
      <c r="Z140" s="688">
        <v>0</v>
      </c>
      <c r="AA140" s="688">
        <v>0</v>
      </c>
      <c r="AB140" s="688">
        <v>0</v>
      </c>
      <c r="AC140" s="688">
        <v>0</v>
      </c>
      <c r="AD140" s="688">
        <v>0</v>
      </c>
      <c r="AE140" s="977">
        <v>0</v>
      </c>
      <c r="AF140" s="978">
        <v>0</v>
      </c>
      <c r="AG140" s="979">
        <v>0</v>
      </c>
      <c r="AH140" s="688">
        <v>0</v>
      </c>
      <c r="AI140" s="687">
        <v>0</v>
      </c>
      <c r="AJ140" s="685">
        <v>0</v>
      </c>
      <c r="AK140" s="687">
        <v>0</v>
      </c>
      <c r="AL140" s="689">
        <v>0</v>
      </c>
      <c r="AM140" s="685">
        <v>0</v>
      </c>
      <c r="AN140" s="685">
        <v>0</v>
      </c>
      <c r="AO140" s="689">
        <v>0</v>
      </c>
      <c r="AP140" s="690">
        <v>2E-3</v>
      </c>
      <c r="AQ140" s="687">
        <f t="shared" si="24"/>
        <v>7.1428571428571426E-3</v>
      </c>
      <c r="AR140" s="685">
        <v>0</v>
      </c>
      <c r="AS140" s="687">
        <v>0</v>
      </c>
      <c r="AT140" s="691">
        <v>0</v>
      </c>
      <c r="AU140" s="685">
        <v>0</v>
      </c>
      <c r="AV140" s="687">
        <v>0</v>
      </c>
      <c r="AW140" s="692">
        <v>0</v>
      </c>
      <c r="AX140" s="693">
        <v>0</v>
      </c>
      <c r="AY140" s="692">
        <v>0</v>
      </c>
      <c r="AZ140" s="693">
        <v>0</v>
      </c>
      <c r="BA140" s="692">
        <v>0</v>
      </c>
      <c r="BB140" s="693">
        <v>0</v>
      </c>
      <c r="BC140" s="694">
        <v>0</v>
      </c>
      <c r="BD140" s="695">
        <v>0</v>
      </c>
      <c r="BE140" s="692">
        <v>0</v>
      </c>
      <c r="BF140" s="693">
        <v>0</v>
      </c>
      <c r="BG140" s="694">
        <v>0</v>
      </c>
      <c r="BH140" s="693">
        <v>0</v>
      </c>
      <c r="BI140" s="694">
        <v>0</v>
      </c>
      <c r="BJ140" s="693">
        <v>0</v>
      </c>
      <c r="BK140" s="694">
        <v>0</v>
      </c>
      <c r="BL140" s="693">
        <v>0</v>
      </c>
      <c r="BM140" s="694">
        <v>0</v>
      </c>
      <c r="BN140" s="693">
        <v>0</v>
      </c>
      <c r="BO140" s="694">
        <v>0</v>
      </c>
      <c r="BP140" s="693">
        <v>0</v>
      </c>
      <c r="BQ140" s="694">
        <v>0</v>
      </c>
      <c r="BR140" s="693">
        <v>0</v>
      </c>
      <c r="BS140" s="694">
        <v>0</v>
      </c>
      <c r="BT140" s="693">
        <v>0</v>
      </c>
      <c r="BU140" s="694">
        <v>0</v>
      </c>
      <c r="BV140" s="693">
        <v>0</v>
      </c>
      <c r="BW140" s="694">
        <v>0</v>
      </c>
      <c r="BX140" s="693">
        <v>0</v>
      </c>
      <c r="BY140" s="694">
        <v>0</v>
      </c>
      <c r="BZ140" s="693">
        <v>0</v>
      </c>
      <c r="CA140" s="694">
        <v>0</v>
      </c>
      <c r="CB140" s="693">
        <v>0</v>
      </c>
      <c r="CC140" s="692">
        <v>0</v>
      </c>
      <c r="CD140" s="695">
        <v>0</v>
      </c>
      <c r="CE140" s="692">
        <v>0</v>
      </c>
      <c r="CF140" s="695">
        <v>0</v>
      </c>
      <c r="CG140" s="692">
        <v>0</v>
      </c>
      <c r="CH140" s="695">
        <v>0</v>
      </c>
      <c r="CI140" s="692">
        <v>0</v>
      </c>
      <c r="CJ140" s="695">
        <v>0</v>
      </c>
      <c r="CK140" s="692">
        <v>0</v>
      </c>
      <c r="CL140" s="695">
        <v>0</v>
      </c>
      <c r="CM140" s="692">
        <v>0</v>
      </c>
      <c r="CN140" s="695">
        <v>0</v>
      </c>
      <c r="CO140" s="692">
        <v>0</v>
      </c>
      <c r="CP140" s="695">
        <v>0</v>
      </c>
      <c r="CQ140" s="692">
        <v>0</v>
      </c>
      <c r="CR140" s="693">
        <v>0</v>
      </c>
      <c r="CS140" s="692">
        <v>0</v>
      </c>
      <c r="CT140" s="693">
        <v>0</v>
      </c>
      <c r="CU140" s="694">
        <v>0</v>
      </c>
      <c r="CV140" s="693">
        <v>0</v>
      </c>
    </row>
    <row r="141" spans="1:100">
      <c r="A141" s="460">
        <v>139</v>
      </c>
      <c r="B141" s="580">
        <v>0</v>
      </c>
      <c r="C141" s="580">
        <v>0</v>
      </c>
      <c r="D141" s="580">
        <v>0</v>
      </c>
      <c r="E141" s="580">
        <v>0</v>
      </c>
      <c r="F141" s="580">
        <v>0</v>
      </c>
      <c r="G141" s="580">
        <v>0</v>
      </c>
      <c r="H141" s="580">
        <v>0</v>
      </c>
      <c r="I141" s="580">
        <v>0</v>
      </c>
      <c r="J141" s="580">
        <v>0</v>
      </c>
      <c r="K141" s="580">
        <v>0</v>
      </c>
      <c r="L141" s="580">
        <v>0</v>
      </c>
      <c r="M141" s="580">
        <v>0</v>
      </c>
      <c r="N141" s="580">
        <v>0</v>
      </c>
      <c r="O141" s="580">
        <v>0</v>
      </c>
      <c r="P141" s="580">
        <v>0</v>
      </c>
      <c r="Q141" s="580">
        <v>0</v>
      </c>
      <c r="R141" s="580">
        <v>0</v>
      </c>
      <c r="S141" s="580">
        <v>0</v>
      </c>
      <c r="T141" s="580">
        <v>0</v>
      </c>
      <c r="U141" s="580">
        <v>0</v>
      </c>
      <c r="V141" s="580">
        <v>0</v>
      </c>
      <c r="W141" s="595">
        <v>0</v>
      </c>
      <c r="X141" s="688">
        <v>0</v>
      </c>
      <c r="Y141" s="688">
        <v>0</v>
      </c>
      <c r="Z141" s="688">
        <v>0</v>
      </c>
      <c r="AA141" s="688">
        <v>0</v>
      </c>
      <c r="AB141" s="688">
        <v>0</v>
      </c>
      <c r="AC141" s="688">
        <v>0</v>
      </c>
      <c r="AD141" s="688">
        <v>0</v>
      </c>
      <c r="AE141" s="977">
        <v>0</v>
      </c>
      <c r="AF141" s="978">
        <v>0</v>
      </c>
      <c r="AG141" s="979">
        <v>0</v>
      </c>
      <c r="AH141" s="688">
        <v>0</v>
      </c>
      <c r="AI141" s="687">
        <v>0</v>
      </c>
      <c r="AJ141" s="685">
        <v>0</v>
      </c>
      <c r="AK141" s="687">
        <v>0</v>
      </c>
      <c r="AL141" s="689">
        <v>0</v>
      </c>
      <c r="AM141" s="685">
        <v>0</v>
      </c>
      <c r="AN141" s="685">
        <v>0</v>
      </c>
      <c r="AO141" s="689">
        <v>0</v>
      </c>
      <c r="AP141" s="690">
        <v>2E-3</v>
      </c>
      <c r="AQ141" s="687">
        <f t="shared" si="24"/>
        <v>7.1428571428571426E-3</v>
      </c>
      <c r="AR141" s="685">
        <v>0</v>
      </c>
      <c r="AS141" s="687">
        <v>0</v>
      </c>
      <c r="AT141" s="691">
        <v>0</v>
      </c>
      <c r="AU141" s="685">
        <v>0</v>
      </c>
      <c r="AV141" s="687">
        <v>0</v>
      </c>
      <c r="AW141" s="692">
        <v>0</v>
      </c>
      <c r="AX141" s="693">
        <v>0</v>
      </c>
      <c r="AY141" s="692">
        <v>0</v>
      </c>
      <c r="AZ141" s="693">
        <v>0</v>
      </c>
      <c r="BA141" s="692">
        <v>0</v>
      </c>
      <c r="BB141" s="693">
        <v>0</v>
      </c>
      <c r="BC141" s="694">
        <v>0</v>
      </c>
      <c r="BD141" s="695">
        <v>0</v>
      </c>
      <c r="BE141" s="692">
        <v>0</v>
      </c>
      <c r="BF141" s="693">
        <v>0</v>
      </c>
      <c r="BG141" s="694">
        <v>0</v>
      </c>
      <c r="BH141" s="693">
        <v>0</v>
      </c>
      <c r="BI141" s="694">
        <v>0</v>
      </c>
      <c r="BJ141" s="693">
        <v>0</v>
      </c>
      <c r="BK141" s="694">
        <v>0</v>
      </c>
      <c r="BL141" s="693">
        <v>0</v>
      </c>
      <c r="BM141" s="694">
        <v>0</v>
      </c>
      <c r="BN141" s="693">
        <v>0</v>
      </c>
      <c r="BO141" s="694">
        <v>0</v>
      </c>
      <c r="BP141" s="693">
        <v>0</v>
      </c>
      <c r="BQ141" s="694">
        <v>0</v>
      </c>
      <c r="BR141" s="693">
        <v>0</v>
      </c>
      <c r="BS141" s="694">
        <v>0</v>
      </c>
      <c r="BT141" s="693">
        <v>0</v>
      </c>
      <c r="BU141" s="694">
        <v>0</v>
      </c>
      <c r="BV141" s="693">
        <v>0</v>
      </c>
      <c r="BW141" s="694">
        <v>0</v>
      </c>
      <c r="BX141" s="693">
        <v>0</v>
      </c>
      <c r="BY141" s="694">
        <v>0</v>
      </c>
      <c r="BZ141" s="693">
        <v>0</v>
      </c>
      <c r="CA141" s="694">
        <v>0</v>
      </c>
      <c r="CB141" s="693">
        <v>0</v>
      </c>
      <c r="CC141" s="692">
        <v>0</v>
      </c>
      <c r="CD141" s="695">
        <v>0</v>
      </c>
      <c r="CE141" s="692">
        <v>0</v>
      </c>
      <c r="CF141" s="695">
        <v>0</v>
      </c>
      <c r="CG141" s="692">
        <v>0</v>
      </c>
      <c r="CH141" s="695">
        <v>0</v>
      </c>
      <c r="CI141" s="692">
        <v>0</v>
      </c>
      <c r="CJ141" s="695">
        <v>0</v>
      </c>
      <c r="CK141" s="692">
        <v>0</v>
      </c>
      <c r="CL141" s="695">
        <v>0</v>
      </c>
      <c r="CM141" s="692">
        <v>0</v>
      </c>
      <c r="CN141" s="695">
        <v>0</v>
      </c>
      <c r="CO141" s="692">
        <v>0</v>
      </c>
      <c r="CP141" s="695">
        <v>0</v>
      </c>
      <c r="CQ141" s="692">
        <v>0</v>
      </c>
      <c r="CR141" s="693">
        <v>0</v>
      </c>
      <c r="CS141" s="692">
        <v>0</v>
      </c>
      <c r="CT141" s="693">
        <v>0</v>
      </c>
      <c r="CU141" s="694">
        <v>0</v>
      </c>
      <c r="CV141" s="693">
        <v>0</v>
      </c>
    </row>
    <row r="142" spans="1:100">
      <c r="A142" s="460">
        <v>140</v>
      </c>
      <c r="B142" s="580">
        <v>0</v>
      </c>
      <c r="C142" s="580">
        <v>0</v>
      </c>
      <c r="D142" s="580">
        <v>0</v>
      </c>
      <c r="E142" s="580">
        <v>0</v>
      </c>
      <c r="F142" s="580">
        <v>0</v>
      </c>
      <c r="G142" s="580">
        <v>0</v>
      </c>
      <c r="H142" s="580">
        <v>0</v>
      </c>
      <c r="I142" s="580">
        <v>0</v>
      </c>
      <c r="J142" s="580">
        <v>0</v>
      </c>
      <c r="K142" s="580">
        <v>0</v>
      </c>
      <c r="L142" s="580">
        <v>0</v>
      </c>
      <c r="M142" s="580">
        <v>0</v>
      </c>
      <c r="N142" s="580">
        <v>0</v>
      </c>
      <c r="O142" s="580">
        <v>0</v>
      </c>
      <c r="P142" s="580">
        <v>0</v>
      </c>
      <c r="Q142" s="580">
        <v>0</v>
      </c>
      <c r="R142" s="580">
        <v>0</v>
      </c>
      <c r="S142" s="580">
        <v>0</v>
      </c>
      <c r="T142" s="580">
        <v>0</v>
      </c>
      <c r="U142" s="580">
        <v>0</v>
      </c>
      <c r="V142" s="580">
        <v>0</v>
      </c>
      <c r="W142" s="595">
        <v>0</v>
      </c>
      <c r="X142" s="688">
        <v>0</v>
      </c>
      <c r="Y142" s="688">
        <v>0</v>
      </c>
      <c r="Z142" s="688">
        <v>0</v>
      </c>
      <c r="AA142" s="688">
        <v>0</v>
      </c>
      <c r="AB142" s="688">
        <v>0</v>
      </c>
      <c r="AC142" s="688">
        <v>0</v>
      </c>
      <c r="AD142" s="688">
        <v>0</v>
      </c>
      <c r="AE142" s="977">
        <v>0</v>
      </c>
      <c r="AF142" s="978">
        <v>0</v>
      </c>
      <c r="AG142" s="979">
        <v>0</v>
      </c>
      <c r="AH142" s="688">
        <v>0</v>
      </c>
      <c r="AI142" s="687">
        <v>0</v>
      </c>
      <c r="AJ142" s="685">
        <v>0</v>
      </c>
      <c r="AK142" s="687">
        <v>0</v>
      </c>
      <c r="AL142" s="689">
        <v>0</v>
      </c>
      <c r="AM142" s="685">
        <v>0</v>
      </c>
      <c r="AN142" s="685">
        <v>0</v>
      </c>
      <c r="AO142" s="689">
        <v>0</v>
      </c>
      <c r="AP142" s="690">
        <v>0</v>
      </c>
      <c r="AQ142" s="687">
        <v>0</v>
      </c>
      <c r="AR142" s="685">
        <v>0</v>
      </c>
      <c r="AS142" s="687">
        <v>0</v>
      </c>
      <c r="AT142" s="691">
        <v>0</v>
      </c>
      <c r="AU142" s="685">
        <v>0</v>
      </c>
      <c r="AV142" s="687">
        <v>0</v>
      </c>
      <c r="AW142" s="692">
        <v>0</v>
      </c>
      <c r="AX142" s="693">
        <v>0</v>
      </c>
      <c r="AY142" s="692">
        <v>0</v>
      </c>
      <c r="AZ142" s="693">
        <v>0</v>
      </c>
      <c r="BA142" s="692">
        <v>0</v>
      </c>
      <c r="BB142" s="693">
        <v>0</v>
      </c>
      <c r="BC142" s="694">
        <v>0</v>
      </c>
      <c r="BD142" s="695">
        <v>0</v>
      </c>
      <c r="BE142" s="692">
        <v>0</v>
      </c>
      <c r="BF142" s="693">
        <v>0</v>
      </c>
      <c r="BG142" s="694">
        <v>0</v>
      </c>
      <c r="BH142" s="693">
        <v>0</v>
      </c>
      <c r="BI142" s="694">
        <v>0</v>
      </c>
      <c r="BJ142" s="693">
        <v>0</v>
      </c>
      <c r="BK142" s="694">
        <v>0</v>
      </c>
      <c r="BL142" s="693">
        <v>0</v>
      </c>
      <c r="BM142" s="694">
        <v>0</v>
      </c>
      <c r="BN142" s="693">
        <v>0</v>
      </c>
      <c r="BO142" s="694">
        <v>0</v>
      </c>
      <c r="BP142" s="693">
        <v>0</v>
      </c>
      <c r="BQ142" s="694">
        <v>0</v>
      </c>
      <c r="BR142" s="693">
        <v>0</v>
      </c>
      <c r="BS142" s="694">
        <v>0</v>
      </c>
      <c r="BT142" s="693">
        <v>0</v>
      </c>
      <c r="BU142" s="694">
        <v>0</v>
      </c>
      <c r="BV142" s="693">
        <v>0</v>
      </c>
      <c r="BW142" s="694">
        <v>0</v>
      </c>
      <c r="BX142" s="693">
        <v>0</v>
      </c>
      <c r="BY142" s="694">
        <v>0</v>
      </c>
      <c r="BZ142" s="693">
        <v>0</v>
      </c>
      <c r="CA142" s="694">
        <v>0</v>
      </c>
      <c r="CB142" s="693">
        <v>0</v>
      </c>
      <c r="CC142" s="692">
        <v>0</v>
      </c>
      <c r="CD142" s="695">
        <v>0</v>
      </c>
      <c r="CE142" s="692">
        <v>0</v>
      </c>
      <c r="CF142" s="695">
        <v>0</v>
      </c>
      <c r="CG142" s="692">
        <v>0</v>
      </c>
      <c r="CH142" s="695">
        <v>0</v>
      </c>
      <c r="CI142" s="692">
        <v>0</v>
      </c>
      <c r="CJ142" s="695">
        <v>0</v>
      </c>
      <c r="CK142" s="692">
        <v>0</v>
      </c>
      <c r="CL142" s="695">
        <v>0</v>
      </c>
      <c r="CM142" s="692">
        <v>0</v>
      </c>
      <c r="CN142" s="695">
        <v>0</v>
      </c>
      <c r="CO142" s="692">
        <v>0</v>
      </c>
      <c r="CP142" s="695">
        <v>0</v>
      </c>
      <c r="CQ142" s="692">
        <v>0</v>
      </c>
      <c r="CR142" s="693">
        <v>0</v>
      </c>
      <c r="CS142" s="692">
        <v>0</v>
      </c>
      <c r="CT142" s="693">
        <v>0</v>
      </c>
      <c r="CU142" s="694">
        <v>0</v>
      </c>
      <c r="CV142" s="693">
        <v>0</v>
      </c>
    </row>
    <row r="143" spans="1:100">
      <c r="A143" s="460">
        <v>141</v>
      </c>
      <c r="B143" s="580">
        <v>0</v>
      </c>
      <c r="C143" s="580">
        <v>0</v>
      </c>
      <c r="D143" s="580">
        <v>0</v>
      </c>
      <c r="E143" s="580">
        <v>0</v>
      </c>
      <c r="F143" s="580">
        <v>0</v>
      </c>
      <c r="G143" s="580">
        <v>0</v>
      </c>
      <c r="H143" s="580">
        <v>0</v>
      </c>
      <c r="I143" s="580">
        <v>0</v>
      </c>
      <c r="J143" s="580">
        <v>0</v>
      </c>
      <c r="K143" s="580">
        <v>0</v>
      </c>
      <c r="L143" s="580">
        <v>0</v>
      </c>
      <c r="M143" s="580">
        <v>0</v>
      </c>
      <c r="N143" s="580">
        <v>0</v>
      </c>
      <c r="O143" s="580">
        <v>0</v>
      </c>
      <c r="P143" s="580">
        <v>0</v>
      </c>
      <c r="Q143" s="580">
        <v>0</v>
      </c>
      <c r="R143" s="580">
        <v>0</v>
      </c>
      <c r="S143" s="580">
        <v>0</v>
      </c>
      <c r="T143" s="580">
        <v>0</v>
      </c>
      <c r="U143" s="580">
        <v>0</v>
      </c>
      <c r="V143" s="580">
        <v>0</v>
      </c>
      <c r="W143" s="595">
        <v>0</v>
      </c>
      <c r="X143" s="688">
        <v>0</v>
      </c>
      <c r="Y143" s="688">
        <v>0</v>
      </c>
      <c r="Z143" s="688">
        <v>0</v>
      </c>
      <c r="AA143" s="688">
        <v>0</v>
      </c>
      <c r="AB143" s="688">
        <v>0</v>
      </c>
      <c r="AC143" s="688">
        <v>0</v>
      </c>
      <c r="AD143" s="688">
        <v>0</v>
      </c>
      <c r="AE143" s="977">
        <v>0</v>
      </c>
      <c r="AF143" s="978">
        <v>0</v>
      </c>
      <c r="AG143" s="979">
        <v>0</v>
      </c>
      <c r="AH143" s="688">
        <v>0</v>
      </c>
      <c r="AI143" s="687">
        <v>0</v>
      </c>
      <c r="AJ143" s="685">
        <v>0</v>
      </c>
      <c r="AK143" s="687">
        <v>0</v>
      </c>
      <c r="AL143" s="689">
        <v>0</v>
      </c>
      <c r="AM143" s="685">
        <v>0</v>
      </c>
      <c r="AN143" s="685">
        <v>0</v>
      </c>
      <c r="AO143" s="689">
        <v>0</v>
      </c>
      <c r="AP143" s="690">
        <v>0</v>
      </c>
      <c r="AQ143" s="687">
        <v>0</v>
      </c>
      <c r="AR143" s="685">
        <v>0</v>
      </c>
      <c r="AS143" s="687">
        <v>0</v>
      </c>
      <c r="AT143" s="691">
        <v>0</v>
      </c>
      <c r="AU143" s="685">
        <v>0</v>
      </c>
      <c r="AV143" s="687">
        <v>0</v>
      </c>
      <c r="AW143" s="692">
        <v>0</v>
      </c>
      <c r="AX143" s="693">
        <v>0</v>
      </c>
      <c r="AY143" s="692">
        <v>0</v>
      </c>
      <c r="AZ143" s="693">
        <v>0</v>
      </c>
      <c r="BA143" s="692">
        <v>0</v>
      </c>
      <c r="BB143" s="693">
        <v>0</v>
      </c>
      <c r="BC143" s="694">
        <v>0</v>
      </c>
      <c r="BD143" s="695">
        <v>0</v>
      </c>
      <c r="BE143" s="692">
        <v>0</v>
      </c>
      <c r="BF143" s="693">
        <v>0</v>
      </c>
      <c r="BG143" s="694">
        <v>0</v>
      </c>
      <c r="BH143" s="693">
        <v>0</v>
      </c>
      <c r="BI143" s="694">
        <v>0</v>
      </c>
      <c r="BJ143" s="693">
        <v>0</v>
      </c>
      <c r="BK143" s="694">
        <v>0</v>
      </c>
      <c r="BL143" s="693">
        <v>0</v>
      </c>
      <c r="BM143" s="694">
        <v>0</v>
      </c>
      <c r="BN143" s="693">
        <v>0</v>
      </c>
      <c r="BO143" s="694">
        <v>0</v>
      </c>
      <c r="BP143" s="693">
        <v>0</v>
      </c>
      <c r="BQ143" s="694">
        <v>0</v>
      </c>
      <c r="BR143" s="693">
        <v>0</v>
      </c>
      <c r="BS143" s="694">
        <v>0</v>
      </c>
      <c r="BT143" s="693">
        <v>0</v>
      </c>
      <c r="BU143" s="694">
        <v>0</v>
      </c>
      <c r="BV143" s="693">
        <v>0</v>
      </c>
      <c r="BW143" s="694">
        <v>0</v>
      </c>
      <c r="BX143" s="693">
        <v>0</v>
      </c>
      <c r="BY143" s="694">
        <v>0</v>
      </c>
      <c r="BZ143" s="693">
        <v>0</v>
      </c>
      <c r="CA143" s="694">
        <v>0</v>
      </c>
      <c r="CB143" s="693">
        <v>0</v>
      </c>
      <c r="CC143" s="692">
        <v>0</v>
      </c>
      <c r="CD143" s="695">
        <v>0</v>
      </c>
      <c r="CE143" s="692">
        <v>0</v>
      </c>
      <c r="CF143" s="695">
        <v>0</v>
      </c>
      <c r="CG143" s="692">
        <v>0</v>
      </c>
      <c r="CH143" s="695">
        <v>0</v>
      </c>
      <c r="CI143" s="692">
        <v>0</v>
      </c>
      <c r="CJ143" s="695">
        <v>0</v>
      </c>
      <c r="CK143" s="692">
        <v>0</v>
      </c>
      <c r="CL143" s="695">
        <v>0</v>
      </c>
      <c r="CM143" s="692">
        <v>0</v>
      </c>
      <c r="CN143" s="695">
        <v>0</v>
      </c>
      <c r="CO143" s="692">
        <v>0</v>
      </c>
      <c r="CP143" s="695">
        <v>0</v>
      </c>
      <c r="CQ143" s="692">
        <v>0</v>
      </c>
      <c r="CR143" s="693">
        <v>0</v>
      </c>
      <c r="CS143" s="692">
        <v>0</v>
      </c>
      <c r="CT143" s="693">
        <v>0</v>
      </c>
      <c r="CU143" s="694">
        <v>0</v>
      </c>
      <c r="CV143" s="693">
        <v>0</v>
      </c>
    </row>
    <row r="144" spans="1:100">
      <c r="A144" s="460">
        <v>142</v>
      </c>
      <c r="B144" s="580">
        <v>0</v>
      </c>
      <c r="C144" s="580">
        <v>0</v>
      </c>
      <c r="D144" s="580">
        <v>0</v>
      </c>
      <c r="E144" s="580">
        <v>0</v>
      </c>
      <c r="F144" s="580">
        <v>0</v>
      </c>
      <c r="G144" s="580">
        <v>0</v>
      </c>
      <c r="H144" s="580">
        <v>0</v>
      </c>
      <c r="I144" s="580">
        <v>0</v>
      </c>
      <c r="J144" s="580">
        <v>0</v>
      </c>
      <c r="K144" s="580">
        <v>0</v>
      </c>
      <c r="L144" s="580">
        <v>0</v>
      </c>
      <c r="M144" s="580">
        <v>0</v>
      </c>
      <c r="N144" s="580">
        <v>0</v>
      </c>
      <c r="O144" s="580">
        <v>0</v>
      </c>
      <c r="P144" s="580">
        <v>0</v>
      </c>
      <c r="Q144" s="580">
        <v>0</v>
      </c>
      <c r="R144" s="580">
        <v>0</v>
      </c>
      <c r="S144" s="580">
        <v>0</v>
      </c>
      <c r="T144" s="580">
        <v>0</v>
      </c>
      <c r="U144" s="580">
        <v>0</v>
      </c>
      <c r="V144" s="580">
        <v>0</v>
      </c>
      <c r="W144" s="595">
        <v>0</v>
      </c>
      <c r="X144" s="688">
        <v>0</v>
      </c>
      <c r="Y144" s="688">
        <v>0</v>
      </c>
      <c r="Z144" s="688">
        <v>0</v>
      </c>
      <c r="AA144" s="688">
        <v>0</v>
      </c>
      <c r="AB144" s="688">
        <v>0</v>
      </c>
      <c r="AC144" s="688">
        <v>0</v>
      </c>
      <c r="AD144" s="688">
        <v>0</v>
      </c>
      <c r="AE144" s="977">
        <v>0</v>
      </c>
      <c r="AF144" s="978">
        <v>0</v>
      </c>
      <c r="AG144" s="979">
        <v>0</v>
      </c>
      <c r="AH144" s="688">
        <v>0</v>
      </c>
      <c r="AI144" s="687">
        <v>0</v>
      </c>
      <c r="AJ144" s="685">
        <v>0</v>
      </c>
      <c r="AK144" s="687">
        <v>0</v>
      </c>
      <c r="AL144" s="689">
        <v>0</v>
      </c>
      <c r="AM144" s="685">
        <v>0</v>
      </c>
      <c r="AN144" s="685">
        <v>0</v>
      </c>
      <c r="AO144" s="689">
        <v>0</v>
      </c>
      <c r="AP144" s="690">
        <v>0</v>
      </c>
      <c r="AQ144" s="687">
        <v>0</v>
      </c>
      <c r="AR144" s="685">
        <v>0</v>
      </c>
      <c r="AS144" s="687">
        <v>0</v>
      </c>
      <c r="AT144" s="691">
        <v>0</v>
      </c>
      <c r="AU144" s="685">
        <v>0</v>
      </c>
      <c r="AV144" s="687">
        <v>0</v>
      </c>
      <c r="AW144" s="692">
        <v>0</v>
      </c>
      <c r="AX144" s="693">
        <v>0</v>
      </c>
      <c r="AY144" s="692">
        <v>0</v>
      </c>
      <c r="AZ144" s="693">
        <v>0</v>
      </c>
      <c r="BA144" s="692">
        <v>0</v>
      </c>
      <c r="BB144" s="693">
        <v>0</v>
      </c>
      <c r="BC144" s="694">
        <v>0</v>
      </c>
      <c r="BD144" s="695">
        <v>0</v>
      </c>
      <c r="BE144" s="692">
        <v>0</v>
      </c>
      <c r="BF144" s="693">
        <v>0</v>
      </c>
      <c r="BG144" s="694">
        <v>0</v>
      </c>
      <c r="BH144" s="693">
        <v>0</v>
      </c>
      <c r="BI144" s="694">
        <v>0</v>
      </c>
      <c r="BJ144" s="693">
        <v>0</v>
      </c>
      <c r="BK144" s="694">
        <v>0</v>
      </c>
      <c r="BL144" s="693">
        <v>0</v>
      </c>
      <c r="BM144" s="694">
        <v>0</v>
      </c>
      <c r="BN144" s="693">
        <v>0</v>
      </c>
      <c r="BO144" s="694">
        <v>0</v>
      </c>
      <c r="BP144" s="693">
        <v>0</v>
      </c>
      <c r="BQ144" s="694">
        <v>0</v>
      </c>
      <c r="BR144" s="693">
        <v>0</v>
      </c>
      <c r="BS144" s="694">
        <v>0</v>
      </c>
      <c r="BT144" s="693">
        <v>0</v>
      </c>
      <c r="BU144" s="694">
        <v>0</v>
      </c>
      <c r="BV144" s="693">
        <v>0</v>
      </c>
      <c r="BW144" s="694">
        <v>0</v>
      </c>
      <c r="BX144" s="693">
        <v>0</v>
      </c>
      <c r="BY144" s="694">
        <v>0</v>
      </c>
      <c r="BZ144" s="693">
        <v>0</v>
      </c>
      <c r="CA144" s="694">
        <v>0</v>
      </c>
      <c r="CB144" s="693">
        <v>0</v>
      </c>
      <c r="CC144" s="692">
        <v>0</v>
      </c>
      <c r="CD144" s="695">
        <v>0</v>
      </c>
      <c r="CE144" s="692">
        <v>0</v>
      </c>
      <c r="CF144" s="695">
        <v>0</v>
      </c>
      <c r="CG144" s="692">
        <v>0</v>
      </c>
      <c r="CH144" s="695">
        <v>0</v>
      </c>
      <c r="CI144" s="692">
        <v>0</v>
      </c>
      <c r="CJ144" s="695">
        <v>0</v>
      </c>
      <c r="CK144" s="692">
        <v>0</v>
      </c>
      <c r="CL144" s="695">
        <v>0</v>
      </c>
      <c r="CM144" s="692">
        <v>0</v>
      </c>
      <c r="CN144" s="695">
        <v>0</v>
      </c>
      <c r="CO144" s="692">
        <v>0</v>
      </c>
      <c r="CP144" s="695">
        <v>0</v>
      </c>
      <c r="CQ144" s="692">
        <v>0</v>
      </c>
      <c r="CR144" s="693">
        <v>0</v>
      </c>
      <c r="CS144" s="692">
        <v>0</v>
      </c>
      <c r="CT144" s="693">
        <v>0</v>
      </c>
      <c r="CU144" s="694">
        <v>0</v>
      </c>
      <c r="CV144" s="693">
        <v>0</v>
      </c>
    </row>
    <row r="145" spans="1:100">
      <c r="A145" s="460">
        <v>143</v>
      </c>
      <c r="B145" s="580">
        <v>0</v>
      </c>
      <c r="C145" s="580">
        <v>0</v>
      </c>
      <c r="D145" s="580">
        <v>0</v>
      </c>
      <c r="E145" s="580">
        <v>0</v>
      </c>
      <c r="F145" s="580">
        <v>0</v>
      </c>
      <c r="G145" s="580">
        <v>0</v>
      </c>
      <c r="H145" s="580">
        <v>0</v>
      </c>
      <c r="I145" s="580">
        <v>0</v>
      </c>
      <c r="J145" s="580">
        <v>0</v>
      </c>
      <c r="K145" s="580">
        <v>0</v>
      </c>
      <c r="L145" s="580">
        <v>0</v>
      </c>
      <c r="M145" s="580">
        <v>0</v>
      </c>
      <c r="N145" s="580">
        <v>0</v>
      </c>
      <c r="O145" s="580">
        <v>0</v>
      </c>
      <c r="P145" s="580">
        <v>0</v>
      </c>
      <c r="Q145" s="580">
        <v>0</v>
      </c>
      <c r="R145" s="580">
        <v>0</v>
      </c>
      <c r="S145" s="580">
        <v>0</v>
      </c>
      <c r="T145" s="580">
        <v>0</v>
      </c>
      <c r="U145" s="580">
        <v>0</v>
      </c>
      <c r="V145" s="580">
        <v>0</v>
      </c>
      <c r="W145" s="595">
        <v>0</v>
      </c>
      <c r="X145" s="688">
        <v>0</v>
      </c>
      <c r="Y145" s="688">
        <v>0</v>
      </c>
      <c r="Z145" s="688">
        <v>0</v>
      </c>
      <c r="AA145" s="688">
        <v>0</v>
      </c>
      <c r="AB145" s="688">
        <v>0</v>
      </c>
      <c r="AC145" s="688">
        <v>0</v>
      </c>
      <c r="AD145" s="688">
        <v>0</v>
      </c>
      <c r="AE145" s="977">
        <v>0</v>
      </c>
      <c r="AF145" s="978">
        <v>0</v>
      </c>
      <c r="AG145" s="979">
        <v>0</v>
      </c>
      <c r="AH145" s="688">
        <v>0</v>
      </c>
      <c r="AI145" s="687">
        <v>0</v>
      </c>
      <c r="AJ145" s="685">
        <v>0</v>
      </c>
      <c r="AK145" s="687">
        <v>0</v>
      </c>
      <c r="AL145" s="689">
        <v>0</v>
      </c>
      <c r="AM145" s="685">
        <v>0</v>
      </c>
      <c r="AN145" s="685">
        <v>0</v>
      </c>
      <c r="AO145" s="689">
        <v>0</v>
      </c>
      <c r="AP145" s="690">
        <v>0</v>
      </c>
      <c r="AQ145" s="687">
        <v>0</v>
      </c>
      <c r="AR145" s="685">
        <v>0</v>
      </c>
      <c r="AS145" s="687">
        <v>0</v>
      </c>
      <c r="AT145" s="691">
        <v>0</v>
      </c>
      <c r="AU145" s="685">
        <v>0</v>
      </c>
      <c r="AV145" s="687">
        <v>0</v>
      </c>
      <c r="AW145" s="692">
        <v>0</v>
      </c>
      <c r="AX145" s="693">
        <v>0</v>
      </c>
      <c r="AY145" s="692">
        <v>0</v>
      </c>
      <c r="AZ145" s="693">
        <v>0</v>
      </c>
      <c r="BA145" s="692">
        <v>0</v>
      </c>
      <c r="BB145" s="693">
        <v>0</v>
      </c>
      <c r="BC145" s="694">
        <v>0</v>
      </c>
      <c r="BD145" s="695">
        <v>0</v>
      </c>
      <c r="BE145" s="692">
        <v>0</v>
      </c>
      <c r="BF145" s="693">
        <v>0</v>
      </c>
      <c r="BG145" s="694">
        <v>0</v>
      </c>
      <c r="BH145" s="693">
        <v>0</v>
      </c>
      <c r="BI145" s="694">
        <v>0</v>
      </c>
      <c r="BJ145" s="693">
        <v>0</v>
      </c>
      <c r="BK145" s="694">
        <v>0</v>
      </c>
      <c r="BL145" s="693">
        <v>0</v>
      </c>
      <c r="BM145" s="694">
        <v>0</v>
      </c>
      <c r="BN145" s="693">
        <v>0</v>
      </c>
      <c r="BO145" s="694">
        <v>0</v>
      </c>
      <c r="BP145" s="693">
        <v>0</v>
      </c>
      <c r="BQ145" s="694">
        <v>0</v>
      </c>
      <c r="BR145" s="693">
        <v>0</v>
      </c>
      <c r="BS145" s="694">
        <v>0</v>
      </c>
      <c r="BT145" s="693">
        <v>0</v>
      </c>
      <c r="BU145" s="694">
        <v>0</v>
      </c>
      <c r="BV145" s="693">
        <v>0</v>
      </c>
      <c r="BW145" s="694">
        <v>0</v>
      </c>
      <c r="BX145" s="693">
        <v>0</v>
      </c>
      <c r="BY145" s="694">
        <v>0</v>
      </c>
      <c r="BZ145" s="693">
        <v>0</v>
      </c>
      <c r="CA145" s="694">
        <v>0</v>
      </c>
      <c r="CB145" s="693">
        <v>0</v>
      </c>
      <c r="CC145" s="692">
        <v>0</v>
      </c>
      <c r="CD145" s="695">
        <v>0</v>
      </c>
      <c r="CE145" s="692">
        <v>0</v>
      </c>
      <c r="CF145" s="695">
        <v>0</v>
      </c>
      <c r="CG145" s="692">
        <v>0</v>
      </c>
      <c r="CH145" s="695">
        <v>0</v>
      </c>
      <c r="CI145" s="692">
        <v>0</v>
      </c>
      <c r="CJ145" s="695">
        <v>0</v>
      </c>
      <c r="CK145" s="692">
        <v>0</v>
      </c>
      <c r="CL145" s="695">
        <v>0</v>
      </c>
      <c r="CM145" s="692">
        <v>0</v>
      </c>
      <c r="CN145" s="695">
        <v>0</v>
      </c>
      <c r="CO145" s="692">
        <v>0</v>
      </c>
      <c r="CP145" s="695">
        <v>0</v>
      </c>
      <c r="CQ145" s="692">
        <v>0</v>
      </c>
      <c r="CR145" s="693">
        <v>0</v>
      </c>
      <c r="CS145" s="692">
        <v>0</v>
      </c>
      <c r="CT145" s="693">
        <v>0</v>
      </c>
      <c r="CU145" s="694">
        <v>0</v>
      </c>
      <c r="CV145" s="693">
        <v>0</v>
      </c>
    </row>
    <row r="146" spans="1:100">
      <c r="A146" s="460">
        <v>144</v>
      </c>
      <c r="B146" s="580">
        <v>0</v>
      </c>
      <c r="C146" s="580">
        <v>0</v>
      </c>
      <c r="D146" s="580">
        <v>0</v>
      </c>
      <c r="E146" s="580">
        <v>0</v>
      </c>
      <c r="F146" s="580">
        <v>0</v>
      </c>
      <c r="G146" s="580">
        <v>0</v>
      </c>
      <c r="H146" s="580">
        <v>0</v>
      </c>
      <c r="I146" s="580">
        <v>0</v>
      </c>
      <c r="J146" s="580">
        <v>0</v>
      </c>
      <c r="K146" s="580">
        <v>0</v>
      </c>
      <c r="L146" s="580">
        <v>0</v>
      </c>
      <c r="M146" s="580">
        <v>0</v>
      </c>
      <c r="N146" s="580">
        <v>0</v>
      </c>
      <c r="O146" s="580">
        <v>0</v>
      </c>
      <c r="P146" s="580">
        <v>0</v>
      </c>
      <c r="Q146" s="580">
        <v>0</v>
      </c>
      <c r="R146" s="580">
        <v>0</v>
      </c>
      <c r="S146" s="580">
        <v>0</v>
      </c>
      <c r="T146" s="580">
        <v>0</v>
      </c>
      <c r="U146" s="580">
        <v>0</v>
      </c>
      <c r="V146" s="580">
        <v>0</v>
      </c>
      <c r="W146" s="595">
        <v>0</v>
      </c>
      <c r="X146" s="688">
        <v>0</v>
      </c>
      <c r="Y146" s="688">
        <v>0</v>
      </c>
      <c r="Z146" s="688">
        <v>0</v>
      </c>
      <c r="AA146" s="688">
        <v>0</v>
      </c>
      <c r="AB146" s="688">
        <v>0</v>
      </c>
      <c r="AC146" s="688">
        <v>0</v>
      </c>
      <c r="AD146" s="688">
        <v>0</v>
      </c>
      <c r="AE146" s="977">
        <v>0</v>
      </c>
      <c r="AF146" s="978">
        <v>0</v>
      </c>
      <c r="AG146" s="979">
        <v>0</v>
      </c>
      <c r="AH146" s="688">
        <v>0</v>
      </c>
      <c r="AI146" s="687">
        <v>0</v>
      </c>
      <c r="AJ146" s="685">
        <v>0</v>
      </c>
      <c r="AK146" s="687">
        <v>0</v>
      </c>
      <c r="AL146" s="689">
        <v>0</v>
      </c>
      <c r="AM146" s="685">
        <v>0</v>
      </c>
      <c r="AN146" s="685">
        <v>0</v>
      </c>
      <c r="AO146" s="689">
        <v>0</v>
      </c>
      <c r="AP146" s="690">
        <v>2E-3</v>
      </c>
      <c r="AQ146" s="687">
        <v>0</v>
      </c>
      <c r="AR146" s="685">
        <v>0</v>
      </c>
      <c r="AS146" s="687">
        <v>0</v>
      </c>
      <c r="AT146" s="691">
        <v>0</v>
      </c>
      <c r="AU146" s="685">
        <v>0</v>
      </c>
      <c r="AV146" s="687">
        <v>0</v>
      </c>
      <c r="AW146" s="692">
        <v>0</v>
      </c>
      <c r="AX146" s="693">
        <v>0</v>
      </c>
      <c r="AY146" s="692">
        <v>0</v>
      </c>
      <c r="AZ146" s="693">
        <v>0</v>
      </c>
      <c r="BA146" s="692">
        <v>0</v>
      </c>
      <c r="BB146" s="693">
        <v>0</v>
      </c>
      <c r="BC146" s="694">
        <v>0</v>
      </c>
      <c r="BD146" s="695">
        <v>0</v>
      </c>
      <c r="BE146" s="692">
        <v>0</v>
      </c>
      <c r="BF146" s="693">
        <v>0</v>
      </c>
      <c r="BG146" s="694">
        <v>0</v>
      </c>
      <c r="BH146" s="693">
        <v>0</v>
      </c>
      <c r="BI146" s="694">
        <v>0</v>
      </c>
      <c r="BJ146" s="693">
        <v>0</v>
      </c>
      <c r="BK146" s="694">
        <v>0</v>
      </c>
      <c r="BL146" s="693">
        <v>0</v>
      </c>
      <c r="BM146" s="694">
        <v>0</v>
      </c>
      <c r="BN146" s="693">
        <v>0</v>
      </c>
      <c r="BO146" s="694">
        <v>0</v>
      </c>
      <c r="BP146" s="693">
        <v>0</v>
      </c>
      <c r="BQ146" s="694">
        <v>0</v>
      </c>
      <c r="BR146" s="693">
        <v>0</v>
      </c>
      <c r="BS146" s="694">
        <v>0</v>
      </c>
      <c r="BT146" s="693">
        <v>0</v>
      </c>
      <c r="BU146" s="694">
        <v>0</v>
      </c>
      <c r="BV146" s="693">
        <v>0</v>
      </c>
      <c r="BW146" s="694">
        <v>0</v>
      </c>
      <c r="BX146" s="693">
        <v>0</v>
      </c>
      <c r="BY146" s="694">
        <v>0</v>
      </c>
      <c r="BZ146" s="693">
        <v>0</v>
      </c>
      <c r="CA146" s="694">
        <v>0</v>
      </c>
      <c r="CB146" s="693">
        <v>0</v>
      </c>
      <c r="CC146" s="692">
        <v>0</v>
      </c>
      <c r="CD146" s="695">
        <v>0</v>
      </c>
      <c r="CE146" s="692">
        <v>0</v>
      </c>
      <c r="CF146" s="695">
        <v>0</v>
      </c>
      <c r="CG146" s="692">
        <v>0</v>
      </c>
      <c r="CH146" s="695">
        <v>0</v>
      </c>
      <c r="CI146" s="692">
        <v>0</v>
      </c>
      <c r="CJ146" s="695">
        <v>0</v>
      </c>
      <c r="CK146" s="692">
        <v>0</v>
      </c>
      <c r="CL146" s="695">
        <v>0</v>
      </c>
      <c r="CM146" s="692">
        <v>0</v>
      </c>
      <c r="CN146" s="695">
        <v>0</v>
      </c>
      <c r="CO146" s="692">
        <v>0</v>
      </c>
      <c r="CP146" s="695">
        <v>0</v>
      </c>
      <c r="CQ146" s="692">
        <v>0</v>
      </c>
      <c r="CR146" s="693">
        <v>0</v>
      </c>
      <c r="CS146" s="692">
        <v>0</v>
      </c>
      <c r="CT146" s="693">
        <v>0</v>
      </c>
      <c r="CU146" s="694">
        <v>0</v>
      </c>
      <c r="CV146" s="693">
        <v>0</v>
      </c>
    </row>
    <row r="147" spans="1:100">
      <c r="A147" s="460">
        <v>145</v>
      </c>
      <c r="B147" s="580">
        <v>0</v>
      </c>
      <c r="C147" s="580">
        <v>0</v>
      </c>
      <c r="D147" s="580">
        <v>0</v>
      </c>
      <c r="E147" s="580">
        <v>0</v>
      </c>
      <c r="F147" s="580">
        <v>0</v>
      </c>
      <c r="G147" s="580">
        <v>0</v>
      </c>
      <c r="H147" s="580">
        <v>0</v>
      </c>
      <c r="I147" s="580">
        <v>0</v>
      </c>
      <c r="J147" s="580">
        <v>0</v>
      </c>
      <c r="K147" s="580">
        <v>0</v>
      </c>
      <c r="L147" s="580">
        <v>0</v>
      </c>
      <c r="M147" s="580">
        <v>0</v>
      </c>
      <c r="N147" s="580">
        <v>0</v>
      </c>
      <c r="O147" s="580">
        <v>0</v>
      </c>
      <c r="P147" s="580">
        <v>0</v>
      </c>
      <c r="Q147" s="580">
        <v>0</v>
      </c>
      <c r="R147" s="580">
        <v>0</v>
      </c>
      <c r="S147" s="580">
        <v>0</v>
      </c>
      <c r="T147" s="580">
        <v>0</v>
      </c>
      <c r="U147" s="580">
        <v>0</v>
      </c>
      <c r="V147" s="580">
        <v>0</v>
      </c>
      <c r="W147" s="595">
        <v>0</v>
      </c>
      <c r="X147" s="688">
        <v>0</v>
      </c>
      <c r="Y147" s="688">
        <v>0</v>
      </c>
      <c r="Z147" s="688">
        <v>0</v>
      </c>
      <c r="AA147" s="688">
        <v>0</v>
      </c>
      <c r="AB147" s="688">
        <v>0</v>
      </c>
      <c r="AC147" s="688">
        <v>0</v>
      </c>
      <c r="AD147" s="688">
        <v>0</v>
      </c>
      <c r="AE147" s="977">
        <v>0</v>
      </c>
      <c r="AF147" s="978">
        <v>0</v>
      </c>
      <c r="AG147" s="979">
        <v>0</v>
      </c>
      <c r="AH147" s="688">
        <v>0</v>
      </c>
      <c r="AI147" s="687">
        <v>0</v>
      </c>
      <c r="AJ147" s="685">
        <v>0</v>
      </c>
      <c r="AK147" s="687">
        <v>0</v>
      </c>
      <c r="AL147" s="689">
        <v>0</v>
      </c>
      <c r="AM147" s="685">
        <v>0</v>
      </c>
      <c r="AN147" s="685">
        <v>0</v>
      </c>
      <c r="AO147" s="689">
        <v>0</v>
      </c>
      <c r="AP147" s="690">
        <v>0</v>
      </c>
      <c r="AQ147" s="687">
        <v>0</v>
      </c>
      <c r="AR147" s="685">
        <v>0</v>
      </c>
      <c r="AS147" s="687">
        <v>0</v>
      </c>
      <c r="AT147" s="691">
        <v>0</v>
      </c>
      <c r="AU147" s="685">
        <v>0</v>
      </c>
      <c r="AV147" s="687">
        <v>0</v>
      </c>
      <c r="AW147" s="692">
        <v>0</v>
      </c>
      <c r="AX147" s="693">
        <v>0</v>
      </c>
      <c r="AY147" s="692">
        <v>0</v>
      </c>
      <c r="AZ147" s="693">
        <v>0</v>
      </c>
      <c r="BA147" s="692">
        <v>0</v>
      </c>
      <c r="BB147" s="693">
        <v>0</v>
      </c>
      <c r="BC147" s="694">
        <v>0</v>
      </c>
      <c r="BD147" s="695">
        <v>0</v>
      </c>
      <c r="BE147" s="692">
        <v>0</v>
      </c>
      <c r="BF147" s="693">
        <v>0</v>
      </c>
      <c r="BG147" s="694">
        <v>0</v>
      </c>
      <c r="BH147" s="693">
        <v>0</v>
      </c>
      <c r="BI147" s="694">
        <v>0</v>
      </c>
      <c r="BJ147" s="693">
        <v>0</v>
      </c>
      <c r="BK147" s="694">
        <v>0</v>
      </c>
      <c r="BL147" s="693">
        <v>0</v>
      </c>
      <c r="BM147" s="694">
        <v>0</v>
      </c>
      <c r="BN147" s="693">
        <v>0</v>
      </c>
      <c r="BO147" s="694">
        <v>0</v>
      </c>
      <c r="BP147" s="693">
        <v>0</v>
      </c>
      <c r="BQ147" s="694">
        <v>0</v>
      </c>
      <c r="BR147" s="693">
        <v>0</v>
      </c>
      <c r="BS147" s="694">
        <v>0</v>
      </c>
      <c r="BT147" s="693">
        <v>0</v>
      </c>
      <c r="BU147" s="694">
        <v>0</v>
      </c>
      <c r="BV147" s="693">
        <v>0</v>
      </c>
      <c r="BW147" s="694">
        <v>0</v>
      </c>
      <c r="BX147" s="693">
        <v>0</v>
      </c>
      <c r="BY147" s="694">
        <v>0</v>
      </c>
      <c r="BZ147" s="693">
        <v>0</v>
      </c>
      <c r="CA147" s="694">
        <v>0</v>
      </c>
      <c r="CB147" s="693">
        <v>0</v>
      </c>
      <c r="CC147" s="692">
        <v>0</v>
      </c>
      <c r="CD147" s="695">
        <v>0</v>
      </c>
      <c r="CE147" s="692">
        <v>0</v>
      </c>
      <c r="CF147" s="695">
        <v>0</v>
      </c>
      <c r="CG147" s="692">
        <v>0</v>
      </c>
      <c r="CH147" s="695">
        <v>0</v>
      </c>
      <c r="CI147" s="692">
        <v>0</v>
      </c>
      <c r="CJ147" s="695">
        <v>0</v>
      </c>
      <c r="CK147" s="692">
        <v>0</v>
      </c>
      <c r="CL147" s="695">
        <v>0</v>
      </c>
      <c r="CM147" s="692">
        <v>0</v>
      </c>
      <c r="CN147" s="695">
        <v>0</v>
      </c>
      <c r="CO147" s="692">
        <v>0</v>
      </c>
      <c r="CP147" s="695">
        <v>0</v>
      </c>
      <c r="CQ147" s="692">
        <v>0</v>
      </c>
      <c r="CR147" s="693">
        <v>0</v>
      </c>
      <c r="CS147" s="692">
        <v>0</v>
      </c>
      <c r="CT147" s="693">
        <v>0</v>
      </c>
      <c r="CU147" s="694">
        <v>0</v>
      </c>
      <c r="CV147" s="693">
        <v>0</v>
      </c>
    </row>
    <row r="148" spans="1:100">
      <c r="A148" s="460">
        <v>146</v>
      </c>
      <c r="B148" s="580">
        <v>0</v>
      </c>
      <c r="C148" s="580">
        <v>0</v>
      </c>
      <c r="D148" s="580">
        <v>0</v>
      </c>
      <c r="E148" s="580">
        <v>0</v>
      </c>
      <c r="F148" s="580">
        <v>0</v>
      </c>
      <c r="G148" s="580">
        <v>0</v>
      </c>
      <c r="H148" s="580">
        <v>0</v>
      </c>
      <c r="I148" s="580">
        <v>0</v>
      </c>
      <c r="J148" s="580">
        <v>0</v>
      </c>
      <c r="K148" s="580">
        <v>0</v>
      </c>
      <c r="L148" s="580">
        <v>0</v>
      </c>
      <c r="M148" s="580">
        <v>0</v>
      </c>
      <c r="N148" s="580">
        <v>0</v>
      </c>
      <c r="O148" s="580">
        <v>0</v>
      </c>
      <c r="P148" s="580">
        <v>0</v>
      </c>
      <c r="Q148" s="580">
        <v>0</v>
      </c>
      <c r="R148" s="580">
        <v>0</v>
      </c>
      <c r="S148" s="580">
        <v>0</v>
      </c>
      <c r="T148" s="580">
        <v>0</v>
      </c>
      <c r="U148" s="580">
        <v>0</v>
      </c>
      <c r="V148" s="580">
        <v>0</v>
      </c>
      <c r="W148" s="595">
        <v>0</v>
      </c>
      <c r="X148" s="688">
        <v>0</v>
      </c>
      <c r="Y148" s="688">
        <v>0</v>
      </c>
      <c r="Z148" s="688">
        <v>0</v>
      </c>
      <c r="AA148" s="688">
        <v>0</v>
      </c>
      <c r="AB148" s="688">
        <v>0</v>
      </c>
      <c r="AC148" s="688">
        <v>0</v>
      </c>
      <c r="AD148" s="688">
        <v>0</v>
      </c>
      <c r="AE148" s="977">
        <v>0</v>
      </c>
      <c r="AF148" s="978">
        <v>0</v>
      </c>
      <c r="AG148" s="979">
        <v>0</v>
      </c>
      <c r="AH148" s="688">
        <v>0</v>
      </c>
      <c r="AI148" s="687">
        <v>0</v>
      </c>
      <c r="AJ148" s="685">
        <v>0</v>
      </c>
      <c r="AK148" s="687">
        <v>0</v>
      </c>
      <c r="AL148" s="689">
        <v>0</v>
      </c>
      <c r="AM148" s="685">
        <v>0</v>
      </c>
      <c r="AN148" s="685">
        <v>0</v>
      </c>
      <c r="AO148" s="689">
        <v>0</v>
      </c>
      <c r="AP148" s="690">
        <v>0</v>
      </c>
      <c r="AQ148" s="687">
        <v>0</v>
      </c>
      <c r="AR148" s="685">
        <v>0</v>
      </c>
      <c r="AS148" s="687">
        <v>0</v>
      </c>
      <c r="AT148" s="691">
        <v>0</v>
      </c>
      <c r="AU148" s="685">
        <v>0</v>
      </c>
      <c r="AV148" s="687">
        <v>0</v>
      </c>
      <c r="AW148" s="692">
        <v>0</v>
      </c>
      <c r="AX148" s="693">
        <v>0</v>
      </c>
      <c r="AY148" s="692">
        <v>0</v>
      </c>
      <c r="AZ148" s="693">
        <v>0</v>
      </c>
      <c r="BA148" s="692">
        <v>0</v>
      </c>
      <c r="BB148" s="693">
        <v>0</v>
      </c>
      <c r="BC148" s="694">
        <v>0</v>
      </c>
      <c r="BD148" s="695">
        <v>0</v>
      </c>
      <c r="BE148" s="692">
        <v>0</v>
      </c>
      <c r="BF148" s="693">
        <v>0</v>
      </c>
      <c r="BG148" s="694">
        <v>0</v>
      </c>
      <c r="BH148" s="693">
        <v>0</v>
      </c>
      <c r="BI148" s="694">
        <v>0</v>
      </c>
      <c r="BJ148" s="693">
        <v>0</v>
      </c>
      <c r="BK148" s="694">
        <v>0</v>
      </c>
      <c r="BL148" s="693">
        <v>0</v>
      </c>
      <c r="BM148" s="694">
        <v>0</v>
      </c>
      <c r="BN148" s="693">
        <v>0</v>
      </c>
      <c r="BO148" s="694">
        <v>0</v>
      </c>
      <c r="BP148" s="693">
        <v>0</v>
      </c>
      <c r="BQ148" s="694">
        <v>0</v>
      </c>
      <c r="BR148" s="693">
        <v>0</v>
      </c>
      <c r="BS148" s="694">
        <v>0</v>
      </c>
      <c r="BT148" s="693">
        <v>0</v>
      </c>
      <c r="BU148" s="694">
        <v>0</v>
      </c>
      <c r="BV148" s="693">
        <v>0</v>
      </c>
      <c r="BW148" s="694">
        <v>0</v>
      </c>
      <c r="BX148" s="693">
        <v>0</v>
      </c>
      <c r="BY148" s="694">
        <v>0</v>
      </c>
      <c r="BZ148" s="693">
        <v>0</v>
      </c>
      <c r="CA148" s="694">
        <v>0</v>
      </c>
      <c r="CB148" s="693">
        <v>0</v>
      </c>
      <c r="CC148" s="692">
        <v>0</v>
      </c>
      <c r="CD148" s="695">
        <v>0</v>
      </c>
      <c r="CE148" s="692">
        <v>0</v>
      </c>
      <c r="CF148" s="695">
        <v>0</v>
      </c>
      <c r="CG148" s="692">
        <v>0</v>
      </c>
      <c r="CH148" s="695">
        <v>0</v>
      </c>
      <c r="CI148" s="692">
        <v>0</v>
      </c>
      <c r="CJ148" s="695">
        <v>0</v>
      </c>
      <c r="CK148" s="692">
        <v>0</v>
      </c>
      <c r="CL148" s="695">
        <v>0</v>
      </c>
      <c r="CM148" s="692">
        <v>0</v>
      </c>
      <c r="CN148" s="695">
        <v>0</v>
      </c>
      <c r="CO148" s="692">
        <v>0</v>
      </c>
      <c r="CP148" s="695">
        <v>0</v>
      </c>
      <c r="CQ148" s="692">
        <v>0</v>
      </c>
      <c r="CR148" s="693">
        <v>0</v>
      </c>
      <c r="CS148" s="692">
        <v>0</v>
      </c>
      <c r="CT148" s="693">
        <v>0</v>
      </c>
      <c r="CU148" s="694">
        <v>0</v>
      </c>
      <c r="CV148" s="693">
        <v>0</v>
      </c>
    </row>
    <row r="149" spans="1:100">
      <c r="A149" s="460">
        <v>147</v>
      </c>
      <c r="B149" s="580">
        <v>0</v>
      </c>
      <c r="C149" s="580">
        <v>0</v>
      </c>
      <c r="D149" s="580">
        <v>0</v>
      </c>
      <c r="E149" s="580">
        <v>0</v>
      </c>
      <c r="F149" s="580">
        <v>0</v>
      </c>
      <c r="G149" s="580">
        <v>0</v>
      </c>
      <c r="H149" s="580">
        <v>0</v>
      </c>
      <c r="I149" s="580">
        <v>0</v>
      </c>
      <c r="J149" s="580">
        <v>0</v>
      </c>
      <c r="K149" s="580">
        <v>0</v>
      </c>
      <c r="L149" s="580">
        <v>0</v>
      </c>
      <c r="M149" s="580">
        <v>0</v>
      </c>
      <c r="N149" s="580">
        <v>0</v>
      </c>
      <c r="O149" s="580">
        <v>0</v>
      </c>
      <c r="P149" s="580">
        <v>0</v>
      </c>
      <c r="Q149" s="580">
        <v>0</v>
      </c>
      <c r="R149" s="580">
        <v>0</v>
      </c>
      <c r="S149" s="580">
        <v>0</v>
      </c>
      <c r="T149" s="580">
        <v>0</v>
      </c>
      <c r="U149" s="580">
        <v>0</v>
      </c>
      <c r="V149" s="580">
        <v>0</v>
      </c>
      <c r="W149" s="595">
        <v>0</v>
      </c>
      <c r="X149" s="688">
        <v>0</v>
      </c>
      <c r="Y149" s="688">
        <v>0</v>
      </c>
      <c r="Z149" s="688">
        <v>0</v>
      </c>
      <c r="AA149" s="688">
        <v>0</v>
      </c>
      <c r="AB149" s="688">
        <v>0</v>
      </c>
      <c r="AC149" s="688">
        <v>0</v>
      </c>
      <c r="AD149" s="688">
        <v>0</v>
      </c>
      <c r="AE149" s="977">
        <v>0</v>
      </c>
      <c r="AF149" s="978">
        <v>0</v>
      </c>
      <c r="AG149" s="979">
        <v>0</v>
      </c>
      <c r="AH149" s="688">
        <v>0</v>
      </c>
      <c r="AI149" s="687">
        <v>0</v>
      </c>
      <c r="AJ149" s="685">
        <v>0</v>
      </c>
      <c r="AK149" s="687">
        <v>0</v>
      </c>
      <c r="AL149" s="689">
        <v>0</v>
      </c>
      <c r="AM149" s="685">
        <v>0</v>
      </c>
      <c r="AN149" s="685">
        <v>0</v>
      </c>
      <c r="AO149" s="689">
        <v>0</v>
      </c>
      <c r="AP149" s="690">
        <v>0</v>
      </c>
      <c r="AQ149" s="687">
        <v>0</v>
      </c>
      <c r="AR149" s="685">
        <v>0</v>
      </c>
      <c r="AS149" s="687">
        <v>0</v>
      </c>
      <c r="AT149" s="691">
        <v>0</v>
      </c>
      <c r="AU149" s="685">
        <v>0</v>
      </c>
      <c r="AV149" s="687">
        <v>0</v>
      </c>
      <c r="AW149" s="692">
        <v>0</v>
      </c>
      <c r="AX149" s="693">
        <v>0</v>
      </c>
      <c r="AY149" s="692">
        <v>0</v>
      </c>
      <c r="AZ149" s="693">
        <v>0</v>
      </c>
      <c r="BA149" s="692">
        <v>0</v>
      </c>
      <c r="BB149" s="693">
        <v>0</v>
      </c>
      <c r="BC149" s="694">
        <v>0</v>
      </c>
      <c r="BD149" s="695">
        <v>0</v>
      </c>
      <c r="BE149" s="692">
        <v>0</v>
      </c>
      <c r="BF149" s="693">
        <v>0</v>
      </c>
      <c r="BG149" s="694">
        <v>0</v>
      </c>
      <c r="BH149" s="693">
        <v>0</v>
      </c>
      <c r="BI149" s="694">
        <v>0</v>
      </c>
      <c r="BJ149" s="693">
        <v>0</v>
      </c>
      <c r="BK149" s="694">
        <v>0</v>
      </c>
      <c r="BL149" s="693">
        <v>0</v>
      </c>
      <c r="BM149" s="694">
        <v>0</v>
      </c>
      <c r="BN149" s="693">
        <v>0</v>
      </c>
      <c r="BO149" s="694">
        <v>0</v>
      </c>
      <c r="BP149" s="693">
        <v>0</v>
      </c>
      <c r="BQ149" s="694">
        <v>0</v>
      </c>
      <c r="BR149" s="693">
        <v>0</v>
      </c>
      <c r="BS149" s="694">
        <v>0</v>
      </c>
      <c r="BT149" s="693">
        <v>0</v>
      </c>
      <c r="BU149" s="694">
        <v>0</v>
      </c>
      <c r="BV149" s="693">
        <v>0</v>
      </c>
      <c r="BW149" s="694">
        <v>0</v>
      </c>
      <c r="BX149" s="693">
        <v>0</v>
      </c>
      <c r="BY149" s="694">
        <v>0</v>
      </c>
      <c r="BZ149" s="693">
        <v>0</v>
      </c>
      <c r="CA149" s="694">
        <v>0</v>
      </c>
      <c r="CB149" s="693">
        <v>0</v>
      </c>
      <c r="CC149" s="692">
        <v>0</v>
      </c>
      <c r="CD149" s="695">
        <v>0</v>
      </c>
      <c r="CE149" s="692">
        <v>0</v>
      </c>
      <c r="CF149" s="695">
        <v>0</v>
      </c>
      <c r="CG149" s="692">
        <v>0</v>
      </c>
      <c r="CH149" s="695">
        <v>0</v>
      </c>
      <c r="CI149" s="692">
        <v>0</v>
      </c>
      <c r="CJ149" s="695">
        <v>0</v>
      </c>
      <c r="CK149" s="692">
        <v>0</v>
      </c>
      <c r="CL149" s="695">
        <v>0</v>
      </c>
      <c r="CM149" s="692">
        <v>0</v>
      </c>
      <c r="CN149" s="695">
        <v>0</v>
      </c>
      <c r="CO149" s="692">
        <v>0</v>
      </c>
      <c r="CP149" s="695">
        <v>0</v>
      </c>
      <c r="CQ149" s="692">
        <v>0</v>
      </c>
      <c r="CR149" s="693">
        <v>0</v>
      </c>
      <c r="CS149" s="692">
        <v>0</v>
      </c>
      <c r="CT149" s="693">
        <v>0</v>
      </c>
      <c r="CU149" s="694">
        <v>0</v>
      </c>
      <c r="CV149" s="693">
        <v>0</v>
      </c>
    </row>
    <row r="150" spans="1:100">
      <c r="A150" s="460">
        <v>148</v>
      </c>
      <c r="B150" s="580">
        <v>0</v>
      </c>
      <c r="C150" s="580">
        <v>0</v>
      </c>
      <c r="D150" s="580">
        <v>0</v>
      </c>
      <c r="E150" s="580">
        <v>0</v>
      </c>
      <c r="F150" s="580">
        <v>0</v>
      </c>
      <c r="G150" s="580">
        <v>0</v>
      </c>
      <c r="H150" s="580">
        <v>0</v>
      </c>
      <c r="I150" s="580">
        <v>0</v>
      </c>
      <c r="J150" s="580">
        <v>0</v>
      </c>
      <c r="K150" s="580">
        <v>0</v>
      </c>
      <c r="L150" s="580">
        <v>0</v>
      </c>
      <c r="M150" s="580">
        <v>0</v>
      </c>
      <c r="N150" s="580">
        <v>0</v>
      </c>
      <c r="O150" s="580">
        <v>0</v>
      </c>
      <c r="P150" s="580">
        <v>0</v>
      </c>
      <c r="Q150" s="580">
        <v>0</v>
      </c>
      <c r="R150" s="580">
        <v>0</v>
      </c>
      <c r="S150" s="580">
        <v>0</v>
      </c>
      <c r="T150" s="580">
        <v>0</v>
      </c>
      <c r="U150" s="580">
        <v>0</v>
      </c>
      <c r="V150" s="580">
        <v>0</v>
      </c>
      <c r="W150" s="595">
        <v>0</v>
      </c>
      <c r="X150" s="688">
        <v>0</v>
      </c>
      <c r="Y150" s="688">
        <v>0</v>
      </c>
      <c r="Z150" s="688">
        <v>0</v>
      </c>
      <c r="AA150" s="688">
        <v>0</v>
      </c>
      <c r="AB150" s="688">
        <v>0</v>
      </c>
      <c r="AC150" s="688">
        <v>0</v>
      </c>
      <c r="AD150" s="688">
        <v>0</v>
      </c>
      <c r="AE150" s="977">
        <v>0</v>
      </c>
      <c r="AF150" s="978">
        <v>0</v>
      </c>
      <c r="AG150" s="979">
        <v>0</v>
      </c>
      <c r="AH150" s="688">
        <v>0</v>
      </c>
      <c r="AI150" s="687">
        <v>0</v>
      </c>
      <c r="AJ150" s="685">
        <v>0</v>
      </c>
      <c r="AK150" s="687">
        <v>0</v>
      </c>
      <c r="AL150" s="689">
        <v>0</v>
      </c>
      <c r="AM150" s="685">
        <v>0</v>
      </c>
      <c r="AN150" s="685">
        <v>0</v>
      </c>
      <c r="AO150" s="689">
        <v>0</v>
      </c>
      <c r="AP150" s="690">
        <v>0</v>
      </c>
      <c r="AQ150" s="687">
        <v>0</v>
      </c>
      <c r="AR150" s="685">
        <v>0</v>
      </c>
      <c r="AS150" s="687">
        <v>0</v>
      </c>
      <c r="AT150" s="691">
        <v>0</v>
      </c>
      <c r="AU150" s="685">
        <v>0</v>
      </c>
      <c r="AV150" s="687">
        <v>0</v>
      </c>
      <c r="AW150" s="692">
        <v>0</v>
      </c>
      <c r="AX150" s="693">
        <v>0</v>
      </c>
      <c r="AY150" s="692">
        <v>0</v>
      </c>
      <c r="AZ150" s="693">
        <v>0</v>
      </c>
      <c r="BA150" s="692">
        <v>0</v>
      </c>
      <c r="BB150" s="693">
        <v>0</v>
      </c>
      <c r="BC150" s="694">
        <v>0</v>
      </c>
      <c r="BD150" s="695">
        <v>0</v>
      </c>
      <c r="BE150" s="692">
        <v>0</v>
      </c>
      <c r="BF150" s="693">
        <v>0</v>
      </c>
      <c r="BG150" s="694">
        <v>0</v>
      </c>
      <c r="BH150" s="693">
        <v>0</v>
      </c>
      <c r="BI150" s="694">
        <v>0</v>
      </c>
      <c r="BJ150" s="693">
        <v>0</v>
      </c>
      <c r="BK150" s="694">
        <v>0</v>
      </c>
      <c r="BL150" s="693">
        <v>0</v>
      </c>
      <c r="BM150" s="694">
        <v>0</v>
      </c>
      <c r="BN150" s="693">
        <v>0</v>
      </c>
      <c r="BO150" s="694">
        <v>0</v>
      </c>
      <c r="BP150" s="693">
        <v>0</v>
      </c>
      <c r="BQ150" s="694">
        <v>0</v>
      </c>
      <c r="BR150" s="693">
        <v>0</v>
      </c>
      <c r="BS150" s="694">
        <v>0</v>
      </c>
      <c r="BT150" s="693">
        <v>0</v>
      </c>
      <c r="BU150" s="694">
        <v>0</v>
      </c>
      <c r="BV150" s="693">
        <v>0</v>
      </c>
      <c r="BW150" s="694">
        <v>0</v>
      </c>
      <c r="BX150" s="693">
        <v>0</v>
      </c>
      <c r="BY150" s="694">
        <v>0</v>
      </c>
      <c r="BZ150" s="693">
        <v>0</v>
      </c>
      <c r="CA150" s="694">
        <v>0</v>
      </c>
      <c r="CB150" s="693">
        <v>0</v>
      </c>
      <c r="CC150" s="692">
        <v>0</v>
      </c>
      <c r="CD150" s="695">
        <v>0</v>
      </c>
      <c r="CE150" s="692">
        <v>0</v>
      </c>
      <c r="CF150" s="695">
        <v>0</v>
      </c>
      <c r="CG150" s="692">
        <v>0</v>
      </c>
      <c r="CH150" s="695">
        <v>0</v>
      </c>
      <c r="CI150" s="692">
        <v>0</v>
      </c>
      <c r="CJ150" s="695">
        <v>0</v>
      </c>
      <c r="CK150" s="692">
        <v>0</v>
      </c>
      <c r="CL150" s="695">
        <v>0</v>
      </c>
      <c r="CM150" s="692">
        <v>0</v>
      </c>
      <c r="CN150" s="695">
        <v>0</v>
      </c>
      <c r="CO150" s="692">
        <v>0</v>
      </c>
      <c r="CP150" s="695">
        <v>0</v>
      </c>
      <c r="CQ150" s="692">
        <v>0</v>
      </c>
      <c r="CR150" s="693">
        <v>0</v>
      </c>
      <c r="CS150" s="692">
        <v>0</v>
      </c>
      <c r="CT150" s="693">
        <v>0</v>
      </c>
      <c r="CU150" s="694">
        <v>0</v>
      </c>
      <c r="CV150" s="693">
        <v>0</v>
      </c>
    </row>
    <row r="151" spans="1:100">
      <c r="A151" s="460">
        <v>149</v>
      </c>
      <c r="B151" s="580">
        <v>0</v>
      </c>
      <c r="C151" s="580">
        <v>0</v>
      </c>
      <c r="D151" s="580">
        <v>0</v>
      </c>
      <c r="E151" s="580">
        <v>0</v>
      </c>
      <c r="F151" s="580">
        <v>0</v>
      </c>
      <c r="G151" s="580">
        <v>0</v>
      </c>
      <c r="H151" s="580">
        <v>0</v>
      </c>
      <c r="I151" s="580">
        <v>0</v>
      </c>
      <c r="J151" s="580">
        <v>0</v>
      </c>
      <c r="K151" s="580">
        <v>0</v>
      </c>
      <c r="L151" s="580">
        <v>0</v>
      </c>
      <c r="M151" s="580">
        <v>0</v>
      </c>
      <c r="N151" s="580">
        <v>0</v>
      </c>
      <c r="O151" s="580">
        <v>0</v>
      </c>
      <c r="P151" s="580">
        <v>0</v>
      </c>
      <c r="Q151" s="580">
        <v>0</v>
      </c>
      <c r="R151" s="580">
        <v>0</v>
      </c>
      <c r="S151" s="580">
        <v>0</v>
      </c>
      <c r="T151" s="580">
        <v>0</v>
      </c>
      <c r="U151" s="580">
        <v>0</v>
      </c>
      <c r="V151" s="580">
        <v>0</v>
      </c>
      <c r="W151" s="595">
        <v>0</v>
      </c>
      <c r="X151" s="688">
        <v>0</v>
      </c>
      <c r="Y151" s="688">
        <v>0</v>
      </c>
      <c r="Z151" s="688">
        <v>0</v>
      </c>
      <c r="AA151" s="688">
        <v>0</v>
      </c>
      <c r="AB151" s="688">
        <v>0</v>
      </c>
      <c r="AC151" s="688">
        <v>0</v>
      </c>
      <c r="AD151" s="688">
        <v>0</v>
      </c>
      <c r="AE151" s="977">
        <v>0</v>
      </c>
      <c r="AF151" s="978">
        <v>0</v>
      </c>
      <c r="AG151" s="979">
        <v>0</v>
      </c>
      <c r="AH151" s="688">
        <v>0</v>
      </c>
      <c r="AI151" s="687">
        <v>0</v>
      </c>
      <c r="AJ151" s="685">
        <v>0</v>
      </c>
      <c r="AK151" s="687">
        <v>0</v>
      </c>
      <c r="AL151" s="689">
        <v>0</v>
      </c>
      <c r="AM151" s="685">
        <v>0</v>
      </c>
      <c r="AN151" s="685">
        <v>0</v>
      </c>
      <c r="AO151" s="689">
        <v>0</v>
      </c>
      <c r="AP151" s="690">
        <v>0</v>
      </c>
      <c r="AQ151" s="687">
        <v>0</v>
      </c>
      <c r="AR151" s="685">
        <v>0</v>
      </c>
      <c r="AS151" s="687">
        <v>0</v>
      </c>
      <c r="AT151" s="691">
        <v>0</v>
      </c>
      <c r="AU151" s="685">
        <v>0</v>
      </c>
      <c r="AV151" s="687">
        <v>0</v>
      </c>
      <c r="AW151" s="692">
        <v>0</v>
      </c>
      <c r="AX151" s="693">
        <v>0</v>
      </c>
      <c r="AY151" s="692">
        <v>0</v>
      </c>
      <c r="AZ151" s="693">
        <v>0</v>
      </c>
      <c r="BA151" s="692">
        <v>0</v>
      </c>
      <c r="BB151" s="693">
        <v>0</v>
      </c>
      <c r="BC151" s="694">
        <v>0</v>
      </c>
      <c r="BD151" s="695">
        <v>0</v>
      </c>
      <c r="BE151" s="692">
        <v>0</v>
      </c>
      <c r="BF151" s="693">
        <v>0</v>
      </c>
      <c r="BG151" s="694">
        <v>0</v>
      </c>
      <c r="BH151" s="693">
        <v>0</v>
      </c>
      <c r="BI151" s="694">
        <v>0</v>
      </c>
      <c r="BJ151" s="693">
        <v>0</v>
      </c>
      <c r="BK151" s="694">
        <v>0</v>
      </c>
      <c r="BL151" s="693">
        <v>0</v>
      </c>
      <c r="BM151" s="694">
        <v>0</v>
      </c>
      <c r="BN151" s="693">
        <v>0</v>
      </c>
      <c r="BO151" s="694">
        <v>0</v>
      </c>
      <c r="BP151" s="693">
        <v>0</v>
      </c>
      <c r="BQ151" s="694">
        <v>0</v>
      </c>
      <c r="BR151" s="693">
        <v>0</v>
      </c>
      <c r="BS151" s="694">
        <v>0</v>
      </c>
      <c r="BT151" s="693">
        <v>0</v>
      </c>
      <c r="BU151" s="694">
        <v>0</v>
      </c>
      <c r="BV151" s="693">
        <v>0</v>
      </c>
      <c r="BW151" s="694">
        <v>0</v>
      </c>
      <c r="BX151" s="693">
        <v>0</v>
      </c>
      <c r="BY151" s="694">
        <v>0</v>
      </c>
      <c r="BZ151" s="693">
        <v>0</v>
      </c>
      <c r="CA151" s="694">
        <v>0</v>
      </c>
      <c r="CB151" s="693">
        <v>0</v>
      </c>
      <c r="CC151" s="692">
        <v>0</v>
      </c>
      <c r="CD151" s="695">
        <v>0</v>
      </c>
      <c r="CE151" s="692">
        <v>0</v>
      </c>
      <c r="CF151" s="695">
        <v>0</v>
      </c>
      <c r="CG151" s="692">
        <v>0</v>
      </c>
      <c r="CH151" s="695">
        <v>0</v>
      </c>
      <c r="CI151" s="692">
        <v>0</v>
      </c>
      <c r="CJ151" s="695">
        <v>0</v>
      </c>
      <c r="CK151" s="692">
        <v>0</v>
      </c>
      <c r="CL151" s="695">
        <v>0</v>
      </c>
      <c r="CM151" s="692">
        <v>0</v>
      </c>
      <c r="CN151" s="695">
        <v>0</v>
      </c>
      <c r="CO151" s="692">
        <v>0</v>
      </c>
      <c r="CP151" s="695">
        <v>0</v>
      </c>
      <c r="CQ151" s="692">
        <v>0</v>
      </c>
      <c r="CR151" s="693">
        <v>0</v>
      </c>
      <c r="CS151" s="692">
        <v>0</v>
      </c>
      <c r="CT151" s="693">
        <v>0</v>
      </c>
      <c r="CU151" s="694">
        <v>0</v>
      </c>
      <c r="CV151" s="693">
        <v>0</v>
      </c>
    </row>
    <row r="152" spans="1:100">
      <c r="A152" s="460">
        <v>150</v>
      </c>
      <c r="B152" s="580">
        <v>0</v>
      </c>
      <c r="C152" s="580">
        <v>0</v>
      </c>
      <c r="D152" s="580">
        <v>0</v>
      </c>
      <c r="E152" s="580">
        <v>0</v>
      </c>
      <c r="F152" s="580">
        <v>0</v>
      </c>
      <c r="G152" s="580">
        <v>0</v>
      </c>
      <c r="H152" s="580">
        <v>0</v>
      </c>
      <c r="I152" s="580">
        <v>0</v>
      </c>
      <c r="J152" s="580">
        <v>0</v>
      </c>
      <c r="K152" s="580">
        <v>0</v>
      </c>
      <c r="L152" s="580">
        <v>0</v>
      </c>
      <c r="M152" s="580">
        <v>0</v>
      </c>
      <c r="N152" s="580">
        <v>0</v>
      </c>
      <c r="O152" s="580">
        <v>0</v>
      </c>
      <c r="P152" s="580">
        <v>0</v>
      </c>
      <c r="Q152" s="580">
        <v>0</v>
      </c>
      <c r="R152" s="580">
        <v>0</v>
      </c>
      <c r="S152" s="580">
        <v>0</v>
      </c>
      <c r="T152" s="580">
        <v>0</v>
      </c>
      <c r="U152" s="580">
        <v>0</v>
      </c>
      <c r="V152" s="580">
        <v>0</v>
      </c>
      <c r="W152" s="595">
        <v>0</v>
      </c>
      <c r="X152" s="688">
        <v>0</v>
      </c>
      <c r="Y152" s="688">
        <v>0</v>
      </c>
      <c r="Z152" s="688">
        <v>0</v>
      </c>
      <c r="AA152" s="688">
        <v>0</v>
      </c>
      <c r="AB152" s="688">
        <v>0</v>
      </c>
      <c r="AC152" s="688">
        <v>0</v>
      </c>
      <c r="AD152" s="688">
        <v>0</v>
      </c>
      <c r="AE152" s="977">
        <v>0</v>
      </c>
      <c r="AF152" s="978">
        <v>0</v>
      </c>
      <c r="AG152" s="979">
        <v>0</v>
      </c>
      <c r="AH152" s="688">
        <v>0</v>
      </c>
      <c r="AI152" s="687">
        <v>0</v>
      </c>
      <c r="AJ152" s="685">
        <v>0</v>
      </c>
      <c r="AK152" s="687">
        <v>0</v>
      </c>
      <c r="AL152" s="689">
        <v>0</v>
      </c>
      <c r="AM152" s="685">
        <v>0</v>
      </c>
      <c r="AN152" s="685">
        <v>0</v>
      </c>
      <c r="AO152" s="689">
        <v>0</v>
      </c>
      <c r="AP152" s="690">
        <v>0</v>
      </c>
      <c r="AQ152" s="687">
        <v>0</v>
      </c>
      <c r="AR152" s="685">
        <v>0</v>
      </c>
      <c r="AS152" s="687">
        <v>0</v>
      </c>
      <c r="AT152" s="691">
        <v>0</v>
      </c>
      <c r="AU152" s="685">
        <v>0</v>
      </c>
      <c r="AV152" s="687">
        <v>0</v>
      </c>
      <c r="AW152" s="692">
        <v>0</v>
      </c>
      <c r="AX152" s="693">
        <v>0</v>
      </c>
      <c r="AY152" s="692">
        <v>0</v>
      </c>
      <c r="AZ152" s="693">
        <v>0</v>
      </c>
      <c r="BA152" s="692">
        <v>0</v>
      </c>
      <c r="BB152" s="693">
        <v>0</v>
      </c>
      <c r="BC152" s="694">
        <v>0</v>
      </c>
      <c r="BD152" s="695">
        <v>0</v>
      </c>
      <c r="BE152" s="692">
        <v>0</v>
      </c>
      <c r="BF152" s="693">
        <v>0</v>
      </c>
      <c r="BG152" s="694">
        <v>0</v>
      </c>
      <c r="BH152" s="693">
        <v>0</v>
      </c>
      <c r="BI152" s="694">
        <v>0</v>
      </c>
      <c r="BJ152" s="693">
        <v>0</v>
      </c>
      <c r="BK152" s="694">
        <v>0</v>
      </c>
      <c r="BL152" s="693">
        <v>0</v>
      </c>
      <c r="BM152" s="694">
        <v>0</v>
      </c>
      <c r="BN152" s="693">
        <v>0</v>
      </c>
      <c r="BO152" s="694">
        <v>0</v>
      </c>
      <c r="BP152" s="693">
        <v>0</v>
      </c>
      <c r="BQ152" s="694">
        <v>0</v>
      </c>
      <c r="BR152" s="693">
        <v>0</v>
      </c>
      <c r="BS152" s="694">
        <v>0</v>
      </c>
      <c r="BT152" s="693">
        <v>0</v>
      </c>
      <c r="BU152" s="694">
        <v>0</v>
      </c>
      <c r="BV152" s="693">
        <v>0</v>
      </c>
      <c r="BW152" s="694">
        <v>0</v>
      </c>
      <c r="BX152" s="693">
        <v>0</v>
      </c>
      <c r="BY152" s="694">
        <v>0</v>
      </c>
      <c r="BZ152" s="693">
        <v>0</v>
      </c>
      <c r="CA152" s="694">
        <v>0</v>
      </c>
      <c r="CB152" s="693">
        <v>0</v>
      </c>
      <c r="CC152" s="692">
        <v>0</v>
      </c>
      <c r="CD152" s="695">
        <v>0</v>
      </c>
      <c r="CE152" s="692">
        <v>0</v>
      </c>
      <c r="CF152" s="695">
        <v>0</v>
      </c>
      <c r="CG152" s="692">
        <v>0</v>
      </c>
      <c r="CH152" s="695">
        <v>0</v>
      </c>
      <c r="CI152" s="692">
        <v>0</v>
      </c>
      <c r="CJ152" s="695">
        <v>0</v>
      </c>
      <c r="CK152" s="692">
        <v>0</v>
      </c>
      <c r="CL152" s="695">
        <v>0</v>
      </c>
      <c r="CM152" s="692">
        <v>0</v>
      </c>
      <c r="CN152" s="695">
        <v>0</v>
      </c>
      <c r="CO152" s="692">
        <v>0</v>
      </c>
      <c r="CP152" s="695">
        <v>0</v>
      </c>
      <c r="CQ152" s="692">
        <v>0</v>
      </c>
      <c r="CR152" s="693">
        <v>0</v>
      </c>
      <c r="CS152" s="692">
        <v>0</v>
      </c>
      <c r="CT152" s="693">
        <v>0</v>
      </c>
      <c r="CU152" s="694">
        <v>0</v>
      </c>
      <c r="CV152" s="693">
        <v>0</v>
      </c>
    </row>
    <row r="153" spans="1:100">
      <c r="A153" s="460">
        <v>151</v>
      </c>
      <c r="B153" s="580">
        <v>0</v>
      </c>
      <c r="C153" s="580">
        <v>0</v>
      </c>
      <c r="D153" s="580">
        <v>0</v>
      </c>
      <c r="E153" s="580">
        <v>0</v>
      </c>
      <c r="F153" s="580">
        <v>0</v>
      </c>
      <c r="G153" s="580">
        <v>0</v>
      </c>
      <c r="H153" s="580">
        <v>0</v>
      </c>
      <c r="I153" s="580">
        <v>0</v>
      </c>
      <c r="J153" s="580">
        <v>0</v>
      </c>
      <c r="K153" s="580">
        <v>0</v>
      </c>
      <c r="L153" s="580">
        <v>0</v>
      </c>
      <c r="M153" s="580">
        <v>0</v>
      </c>
      <c r="N153" s="580">
        <v>0</v>
      </c>
      <c r="O153" s="580">
        <v>0</v>
      </c>
      <c r="P153" s="580">
        <v>0</v>
      </c>
      <c r="Q153" s="580">
        <v>0</v>
      </c>
      <c r="R153" s="580">
        <v>0</v>
      </c>
      <c r="S153" s="580">
        <v>0</v>
      </c>
      <c r="T153" s="580">
        <v>0</v>
      </c>
      <c r="U153" s="580">
        <v>0</v>
      </c>
      <c r="V153" s="580">
        <v>0</v>
      </c>
      <c r="W153" s="595">
        <v>0</v>
      </c>
      <c r="X153" s="688">
        <v>0</v>
      </c>
      <c r="Y153" s="688">
        <v>0</v>
      </c>
      <c r="Z153" s="688">
        <v>0</v>
      </c>
      <c r="AA153" s="688">
        <v>0</v>
      </c>
      <c r="AB153" s="688">
        <v>0</v>
      </c>
      <c r="AC153" s="688">
        <v>0</v>
      </c>
      <c r="AD153" s="688">
        <v>0</v>
      </c>
      <c r="AE153" s="977">
        <v>0</v>
      </c>
      <c r="AF153" s="978">
        <v>0</v>
      </c>
      <c r="AG153" s="979">
        <v>0</v>
      </c>
      <c r="AH153" s="688">
        <v>0</v>
      </c>
      <c r="AI153" s="687">
        <v>0</v>
      </c>
      <c r="AJ153" s="685">
        <v>0</v>
      </c>
      <c r="AK153" s="687">
        <v>0</v>
      </c>
      <c r="AL153" s="689">
        <v>0</v>
      </c>
      <c r="AM153" s="685">
        <v>0</v>
      </c>
      <c r="AN153" s="685">
        <v>0</v>
      </c>
      <c r="AO153" s="689">
        <v>0</v>
      </c>
      <c r="AP153" s="690">
        <v>0</v>
      </c>
      <c r="AQ153" s="687">
        <v>0</v>
      </c>
      <c r="AR153" s="685">
        <v>0</v>
      </c>
      <c r="AS153" s="687">
        <v>0</v>
      </c>
      <c r="AT153" s="691">
        <v>0</v>
      </c>
      <c r="AU153" s="685">
        <v>0</v>
      </c>
      <c r="AV153" s="687">
        <v>0</v>
      </c>
      <c r="AW153" s="692">
        <v>0</v>
      </c>
      <c r="AX153" s="693">
        <v>0</v>
      </c>
      <c r="AY153" s="692">
        <v>0</v>
      </c>
      <c r="AZ153" s="693">
        <v>0</v>
      </c>
      <c r="BA153" s="692">
        <v>0</v>
      </c>
      <c r="BB153" s="693">
        <v>0</v>
      </c>
      <c r="BC153" s="694">
        <v>0</v>
      </c>
      <c r="BD153" s="695">
        <v>0</v>
      </c>
      <c r="BE153" s="692">
        <v>0</v>
      </c>
      <c r="BF153" s="693">
        <v>0</v>
      </c>
      <c r="BG153" s="694">
        <v>0</v>
      </c>
      <c r="BH153" s="693">
        <v>0</v>
      </c>
      <c r="BI153" s="694">
        <v>0</v>
      </c>
      <c r="BJ153" s="693">
        <v>0</v>
      </c>
      <c r="BK153" s="694">
        <v>0</v>
      </c>
      <c r="BL153" s="693">
        <v>0</v>
      </c>
      <c r="BM153" s="694">
        <v>0</v>
      </c>
      <c r="BN153" s="693">
        <v>0</v>
      </c>
      <c r="BO153" s="694">
        <v>0</v>
      </c>
      <c r="BP153" s="693">
        <v>0</v>
      </c>
      <c r="BQ153" s="694">
        <v>0</v>
      </c>
      <c r="BR153" s="693">
        <v>0</v>
      </c>
      <c r="BS153" s="694">
        <v>0</v>
      </c>
      <c r="BT153" s="693">
        <v>0</v>
      </c>
      <c r="BU153" s="694">
        <v>0</v>
      </c>
      <c r="BV153" s="693">
        <v>0</v>
      </c>
      <c r="BW153" s="694">
        <v>0</v>
      </c>
      <c r="BX153" s="693">
        <v>0</v>
      </c>
      <c r="BY153" s="694">
        <v>0</v>
      </c>
      <c r="BZ153" s="693">
        <v>0</v>
      </c>
      <c r="CA153" s="694">
        <v>0</v>
      </c>
      <c r="CB153" s="693">
        <v>0</v>
      </c>
      <c r="CC153" s="692">
        <v>0</v>
      </c>
      <c r="CD153" s="695">
        <v>0</v>
      </c>
      <c r="CE153" s="692">
        <v>0</v>
      </c>
      <c r="CF153" s="695">
        <v>0</v>
      </c>
      <c r="CG153" s="692">
        <v>0</v>
      </c>
      <c r="CH153" s="695">
        <v>0</v>
      </c>
      <c r="CI153" s="692">
        <v>0</v>
      </c>
      <c r="CJ153" s="695">
        <v>0</v>
      </c>
      <c r="CK153" s="692">
        <v>0</v>
      </c>
      <c r="CL153" s="695">
        <v>0</v>
      </c>
      <c r="CM153" s="692">
        <v>0</v>
      </c>
      <c r="CN153" s="695">
        <v>0</v>
      </c>
      <c r="CO153" s="692">
        <v>0</v>
      </c>
      <c r="CP153" s="695">
        <v>0</v>
      </c>
      <c r="CQ153" s="692">
        <v>0</v>
      </c>
      <c r="CR153" s="693">
        <v>0</v>
      </c>
      <c r="CS153" s="692">
        <v>0</v>
      </c>
      <c r="CT153" s="693">
        <v>0</v>
      </c>
      <c r="CU153" s="694">
        <v>0</v>
      </c>
      <c r="CV153" s="693">
        <v>0</v>
      </c>
    </row>
    <row r="154" spans="1:100">
      <c r="A154" s="460">
        <v>152</v>
      </c>
      <c r="B154" s="580">
        <v>0</v>
      </c>
      <c r="C154" s="580">
        <v>0</v>
      </c>
      <c r="D154" s="580">
        <v>0</v>
      </c>
      <c r="E154" s="580">
        <v>0</v>
      </c>
      <c r="F154" s="580">
        <v>0</v>
      </c>
      <c r="G154" s="580">
        <v>0</v>
      </c>
      <c r="H154" s="580">
        <v>0</v>
      </c>
      <c r="I154" s="580">
        <v>0</v>
      </c>
      <c r="J154" s="580">
        <v>0</v>
      </c>
      <c r="K154" s="580">
        <v>0</v>
      </c>
      <c r="L154" s="580">
        <v>0</v>
      </c>
      <c r="M154" s="580">
        <v>0</v>
      </c>
      <c r="N154" s="580">
        <v>0</v>
      </c>
      <c r="O154" s="580">
        <v>0</v>
      </c>
      <c r="P154" s="580">
        <v>0</v>
      </c>
      <c r="Q154" s="580">
        <v>0</v>
      </c>
      <c r="R154" s="580">
        <v>0</v>
      </c>
      <c r="S154" s="580">
        <v>0</v>
      </c>
      <c r="T154" s="580">
        <v>0</v>
      </c>
      <c r="U154" s="580">
        <v>0</v>
      </c>
      <c r="V154" s="580">
        <v>0</v>
      </c>
      <c r="W154" s="595">
        <v>0</v>
      </c>
      <c r="X154" s="688">
        <v>0</v>
      </c>
      <c r="Y154" s="688">
        <v>0</v>
      </c>
      <c r="Z154" s="688">
        <v>0</v>
      </c>
      <c r="AA154" s="688">
        <v>0</v>
      </c>
      <c r="AB154" s="688">
        <v>0</v>
      </c>
      <c r="AC154" s="688">
        <v>0</v>
      </c>
      <c r="AD154" s="688">
        <v>0</v>
      </c>
      <c r="AE154" s="977">
        <v>0</v>
      </c>
      <c r="AF154" s="978">
        <v>0</v>
      </c>
      <c r="AG154" s="979">
        <v>0</v>
      </c>
      <c r="AH154" s="688">
        <v>0</v>
      </c>
      <c r="AI154" s="687">
        <v>0</v>
      </c>
      <c r="AJ154" s="685">
        <v>0</v>
      </c>
      <c r="AK154" s="687">
        <v>0</v>
      </c>
      <c r="AL154" s="689">
        <v>0</v>
      </c>
      <c r="AM154" s="685">
        <v>0</v>
      </c>
      <c r="AN154" s="685">
        <v>0</v>
      </c>
      <c r="AO154" s="689">
        <v>0</v>
      </c>
      <c r="AP154" s="690">
        <v>0</v>
      </c>
      <c r="AQ154" s="687">
        <v>0</v>
      </c>
      <c r="AR154" s="685">
        <v>0</v>
      </c>
      <c r="AS154" s="687">
        <v>0</v>
      </c>
      <c r="AT154" s="691">
        <v>0</v>
      </c>
      <c r="AU154" s="685">
        <v>0</v>
      </c>
      <c r="AV154" s="687">
        <v>0</v>
      </c>
      <c r="AW154" s="692">
        <v>0</v>
      </c>
      <c r="AX154" s="693">
        <v>0</v>
      </c>
      <c r="AY154" s="692">
        <v>0</v>
      </c>
      <c r="AZ154" s="693">
        <v>0</v>
      </c>
      <c r="BA154" s="692">
        <v>0</v>
      </c>
      <c r="BB154" s="693">
        <v>0</v>
      </c>
      <c r="BC154" s="694">
        <v>0</v>
      </c>
      <c r="BD154" s="695">
        <v>0</v>
      </c>
      <c r="BE154" s="692">
        <v>0</v>
      </c>
      <c r="BF154" s="693">
        <v>0</v>
      </c>
      <c r="BG154" s="694">
        <v>0</v>
      </c>
      <c r="BH154" s="693">
        <v>0</v>
      </c>
      <c r="BI154" s="694">
        <v>0</v>
      </c>
      <c r="BJ154" s="693">
        <v>0</v>
      </c>
      <c r="BK154" s="694">
        <v>0</v>
      </c>
      <c r="BL154" s="693">
        <v>0</v>
      </c>
      <c r="BM154" s="694">
        <v>0</v>
      </c>
      <c r="BN154" s="693">
        <v>0</v>
      </c>
      <c r="BO154" s="694">
        <v>0</v>
      </c>
      <c r="BP154" s="693">
        <v>0</v>
      </c>
      <c r="BQ154" s="694">
        <v>0</v>
      </c>
      <c r="BR154" s="693">
        <v>0</v>
      </c>
      <c r="BS154" s="694">
        <v>0</v>
      </c>
      <c r="BT154" s="693">
        <v>0</v>
      </c>
      <c r="BU154" s="694">
        <v>0</v>
      </c>
      <c r="BV154" s="693">
        <v>0</v>
      </c>
      <c r="BW154" s="694">
        <v>0</v>
      </c>
      <c r="BX154" s="693">
        <v>0</v>
      </c>
      <c r="BY154" s="694">
        <v>0</v>
      </c>
      <c r="BZ154" s="693">
        <v>0</v>
      </c>
      <c r="CA154" s="694">
        <v>0</v>
      </c>
      <c r="CB154" s="693">
        <v>0</v>
      </c>
      <c r="CC154" s="692">
        <v>0</v>
      </c>
      <c r="CD154" s="695">
        <v>0</v>
      </c>
      <c r="CE154" s="692">
        <v>0</v>
      </c>
      <c r="CF154" s="695">
        <v>0</v>
      </c>
      <c r="CG154" s="692">
        <v>0</v>
      </c>
      <c r="CH154" s="695">
        <v>0</v>
      </c>
      <c r="CI154" s="692">
        <v>0</v>
      </c>
      <c r="CJ154" s="695">
        <v>0</v>
      </c>
      <c r="CK154" s="692">
        <v>0</v>
      </c>
      <c r="CL154" s="695">
        <v>0</v>
      </c>
      <c r="CM154" s="692">
        <v>0</v>
      </c>
      <c r="CN154" s="695">
        <v>0</v>
      </c>
      <c r="CO154" s="692">
        <v>0</v>
      </c>
      <c r="CP154" s="695">
        <v>0</v>
      </c>
      <c r="CQ154" s="692">
        <v>0</v>
      </c>
      <c r="CR154" s="693">
        <v>0</v>
      </c>
      <c r="CS154" s="692">
        <v>0</v>
      </c>
      <c r="CT154" s="693">
        <v>0</v>
      </c>
      <c r="CU154" s="694">
        <v>0</v>
      </c>
      <c r="CV154" s="693">
        <v>0</v>
      </c>
    </row>
    <row r="155" spans="1:100">
      <c r="A155" s="460">
        <v>153</v>
      </c>
      <c r="B155" s="580">
        <v>0</v>
      </c>
      <c r="C155" s="580">
        <v>0</v>
      </c>
      <c r="D155" s="580">
        <v>0</v>
      </c>
      <c r="E155" s="580">
        <v>0</v>
      </c>
      <c r="F155" s="580">
        <v>0</v>
      </c>
      <c r="G155" s="580">
        <v>0</v>
      </c>
      <c r="H155" s="580">
        <v>0</v>
      </c>
      <c r="I155" s="580">
        <v>0</v>
      </c>
      <c r="J155" s="580">
        <v>0</v>
      </c>
      <c r="K155" s="580">
        <v>0</v>
      </c>
      <c r="L155" s="580">
        <v>0</v>
      </c>
      <c r="M155" s="580">
        <v>0</v>
      </c>
      <c r="N155" s="580">
        <v>0</v>
      </c>
      <c r="O155" s="580">
        <v>0</v>
      </c>
      <c r="P155" s="580">
        <v>0</v>
      </c>
      <c r="Q155" s="580">
        <v>0</v>
      </c>
      <c r="R155" s="580">
        <v>0</v>
      </c>
      <c r="S155" s="580">
        <v>0</v>
      </c>
      <c r="T155" s="580">
        <v>0</v>
      </c>
      <c r="U155" s="580">
        <v>0</v>
      </c>
      <c r="V155" s="580">
        <v>0</v>
      </c>
      <c r="W155" s="595">
        <v>0</v>
      </c>
      <c r="X155" s="688">
        <v>0</v>
      </c>
      <c r="Y155" s="688">
        <v>0</v>
      </c>
      <c r="Z155" s="688">
        <v>0</v>
      </c>
      <c r="AA155" s="688">
        <v>0</v>
      </c>
      <c r="AB155" s="688">
        <v>0</v>
      </c>
      <c r="AC155" s="688">
        <v>0</v>
      </c>
      <c r="AD155" s="688">
        <v>0</v>
      </c>
      <c r="AE155" s="977">
        <v>0</v>
      </c>
      <c r="AF155" s="978">
        <v>0</v>
      </c>
      <c r="AG155" s="979">
        <v>0</v>
      </c>
      <c r="AH155" s="688">
        <v>0</v>
      </c>
      <c r="AI155" s="687">
        <v>0</v>
      </c>
      <c r="AJ155" s="685">
        <v>0</v>
      </c>
      <c r="AK155" s="687">
        <v>0</v>
      </c>
      <c r="AL155" s="689">
        <v>0</v>
      </c>
      <c r="AM155" s="685">
        <v>0</v>
      </c>
      <c r="AN155" s="685">
        <v>0</v>
      </c>
      <c r="AO155" s="689">
        <v>0</v>
      </c>
      <c r="AP155" s="690">
        <v>0</v>
      </c>
      <c r="AQ155" s="687">
        <v>0</v>
      </c>
      <c r="AR155" s="685">
        <v>0</v>
      </c>
      <c r="AS155" s="687">
        <v>0</v>
      </c>
      <c r="AT155" s="691">
        <v>0</v>
      </c>
      <c r="AU155" s="685">
        <v>0</v>
      </c>
      <c r="AV155" s="687">
        <v>0</v>
      </c>
      <c r="AW155" s="692">
        <v>0</v>
      </c>
      <c r="AX155" s="693">
        <v>0</v>
      </c>
      <c r="AY155" s="692">
        <v>0</v>
      </c>
      <c r="AZ155" s="693">
        <v>0</v>
      </c>
      <c r="BA155" s="692">
        <v>0</v>
      </c>
      <c r="BB155" s="693">
        <v>0</v>
      </c>
      <c r="BC155" s="694">
        <v>0</v>
      </c>
      <c r="BD155" s="695">
        <v>0</v>
      </c>
      <c r="BE155" s="692">
        <v>0</v>
      </c>
      <c r="BF155" s="693">
        <v>0</v>
      </c>
      <c r="BG155" s="694">
        <v>0</v>
      </c>
      <c r="BH155" s="693">
        <v>0</v>
      </c>
      <c r="BI155" s="694">
        <v>0</v>
      </c>
      <c r="BJ155" s="693">
        <v>0</v>
      </c>
      <c r="BK155" s="694">
        <v>0</v>
      </c>
      <c r="BL155" s="693">
        <v>0</v>
      </c>
      <c r="BM155" s="694">
        <v>0</v>
      </c>
      <c r="BN155" s="693">
        <v>0</v>
      </c>
      <c r="BO155" s="694">
        <v>0</v>
      </c>
      <c r="BP155" s="693">
        <v>0</v>
      </c>
      <c r="BQ155" s="694">
        <v>0</v>
      </c>
      <c r="BR155" s="693">
        <v>0</v>
      </c>
      <c r="BS155" s="694">
        <v>0</v>
      </c>
      <c r="BT155" s="693">
        <v>0</v>
      </c>
      <c r="BU155" s="694">
        <v>0</v>
      </c>
      <c r="BV155" s="693">
        <v>0</v>
      </c>
      <c r="BW155" s="694">
        <v>0</v>
      </c>
      <c r="BX155" s="693">
        <v>0</v>
      </c>
      <c r="BY155" s="694">
        <v>0</v>
      </c>
      <c r="BZ155" s="693">
        <v>0</v>
      </c>
      <c r="CA155" s="694">
        <v>0</v>
      </c>
      <c r="CB155" s="693">
        <v>0</v>
      </c>
      <c r="CC155" s="692">
        <v>0</v>
      </c>
      <c r="CD155" s="695">
        <v>0</v>
      </c>
      <c r="CE155" s="692">
        <v>0</v>
      </c>
      <c r="CF155" s="695">
        <v>0</v>
      </c>
      <c r="CG155" s="692">
        <v>0</v>
      </c>
      <c r="CH155" s="695">
        <v>0</v>
      </c>
      <c r="CI155" s="692">
        <v>0</v>
      </c>
      <c r="CJ155" s="695">
        <v>0</v>
      </c>
      <c r="CK155" s="692">
        <v>0</v>
      </c>
      <c r="CL155" s="695">
        <v>0</v>
      </c>
      <c r="CM155" s="692">
        <v>0</v>
      </c>
      <c r="CN155" s="695">
        <v>0</v>
      </c>
      <c r="CO155" s="692">
        <v>0</v>
      </c>
      <c r="CP155" s="695">
        <v>0</v>
      </c>
      <c r="CQ155" s="692">
        <v>0</v>
      </c>
      <c r="CR155" s="693">
        <v>0</v>
      </c>
      <c r="CS155" s="692">
        <v>0</v>
      </c>
      <c r="CT155" s="693">
        <v>0</v>
      </c>
      <c r="CU155" s="694">
        <v>0</v>
      </c>
      <c r="CV155" s="693">
        <v>0</v>
      </c>
    </row>
    <row r="156" spans="1:100">
      <c r="A156" s="460">
        <v>154</v>
      </c>
      <c r="B156" s="580">
        <v>0</v>
      </c>
      <c r="C156" s="580">
        <v>0</v>
      </c>
      <c r="D156" s="580">
        <v>0</v>
      </c>
      <c r="E156" s="580">
        <v>0</v>
      </c>
      <c r="F156" s="580">
        <v>0</v>
      </c>
      <c r="G156" s="580">
        <v>0</v>
      </c>
      <c r="H156" s="580">
        <v>0</v>
      </c>
      <c r="I156" s="580">
        <v>0</v>
      </c>
      <c r="J156" s="580">
        <v>0</v>
      </c>
      <c r="K156" s="580">
        <v>0</v>
      </c>
      <c r="L156" s="580">
        <v>0</v>
      </c>
      <c r="M156" s="580">
        <v>0</v>
      </c>
      <c r="N156" s="580">
        <v>0</v>
      </c>
      <c r="O156" s="580">
        <v>0</v>
      </c>
      <c r="P156" s="580">
        <v>0</v>
      </c>
      <c r="Q156" s="580">
        <v>0</v>
      </c>
      <c r="R156" s="580">
        <v>0</v>
      </c>
      <c r="S156" s="580">
        <v>0</v>
      </c>
      <c r="T156" s="580">
        <v>0</v>
      </c>
      <c r="U156" s="580">
        <v>0</v>
      </c>
      <c r="V156" s="580">
        <v>0</v>
      </c>
      <c r="W156" s="595">
        <v>0</v>
      </c>
      <c r="X156" s="688">
        <v>0</v>
      </c>
      <c r="Y156" s="688">
        <v>0</v>
      </c>
      <c r="Z156" s="688">
        <v>0</v>
      </c>
      <c r="AA156" s="688">
        <v>0</v>
      </c>
      <c r="AB156" s="688">
        <v>0</v>
      </c>
      <c r="AC156" s="688">
        <v>0</v>
      </c>
      <c r="AD156" s="688">
        <v>0</v>
      </c>
      <c r="AE156" s="977">
        <v>0</v>
      </c>
      <c r="AF156" s="978">
        <v>0</v>
      </c>
      <c r="AG156" s="979">
        <v>0</v>
      </c>
      <c r="AH156" s="688">
        <v>0</v>
      </c>
      <c r="AI156" s="687">
        <v>0</v>
      </c>
      <c r="AJ156" s="685">
        <v>0</v>
      </c>
      <c r="AK156" s="687">
        <v>0</v>
      </c>
      <c r="AL156" s="689">
        <v>0</v>
      </c>
      <c r="AM156" s="685">
        <v>0</v>
      </c>
      <c r="AN156" s="685">
        <v>0</v>
      </c>
      <c r="AO156" s="689">
        <v>0</v>
      </c>
      <c r="AP156" s="690">
        <v>0</v>
      </c>
      <c r="AQ156" s="687">
        <v>0</v>
      </c>
      <c r="AR156" s="685">
        <v>0</v>
      </c>
      <c r="AS156" s="687">
        <v>0</v>
      </c>
      <c r="AT156" s="691">
        <v>0</v>
      </c>
      <c r="AU156" s="685">
        <v>0</v>
      </c>
      <c r="AV156" s="687">
        <v>0</v>
      </c>
      <c r="AW156" s="692">
        <v>0</v>
      </c>
      <c r="AX156" s="693">
        <v>0</v>
      </c>
      <c r="AY156" s="692">
        <v>0</v>
      </c>
      <c r="AZ156" s="693">
        <v>0</v>
      </c>
      <c r="BA156" s="692">
        <v>0</v>
      </c>
      <c r="BB156" s="693">
        <v>0</v>
      </c>
      <c r="BC156" s="694">
        <v>0</v>
      </c>
      <c r="BD156" s="695">
        <v>0</v>
      </c>
      <c r="BE156" s="692">
        <v>0</v>
      </c>
      <c r="BF156" s="693">
        <v>0</v>
      </c>
      <c r="BG156" s="694">
        <v>0</v>
      </c>
      <c r="BH156" s="693">
        <v>0</v>
      </c>
      <c r="BI156" s="694">
        <v>0</v>
      </c>
      <c r="BJ156" s="693">
        <v>0</v>
      </c>
      <c r="BK156" s="694">
        <v>0</v>
      </c>
      <c r="BL156" s="693">
        <v>0</v>
      </c>
      <c r="BM156" s="694">
        <v>0</v>
      </c>
      <c r="BN156" s="693">
        <v>0</v>
      </c>
      <c r="BO156" s="694">
        <v>0</v>
      </c>
      <c r="BP156" s="693">
        <v>0</v>
      </c>
      <c r="BQ156" s="694">
        <v>0</v>
      </c>
      <c r="BR156" s="693">
        <v>0</v>
      </c>
      <c r="BS156" s="694">
        <v>0</v>
      </c>
      <c r="BT156" s="693">
        <v>0</v>
      </c>
      <c r="BU156" s="694">
        <v>0</v>
      </c>
      <c r="BV156" s="693">
        <v>0</v>
      </c>
      <c r="BW156" s="694">
        <v>0</v>
      </c>
      <c r="BX156" s="693">
        <v>0</v>
      </c>
      <c r="BY156" s="694">
        <v>0</v>
      </c>
      <c r="BZ156" s="693">
        <v>0</v>
      </c>
      <c r="CA156" s="694">
        <v>0</v>
      </c>
      <c r="CB156" s="693">
        <v>0</v>
      </c>
      <c r="CC156" s="692">
        <v>0</v>
      </c>
      <c r="CD156" s="695">
        <v>0</v>
      </c>
      <c r="CE156" s="692">
        <v>0</v>
      </c>
      <c r="CF156" s="695">
        <v>0</v>
      </c>
      <c r="CG156" s="692">
        <v>0</v>
      </c>
      <c r="CH156" s="695">
        <v>0</v>
      </c>
      <c r="CI156" s="692">
        <v>0</v>
      </c>
      <c r="CJ156" s="695">
        <v>0</v>
      </c>
      <c r="CK156" s="692">
        <v>0</v>
      </c>
      <c r="CL156" s="695">
        <v>0</v>
      </c>
      <c r="CM156" s="692">
        <v>0</v>
      </c>
      <c r="CN156" s="695">
        <v>0</v>
      </c>
      <c r="CO156" s="692">
        <v>0</v>
      </c>
      <c r="CP156" s="695">
        <v>0</v>
      </c>
      <c r="CQ156" s="692">
        <v>0</v>
      </c>
      <c r="CR156" s="693">
        <v>0</v>
      </c>
      <c r="CS156" s="692">
        <v>0</v>
      </c>
      <c r="CT156" s="693">
        <v>0</v>
      </c>
      <c r="CU156" s="694">
        <v>0</v>
      </c>
      <c r="CV156" s="693">
        <v>0</v>
      </c>
    </row>
    <row r="157" spans="1:100">
      <c r="A157" s="460">
        <v>155</v>
      </c>
      <c r="B157" s="580">
        <v>0</v>
      </c>
      <c r="C157" s="580">
        <v>0</v>
      </c>
      <c r="D157" s="580">
        <v>0</v>
      </c>
      <c r="E157" s="580">
        <v>0</v>
      </c>
      <c r="F157" s="580">
        <v>0</v>
      </c>
      <c r="G157" s="580">
        <v>0</v>
      </c>
      <c r="H157" s="580">
        <v>0</v>
      </c>
      <c r="I157" s="580">
        <v>0</v>
      </c>
      <c r="J157" s="580">
        <v>0</v>
      </c>
      <c r="K157" s="580">
        <v>0</v>
      </c>
      <c r="L157" s="580">
        <v>0</v>
      </c>
      <c r="M157" s="580">
        <v>0</v>
      </c>
      <c r="N157" s="580">
        <v>0</v>
      </c>
      <c r="O157" s="580">
        <v>0</v>
      </c>
      <c r="P157" s="580">
        <v>0</v>
      </c>
      <c r="Q157" s="580">
        <v>0</v>
      </c>
      <c r="R157" s="580">
        <v>0</v>
      </c>
      <c r="S157" s="580">
        <v>0</v>
      </c>
      <c r="T157" s="580">
        <v>0</v>
      </c>
      <c r="U157" s="580">
        <v>0</v>
      </c>
      <c r="V157" s="580">
        <v>0</v>
      </c>
      <c r="W157" s="595">
        <v>0</v>
      </c>
      <c r="X157" s="688">
        <v>0</v>
      </c>
      <c r="Y157" s="688">
        <v>0</v>
      </c>
      <c r="Z157" s="688">
        <v>0</v>
      </c>
      <c r="AA157" s="688">
        <v>0</v>
      </c>
      <c r="AB157" s="688">
        <v>0</v>
      </c>
      <c r="AC157" s="688">
        <v>0</v>
      </c>
      <c r="AD157" s="688">
        <v>0</v>
      </c>
      <c r="AE157" s="977">
        <v>0</v>
      </c>
      <c r="AF157" s="978">
        <v>0</v>
      </c>
      <c r="AG157" s="979">
        <v>0</v>
      </c>
      <c r="AH157" s="688">
        <v>0</v>
      </c>
      <c r="AI157" s="687">
        <v>0</v>
      </c>
      <c r="AJ157" s="685">
        <v>0</v>
      </c>
      <c r="AK157" s="687">
        <v>0</v>
      </c>
      <c r="AL157" s="689">
        <v>0</v>
      </c>
      <c r="AM157" s="685">
        <v>0</v>
      </c>
      <c r="AN157" s="685">
        <v>0</v>
      </c>
      <c r="AO157" s="689">
        <v>0</v>
      </c>
      <c r="AP157" s="690">
        <v>0</v>
      </c>
      <c r="AQ157" s="687">
        <v>0</v>
      </c>
      <c r="AR157" s="685">
        <v>0</v>
      </c>
      <c r="AS157" s="687">
        <v>0</v>
      </c>
      <c r="AT157" s="691">
        <v>0</v>
      </c>
      <c r="AU157" s="685">
        <v>0</v>
      </c>
      <c r="AV157" s="687">
        <v>0</v>
      </c>
      <c r="AW157" s="692">
        <v>0</v>
      </c>
      <c r="AX157" s="693">
        <v>0</v>
      </c>
      <c r="AY157" s="692">
        <v>0</v>
      </c>
      <c r="AZ157" s="693">
        <v>0</v>
      </c>
      <c r="BA157" s="692">
        <v>0</v>
      </c>
      <c r="BB157" s="693">
        <v>0</v>
      </c>
      <c r="BC157" s="694">
        <v>0</v>
      </c>
      <c r="BD157" s="695">
        <v>0</v>
      </c>
      <c r="BE157" s="692">
        <v>0</v>
      </c>
      <c r="BF157" s="693">
        <v>0</v>
      </c>
      <c r="BG157" s="694">
        <v>0</v>
      </c>
      <c r="BH157" s="693">
        <v>0</v>
      </c>
      <c r="BI157" s="694">
        <v>0</v>
      </c>
      <c r="BJ157" s="693">
        <v>0</v>
      </c>
      <c r="BK157" s="694">
        <v>0</v>
      </c>
      <c r="BL157" s="693">
        <v>0</v>
      </c>
      <c r="BM157" s="694">
        <v>0</v>
      </c>
      <c r="BN157" s="693">
        <v>0</v>
      </c>
      <c r="BO157" s="694">
        <v>0</v>
      </c>
      <c r="BP157" s="693">
        <v>0</v>
      </c>
      <c r="BQ157" s="694">
        <v>0</v>
      </c>
      <c r="BR157" s="693">
        <v>0</v>
      </c>
      <c r="BS157" s="694">
        <v>0</v>
      </c>
      <c r="BT157" s="693">
        <v>0</v>
      </c>
      <c r="BU157" s="694">
        <v>0</v>
      </c>
      <c r="BV157" s="693">
        <v>0</v>
      </c>
      <c r="BW157" s="694">
        <v>0</v>
      </c>
      <c r="BX157" s="693">
        <v>0</v>
      </c>
      <c r="BY157" s="694">
        <v>0</v>
      </c>
      <c r="BZ157" s="693">
        <v>0</v>
      </c>
      <c r="CA157" s="694">
        <v>0</v>
      </c>
      <c r="CB157" s="693">
        <v>0</v>
      </c>
      <c r="CC157" s="692">
        <v>0</v>
      </c>
      <c r="CD157" s="695">
        <v>0</v>
      </c>
      <c r="CE157" s="692">
        <v>0</v>
      </c>
      <c r="CF157" s="695">
        <v>0</v>
      </c>
      <c r="CG157" s="692">
        <v>0</v>
      </c>
      <c r="CH157" s="695">
        <v>0</v>
      </c>
      <c r="CI157" s="692">
        <v>0</v>
      </c>
      <c r="CJ157" s="695">
        <v>0</v>
      </c>
      <c r="CK157" s="692">
        <v>0</v>
      </c>
      <c r="CL157" s="695">
        <v>0</v>
      </c>
      <c r="CM157" s="692">
        <v>0</v>
      </c>
      <c r="CN157" s="695">
        <v>0</v>
      </c>
      <c r="CO157" s="692">
        <v>0</v>
      </c>
      <c r="CP157" s="695">
        <v>0</v>
      </c>
      <c r="CQ157" s="692">
        <v>0</v>
      </c>
      <c r="CR157" s="693">
        <v>0</v>
      </c>
      <c r="CS157" s="692">
        <v>0</v>
      </c>
      <c r="CT157" s="693">
        <v>0</v>
      </c>
      <c r="CU157" s="694">
        <v>0</v>
      </c>
      <c r="CV157" s="693">
        <v>0</v>
      </c>
    </row>
    <row r="158" spans="1:100">
      <c r="A158" s="460">
        <v>156</v>
      </c>
      <c r="B158" s="580">
        <v>0</v>
      </c>
      <c r="C158" s="580">
        <v>0</v>
      </c>
      <c r="D158" s="580">
        <v>0</v>
      </c>
      <c r="E158" s="580">
        <v>0</v>
      </c>
      <c r="F158" s="580">
        <v>0</v>
      </c>
      <c r="G158" s="580">
        <v>0</v>
      </c>
      <c r="H158" s="580">
        <v>0</v>
      </c>
      <c r="I158" s="580">
        <v>0</v>
      </c>
      <c r="J158" s="580">
        <v>0</v>
      </c>
      <c r="K158" s="580">
        <v>0</v>
      </c>
      <c r="L158" s="580">
        <v>0</v>
      </c>
      <c r="M158" s="580">
        <v>0</v>
      </c>
      <c r="N158" s="580">
        <v>0</v>
      </c>
      <c r="O158" s="580">
        <v>0</v>
      </c>
      <c r="P158" s="580">
        <v>0</v>
      </c>
      <c r="Q158" s="580">
        <v>0</v>
      </c>
      <c r="R158" s="580">
        <v>0</v>
      </c>
      <c r="S158" s="580">
        <v>0</v>
      </c>
      <c r="T158" s="580">
        <v>0</v>
      </c>
      <c r="U158" s="580">
        <v>0</v>
      </c>
      <c r="V158" s="580">
        <v>0</v>
      </c>
      <c r="W158" s="595">
        <v>0</v>
      </c>
      <c r="X158" s="688">
        <v>0</v>
      </c>
      <c r="Y158" s="688">
        <v>0</v>
      </c>
      <c r="Z158" s="688">
        <v>0</v>
      </c>
      <c r="AA158" s="688">
        <v>0</v>
      </c>
      <c r="AB158" s="688">
        <v>0</v>
      </c>
      <c r="AC158" s="688">
        <v>0</v>
      </c>
      <c r="AD158" s="688">
        <v>0</v>
      </c>
      <c r="AE158" s="977">
        <v>0</v>
      </c>
      <c r="AF158" s="978">
        <v>0</v>
      </c>
      <c r="AG158" s="979">
        <v>0</v>
      </c>
      <c r="AH158" s="688">
        <v>0</v>
      </c>
      <c r="AI158" s="687">
        <v>0</v>
      </c>
      <c r="AJ158" s="685">
        <v>0</v>
      </c>
      <c r="AK158" s="687">
        <v>0</v>
      </c>
      <c r="AL158" s="689">
        <v>0</v>
      </c>
      <c r="AM158" s="685">
        <v>0</v>
      </c>
      <c r="AN158" s="685">
        <v>0</v>
      </c>
      <c r="AO158" s="689">
        <v>0</v>
      </c>
      <c r="AP158" s="690">
        <v>0</v>
      </c>
      <c r="AQ158" s="687">
        <v>0</v>
      </c>
      <c r="AR158" s="685">
        <v>0</v>
      </c>
      <c r="AS158" s="687">
        <v>0</v>
      </c>
      <c r="AT158" s="691">
        <v>0</v>
      </c>
      <c r="AU158" s="685">
        <v>0</v>
      </c>
      <c r="AV158" s="687">
        <v>0</v>
      </c>
      <c r="AW158" s="692">
        <v>0</v>
      </c>
      <c r="AX158" s="693">
        <v>0</v>
      </c>
      <c r="AY158" s="692">
        <v>0</v>
      </c>
      <c r="AZ158" s="693">
        <v>0</v>
      </c>
      <c r="BA158" s="692">
        <v>0</v>
      </c>
      <c r="BB158" s="693">
        <v>0</v>
      </c>
      <c r="BC158" s="694">
        <v>0</v>
      </c>
      <c r="BD158" s="695">
        <v>0</v>
      </c>
      <c r="BE158" s="692">
        <v>0</v>
      </c>
      <c r="BF158" s="693">
        <v>0</v>
      </c>
      <c r="BG158" s="694">
        <v>0</v>
      </c>
      <c r="BH158" s="693">
        <v>0</v>
      </c>
      <c r="BI158" s="694">
        <v>0</v>
      </c>
      <c r="BJ158" s="693">
        <v>0</v>
      </c>
      <c r="BK158" s="694">
        <v>0</v>
      </c>
      <c r="BL158" s="693">
        <v>0</v>
      </c>
      <c r="BM158" s="694">
        <v>0</v>
      </c>
      <c r="BN158" s="693">
        <v>0</v>
      </c>
      <c r="BO158" s="694">
        <v>0</v>
      </c>
      <c r="BP158" s="693">
        <v>0</v>
      </c>
      <c r="BQ158" s="694">
        <v>0</v>
      </c>
      <c r="BR158" s="693">
        <v>0</v>
      </c>
      <c r="BS158" s="694">
        <v>0</v>
      </c>
      <c r="BT158" s="693">
        <v>0</v>
      </c>
      <c r="BU158" s="694">
        <v>0</v>
      </c>
      <c r="BV158" s="693">
        <v>0</v>
      </c>
      <c r="BW158" s="694">
        <v>0</v>
      </c>
      <c r="BX158" s="693">
        <v>0</v>
      </c>
      <c r="BY158" s="694">
        <v>0</v>
      </c>
      <c r="BZ158" s="693">
        <v>0</v>
      </c>
      <c r="CA158" s="694">
        <v>0</v>
      </c>
      <c r="CB158" s="693">
        <v>0</v>
      </c>
      <c r="CC158" s="692">
        <v>0</v>
      </c>
      <c r="CD158" s="695">
        <v>0</v>
      </c>
      <c r="CE158" s="692">
        <v>0</v>
      </c>
      <c r="CF158" s="695">
        <v>0</v>
      </c>
      <c r="CG158" s="692">
        <v>0</v>
      </c>
      <c r="CH158" s="695">
        <v>0</v>
      </c>
      <c r="CI158" s="692">
        <v>0</v>
      </c>
      <c r="CJ158" s="695">
        <v>0</v>
      </c>
      <c r="CK158" s="692">
        <v>0</v>
      </c>
      <c r="CL158" s="695">
        <v>0</v>
      </c>
      <c r="CM158" s="692">
        <v>0</v>
      </c>
      <c r="CN158" s="695">
        <v>0</v>
      </c>
      <c r="CO158" s="692">
        <v>0</v>
      </c>
      <c r="CP158" s="695">
        <v>0</v>
      </c>
      <c r="CQ158" s="692">
        <v>0</v>
      </c>
      <c r="CR158" s="693">
        <v>0</v>
      </c>
      <c r="CS158" s="692">
        <v>0</v>
      </c>
      <c r="CT158" s="693">
        <v>0</v>
      </c>
      <c r="CU158" s="694">
        <v>0</v>
      </c>
      <c r="CV158" s="693">
        <v>0</v>
      </c>
    </row>
    <row r="159" spans="1:100">
      <c r="A159" s="460">
        <v>157</v>
      </c>
      <c r="B159" s="580">
        <v>0</v>
      </c>
      <c r="C159" s="580">
        <v>0</v>
      </c>
      <c r="D159" s="580">
        <v>0</v>
      </c>
      <c r="E159" s="580">
        <v>0</v>
      </c>
      <c r="F159" s="580">
        <v>0</v>
      </c>
      <c r="G159" s="580">
        <v>0</v>
      </c>
      <c r="H159" s="580">
        <v>0</v>
      </c>
      <c r="I159" s="580">
        <v>0</v>
      </c>
      <c r="J159" s="580">
        <v>0</v>
      </c>
      <c r="K159" s="580">
        <v>0</v>
      </c>
      <c r="L159" s="580">
        <v>0</v>
      </c>
      <c r="M159" s="580">
        <v>0</v>
      </c>
      <c r="N159" s="580">
        <v>0</v>
      </c>
      <c r="O159" s="580">
        <v>0</v>
      </c>
      <c r="P159" s="580">
        <v>0</v>
      </c>
      <c r="Q159" s="580">
        <v>0</v>
      </c>
      <c r="R159" s="580">
        <v>0</v>
      </c>
      <c r="S159" s="580">
        <v>0</v>
      </c>
      <c r="T159" s="580">
        <v>0</v>
      </c>
      <c r="U159" s="580">
        <v>0</v>
      </c>
      <c r="V159" s="580">
        <v>0</v>
      </c>
      <c r="W159" s="595">
        <v>0</v>
      </c>
      <c r="X159" s="688">
        <v>0</v>
      </c>
      <c r="Y159" s="688">
        <v>0</v>
      </c>
      <c r="Z159" s="688">
        <v>0</v>
      </c>
      <c r="AA159" s="688">
        <v>0</v>
      </c>
      <c r="AB159" s="688">
        <v>0</v>
      </c>
      <c r="AC159" s="688">
        <v>0</v>
      </c>
      <c r="AD159" s="688">
        <v>0</v>
      </c>
      <c r="AE159" s="977">
        <v>0</v>
      </c>
      <c r="AF159" s="978">
        <v>0</v>
      </c>
      <c r="AG159" s="979">
        <v>0</v>
      </c>
      <c r="AH159" s="688">
        <v>0</v>
      </c>
      <c r="AI159" s="687">
        <v>0</v>
      </c>
      <c r="AJ159" s="685">
        <v>0</v>
      </c>
      <c r="AK159" s="687">
        <v>0</v>
      </c>
      <c r="AL159" s="689">
        <v>0</v>
      </c>
      <c r="AM159" s="685">
        <v>0</v>
      </c>
      <c r="AN159" s="685">
        <v>0</v>
      </c>
      <c r="AO159" s="689">
        <v>0</v>
      </c>
      <c r="AP159" s="690">
        <v>0</v>
      </c>
      <c r="AQ159" s="687">
        <v>0</v>
      </c>
      <c r="AR159" s="685">
        <v>0</v>
      </c>
      <c r="AS159" s="687">
        <v>0</v>
      </c>
      <c r="AT159" s="691">
        <v>0</v>
      </c>
      <c r="AU159" s="685">
        <v>0</v>
      </c>
      <c r="AV159" s="687">
        <v>0</v>
      </c>
      <c r="AW159" s="692">
        <v>0</v>
      </c>
      <c r="AX159" s="693">
        <v>0</v>
      </c>
      <c r="AY159" s="692">
        <v>0</v>
      </c>
      <c r="AZ159" s="693">
        <v>0</v>
      </c>
      <c r="BA159" s="692">
        <v>0</v>
      </c>
      <c r="BB159" s="693">
        <v>0</v>
      </c>
      <c r="BC159" s="694">
        <v>0</v>
      </c>
      <c r="BD159" s="695">
        <v>0</v>
      </c>
      <c r="BE159" s="692">
        <v>0</v>
      </c>
      <c r="BF159" s="693">
        <v>0</v>
      </c>
      <c r="BG159" s="694">
        <v>0</v>
      </c>
      <c r="BH159" s="693">
        <v>0</v>
      </c>
      <c r="BI159" s="694">
        <v>0</v>
      </c>
      <c r="BJ159" s="693">
        <v>0</v>
      </c>
      <c r="BK159" s="694">
        <v>0</v>
      </c>
      <c r="BL159" s="693">
        <v>0</v>
      </c>
      <c r="BM159" s="694">
        <v>0</v>
      </c>
      <c r="BN159" s="693">
        <v>0</v>
      </c>
      <c r="BO159" s="694">
        <v>0</v>
      </c>
      <c r="BP159" s="693">
        <v>0</v>
      </c>
      <c r="BQ159" s="694">
        <v>0</v>
      </c>
      <c r="BR159" s="693">
        <v>0</v>
      </c>
      <c r="BS159" s="694">
        <v>0</v>
      </c>
      <c r="BT159" s="693">
        <v>0</v>
      </c>
      <c r="BU159" s="694">
        <v>0</v>
      </c>
      <c r="BV159" s="693">
        <v>0</v>
      </c>
      <c r="BW159" s="694">
        <v>0</v>
      </c>
      <c r="BX159" s="693">
        <v>0</v>
      </c>
      <c r="BY159" s="694">
        <v>0</v>
      </c>
      <c r="BZ159" s="693">
        <v>0</v>
      </c>
      <c r="CA159" s="694">
        <v>0</v>
      </c>
      <c r="CB159" s="693">
        <v>0</v>
      </c>
      <c r="CC159" s="692">
        <v>0</v>
      </c>
      <c r="CD159" s="695">
        <v>0</v>
      </c>
      <c r="CE159" s="692">
        <v>0</v>
      </c>
      <c r="CF159" s="695">
        <v>0</v>
      </c>
      <c r="CG159" s="692">
        <v>0</v>
      </c>
      <c r="CH159" s="695">
        <v>0</v>
      </c>
      <c r="CI159" s="692">
        <v>0</v>
      </c>
      <c r="CJ159" s="695">
        <v>0</v>
      </c>
      <c r="CK159" s="692">
        <v>0</v>
      </c>
      <c r="CL159" s="695">
        <v>0</v>
      </c>
      <c r="CM159" s="692">
        <v>0</v>
      </c>
      <c r="CN159" s="695">
        <v>0</v>
      </c>
      <c r="CO159" s="692">
        <v>0</v>
      </c>
      <c r="CP159" s="695">
        <v>0</v>
      </c>
      <c r="CQ159" s="692">
        <v>0</v>
      </c>
      <c r="CR159" s="693">
        <v>0</v>
      </c>
      <c r="CS159" s="692">
        <v>0</v>
      </c>
      <c r="CT159" s="693">
        <v>0</v>
      </c>
      <c r="CU159" s="694">
        <v>0</v>
      </c>
      <c r="CV159" s="693">
        <v>0</v>
      </c>
    </row>
    <row r="160" spans="1:100">
      <c r="A160" s="460">
        <v>158</v>
      </c>
      <c r="B160" s="580">
        <v>0</v>
      </c>
      <c r="C160" s="580">
        <v>0</v>
      </c>
      <c r="D160" s="580">
        <v>0</v>
      </c>
      <c r="E160" s="580">
        <v>0</v>
      </c>
      <c r="F160" s="580">
        <v>0</v>
      </c>
      <c r="G160" s="580">
        <v>0</v>
      </c>
      <c r="H160" s="580">
        <v>0</v>
      </c>
      <c r="I160" s="580">
        <v>0</v>
      </c>
      <c r="J160" s="580">
        <v>0</v>
      </c>
      <c r="K160" s="580">
        <v>0</v>
      </c>
      <c r="L160" s="580">
        <v>0</v>
      </c>
      <c r="M160" s="580">
        <v>0</v>
      </c>
      <c r="N160" s="580">
        <v>0</v>
      </c>
      <c r="O160" s="580">
        <v>0</v>
      </c>
      <c r="P160" s="580">
        <v>0</v>
      </c>
      <c r="Q160" s="580">
        <v>0</v>
      </c>
      <c r="R160" s="580">
        <v>0</v>
      </c>
      <c r="S160" s="580">
        <v>0</v>
      </c>
      <c r="T160" s="580">
        <v>0</v>
      </c>
      <c r="U160" s="580">
        <v>0</v>
      </c>
      <c r="V160" s="580">
        <v>0</v>
      </c>
      <c r="W160" s="595">
        <v>0</v>
      </c>
      <c r="X160" s="688">
        <v>0</v>
      </c>
      <c r="Y160" s="688">
        <v>0</v>
      </c>
      <c r="Z160" s="688">
        <v>0</v>
      </c>
      <c r="AA160" s="688">
        <v>0</v>
      </c>
      <c r="AB160" s="688">
        <v>0</v>
      </c>
      <c r="AC160" s="688">
        <v>0</v>
      </c>
      <c r="AD160" s="688">
        <v>0</v>
      </c>
      <c r="AE160" s="977">
        <v>0</v>
      </c>
      <c r="AF160" s="978">
        <v>0</v>
      </c>
      <c r="AG160" s="979">
        <v>0</v>
      </c>
      <c r="AH160" s="688">
        <v>0</v>
      </c>
      <c r="AI160" s="687">
        <v>0</v>
      </c>
      <c r="AJ160" s="685">
        <v>0</v>
      </c>
      <c r="AK160" s="687">
        <v>0</v>
      </c>
      <c r="AL160" s="689">
        <v>0</v>
      </c>
      <c r="AM160" s="685">
        <v>0</v>
      </c>
      <c r="AN160" s="685">
        <v>0</v>
      </c>
      <c r="AO160" s="689">
        <v>0</v>
      </c>
      <c r="AP160" s="690">
        <v>0</v>
      </c>
      <c r="AQ160" s="687">
        <v>0</v>
      </c>
      <c r="AR160" s="685">
        <v>0</v>
      </c>
      <c r="AS160" s="687">
        <v>0</v>
      </c>
      <c r="AT160" s="691">
        <v>0</v>
      </c>
      <c r="AU160" s="685">
        <v>0</v>
      </c>
      <c r="AV160" s="687">
        <v>0</v>
      </c>
      <c r="AW160" s="692">
        <v>0</v>
      </c>
      <c r="AX160" s="693">
        <v>0</v>
      </c>
      <c r="AY160" s="692">
        <v>0</v>
      </c>
      <c r="AZ160" s="693">
        <v>0</v>
      </c>
      <c r="BA160" s="692">
        <v>0</v>
      </c>
      <c r="BB160" s="693">
        <v>0</v>
      </c>
      <c r="BC160" s="694">
        <v>0</v>
      </c>
      <c r="BD160" s="695">
        <v>0</v>
      </c>
      <c r="BE160" s="692">
        <v>0</v>
      </c>
      <c r="BF160" s="693">
        <v>0</v>
      </c>
      <c r="BG160" s="694">
        <v>0</v>
      </c>
      <c r="BH160" s="693">
        <v>0</v>
      </c>
      <c r="BI160" s="694">
        <v>0</v>
      </c>
      <c r="BJ160" s="693">
        <v>0</v>
      </c>
      <c r="BK160" s="694">
        <v>0</v>
      </c>
      <c r="BL160" s="693">
        <v>0</v>
      </c>
      <c r="BM160" s="694">
        <v>0</v>
      </c>
      <c r="BN160" s="693">
        <v>0</v>
      </c>
      <c r="BO160" s="694">
        <v>0</v>
      </c>
      <c r="BP160" s="693">
        <v>0</v>
      </c>
      <c r="BQ160" s="694">
        <v>0</v>
      </c>
      <c r="BR160" s="693">
        <v>0</v>
      </c>
      <c r="BS160" s="694">
        <v>0</v>
      </c>
      <c r="BT160" s="693">
        <v>0</v>
      </c>
      <c r="BU160" s="694">
        <v>0</v>
      </c>
      <c r="BV160" s="693">
        <v>0</v>
      </c>
      <c r="BW160" s="694">
        <v>0</v>
      </c>
      <c r="BX160" s="693">
        <v>0</v>
      </c>
      <c r="BY160" s="694">
        <v>0</v>
      </c>
      <c r="BZ160" s="693">
        <v>0</v>
      </c>
      <c r="CA160" s="694">
        <v>0</v>
      </c>
      <c r="CB160" s="693">
        <v>0</v>
      </c>
      <c r="CC160" s="692">
        <v>0</v>
      </c>
      <c r="CD160" s="695">
        <v>0</v>
      </c>
      <c r="CE160" s="692">
        <v>0</v>
      </c>
      <c r="CF160" s="695">
        <v>0</v>
      </c>
      <c r="CG160" s="692">
        <v>0</v>
      </c>
      <c r="CH160" s="695">
        <v>0</v>
      </c>
      <c r="CI160" s="692">
        <v>0</v>
      </c>
      <c r="CJ160" s="695">
        <v>0</v>
      </c>
      <c r="CK160" s="692">
        <v>0</v>
      </c>
      <c r="CL160" s="695">
        <v>0</v>
      </c>
      <c r="CM160" s="692">
        <v>0</v>
      </c>
      <c r="CN160" s="695">
        <v>0</v>
      </c>
      <c r="CO160" s="692">
        <v>0</v>
      </c>
      <c r="CP160" s="695">
        <v>0</v>
      </c>
      <c r="CQ160" s="692">
        <v>0</v>
      </c>
      <c r="CR160" s="693">
        <v>0</v>
      </c>
      <c r="CS160" s="692">
        <v>0</v>
      </c>
      <c r="CT160" s="693">
        <v>0</v>
      </c>
      <c r="CU160" s="694">
        <v>0</v>
      </c>
      <c r="CV160" s="693">
        <v>0</v>
      </c>
    </row>
    <row r="161" spans="1:100">
      <c r="A161" s="460">
        <v>159</v>
      </c>
      <c r="B161" s="580">
        <v>0</v>
      </c>
      <c r="C161" s="580">
        <v>0</v>
      </c>
      <c r="D161" s="580">
        <v>0</v>
      </c>
      <c r="E161" s="580">
        <v>0</v>
      </c>
      <c r="F161" s="580">
        <v>0</v>
      </c>
      <c r="G161" s="580">
        <v>0</v>
      </c>
      <c r="H161" s="580">
        <v>0</v>
      </c>
      <c r="I161" s="580">
        <v>0</v>
      </c>
      <c r="J161" s="580">
        <v>0</v>
      </c>
      <c r="K161" s="580">
        <v>0</v>
      </c>
      <c r="L161" s="580">
        <v>0</v>
      </c>
      <c r="M161" s="580">
        <v>0</v>
      </c>
      <c r="N161" s="580">
        <v>0</v>
      </c>
      <c r="O161" s="580">
        <v>0</v>
      </c>
      <c r="P161" s="580">
        <v>0</v>
      </c>
      <c r="Q161" s="580">
        <v>0</v>
      </c>
      <c r="R161" s="580">
        <v>0</v>
      </c>
      <c r="S161" s="580">
        <v>0</v>
      </c>
      <c r="T161" s="580">
        <v>0</v>
      </c>
      <c r="U161" s="580">
        <v>0</v>
      </c>
      <c r="V161" s="580">
        <v>0</v>
      </c>
      <c r="W161" s="595">
        <v>0</v>
      </c>
      <c r="X161" s="688">
        <v>0</v>
      </c>
      <c r="Y161" s="688">
        <v>0</v>
      </c>
      <c r="Z161" s="688">
        <v>0</v>
      </c>
      <c r="AA161" s="688">
        <v>0</v>
      </c>
      <c r="AB161" s="688">
        <v>0</v>
      </c>
      <c r="AC161" s="688">
        <v>0</v>
      </c>
      <c r="AD161" s="688">
        <v>0</v>
      </c>
      <c r="AE161" s="977">
        <v>0</v>
      </c>
      <c r="AF161" s="978">
        <v>0</v>
      </c>
      <c r="AG161" s="979">
        <v>0</v>
      </c>
      <c r="AH161" s="688">
        <v>0</v>
      </c>
      <c r="AI161" s="687">
        <v>0</v>
      </c>
      <c r="AJ161" s="685">
        <v>0</v>
      </c>
      <c r="AK161" s="687">
        <v>0</v>
      </c>
      <c r="AL161" s="689">
        <v>0</v>
      </c>
      <c r="AM161" s="685">
        <v>0</v>
      </c>
      <c r="AN161" s="685">
        <v>0</v>
      </c>
      <c r="AO161" s="689">
        <v>0</v>
      </c>
      <c r="AP161" s="690">
        <v>0</v>
      </c>
      <c r="AQ161" s="687">
        <v>0</v>
      </c>
      <c r="AR161" s="685">
        <v>0</v>
      </c>
      <c r="AS161" s="687">
        <v>0</v>
      </c>
      <c r="AT161" s="691">
        <v>0</v>
      </c>
      <c r="AU161" s="685">
        <v>0</v>
      </c>
      <c r="AV161" s="687">
        <v>0</v>
      </c>
      <c r="AW161" s="692">
        <v>0</v>
      </c>
      <c r="AX161" s="693">
        <v>0</v>
      </c>
      <c r="AY161" s="692">
        <v>0</v>
      </c>
      <c r="AZ161" s="693">
        <v>0</v>
      </c>
      <c r="BA161" s="692">
        <v>0</v>
      </c>
      <c r="BB161" s="693">
        <v>0</v>
      </c>
      <c r="BC161" s="694">
        <v>0</v>
      </c>
      <c r="BD161" s="695">
        <v>0</v>
      </c>
      <c r="BE161" s="692">
        <v>0</v>
      </c>
      <c r="BF161" s="693">
        <v>0</v>
      </c>
      <c r="BG161" s="694">
        <v>0</v>
      </c>
      <c r="BH161" s="693">
        <v>0</v>
      </c>
      <c r="BI161" s="694">
        <v>0</v>
      </c>
      <c r="BJ161" s="693">
        <v>0</v>
      </c>
      <c r="BK161" s="694">
        <v>0</v>
      </c>
      <c r="BL161" s="693">
        <v>0</v>
      </c>
      <c r="BM161" s="694">
        <v>0</v>
      </c>
      <c r="BN161" s="693">
        <v>0</v>
      </c>
      <c r="BO161" s="694">
        <v>0</v>
      </c>
      <c r="BP161" s="693">
        <v>0</v>
      </c>
      <c r="BQ161" s="694">
        <v>0</v>
      </c>
      <c r="BR161" s="693">
        <v>0</v>
      </c>
      <c r="BS161" s="694">
        <v>0</v>
      </c>
      <c r="BT161" s="693">
        <v>0</v>
      </c>
      <c r="BU161" s="694">
        <v>0</v>
      </c>
      <c r="BV161" s="693">
        <v>0</v>
      </c>
      <c r="BW161" s="694">
        <v>0</v>
      </c>
      <c r="BX161" s="693">
        <v>0</v>
      </c>
      <c r="BY161" s="694">
        <v>0</v>
      </c>
      <c r="BZ161" s="693">
        <v>0</v>
      </c>
      <c r="CA161" s="694">
        <v>0</v>
      </c>
      <c r="CB161" s="693">
        <v>0</v>
      </c>
      <c r="CC161" s="692">
        <v>0</v>
      </c>
      <c r="CD161" s="695">
        <v>0</v>
      </c>
      <c r="CE161" s="692">
        <v>0</v>
      </c>
      <c r="CF161" s="695">
        <v>0</v>
      </c>
      <c r="CG161" s="692">
        <v>0</v>
      </c>
      <c r="CH161" s="695">
        <v>0</v>
      </c>
      <c r="CI161" s="692">
        <v>0</v>
      </c>
      <c r="CJ161" s="695">
        <v>0</v>
      </c>
      <c r="CK161" s="692">
        <v>0</v>
      </c>
      <c r="CL161" s="695">
        <v>0</v>
      </c>
      <c r="CM161" s="692">
        <v>0</v>
      </c>
      <c r="CN161" s="695">
        <v>0</v>
      </c>
      <c r="CO161" s="692">
        <v>0</v>
      </c>
      <c r="CP161" s="695">
        <v>0</v>
      </c>
      <c r="CQ161" s="692">
        <v>0</v>
      </c>
      <c r="CR161" s="693">
        <v>0</v>
      </c>
      <c r="CS161" s="692">
        <v>0</v>
      </c>
      <c r="CT161" s="693">
        <v>0</v>
      </c>
      <c r="CU161" s="694">
        <v>0</v>
      </c>
      <c r="CV161" s="693">
        <v>0</v>
      </c>
    </row>
    <row r="162" spans="1:100">
      <c r="A162" s="460">
        <v>160</v>
      </c>
      <c r="B162" s="580">
        <v>0</v>
      </c>
      <c r="C162" s="580">
        <v>0</v>
      </c>
      <c r="D162" s="580">
        <v>0</v>
      </c>
      <c r="E162" s="580">
        <v>0</v>
      </c>
      <c r="F162" s="580">
        <v>0</v>
      </c>
      <c r="G162" s="580">
        <v>0</v>
      </c>
      <c r="H162" s="580">
        <v>0</v>
      </c>
      <c r="I162" s="580">
        <v>0</v>
      </c>
      <c r="J162" s="580">
        <v>0</v>
      </c>
      <c r="K162" s="580">
        <v>0</v>
      </c>
      <c r="L162" s="580">
        <v>0</v>
      </c>
      <c r="M162" s="580">
        <v>0</v>
      </c>
      <c r="N162" s="580">
        <v>0</v>
      </c>
      <c r="O162" s="580">
        <v>0</v>
      </c>
      <c r="P162" s="580">
        <v>0</v>
      </c>
      <c r="Q162" s="580">
        <v>0</v>
      </c>
      <c r="R162" s="580">
        <v>0</v>
      </c>
      <c r="S162" s="580">
        <v>0</v>
      </c>
      <c r="T162" s="580">
        <v>0</v>
      </c>
      <c r="U162" s="580">
        <v>0</v>
      </c>
      <c r="V162" s="580">
        <v>0</v>
      </c>
      <c r="W162" s="595">
        <v>0</v>
      </c>
      <c r="X162" s="688">
        <v>0</v>
      </c>
      <c r="Y162" s="688">
        <v>0</v>
      </c>
      <c r="Z162" s="688">
        <v>0</v>
      </c>
      <c r="AA162" s="688">
        <v>0</v>
      </c>
      <c r="AB162" s="688">
        <v>0</v>
      </c>
      <c r="AC162" s="688">
        <v>0</v>
      </c>
      <c r="AD162" s="688">
        <v>0</v>
      </c>
      <c r="AE162" s="977">
        <v>0</v>
      </c>
      <c r="AF162" s="978">
        <v>0</v>
      </c>
      <c r="AG162" s="979">
        <v>0</v>
      </c>
      <c r="AH162" s="688">
        <v>0</v>
      </c>
      <c r="AI162" s="687">
        <v>0</v>
      </c>
      <c r="AJ162" s="685">
        <v>0</v>
      </c>
      <c r="AK162" s="687">
        <v>0</v>
      </c>
      <c r="AL162" s="689">
        <v>0</v>
      </c>
      <c r="AM162" s="685">
        <v>0</v>
      </c>
      <c r="AN162" s="685">
        <v>0</v>
      </c>
      <c r="AO162" s="689">
        <v>0</v>
      </c>
      <c r="AP162" s="690">
        <v>0</v>
      </c>
      <c r="AQ162" s="687">
        <v>0</v>
      </c>
      <c r="AR162" s="685">
        <v>0</v>
      </c>
      <c r="AS162" s="687">
        <v>0</v>
      </c>
      <c r="AT162" s="691">
        <v>0</v>
      </c>
      <c r="AU162" s="685">
        <v>0</v>
      </c>
      <c r="AV162" s="687">
        <v>0</v>
      </c>
      <c r="AW162" s="692">
        <v>0</v>
      </c>
      <c r="AX162" s="693">
        <v>0</v>
      </c>
      <c r="AY162" s="692">
        <v>0</v>
      </c>
      <c r="AZ162" s="693">
        <v>0</v>
      </c>
      <c r="BA162" s="692">
        <v>0</v>
      </c>
      <c r="BB162" s="693">
        <v>0</v>
      </c>
      <c r="BC162" s="694">
        <v>0</v>
      </c>
      <c r="BD162" s="695">
        <v>0</v>
      </c>
      <c r="BE162" s="692">
        <v>0</v>
      </c>
      <c r="BF162" s="693">
        <v>0</v>
      </c>
      <c r="BG162" s="694">
        <v>0</v>
      </c>
      <c r="BH162" s="693">
        <v>0</v>
      </c>
      <c r="BI162" s="694">
        <v>0</v>
      </c>
      <c r="BJ162" s="693">
        <v>0</v>
      </c>
      <c r="BK162" s="694">
        <v>0</v>
      </c>
      <c r="BL162" s="693">
        <v>0</v>
      </c>
      <c r="BM162" s="694">
        <v>0</v>
      </c>
      <c r="BN162" s="693">
        <v>0</v>
      </c>
      <c r="BO162" s="694">
        <v>0</v>
      </c>
      <c r="BP162" s="693">
        <v>0</v>
      </c>
      <c r="BQ162" s="694">
        <v>0</v>
      </c>
      <c r="BR162" s="693">
        <v>0</v>
      </c>
      <c r="BS162" s="694">
        <v>0</v>
      </c>
      <c r="BT162" s="693">
        <v>0</v>
      </c>
      <c r="BU162" s="694">
        <v>0</v>
      </c>
      <c r="BV162" s="693">
        <v>0</v>
      </c>
      <c r="BW162" s="694">
        <v>0</v>
      </c>
      <c r="BX162" s="693">
        <v>0</v>
      </c>
      <c r="BY162" s="694">
        <v>0</v>
      </c>
      <c r="BZ162" s="693">
        <v>0</v>
      </c>
      <c r="CA162" s="694">
        <v>0</v>
      </c>
      <c r="CB162" s="693">
        <v>0</v>
      </c>
      <c r="CC162" s="692">
        <v>0</v>
      </c>
      <c r="CD162" s="695">
        <v>0</v>
      </c>
      <c r="CE162" s="692">
        <v>0</v>
      </c>
      <c r="CF162" s="695">
        <v>0</v>
      </c>
      <c r="CG162" s="692">
        <v>0</v>
      </c>
      <c r="CH162" s="695">
        <v>0</v>
      </c>
      <c r="CI162" s="692">
        <v>0</v>
      </c>
      <c r="CJ162" s="695">
        <v>0</v>
      </c>
      <c r="CK162" s="692">
        <v>0</v>
      </c>
      <c r="CL162" s="695">
        <v>0</v>
      </c>
      <c r="CM162" s="692">
        <v>0</v>
      </c>
      <c r="CN162" s="695">
        <v>0</v>
      </c>
      <c r="CO162" s="692">
        <v>0</v>
      </c>
      <c r="CP162" s="695">
        <v>0</v>
      </c>
      <c r="CQ162" s="692">
        <v>0</v>
      </c>
      <c r="CR162" s="693">
        <v>0</v>
      </c>
      <c r="CS162" s="692">
        <v>0</v>
      </c>
      <c r="CT162" s="693">
        <v>0</v>
      </c>
      <c r="CU162" s="694">
        <v>0</v>
      </c>
      <c r="CV162" s="693">
        <v>0</v>
      </c>
    </row>
    <row r="163" spans="1:100">
      <c r="A163" s="460">
        <v>161</v>
      </c>
      <c r="B163" s="580">
        <v>0</v>
      </c>
      <c r="C163" s="580">
        <v>0</v>
      </c>
      <c r="D163" s="580">
        <v>0</v>
      </c>
      <c r="E163" s="580">
        <v>0</v>
      </c>
      <c r="F163" s="580">
        <v>0</v>
      </c>
      <c r="G163" s="580">
        <v>0</v>
      </c>
      <c r="H163" s="580">
        <v>0</v>
      </c>
      <c r="I163" s="580">
        <v>0</v>
      </c>
      <c r="J163" s="580">
        <v>0</v>
      </c>
      <c r="K163" s="580">
        <v>0</v>
      </c>
      <c r="L163" s="580">
        <v>0</v>
      </c>
      <c r="M163" s="580">
        <v>0</v>
      </c>
      <c r="N163" s="580">
        <v>0</v>
      </c>
      <c r="O163" s="580">
        <v>0</v>
      </c>
      <c r="P163" s="580">
        <v>0</v>
      </c>
      <c r="Q163" s="580">
        <v>0</v>
      </c>
      <c r="R163" s="580">
        <v>0</v>
      </c>
      <c r="S163" s="580">
        <v>0</v>
      </c>
      <c r="T163" s="580">
        <v>0</v>
      </c>
      <c r="U163" s="580">
        <v>0</v>
      </c>
      <c r="V163" s="580">
        <v>0</v>
      </c>
      <c r="W163" s="595">
        <v>0</v>
      </c>
      <c r="X163" s="688">
        <v>0</v>
      </c>
      <c r="Y163" s="688">
        <v>0</v>
      </c>
      <c r="Z163" s="688">
        <v>0</v>
      </c>
      <c r="AA163" s="688">
        <v>0</v>
      </c>
      <c r="AB163" s="688">
        <v>0</v>
      </c>
      <c r="AC163" s="688">
        <v>0</v>
      </c>
      <c r="AD163" s="688">
        <v>0</v>
      </c>
      <c r="AE163" s="977">
        <v>0</v>
      </c>
      <c r="AF163" s="978">
        <v>0</v>
      </c>
      <c r="AG163" s="979">
        <v>0</v>
      </c>
      <c r="AH163" s="688">
        <v>0</v>
      </c>
      <c r="AI163" s="687">
        <v>0</v>
      </c>
      <c r="AJ163" s="685">
        <v>0</v>
      </c>
      <c r="AK163" s="687">
        <v>0</v>
      </c>
      <c r="AL163" s="689">
        <v>0</v>
      </c>
      <c r="AM163" s="685">
        <v>0</v>
      </c>
      <c r="AN163" s="685">
        <v>0</v>
      </c>
      <c r="AO163" s="689">
        <v>0</v>
      </c>
      <c r="AP163" s="690">
        <v>0</v>
      </c>
      <c r="AQ163" s="687">
        <v>0</v>
      </c>
      <c r="AR163" s="685">
        <v>0</v>
      </c>
      <c r="AS163" s="687">
        <v>0</v>
      </c>
      <c r="AT163" s="691">
        <v>0</v>
      </c>
      <c r="AU163" s="685">
        <v>0</v>
      </c>
      <c r="AV163" s="687">
        <v>0</v>
      </c>
      <c r="AW163" s="692">
        <v>0</v>
      </c>
      <c r="AX163" s="693">
        <v>0</v>
      </c>
      <c r="AY163" s="692">
        <v>0</v>
      </c>
      <c r="AZ163" s="693">
        <v>0</v>
      </c>
      <c r="BA163" s="692">
        <v>0</v>
      </c>
      <c r="BB163" s="693">
        <v>0</v>
      </c>
      <c r="BC163" s="694">
        <v>0</v>
      </c>
      <c r="BD163" s="695">
        <v>0</v>
      </c>
      <c r="BE163" s="692">
        <v>0</v>
      </c>
      <c r="BF163" s="693">
        <v>0</v>
      </c>
      <c r="BG163" s="694">
        <v>0</v>
      </c>
      <c r="BH163" s="693">
        <v>0</v>
      </c>
      <c r="BI163" s="694">
        <v>0</v>
      </c>
      <c r="BJ163" s="693">
        <v>0</v>
      </c>
      <c r="BK163" s="694">
        <v>0</v>
      </c>
      <c r="BL163" s="693">
        <v>0</v>
      </c>
      <c r="BM163" s="694">
        <v>0</v>
      </c>
      <c r="BN163" s="693">
        <v>0</v>
      </c>
      <c r="BO163" s="694">
        <v>0</v>
      </c>
      <c r="BP163" s="693">
        <v>0</v>
      </c>
      <c r="BQ163" s="694">
        <v>0</v>
      </c>
      <c r="BR163" s="693">
        <v>0</v>
      </c>
      <c r="BS163" s="694">
        <v>0</v>
      </c>
      <c r="BT163" s="693">
        <v>0</v>
      </c>
      <c r="BU163" s="694">
        <v>0</v>
      </c>
      <c r="BV163" s="693">
        <v>0</v>
      </c>
      <c r="BW163" s="694">
        <v>0</v>
      </c>
      <c r="BX163" s="693">
        <v>0</v>
      </c>
      <c r="BY163" s="694">
        <v>0</v>
      </c>
      <c r="BZ163" s="693">
        <v>0</v>
      </c>
      <c r="CA163" s="694">
        <v>0</v>
      </c>
      <c r="CB163" s="693">
        <v>0</v>
      </c>
      <c r="CC163" s="692">
        <v>0</v>
      </c>
      <c r="CD163" s="695">
        <v>0</v>
      </c>
      <c r="CE163" s="692">
        <v>0</v>
      </c>
      <c r="CF163" s="695">
        <v>0</v>
      </c>
      <c r="CG163" s="692">
        <v>0</v>
      </c>
      <c r="CH163" s="695">
        <v>0</v>
      </c>
      <c r="CI163" s="692">
        <v>0</v>
      </c>
      <c r="CJ163" s="695">
        <v>0</v>
      </c>
      <c r="CK163" s="692">
        <v>0</v>
      </c>
      <c r="CL163" s="695">
        <v>0</v>
      </c>
      <c r="CM163" s="692">
        <v>0</v>
      </c>
      <c r="CN163" s="695">
        <v>0</v>
      </c>
      <c r="CO163" s="692">
        <v>0</v>
      </c>
      <c r="CP163" s="695">
        <v>0</v>
      </c>
      <c r="CQ163" s="692">
        <v>0</v>
      </c>
      <c r="CR163" s="693">
        <v>0</v>
      </c>
      <c r="CS163" s="692">
        <v>0</v>
      </c>
      <c r="CT163" s="693">
        <v>0</v>
      </c>
      <c r="CU163" s="694">
        <v>0</v>
      </c>
      <c r="CV163" s="693">
        <v>0</v>
      </c>
    </row>
    <row r="164" spans="1:100">
      <c r="A164" s="460">
        <v>162</v>
      </c>
      <c r="B164" s="580">
        <v>0</v>
      </c>
      <c r="C164" s="580">
        <v>0</v>
      </c>
      <c r="D164" s="580">
        <v>0</v>
      </c>
      <c r="E164" s="580">
        <v>0</v>
      </c>
      <c r="F164" s="580">
        <v>0</v>
      </c>
      <c r="G164" s="580">
        <v>0</v>
      </c>
      <c r="H164" s="580">
        <v>0</v>
      </c>
      <c r="I164" s="580">
        <v>0</v>
      </c>
      <c r="J164" s="580">
        <v>0</v>
      </c>
      <c r="K164" s="580">
        <v>0</v>
      </c>
      <c r="L164" s="580">
        <v>0</v>
      </c>
      <c r="M164" s="580">
        <v>0</v>
      </c>
      <c r="N164" s="580">
        <v>0</v>
      </c>
      <c r="O164" s="580">
        <v>0</v>
      </c>
      <c r="P164" s="580">
        <v>0</v>
      </c>
      <c r="Q164" s="580">
        <v>0</v>
      </c>
      <c r="R164" s="580">
        <v>0</v>
      </c>
      <c r="S164" s="580">
        <v>0</v>
      </c>
      <c r="T164" s="580">
        <v>0</v>
      </c>
      <c r="U164" s="580">
        <v>0</v>
      </c>
      <c r="V164" s="580">
        <v>0</v>
      </c>
      <c r="W164" s="595">
        <v>0</v>
      </c>
      <c r="X164" s="688">
        <v>0</v>
      </c>
      <c r="Y164" s="688">
        <v>0</v>
      </c>
      <c r="Z164" s="688">
        <v>0</v>
      </c>
      <c r="AA164" s="688">
        <v>0</v>
      </c>
      <c r="AB164" s="688">
        <v>0</v>
      </c>
      <c r="AC164" s="688">
        <v>0</v>
      </c>
      <c r="AD164" s="688">
        <v>0</v>
      </c>
      <c r="AE164" s="977">
        <v>0</v>
      </c>
      <c r="AF164" s="978">
        <v>0</v>
      </c>
      <c r="AG164" s="979">
        <v>0</v>
      </c>
      <c r="AH164" s="688">
        <v>0</v>
      </c>
      <c r="AI164" s="687">
        <v>0</v>
      </c>
      <c r="AJ164" s="685">
        <v>0</v>
      </c>
      <c r="AK164" s="687">
        <v>0</v>
      </c>
      <c r="AL164" s="689">
        <v>0</v>
      </c>
      <c r="AM164" s="685">
        <v>0</v>
      </c>
      <c r="AN164" s="685">
        <v>0</v>
      </c>
      <c r="AO164" s="689">
        <v>0</v>
      </c>
      <c r="AP164" s="690">
        <v>0</v>
      </c>
      <c r="AQ164" s="687">
        <v>0</v>
      </c>
      <c r="AR164" s="685">
        <v>0</v>
      </c>
      <c r="AS164" s="687">
        <v>0</v>
      </c>
      <c r="AT164" s="691">
        <v>0</v>
      </c>
      <c r="AU164" s="685">
        <v>0</v>
      </c>
      <c r="AV164" s="687">
        <v>0</v>
      </c>
      <c r="AW164" s="692">
        <v>0</v>
      </c>
      <c r="AX164" s="693">
        <v>0</v>
      </c>
      <c r="AY164" s="692">
        <v>0</v>
      </c>
      <c r="AZ164" s="693">
        <v>0</v>
      </c>
      <c r="BA164" s="692">
        <v>0</v>
      </c>
      <c r="BB164" s="693">
        <v>0</v>
      </c>
      <c r="BC164" s="694">
        <v>0</v>
      </c>
      <c r="BD164" s="695">
        <v>0</v>
      </c>
      <c r="BE164" s="692">
        <v>0</v>
      </c>
      <c r="BF164" s="693">
        <v>0</v>
      </c>
      <c r="BG164" s="694">
        <v>0</v>
      </c>
      <c r="BH164" s="693">
        <v>0</v>
      </c>
      <c r="BI164" s="694">
        <v>0</v>
      </c>
      <c r="BJ164" s="693">
        <v>0</v>
      </c>
      <c r="BK164" s="694">
        <v>0</v>
      </c>
      <c r="BL164" s="693">
        <v>0</v>
      </c>
      <c r="BM164" s="694">
        <v>0</v>
      </c>
      <c r="BN164" s="693">
        <v>0</v>
      </c>
      <c r="BO164" s="694">
        <v>0</v>
      </c>
      <c r="BP164" s="693">
        <v>0</v>
      </c>
      <c r="BQ164" s="694">
        <v>0</v>
      </c>
      <c r="BR164" s="693">
        <v>0</v>
      </c>
      <c r="BS164" s="694">
        <v>0</v>
      </c>
      <c r="BT164" s="693">
        <v>0</v>
      </c>
      <c r="BU164" s="694">
        <v>0</v>
      </c>
      <c r="BV164" s="693">
        <v>0</v>
      </c>
      <c r="BW164" s="694">
        <v>0</v>
      </c>
      <c r="BX164" s="693">
        <v>0</v>
      </c>
      <c r="BY164" s="694">
        <v>0</v>
      </c>
      <c r="BZ164" s="693">
        <v>0</v>
      </c>
      <c r="CA164" s="694">
        <v>0</v>
      </c>
      <c r="CB164" s="693">
        <v>0</v>
      </c>
      <c r="CC164" s="692">
        <v>0</v>
      </c>
      <c r="CD164" s="695">
        <v>0</v>
      </c>
      <c r="CE164" s="692">
        <v>0</v>
      </c>
      <c r="CF164" s="695">
        <v>0</v>
      </c>
      <c r="CG164" s="692">
        <v>0</v>
      </c>
      <c r="CH164" s="695">
        <v>0</v>
      </c>
      <c r="CI164" s="692">
        <v>0</v>
      </c>
      <c r="CJ164" s="695">
        <v>0</v>
      </c>
      <c r="CK164" s="692">
        <v>0</v>
      </c>
      <c r="CL164" s="695">
        <v>0</v>
      </c>
      <c r="CM164" s="692">
        <v>0</v>
      </c>
      <c r="CN164" s="695">
        <v>0</v>
      </c>
      <c r="CO164" s="692">
        <v>0</v>
      </c>
      <c r="CP164" s="695">
        <v>0</v>
      </c>
      <c r="CQ164" s="692">
        <v>0</v>
      </c>
      <c r="CR164" s="693">
        <v>0</v>
      </c>
      <c r="CS164" s="692">
        <v>0</v>
      </c>
      <c r="CT164" s="693">
        <v>0</v>
      </c>
      <c r="CU164" s="694">
        <v>0</v>
      </c>
      <c r="CV164" s="693">
        <v>0</v>
      </c>
    </row>
    <row r="165" spans="1:100">
      <c r="A165" s="460">
        <v>163</v>
      </c>
      <c r="B165" s="580">
        <v>0</v>
      </c>
      <c r="C165" s="580">
        <v>0</v>
      </c>
      <c r="D165" s="580">
        <v>0</v>
      </c>
      <c r="E165" s="580">
        <v>0</v>
      </c>
      <c r="F165" s="580">
        <v>0</v>
      </c>
      <c r="G165" s="580">
        <v>0</v>
      </c>
      <c r="H165" s="580">
        <v>0</v>
      </c>
      <c r="I165" s="580">
        <v>0</v>
      </c>
      <c r="J165" s="580">
        <v>0</v>
      </c>
      <c r="K165" s="580">
        <v>0</v>
      </c>
      <c r="L165" s="580">
        <v>0</v>
      </c>
      <c r="M165" s="580">
        <v>0</v>
      </c>
      <c r="N165" s="580">
        <v>0</v>
      </c>
      <c r="O165" s="580">
        <v>0</v>
      </c>
      <c r="P165" s="580">
        <v>0</v>
      </c>
      <c r="Q165" s="580">
        <v>0</v>
      </c>
      <c r="R165" s="580">
        <v>0</v>
      </c>
      <c r="S165" s="580">
        <v>0</v>
      </c>
      <c r="T165" s="580">
        <v>0</v>
      </c>
      <c r="U165" s="580">
        <v>0</v>
      </c>
      <c r="V165" s="580">
        <v>0</v>
      </c>
      <c r="W165" s="595">
        <v>0</v>
      </c>
      <c r="X165" s="688">
        <v>0</v>
      </c>
      <c r="Y165" s="688">
        <v>0</v>
      </c>
      <c r="Z165" s="688">
        <v>0</v>
      </c>
      <c r="AA165" s="688">
        <v>0</v>
      </c>
      <c r="AB165" s="688">
        <v>0</v>
      </c>
      <c r="AC165" s="688">
        <v>0</v>
      </c>
      <c r="AD165" s="688">
        <v>0</v>
      </c>
      <c r="AE165" s="977">
        <v>0</v>
      </c>
      <c r="AF165" s="978">
        <v>0</v>
      </c>
      <c r="AG165" s="979">
        <v>0</v>
      </c>
      <c r="AH165" s="688">
        <v>0</v>
      </c>
      <c r="AI165" s="687">
        <v>0</v>
      </c>
      <c r="AJ165" s="685">
        <v>0</v>
      </c>
      <c r="AK165" s="687">
        <v>0</v>
      </c>
      <c r="AL165" s="689">
        <v>0</v>
      </c>
      <c r="AM165" s="685">
        <v>0</v>
      </c>
      <c r="AN165" s="685">
        <v>0</v>
      </c>
      <c r="AO165" s="689">
        <v>0</v>
      </c>
      <c r="AP165" s="690">
        <v>0</v>
      </c>
      <c r="AQ165" s="687">
        <v>0</v>
      </c>
      <c r="AR165" s="685">
        <v>0</v>
      </c>
      <c r="AS165" s="687">
        <v>0</v>
      </c>
      <c r="AT165" s="691">
        <v>0</v>
      </c>
      <c r="AU165" s="685">
        <v>0</v>
      </c>
      <c r="AV165" s="687">
        <v>0</v>
      </c>
      <c r="AW165" s="692">
        <v>0</v>
      </c>
      <c r="AX165" s="693">
        <v>0</v>
      </c>
      <c r="AY165" s="692">
        <v>0</v>
      </c>
      <c r="AZ165" s="693">
        <v>0</v>
      </c>
      <c r="BA165" s="692">
        <v>0</v>
      </c>
      <c r="BB165" s="693">
        <v>0</v>
      </c>
      <c r="BC165" s="694">
        <v>0</v>
      </c>
      <c r="BD165" s="695">
        <v>0</v>
      </c>
      <c r="BE165" s="692">
        <v>0</v>
      </c>
      <c r="BF165" s="693">
        <v>0</v>
      </c>
      <c r="BG165" s="694">
        <v>0</v>
      </c>
      <c r="BH165" s="693">
        <v>0</v>
      </c>
      <c r="BI165" s="694">
        <v>0</v>
      </c>
      <c r="BJ165" s="693">
        <v>0</v>
      </c>
      <c r="BK165" s="694">
        <v>0</v>
      </c>
      <c r="BL165" s="693">
        <v>0</v>
      </c>
      <c r="BM165" s="694">
        <v>0</v>
      </c>
      <c r="BN165" s="693">
        <v>0</v>
      </c>
      <c r="BO165" s="694">
        <v>0</v>
      </c>
      <c r="BP165" s="693">
        <v>0</v>
      </c>
      <c r="BQ165" s="694">
        <v>0</v>
      </c>
      <c r="BR165" s="693">
        <v>0</v>
      </c>
      <c r="BS165" s="694">
        <v>0</v>
      </c>
      <c r="BT165" s="693">
        <v>0</v>
      </c>
      <c r="BU165" s="694">
        <v>0</v>
      </c>
      <c r="BV165" s="693">
        <v>0</v>
      </c>
      <c r="BW165" s="694">
        <v>0</v>
      </c>
      <c r="BX165" s="693">
        <v>0</v>
      </c>
      <c r="BY165" s="694">
        <v>0</v>
      </c>
      <c r="BZ165" s="693">
        <v>0</v>
      </c>
      <c r="CA165" s="694">
        <v>0</v>
      </c>
      <c r="CB165" s="693">
        <v>0</v>
      </c>
      <c r="CC165" s="692">
        <v>0</v>
      </c>
      <c r="CD165" s="695">
        <v>0</v>
      </c>
      <c r="CE165" s="692">
        <v>0</v>
      </c>
      <c r="CF165" s="695">
        <v>0</v>
      </c>
      <c r="CG165" s="692">
        <v>0</v>
      </c>
      <c r="CH165" s="695">
        <v>0</v>
      </c>
      <c r="CI165" s="692">
        <v>0</v>
      </c>
      <c r="CJ165" s="695">
        <v>0</v>
      </c>
      <c r="CK165" s="692">
        <v>0</v>
      </c>
      <c r="CL165" s="695">
        <v>0</v>
      </c>
      <c r="CM165" s="692">
        <v>0</v>
      </c>
      <c r="CN165" s="695">
        <v>0</v>
      </c>
      <c r="CO165" s="692">
        <v>0</v>
      </c>
      <c r="CP165" s="695">
        <v>0</v>
      </c>
      <c r="CQ165" s="692">
        <v>0</v>
      </c>
      <c r="CR165" s="693">
        <v>0</v>
      </c>
      <c r="CS165" s="692">
        <v>0</v>
      </c>
      <c r="CT165" s="693">
        <v>0</v>
      </c>
      <c r="CU165" s="694">
        <v>0</v>
      </c>
      <c r="CV165" s="693">
        <v>0</v>
      </c>
    </row>
    <row r="166" spans="1:100">
      <c r="A166" s="460">
        <v>164</v>
      </c>
      <c r="B166" s="580">
        <v>0</v>
      </c>
      <c r="C166" s="580">
        <v>0</v>
      </c>
      <c r="D166" s="580">
        <v>0</v>
      </c>
      <c r="E166" s="580">
        <v>0</v>
      </c>
      <c r="F166" s="580">
        <v>0</v>
      </c>
      <c r="G166" s="580">
        <v>0</v>
      </c>
      <c r="H166" s="580">
        <v>0</v>
      </c>
      <c r="I166" s="580">
        <v>0</v>
      </c>
      <c r="J166" s="580">
        <v>0</v>
      </c>
      <c r="K166" s="580">
        <v>0</v>
      </c>
      <c r="L166" s="580">
        <v>0</v>
      </c>
      <c r="M166" s="580">
        <v>0</v>
      </c>
      <c r="N166" s="580">
        <v>0</v>
      </c>
      <c r="O166" s="580">
        <v>0</v>
      </c>
      <c r="P166" s="580">
        <v>0</v>
      </c>
      <c r="Q166" s="580">
        <v>0</v>
      </c>
      <c r="R166" s="580">
        <v>0</v>
      </c>
      <c r="S166" s="580">
        <v>0</v>
      </c>
      <c r="T166" s="580">
        <v>0</v>
      </c>
      <c r="U166" s="580">
        <v>0</v>
      </c>
      <c r="V166" s="580">
        <v>0</v>
      </c>
      <c r="W166" s="595">
        <v>0</v>
      </c>
      <c r="X166" s="688">
        <v>0</v>
      </c>
      <c r="Y166" s="688">
        <v>0</v>
      </c>
      <c r="Z166" s="688">
        <v>0</v>
      </c>
      <c r="AA166" s="688">
        <v>0</v>
      </c>
      <c r="AB166" s="688">
        <v>0</v>
      </c>
      <c r="AC166" s="688">
        <v>0</v>
      </c>
      <c r="AD166" s="688">
        <v>0</v>
      </c>
      <c r="AE166" s="977">
        <v>0</v>
      </c>
      <c r="AF166" s="978">
        <v>0</v>
      </c>
      <c r="AG166" s="979">
        <v>0</v>
      </c>
      <c r="AH166" s="688">
        <v>0</v>
      </c>
      <c r="AI166" s="687">
        <v>0</v>
      </c>
      <c r="AJ166" s="685">
        <v>0</v>
      </c>
      <c r="AK166" s="687">
        <v>0</v>
      </c>
      <c r="AL166" s="689">
        <v>0</v>
      </c>
      <c r="AM166" s="685">
        <v>0</v>
      </c>
      <c r="AN166" s="685">
        <v>0</v>
      </c>
      <c r="AO166" s="689">
        <v>0</v>
      </c>
      <c r="AP166" s="690">
        <v>0</v>
      </c>
      <c r="AQ166" s="687">
        <v>0</v>
      </c>
      <c r="AR166" s="685">
        <v>0</v>
      </c>
      <c r="AS166" s="687">
        <v>0</v>
      </c>
      <c r="AT166" s="691">
        <v>0</v>
      </c>
      <c r="AU166" s="685">
        <v>0</v>
      </c>
      <c r="AV166" s="687">
        <v>0</v>
      </c>
      <c r="AW166" s="692">
        <v>0</v>
      </c>
      <c r="AX166" s="693">
        <v>0</v>
      </c>
      <c r="AY166" s="692">
        <v>0</v>
      </c>
      <c r="AZ166" s="693">
        <v>0</v>
      </c>
      <c r="BA166" s="692">
        <v>0</v>
      </c>
      <c r="BB166" s="693">
        <v>0</v>
      </c>
      <c r="BC166" s="694">
        <v>0</v>
      </c>
      <c r="BD166" s="695">
        <v>0</v>
      </c>
      <c r="BE166" s="692">
        <v>0</v>
      </c>
      <c r="BF166" s="693">
        <v>0</v>
      </c>
      <c r="BG166" s="694">
        <v>0</v>
      </c>
      <c r="BH166" s="693">
        <v>0</v>
      </c>
      <c r="BI166" s="694">
        <v>0</v>
      </c>
      <c r="BJ166" s="693">
        <v>0</v>
      </c>
      <c r="BK166" s="694">
        <v>0</v>
      </c>
      <c r="BL166" s="693">
        <v>0</v>
      </c>
      <c r="BM166" s="694">
        <v>0</v>
      </c>
      <c r="BN166" s="693">
        <v>0</v>
      </c>
      <c r="BO166" s="694">
        <v>0</v>
      </c>
      <c r="BP166" s="693">
        <v>0</v>
      </c>
      <c r="BQ166" s="694">
        <v>0</v>
      </c>
      <c r="BR166" s="693">
        <v>0</v>
      </c>
      <c r="BS166" s="694">
        <v>0</v>
      </c>
      <c r="BT166" s="693">
        <v>0</v>
      </c>
      <c r="BU166" s="694">
        <v>0</v>
      </c>
      <c r="BV166" s="693">
        <v>0</v>
      </c>
      <c r="BW166" s="694">
        <v>0</v>
      </c>
      <c r="BX166" s="693">
        <v>0</v>
      </c>
      <c r="BY166" s="694">
        <v>0</v>
      </c>
      <c r="BZ166" s="693">
        <v>0</v>
      </c>
      <c r="CA166" s="694">
        <v>0</v>
      </c>
      <c r="CB166" s="693">
        <v>0</v>
      </c>
      <c r="CC166" s="692">
        <v>0</v>
      </c>
      <c r="CD166" s="695">
        <v>0</v>
      </c>
      <c r="CE166" s="692">
        <v>0</v>
      </c>
      <c r="CF166" s="695">
        <v>0</v>
      </c>
      <c r="CG166" s="692">
        <v>0</v>
      </c>
      <c r="CH166" s="695">
        <v>0</v>
      </c>
      <c r="CI166" s="692">
        <v>0</v>
      </c>
      <c r="CJ166" s="695">
        <v>0</v>
      </c>
      <c r="CK166" s="692">
        <v>0</v>
      </c>
      <c r="CL166" s="695">
        <v>0</v>
      </c>
      <c r="CM166" s="692">
        <v>0</v>
      </c>
      <c r="CN166" s="695">
        <v>0</v>
      </c>
      <c r="CO166" s="692">
        <v>0</v>
      </c>
      <c r="CP166" s="695">
        <v>0</v>
      </c>
      <c r="CQ166" s="692">
        <v>0</v>
      </c>
      <c r="CR166" s="693">
        <v>0</v>
      </c>
      <c r="CS166" s="692">
        <v>0</v>
      </c>
      <c r="CT166" s="693">
        <v>0</v>
      </c>
      <c r="CU166" s="694">
        <v>0</v>
      </c>
      <c r="CV166" s="693">
        <v>0</v>
      </c>
    </row>
    <row r="167" spans="1:100">
      <c r="A167" s="460">
        <v>165</v>
      </c>
      <c r="B167" s="580">
        <v>0</v>
      </c>
      <c r="C167" s="580">
        <v>0</v>
      </c>
      <c r="D167" s="580">
        <v>0</v>
      </c>
      <c r="E167" s="580">
        <v>0</v>
      </c>
      <c r="F167" s="580">
        <v>0</v>
      </c>
      <c r="G167" s="580">
        <v>0</v>
      </c>
      <c r="H167" s="580">
        <v>0</v>
      </c>
      <c r="I167" s="580">
        <v>0</v>
      </c>
      <c r="J167" s="580">
        <v>0</v>
      </c>
      <c r="K167" s="580">
        <v>0</v>
      </c>
      <c r="L167" s="580">
        <v>0</v>
      </c>
      <c r="M167" s="580">
        <v>0</v>
      </c>
      <c r="N167" s="580">
        <v>0</v>
      </c>
      <c r="O167" s="580">
        <v>0</v>
      </c>
      <c r="P167" s="580">
        <v>0</v>
      </c>
      <c r="Q167" s="580">
        <v>0</v>
      </c>
      <c r="R167" s="580">
        <v>0</v>
      </c>
      <c r="S167" s="580">
        <v>0</v>
      </c>
      <c r="T167" s="580">
        <v>0</v>
      </c>
      <c r="U167" s="580">
        <v>0</v>
      </c>
      <c r="V167" s="580">
        <v>0</v>
      </c>
      <c r="W167" s="595">
        <v>0</v>
      </c>
      <c r="X167" s="688">
        <v>0</v>
      </c>
      <c r="Y167" s="688">
        <v>0</v>
      </c>
      <c r="Z167" s="688">
        <v>0</v>
      </c>
      <c r="AA167" s="688">
        <v>0</v>
      </c>
      <c r="AB167" s="688">
        <v>0</v>
      </c>
      <c r="AC167" s="688">
        <v>0</v>
      </c>
      <c r="AD167" s="688">
        <v>0</v>
      </c>
      <c r="AE167" s="977">
        <v>0</v>
      </c>
      <c r="AF167" s="978">
        <v>0</v>
      </c>
      <c r="AG167" s="979">
        <v>0</v>
      </c>
      <c r="AH167" s="688">
        <v>0</v>
      </c>
      <c r="AI167" s="687">
        <v>0</v>
      </c>
      <c r="AJ167" s="685">
        <v>0</v>
      </c>
      <c r="AK167" s="687">
        <v>0</v>
      </c>
      <c r="AL167" s="689">
        <v>0</v>
      </c>
      <c r="AM167" s="685">
        <v>0</v>
      </c>
      <c r="AN167" s="685">
        <v>0</v>
      </c>
      <c r="AO167" s="689">
        <v>0</v>
      </c>
      <c r="AP167" s="690">
        <v>0</v>
      </c>
      <c r="AQ167" s="687">
        <v>0</v>
      </c>
      <c r="AR167" s="685">
        <v>0</v>
      </c>
      <c r="AS167" s="687">
        <v>0</v>
      </c>
      <c r="AT167" s="691">
        <v>0</v>
      </c>
      <c r="AU167" s="685">
        <v>0</v>
      </c>
      <c r="AV167" s="687">
        <v>0</v>
      </c>
      <c r="AW167" s="692">
        <v>0</v>
      </c>
      <c r="AX167" s="693">
        <v>0</v>
      </c>
      <c r="AY167" s="692">
        <v>0</v>
      </c>
      <c r="AZ167" s="693">
        <v>0</v>
      </c>
      <c r="BA167" s="692">
        <v>0</v>
      </c>
      <c r="BB167" s="693">
        <v>0</v>
      </c>
      <c r="BC167" s="694">
        <v>0</v>
      </c>
      <c r="BD167" s="695">
        <v>0</v>
      </c>
      <c r="BE167" s="692">
        <v>0</v>
      </c>
      <c r="BF167" s="693">
        <v>0</v>
      </c>
      <c r="BG167" s="694">
        <v>0</v>
      </c>
      <c r="BH167" s="693">
        <v>0</v>
      </c>
      <c r="BI167" s="694">
        <v>0</v>
      </c>
      <c r="BJ167" s="693">
        <v>0</v>
      </c>
      <c r="BK167" s="694">
        <v>0</v>
      </c>
      <c r="BL167" s="693">
        <v>0</v>
      </c>
      <c r="BM167" s="694">
        <v>0</v>
      </c>
      <c r="BN167" s="693">
        <v>0</v>
      </c>
      <c r="BO167" s="694">
        <v>0</v>
      </c>
      <c r="BP167" s="693">
        <v>0</v>
      </c>
      <c r="BQ167" s="694">
        <v>0</v>
      </c>
      <c r="BR167" s="693">
        <v>0</v>
      </c>
      <c r="BS167" s="694">
        <v>0</v>
      </c>
      <c r="BT167" s="693">
        <v>0</v>
      </c>
      <c r="BU167" s="694">
        <v>0</v>
      </c>
      <c r="BV167" s="693">
        <v>0</v>
      </c>
      <c r="BW167" s="694">
        <v>0</v>
      </c>
      <c r="BX167" s="693">
        <v>0</v>
      </c>
      <c r="BY167" s="694">
        <v>0</v>
      </c>
      <c r="BZ167" s="693">
        <v>0</v>
      </c>
      <c r="CA167" s="694">
        <v>0</v>
      </c>
      <c r="CB167" s="693">
        <v>0</v>
      </c>
      <c r="CC167" s="692">
        <v>0</v>
      </c>
      <c r="CD167" s="695">
        <v>0</v>
      </c>
      <c r="CE167" s="692">
        <v>0</v>
      </c>
      <c r="CF167" s="695">
        <v>0</v>
      </c>
      <c r="CG167" s="692">
        <v>0</v>
      </c>
      <c r="CH167" s="695">
        <v>0</v>
      </c>
      <c r="CI167" s="692">
        <v>0</v>
      </c>
      <c r="CJ167" s="695">
        <v>0</v>
      </c>
      <c r="CK167" s="692">
        <v>0</v>
      </c>
      <c r="CL167" s="695">
        <v>0</v>
      </c>
      <c r="CM167" s="692">
        <v>0</v>
      </c>
      <c r="CN167" s="695">
        <v>0</v>
      </c>
      <c r="CO167" s="692">
        <v>0</v>
      </c>
      <c r="CP167" s="695">
        <v>0</v>
      </c>
      <c r="CQ167" s="692">
        <v>0</v>
      </c>
      <c r="CR167" s="693">
        <v>0</v>
      </c>
      <c r="CS167" s="692">
        <v>0</v>
      </c>
      <c r="CT167" s="693">
        <v>0</v>
      </c>
      <c r="CU167" s="694">
        <v>0</v>
      </c>
      <c r="CV167" s="693">
        <v>0</v>
      </c>
    </row>
    <row r="168" spans="1:100">
      <c r="A168" s="460">
        <v>166</v>
      </c>
      <c r="B168" s="580">
        <v>0</v>
      </c>
      <c r="C168" s="580">
        <v>0</v>
      </c>
      <c r="D168" s="580">
        <v>0</v>
      </c>
      <c r="E168" s="580">
        <v>0</v>
      </c>
      <c r="F168" s="580">
        <v>0</v>
      </c>
      <c r="G168" s="580">
        <v>0</v>
      </c>
      <c r="H168" s="580">
        <v>0</v>
      </c>
      <c r="I168" s="580">
        <v>0</v>
      </c>
      <c r="J168" s="580">
        <v>0</v>
      </c>
      <c r="K168" s="580">
        <v>0</v>
      </c>
      <c r="L168" s="580">
        <v>0</v>
      </c>
      <c r="M168" s="580">
        <v>0</v>
      </c>
      <c r="N168" s="580">
        <v>0</v>
      </c>
      <c r="O168" s="580">
        <v>0</v>
      </c>
      <c r="P168" s="580">
        <v>0</v>
      </c>
      <c r="Q168" s="580">
        <v>0</v>
      </c>
      <c r="R168" s="580">
        <v>0</v>
      </c>
      <c r="S168" s="580">
        <v>0</v>
      </c>
      <c r="T168" s="580">
        <v>0</v>
      </c>
      <c r="U168" s="580">
        <v>0</v>
      </c>
      <c r="V168" s="580">
        <v>0</v>
      </c>
      <c r="W168" s="595">
        <v>0</v>
      </c>
      <c r="X168" s="688">
        <v>0</v>
      </c>
      <c r="Y168" s="688">
        <v>0</v>
      </c>
      <c r="Z168" s="688">
        <v>0</v>
      </c>
      <c r="AA168" s="688">
        <v>0</v>
      </c>
      <c r="AB168" s="688">
        <v>0</v>
      </c>
      <c r="AC168" s="688">
        <v>0</v>
      </c>
      <c r="AD168" s="688">
        <v>0</v>
      </c>
      <c r="AE168" s="977">
        <v>0</v>
      </c>
      <c r="AF168" s="978">
        <v>0</v>
      </c>
      <c r="AG168" s="979">
        <v>0</v>
      </c>
      <c r="AH168" s="688">
        <v>0</v>
      </c>
      <c r="AI168" s="687">
        <v>0</v>
      </c>
      <c r="AJ168" s="685">
        <v>0</v>
      </c>
      <c r="AK168" s="687">
        <v>0</v>
      </c>
      <c r="AL168" s="689">
        <v>0</v>
      </c>
      <c r="AM168" s="685">
        <v>0</v>
      </c>
      <c r="AN168" s="685">
        <v>0</v>
      </c>
      <c r="AO168" s="689">
        <v>0</v>
      </c>
      <c r="AP168" s="690">
        <v>0</v>
      </c>
      <c r="AQ168" s="687">
        <v>0</v>
      </c>
      <c r="AR168" s="685">
        <v>0</v>
      </c>
      <c r="AS168" s="687">
        <v>0</v>
      </c>
      <c r="AT168" s="691">
        <v>0</v>
      </c>
      <c r="AU168" s="685">
        <v>0</v>
      </c>
      <c r="AV168" s="687">
        <v>0</v>
      </c>
      <c r="AW168" s="692">
        <v>0</v>
      </c>
      <c r="AX168" s="693">
        <v>0</v>
      </c>
      <c r="AY168" s="692">
        <v>0</v>
      </c>
      <c r="AZ168" s="693">
        <v>0</v>
      </c>
      <c r="BA168" s="692">
        <v>0</v>
      </c>
      <c r="BB168" s="693">
        <v>0</v>
      </c>
      <c r="BC168" s="694">
        <v>0</v>
      </c>
      <c r="BD168" s="695">
        <v>0</v>
      </c>
      <c r="BE168" s="692">
        <v>0</v>
      </c>
      <c r="BF168" s="693">
        <v>0</v>
      </c>
      <c r="BG168" s="694">
        <v>0</v>
      </c>
      <c r="BH168" s="693">
        <v>0</v>
      </c>
      <c r="BI168" s="694">
        <v>0</v>
      </c>
      <c r="BJ168" s="693">
        <v>0</v>
      </c>
      <c r="BK168" s="694">
        <v>0</v>
      </c>
      <c r="BL168" s="693">
        <v>0</v>
      </c>
      <c r="BM168" s="694">
        <v>0</v>
      </c>
      <c r="BN168" s="693">
        <v>0</v>
      </c>
      <c r="BO168" s="694">
        <v>0</v>
      </c>
      <c r="BP168" s="693">
        <v>0</v>
      </c>
      <c r="BQ168" s="694">
        <v>0</v>
      </c>
      <c r="BR168" s="693">
        <v>0</v>
      </c>
      <c r="BS168" s="694">
        <v>0</v>
      </c>
      <c r="BT168" s="693">
        <v>0</v>
      </c>
      <c r="BU168" s="694">
        <v>0</v>
      </c>
      <c r="BV168" s="693">
        <v>0</v>
      </c>
      <c r="BW168" s="694">
        <v>0</v>
      </c>
      <c r="BX168" s="693">
        <v>0</v>
      </c>
      <c r="BY168" s="694">
        <v>0</v>
      </c>
      <c r="BZ168" s="693">
        <v>0</v>
      </c>
      <c r="CA168" s="694">
        <v>0</v>
      </c>
      <c r="CB168" s="693">
        <v>0</v>
      </c>
      <c r="CC168" s="692">
        <v>0</v>
      </c>
      <c r="CD168" s="695">
        <v>0</v>
      </c>
      <c r="CE168" s="692">
        <v>0</v>
      </c>
      <c r="CF168" s="695">
        <v>0</v>
      </c>
      <c r="CG168" s="692">
        <v>0</v>
      </c>
      <c r="CH168" s="695">
        <v>0</v>
      </c>
      <c r="CI168" s="692">
        <v>0</v>
      </c>
      <c r="CJ168" s="695">
        <v>0</v>
      </c>
      <c r="CK168" s="692">
        <v>0</v>
      </c>
      <c r="CL168" s="695">
        <v>0</v>
      </c>
      <c r="CM168" s="692">
        <v>0</v>
      </c>
      <c r="CN168" s="695">
        <v>0</v>
      </c>
      <c r="CO168" s="692">
        <v>0</v>
      </c>
      <c r="CP168" s="695">
        <v>0</v>
      </c>
      <c r="CQ168" s="692">
        <v>0</v>
      </c>
      <c r="CR168" s="693">
        <v>0</v>
      </c>
      <c r="CS168" s="692">
        <v>0</v>
      </c>
      <c r="CT168" s="693">
        <v>0</v>
      </c>
      <c r="CU168" s="694">
        <v>0</v>
      </c>
      <c r="CV168" s="693">
        <v>0</v>
      </c>
    </row>
    <row r="169" spans="1:100">
      <c r="A169" s="460">
        <v>167</v>
      </c>
      <c r="B169" s="580">
        <v>0</v>
      </c>
      <c r="C169" s="580">
        <v>0</v>
      </c>
      <c r="D169" s="580">
        <v>0</v>
      </c>
      <c r="E169" s="580">
        <v>0</v>
      </c>
      <c r="F169" s="580">
        <v>0</v>
      </c>
      <c r="G169" s="580">
        <v>0</v>
      </c>
      <c r="H169" s="580">
        <v>0</v>
      </c>
      <c r="I169" s="580">
        <v>0</v>
      </c>
      <c r="J169" s="580">
        <v>0</v>
      </c>
      <c r="K169" s="580">
        <v>0</v>
      </c>
      <c r="L169" s="580">
        <v>0</v>
      </c>
      <c r="M169" s="580">
        <v>0</v>
      </c>
      <c r="N169" s="580">
        <v>0</v>
      </c>
      <c r="O169" s="580">
        <v>0</v>
      </c>
      <c r="P169" s="580">
        <v>0</v>
      </c>
      <c r="Q169" s="580">
        <v>0</v>
      </c>
      <c r="R169" s="580">
        <v>0</v>
      </c>
      <c r="S169" s="580">
        <v>0</v>
      </c>
      <c r="T169" s="580">
        <v>0</v>
      </c>
      <c r="U169" s="580">
        <v>0</v>
      </c>
      <c r="V169" s="580">
        <v>0</v>
      </c>
      <c r="W169" s="595">
        <v>0</v>
      </c>
      <c r="X169" s="688">
        <v>0</v>
      </c>
      <c r="Y169" s="688">
        <v>0</v>
      </c>
      <c r="Z169" s="688">
        <v>0</v>
      </c>
      <c r="AA169" s="688">
        <v>0</v>
      </c>
      <c r="AB169" s="688">
        <v>0</v>
      </c>
      <c r="AC169" s="688">
        <v>0</v>
      </c>
      <c r="AD169" s="688">
        <v>0</v>
      </c>
      <c r="AE169" s="977">
        <v>0</v>
      </c>
      <c r="AF169" s="978">
        <v>0</v>
      </c>
      <c r="AG169" s="979">
        <v>0</v>
      </c>
      <c r="AH169" s="688">
        <v>0</v>
      </c>
      <c r="AI169" s="687">
        <v>0</v>
      </c>
      <c r="AJ169" s="685">
        <v>0</v>
      </c>
      <c r="AK169" s="687">
        <v>0</v>
      </c>
      <c r="AL169" s="689">
        <v>0</v>
      </c>
      <c r="AM169" s="685">
        <v>0</v>
      </c>
      <c r="AN169" s="685">
        <v>0</v>
      </c>
      <c r="AO169" s="689">
        <v>0</v>
      </c>
      <c r="AP169" s="690">
        <v>0</v>
      </c>
      <c r="AQ169" s="687">
        <v>0</v>
      </c>
      <c r="AR169" s="685">
        <v>0</v>
      </c>
      <c r="AS169" s="687">
        <v>0</v>
      </c>
      <c r="AT169" s="691">
        <v>0</v>
      </c>
      <c r="AU169" s="685">
        <v>0</v>
      </c>
      <c r="AV169" s="687">
        <v>0</v>
      </c>
      <c r="AW169" s="692">
        <v>0</v>
      </c>
      <c r="AX169" s="693">
        <v>0</v>
      </c>
      <c r="AY169" s="692">
        <v>0</v>
      </c>
      <c r="AZ169" s="693">
        <v>0</v>
      </c>
      <c r="BA169" s="692">
        <v>0</v>
      </c>
      <c r="BB169" s="693">
        <v>0</v>
      </c>
      <c r="BC169" s="694">
        <v>0</v>
      </c>
      <c r="BD169" s="695">
        <v>0</v>
      </c>
      <c r="BE169" s="692">
        <v>0</v>
      </c>
      <c r="BF169" s="693">
        <v>0</v>
      </c>
      <c r="BG169" s="694">
        <v>0</v>
      </c>
      <c r="BH169" s="693">
        <v>0</v>
      </c>
      <c r="BI169" s="694">
        <v>0</v>
      </c>
      <c r="BJ169" s="693">
        <v>0</v>
      </c>
      <c r="BK169" s="694">
        <v>0</v>
      </c>
      <c r="BL169" s="693">
        <v>0</v>
      </c>
      <c r="BM169" s="694">
        <v>0</v>
      </c>
      <c r="BN169" s="693">
        <v>0</v>
      </c>
      <c r="BO169" s="694">
        <v>0</v>
      </c>
      <c r="BP169" s="693">
        <v>0</v>
      </c>
      <c r="BQ169" s="694">
        <v>0</v>
      </c>
      <c r="BR169" s="693">
        <v>0</v>
      </c>
      <c r="BS169" s="694">
        <v>0</v>
      </c>
      <c r="BT169" s="693">
        <v>0</v>
      </c>
      <c r="BU169" s="694">
        <v>0</v>
      </c>
      <c r="BV169" s="693">
        <v>0</v>
      </c>
      <c r="BW169" s="694">
        <v>0</v>
      </c>
      <c r="BX169" s="693">
        <v>0</v>
      </c>
      <c r="BY169" s="694">
        <v>0</v>
      </c>
      <c r="BZ169" s="693">
        <v>0</v>
      </c>
      <c r="CA169" s="694">
        <v>0</v>
      </c>
      <c r="CB169" s="693">
        <v>0</v>
      </c>
      <c r="CC169" s="692">
        <v>0</v>
      </c>
      <c r="CD169" s="695">
        <v>0</v>
      </c>
      <c r="CE169" s="692">
        <v>0</v>
      </c>
      <c r="CF169" s="695">
        <v>0</v>
      </c>
      <c r="CG169" s="692">
        <v>0</v>
      </c>
      <c r="CH169" s="695">
        <v>0</v>
      </c>
      <c r="CI169" s="692">
        <v>0</v>
      </c>
      <c r="CJ169" s="695">
        <v>0</v>
      </c>
      <c r="CK169" s="692">
        <v>0</v>
      </c>
      <c r="CL169" s="695">
        <v>0</v>
      </c>
      <c r="CM169" s="692">
        <v>0</v>
      </c>
      <c r="CN169" s="695">
        <v>0</v>
      </c>
      <c r="CO169" s="692">
        <v>0</v>
      </c>
      <c r="CP169" s="695">
        <v>0</v>
      </c>
      <c r="CQ169" s="692">
        <v>0</v>
      </c>
      <c r="CR169" s="693">
        <v>0</v>
      </c>
      <c r="CS169" s="692">
        <v>0</v>
      </c>
      <c r="CT169" s="693">
        <v>0</v>
      </c>
      <c r="CU169" s="694">
        <v>0</v>
      </c>
      <c r="CV169" s="693">
        <v>0</v>
      </c>
    </row>
    <row r="170" spans="1:100">
      <c r="A170" s="460">
        <v>168</v>
      </c>
      <c r="B170" s="580">
        <v>0</v>
      </c>
      <c r="C170" s="580">
        <v>0</v>
      </c>
      <c r="D170" s="580">
        <v>0</v>
      </c>
      <c r="E170" s="580">
        <v>0</v>
      </c>
      <c r="F170" s="580">
        <v>0</v>
      </c>
      <c r="G170" s="580">
        <v>0</v>
      </c>
      <c r="H170" s="580">
        <v>0</v>
      </c>
      <c r="I170" s="580">
        <v>0</v>
      </c>
      <c r="J170" s="580">
        <v>0</v>
      </c>
      <c r="K170" s="580">
        <v>0</v>
      </c>
      <c r="L170" s="580">
        <v>0</v>
      </c>
      <c r="M170" s="580">
        <v>0</v>
      </c>
      <c r="N170" s="580">
        <v>0</v>
      </c>
      <c r="O170" s="580">
        <v>0</v>
      </c>
      <c r="P170" s="580">
        <v>0</v>
      </c>
      <c r="Q170" s="580">
        <v>0</v>
      </c>
      <c r="R170" s="580">
        <v>0</v>
      </c>
      <c r="S170" s="580">
        <v>0</v>
      </c>
      <c r="T170" s="580">
        <v>0</v>
      </c>
      <c r="U170" s="580">
        <v>0</v>
      </c>
      <c r="V170" s="580">
        <v>0</v>
      </c>
      <c r="W170" s="595">
        <v>0</v>
      </c>
      <c r="X170" s="688">
        <v>0</v>
      </c>
      <c r="Y170" s="688">
        <v>0</v>
      </c>
      <c r="Z170" s="688">
        <v>0</v>
      </c>
      <c r="AA170" s="688">
        <v>0</v>
      </c>
      <c r="AB170" s="688">
        <v>0</v>
      </c>
      <c r="AC170" s="688">
        <v>0</v>
      </c>
      <c r="AD170" s="688">
        <v>0</v>
      </c>
      <c r="AE170" s="977">
        <v>0</v>
      </c>
      <c r="AF170" s="978">
        <v>0</v>
      </c>
      <c r="AG170" s="979">
        <v>0</v>
      </c>
      <c r="AH170" s="688">
        <v>0</v>
      </c>
      <c r="AI170" s="687">
        <v>0</v>
      </c>
      <c r="AJ170" s="685">
        <v>0</v>
      </c>
      <c r="AK170" s="687">
        <v>0</v>
      </c>
      <c r="AL170" s="689">
        <v>0</v>
      </c>
      <c r="AM170" s="685">
        <v>0</v>
      </c>
      <c r="AN170" s="685">
        <v>0</v>
      </c>
      <c r="AO170" s="689">
        <v>0</v>
      </c>
      <c r="AP170" s="690">
        <v>0</v>
      </c>
      <c r="AQ170" s="687">
        <v>0</v>
      </c>
      <c r="AR170" s="685">
        <v>0</v>
      </c>
      <c r="AS170" s="687">
        <v>0</v>
      </c>
      <c r="AT170" s="691">
        <v>0</v>
      </c>
      <c r="AU170" s="685">
        <v>0</v>
      </c>
      <c r="AV170" s="687">
        <v>0</v>
      </c>
      <c r="AW170" s="692">
        <v>0</v>
      </c>
      <c r="AX170" s="693">
        <v>0</v>
      </c>
      <c r="AY170" s="692">
        <v>0</v>
      </c>
      <c r="AZ170" s="693">
        <v>0</v>
      </c>
      <c r="BA170" s="692">
        <v>0</v>
      </c>
      <c r="BB170" s="693">
        <v>0</v>
      </c>
      <c r="BC170" s="694">
        <v>0</v>
      </c>
      <c r="BD170" s="695">
        <v>0</v>
      </c>
      <c r="BE170" s="692">
        <v>0</v>
      </c>
      <c r="BF170" s="693">
        <v>0</v>
      </c>
      <c r="BG170" s="694">
        <v>0</v>
      </c>
      <c r="BH170" s="693">
        <v>0</v>
      </c>
      <c r="BI170" s="694">
        <v>0</v>
      </c>
      <c r="BJ170" s="693">
        <v>0</v>
      </c>
      <c r="BK170" s="694">
        <v>0</v>
      </c>
      <c r="BL170" s="693">
        <v>0</v>
      </c>
      <c r="BM170" s="694">
        <v>0</v>
      </c>
      <c r="BN170" s="693">
        <v>0</v>
      </c>
      <c r="BO170" s="694">
        <v>0</v>
      </c>
      <c r="BP170" s="693">
        <v>0</v>
      </c>
      <c r="BQ170" s="694">
        <v>0</v>
      </c>
      <c r="BR170" s="693">
        <v>0</v>
      </c>
      <c r="BS170" s="694">
        <v>0</v>
      </c>
      <c r="BT170" s="693">
        <v>0</v>
      </c>
      <c r="BU170" s="694">
        <v>0</v>
      </c>
      <c r="BV170" s="693">
        <v>0</v>
      </c>
      <c r="BW170" s="694">
        <v>0</v>
      </c>
      <c r="BX170" s="693">
        <v>0</v>
      </c>
      <c r="BY170" s="694">
        <v>0</v>
      </c>
      <c r="BZ170" s="693">
        <v>0</v>
      </c>
      <c r="CA170" s="694">
        <v>0</v>
      </c>
      <c r="CB170" s="693">
        <v>0</v>
      </c>
      <c r="CC170" s="692">
        <v>0</v>
      </c>
      <c r="CD170" s="695">
        <v>0</v>
      </c>
      <c r="CE170" s="692">
        <v>0</v>
      </c>
      <c r="CF170" s="695">
        <v>0</v>
      </c>
      <c r="CG170" s="692">
        <v>0</v>
      </c>
      <c r="CH170" s="695">
        <v>0</v>
      </c>
      <c r="CI170" s="692">
        <v>0</v>
      </c>
      <c r="CJ170" s="695">
        <v>0</v>
      </c>
      <c r="CK170" s="692">
        <v>0</v>
      </c>
      <c r="CL170" s="695">
        <v>0</v>
      </c>
      <c r="CM170" s="692">
        <v>0</v>
      </c>
      <c r="CN170" s="695">
        <v>0</v>
      </c>
      <c r="CO170" s="692">
        <v>0</v>
      </c>
      <c r="CP170" s="695">
        <v>0</v>
      </c>
      <c r="CQ170" s="692">
        <v>0</v>
      </c>
      <c r="CR170" s="693">
        <v>0</v>
      </c>
      <c r="CS170" s="692">
        <v>0</v>
      </c>
      <c r="CT170" s="693">
        <v>0</v>
      </c>
      <c r="CU170" s="694">
        <v>0</v>
      </c>
      <c r="CV170" s="693">
        <v>0</v>
      </c>
    </row>
    <row r="171" spans="1:100">
      <c r="A171" s="460">
        <v>169</v>
      </c>
      <c r="B171" s="580">
        <v>0</v>
      </c>
      <c r="C171" s="580">
        <v>0</v>
      </c>
      <c r="D171" s="580">
        <v>0</v>
      </c>
      <c r="E171" s="580">
        <v>0</v>
      </c>
      <c r="F171" s="580">
        <v>0</v>
      </c>
      <c r="G171" s="580">
        <v>0</v>
      </c>
      <c r="H171" s="580">
        <v>0</v>
      </c>
      <c r="I171" s="580">
        <v>0</v>
      </c>
      <c r="J171" s="580">
        <v>0</v>
      </c>
      <c r="K171" s="580">
        <v>0</v>
      </c>
      <c r="L171" s="580">
        <v>0</v>
      </c>
      <c r="M171" s="580">
        <v>0</v>
      </c>
      <c r="N171" s="580">
        <v>0</v>
      </c>
      <c r="O171" s="580">
        <v>0</v>
      </c>
      <c r="P171" s="580">
        <v>0</v>
      </c>
      <c r="Q171" s="580">
        <v>0</v>
      </c>
      <c r="R171" s="580">
        <v>0</v>
      </c>
      <c r="S171" s="580">
        <v>0</v>
      </c>
      <c r="T171" s="580">
        <v>0</v>
      </c>
      <c r="U171" s="580">
        <v>0</v>
      </c>
      <c r="V171" s="580">
        <v>0</v>
      </c>
      <c r="W171" s="595">
        <v>0</v>
      </c>
      <c r="X171" s="688">
        <v>0</v>
      </c>
      <c r="Y171" s="688">
        <v>0</v>
      </c>
      <c r="Z171" s="688">
        <v>0</v>
      </c>
      <c r="AA171" s="688">
        <v>0</v>
      </c>
      <c r="AB171" s="688">
        <v>0</v>
      </c>
      <c r="AC171" s="688">
        <v>0</v>
      </c>
      <c r="AD171" s="688">
        <v>0</v>
      </c>
      <c r="AE171" s="977">
        <v>0</v>
      </c>
      <c r="AF171" s="978">
        <v>0</v>
      </c>
      <c r="AG171" s="979">
        <v>0</v>
      </c>
      <c r="AH171" s="688">
        <v>0</v>
      </c>
      <c r="AI171" s="687">
        <v>0</v>
      </c>
      <c r="AJ171" s="685">
        <v>0</v>
      </c>
      <c r="AK171" s="687">
        <v>0</v>
      </c>
      <c r="AL171" s="689">
        <v>0</v>
      </c>
      <c r="AM171" s="685">
        <v>0</v>
      </c>
      <c r="AN171" s="685">
        <v>0</v>
      </c>
      <c r="AO171" s="689">
        <v>0</v>
      </c>
      <c r="AP171" s="690">
        <v>0</v>
      </c>
      <c r="AQ171" s="687">
        <v>0</v>
      </c>
      <c r="AR171" s="685">
        <v>0</v>
      </c>
      <c r="AS171" s="687">
        <v>0</v>
      </c>
      <c r="AT171" s="691">
        <v>0</v>
      </c>
      <c r="AU171" s="685">
        <v>0</v>
      </c>
      <c r="AV171" s="687">
        <v>0</v>
      </c>
      <c r="AW171" s="692">
        <v>0</v>
      </c>
      <c r="AX171" s="693">
        <v>0</v>
      </c>
      <c r="AY171" s="692">
        <v>0</v>
      </c>
      <c r="AZ171" s="693">
        <v>0</v>
      </c>
      <c r="BA171" s="692">
        <v>0</v>
      </c>
      <c r="BB171" s="693">
        <v>0</v>
      </c>
      <c r="BC171" s="694">
        <v>0</v>
      </c>
      <c r="BD171" s="695">
        <v>0</v>
      </c>
      <c r="BE171" s="692">
        <v>0</v>
      </c>
      <c r="BF171" s="693">
        <v>0</v>
      </c>
      <c r="BG171" s="694">
        <v>0</v>
      </c>
      <c r="BH171" s="693">
        <v>0</v>
      </c>
      <c r="BI171" s="694">
        <v>0</v>
      </c>
      <c r="BJ171" s="693">
        <v>0</v>
      </c>
      <c r="BK171" s="694">
        <v>0</v>
      </c>
      <c r="BL171" s="693">
        <v>0</v>
      </c>
      <c r="BM171" s="694">
        <v>0</v>
      </c>
      <c r="BN171" s="693">
        <v>0</v>
      </c>
      <c r="BO171" s="694">
        <v>0</v>
      </c>
      <c r="BP171" s="693">
        <v>0</v>
      </c>
      <c r="BQ171" s="694">
        <v>0</v>
      </c>
      <c r="BR171" s="693">
        <v>0</v>
      </c>
      <c r="BS171" s="694">
        <v>0</v>
      </c>
      <c r="BT171" s="693">
        <v>0</v>
      </c>
      <c r="BU171" s="694">
        <v>0</v>
      </c>
      <c r="BV171" s="693">
        <v>0</v>
      </c>
      <c r="BW171" s="694">
        <v>0</v>
      </c>
      <c r="BX171" s="693">
        <v>0</v>
      </c>
      <c r="BY171" s="694">
        <v>0</v>
      </c>
      <c r="BZ171" s="693">
        <v>0</v>
      </c>
      <c r="CA171" s="694">
        <v>0</v>
      </c>
      <c r="CB171" s="693">
        <v>0</v>
      </c>
      <c r="CC171" s="692">
        <v>0</v>
      </c>
      <c r="CD171" s="695">
        <v>0</v>
      </c>
      <c r="CE171" s="692">
        <v>0</v>
      </c>
      <c r="CF171" s="695">
        <v>0</v>
      </c>
      <c r="CG171" s="692">
        <v>0</v>
      </c>
      <c r="CH171" s="695">
        <v>0</v>
      </c>
      <c r="CI171" s="692">
        <v>0</v>
      </c>
      <c r="CJ171" s="695">
        <v>0</v>
      </c>
      <c r="CK171" s="692">
        <v>0</v>
      </c>
      <c r="CL171" s="695">
        <v>0</v>
      </c>
      <c r="CM171" s="692">
        <v>0</v>
      </c>
      <c r="CN171" s="695">
        <v>0</v>
      </c>
      <c r="CO171" s="692">
        <v>0</v>
      </c>
      <c r="CP171" s="695">
        <v>0</v>
      </c>
      <c r="CQ171" s="692">
        <v>0</v>
      </c>
      <c r="CR171" s="693">
        <v>0</v>
      </c>
      <c r="CS171" s="692">
        <v>0</v>
      </c>
      <c r="CT171" s="693">
        <v>0</v>
      </c>
      <c r="CU171" s="694">
        <v>0</v>
      </c>
      <c r="CV171" s="693">
        <v>0</v>
      </c>
    </row>
    <row r="172" spans="1:100">
      <c r="A172" s="460">
        <v>170</v>
      </c>
      <c r="B172" s="580">
        <v>0</v>
      </c>
      <c r="C172" s="580">
        <v>0</v>
      </c>
      <c r="D172" s="580">
        <v>0</v>
      </c>
      <c r="E172" s="580">
        <v>0</v>
      </c>
      <c r="F172" s="580">
        <v>0</v>
      </c>
      <c r="G172" s="580">
        <v>0</v>
      </c>
      <c r="H172" s="580">
        <v>0</v>
      </c>
      <c r="I172" s="580">
        <v>0</v>
      </c>
      <c r="J172" s="580">
        <v>0</v>
      </c>
      <c r="K172" s="580">
        <v>0</v>
      </c>
      <c r="L172" s="580">
        <v>0</v>
      </c>
      <c r="M172" s="580">
        <v>0</v>
      </c>
      <c r="N172" s="580">
        <v>0</v>
      </c>
      <c r="O172" s="580">
        <v>0</v>
      </c>
      <c r="P172" s="580">
        <v>0</v>
      </c>
      <c r="Q172" s="580">
        <v>0</v>
      </c>
      <c r="R172" s="580">
        <v>0</v>
      </c>
      <c r="S172" s="580">
        <v>0</v>
      </c>
      <c r="T172" s="580">
        <v>0</v>
      </c>
      <c r="U172" s="580">
        <v>0</v>
      </c>
      <c r="V172" s="580">
        <v>0</v>
      </c>
      <c r="W172" s="595">
        <v>0</v>
      </c>
      <c r="X172" s="688">
        <v>0</v>
      </c>
      <c r="Y172" s="688">
        <v>0</v>
      </c>
      <c r="Z172" s="688">
        <v>0</v>
      </c>
      <c r="AA172" s="688">
        <v>0</v>
      </c>
      <c r="AB172" s="688">
        <v>0</v>
      </c>
      <c r="AC172" s="688">
        <v>0</v>
      </c>
      <c r="AD172" s="688">
        <v>0</v>
      </c>
      <c r="AE172" s="977">
        <v>0</v>
      </c>
      <c r="AF172" s="978">
        <v>0</v>
      </c>
      <c r="AG172" s="979">
        <v>0</v>
      </c>
      <c r="AH172" s="688">
        <v>0</v>
      </c>
      <c r="AI172" s="687">
        <v>0</v>
      </c>
      <c r="AJ172" s="685">
        <v>0</v>
      </c>
      <c r="AK172" s="687">
        <v>0</v>
      </c>
      <c r="AL172" s="689">
        <v>0</v>
      </c>
      <c r="AM172" s="685">
        <v>0</v>
      </c>
      <c r="AN172" s="685">
        <v>0</v>
      </c>
      <c r="AO172" s="689">
        <v>0</v>
      </c>
      <c r="AP172" s="690">
        <v>0</v>
      </c>
      <c r="AQ172" s="687">
        <v>0</v>
      </c>
      <c r="AR172" s="685">
        <v>0</v>
      </c>
      <c r="AS172" s="687">
        <v>0</v>
      </c>
      <c r="AT172" s="691">
        <v>0</v>
      </c>
      <c r="AU172" s="685">
        <v>0</v>
      </c>
      <c r="AV172" s="687">
        <v>0</v>
      </c>
      <c r="AW172" s="692">
        <v>0</v>
      </c>
      <c r="AX172" s="693">
        <v>0</v>
      </c>
      <c r="AY172" s="692">
        <v>0</v>
      </c>
      <c r="AZ172" s="693">
        <v>0</v>
      </c>
      <c r="BA172" s="692">
        <v>0</v>
      </c>
      <c r="BB172" s="693">
        <v>0</v>
      </c>
      <c r="BC172" s="694">
        <v>0</v>
      </c>
      <c r="BD172" s="695">
        <v>0</v>
      </c>
      <c r="BE172" s="692">
        <v>0</v>
      </c>
      <c r="BF172" s="693">
        <v>0</v>
      </c>
      <c r="BG172" s="694">
        <v>0</v>
      </c>
      <c r="BH172" s="693">
        <v>0</v>
      </c>
      <c r="BI172" s="694">
        <v>0</v>
      </c>
      <c r="BJ172" s="693">
        <v>0</v>
      </c>
      <c r="BK172" s="694">
        <v>0</v>
      </c>
      <c r="BL172" s="693">
        <v>0</v>
      </c>
      <c r="BM172" s="694">
        <v>0</v>
      </c>
      <c r="BN172" s="693">
        <v>0</v>
      </c>
      <c r="BO172" s="694">
        <v>0</v>
      </c>
      <c r="BP172" s="693">
        <v>0</v>
      </c>
      <c r="BQ172" s="694">
        <v>0</v>
      </c>
      <c r="BR172" s="693">
        <v>0</v>
      </c>
      <c r="BS172" s="694">
        <v>0</v>
      </c>
      <c r="BT172" s="693">
        <v>0</v>
      </c>
      <c r="BU172" s="694">
        <v>0</v>
      </c>
      <c r="BV172" s="693">
        <v>0</v>
      </c>
      <c r="BW172" s="694">
        <v>0</v>
      </c>
      <c r="BX172" s="693">
        <v>0</v>
      </c>
      <c r="BY172" s="694">
        <v>0</v>
      </c>
      <c r="BZ172" s="693">
        <v>0</v>
      </c>
      <c r="CA172" s="694">
        <v>0</v>
      </c>
      <c r="CB172" s="693">
        <v>0</v>
      </c>
      <c r="CC172" s="692">
        <v>0</v>
      </c>
      <c r="CD172" s="695">
        <v>0</v>
      </c>
      <c r="CE172" s="692">
        <v>0</v>
      </c>
      <c r="CF172" s="695">
        <v>0</v>
      </c>
      <c r="CG172" s="692">
        <v>0</v>
      </c>
      <c r="CH172" s="695">
        <v>0</v>
      </c>
      <c r="CI172" s="692">
        <v>0</v>
      </c>
      <c r="CJ172" s="695">
        <v>0</v>
      </c>
      <c r="CK172" s="692">
        <v>0</v>
      </c>
      <c r="CL172" s="695">
        <v>0</v>
      </c>
      <c r="CM172" s="692">
        <v>0</v>
      </c>
      <c r="CN172" s="695">
        <v>0</v>
      </c>
      <c r="CO172" s="692">
        <v>0</v>
      </c>
      <c r="CP172" s="695">
        <v>0</v>
      </c>
      <c r="CQ172" s="692">
        <v>0</v>
      </c>
      <c r="CR172" s="693">
        <v>0</v>
      </c>
      <c r="CS172" s="692">
        <v>0</v>
      </c>
      <c r="CT172" s="693">
        <v>0</v>
      </c>
      <c r="CU172" s="694">
        <v>0</v>
      </c>
      <c r="CV172" s="693">
        <v>0</v>
      </c>
    </row>
    <row r="173" spans="1:100">
      <c r="A173" s="460">
        <v>171</v>
      </c>
      <c r="B173" s="580">
        <v>0</v>
      </c>
      <c r="C173" s="580">
        <v>0</v>
      </c>
      <c r="D173" s="580">
        <v>0</v>
      </c>
      <c r="E173" s="580">
        <v>0</v>
      </c>
      <c r="F173" s="580">
        <v>0</v>
      </c>
      <c r="G173" s="580">
        <v>0</v>
      </c>
      <c r="H173" s="580">
        <v>0</v>
      </c>
      <c r="I173" s="580">
        <v>0</v>
      </c>
      <c r="J173" s="580">
        <v>0</v>
      </c>
      <c r="K173" s="580">
        <v>0</v>
      </c>
      <c r="L173" s="580">
        <v>0</v>
      </c>
      <c r="M173" s="580">
        <v>0</v>
      </c>
      <c r="N173" s="580">
        <v>0</v>
      </c>
      <c r="O173" s="580">
        <v>0</v>
      </c>
      <c r="P173" s="580">
        <v>0</v>
      </c>
      <c r="Q173" s="580">
        <v>0</v>
      </c>
      <c r="R173" s="580">
        <v>0</v>
      </c>
      <c r="S173" s="580">
        <v>0</v>
      </c>
      <c r="T173" s="580">
        <v>0</v>
      </c>
      <c r="U173" s="580">
        <v>0</v>
      </c>
      <c r="V173" s="580">
        <v>0</v>
      </c>
      <c r="W173" s="595">
        <v>0</v>
      </c>
      <c r="X173" s="688">
        <v>0</v>
      </c>
      <c r="Y173" s="688">
        <v>0</v>
      </c>
      <c r="Z173" s="688">
        <v>0</v>
      </c>
      <c r="AA173" s="688">
        <v>0</v>
      </c>
      <c r="AB173" s="688">
        <v>0</v>
      </c>
      <c r="AC173" s="688">
        <v>0</v>
      </c>
      <c r="AD173" s="688">
        <v>0</v>
      </c>
      <c r="AE173" s="977">
        <v>0</v>
      </c>
      <c r="AF173" s="978">
        <v>0</v>
      </c>
      <c r="AG173" s="979">
        <v>0</v>
      </c>
      <c r="AH173" s="688">
        <v>0</v>
      </c>
      <c r="AI173" s="687">
        <v>0</v>
      </c>
      <c r="AJ173" s="685">
        <v>0</v>
      </c>
      <c r="AK173" s="687">
        <v>0</v>
      </c>
      <c r="AL173" s="689">
        <v>0</v>
      </c>
      <c r="AM173" s="685">
        <v>0</v>
      </c>
      <c r="AN173" s="685">
        <v>0</v>
      </c>
      <c r="AO173" s="689">
        <v>0</v>
      </c>
      <c r="AP173" s="690">
        <v>0</v>
      </c>
      <c r="AQ173" s="687">
        <v>0</v>
      </c>
      <c r="AR173" s="685">
        <v>0</v>
      </c>
      <c r="AS173" s="687">
        <v>0</v>
      </c>
      <c r="AT173" s="691">
        <v>0</v>
      </c>
      <c r="AU173" s="685">
        <v>0</v>
      </c>
      <c r="AV173" s="687">
        <v>0</v>
      </c>
      <c r="AW173" s="692">
        <v>0</v>
      </c>
      <c r="AX173" s="693">
        <v>0</v>
      </c>
      <c r="AY173" s="692">
        <v>0</v>
      </c>
      <c r="AZ173" s="693">
        <v>0</v>
      </c>
      <c r="BA173" s="692">
        <v>0</v>
      </c>
      <c r="BB173" s="693">
        <v>0</v>
      </c>
      <c r="BC173" s="694">
        <v>0</v>
      </c>
      <c r="BD173" s="695">
        <v>0</v>
      </c>
      <c r="BE173" s="692">
        <v>0</v>
      </c>
      <c r="BF173" s="693">
        <v>0</v>
      </c>
      <c r="BG173" s="694">
        <v>0</v>
      </c>
      <c r="BH173" s="693">
        <v>0</v>
      </c>
      <c r="BI173" s="694">
        <v>0</v>
      </c>
      <c r="BJ173" s="693">
        <v>0</v>
      </c>
      <c r="BK173" s="694">
        <v>0</v>
      </c>
      <c r="BL173" s="693">
        <v>0</v>
      </c>
      <c r="BM173" s="694">
        <v>0</v>
      </c>
      <c r="BN173" s="693">
        <v>0</v>
      </c>
      <c r="BO173" s="694">
        <v>0</v>
      </c>
      <c r="BP173" s="693">
        <v>0</v>
      </c>
      <c r="BQ173" s="694">
        <v>0</v>
      </c>
      <c r="BR173" s="693">
        <v>0</v>
      </c>
      <c r="BS173" s="694">
        <v>0</v>
      </c>
      <c r="BT173" s="693">
        <v>0</v>
      </c>
      <c r="BU173" s="694">
        <v>0</v>
      </c>
      <c r="BV173" s="693">
        <v>0</v>
      </c>
      <c r="BW173" s="694">
        <v>0</v>
      </c>
      <c r="BX173" s="693">
        <v>0</v>
      </c>
      <c r="BY173" s="694">
        <v>0</v>
      </c>
      <c r="BZ173" s="693">
        <v>0</v>
      </c>
      <c r="CA173" s="694">
        <v>0</v>
      </c>
      <c r="CB173" s="693">
        <v>0</v>
      </c>
      <c r="CC173" s="692">
        <v>0</v>
      </c>
      <c r="CD173" s="695">
        <v>0</v>
      </c>
      <c r="CE173" s="692">
        <v>0</v>
      </c>
      <c r="CF173" s="695">
        <v>0</v>
      </c>
      <c r="CG173" s="692">
        <v>0</v>
      </c>
      <c r="CH173" s="695">
        <v>0</v>
      </c>
      <c r="CI173" s="692">
        <v>0</v>
      </c>
      <c r="CJ173" s="695">
        <v>0</v>
      </c>
      <c r="CK173" s="692">
        <v>0</v>
      </c>
      <c r="CL173" s="695">
        <v>0</v>
      </c>
      <c r="CM173" s="692">
        <v>0</v>
      </c>
      <c r="CN173" s="695">
        <v>0</v>
      </c>
      <c r="CO173" s="692">
        <v>0</v>
      </c>
      <c r="CP173" s="695">
        <v>0</v>
      </c>
      <c r="CQ173" s="692">
        <v>0</v>
      </c>
      <c r="CR173" s="693">
        <v>0</v>
      </c>
      <c r="CS173" s="692">
        <v>0</v>
      </c>
      <c r="CT173" s="693">
        <v>0</v>
      </c>
      <c r="CU173" s="694">
        <v>0</v>
      </c>
      <c r="CV173" s="693">
        <v>0</v>
      </c>
    </row>
    <row r="174" spans="1:100">
      <c r="A174" s="460">
        <v>172</v>
      </c>
      <c r="B174" s="580">
        <v>0</v>
      </c>
      <c r="C174" s="580">
        <v>0</v>
      </c>
      <c r="D174" s="580">
        <v>0</v>
      </c>
      <c r="E174" s="580">
        <v>0</v>
      </c>
      <c r="F174" s="580">
        <v>0</v>
      </c>
      <c r="G174" s="580">
        <v>0</v>
      </c>
      <c r="H174" s="580">
        <v>0</v>
      </c>
      <c r="I174" s="580">
        <v>0</v>
      </c>
      <c r="J174" s="580">
        <v>0</v>
      </c>
      <c r="K174" s="580">
        <v>0</v>
      </c>
      <c r="L174" s="580">
        <v>0</v>
      </c>
      <c r="M174" s="580">
        <v>0</v>
      </c>
      <c r="N174" s="580">
        <v>0</v>
      </c>
      <c r="O174" s="580">
        <v>0</v>
      </c>
      <c r="P174" s="580">
        <v>0</v>
      </c>
      <c r="Q174" s="580">
        <v>0</v>
      </c>
      <c r="R174" s="580">
        <v>0</v>
      </c>
      <c r="S174" s="580">
        <v>0</v>
      </c>
      <c r="T174" s="580">
        <v>0</v>
      </c>
      <c r="U174" s="580">
        <v>0</v>
      </c>
      <c r="V174" s="580">
        <v>0</v>
      </c>
      <c r="W174" s="595">
        <v>0</v>
      </c>
      <c r="X174" s="688">
        <v>0</v>
      </c>
      <c r="Y174" s="688">
        <v>0</v>
      </c>
      <c r="Z174" s="688">
        <v>0</v>
      </c>
      <c r="AA174" s="688">
        <v>0</v>
      </c>
      <c r="AB174" s="688">
        <v>0</v>
      </c>
      <c r="AC174" s="688">
        <v>0</v>
      </c>
      <c r="AD174" s="688">
        <v>0</v>
      </c>
      <c r="AE174" s="977">
        <v>0</v>
      </c>
      <c r="AF174" s="978">
        <v>0</v>
      </c>
      <c r="AG174" s="979">
        <v>0</v>
      </c>
      <c r="AH174" s="688">
        <v>0</v>
      </c>
      <c r="AI174" s="687">
        <v>0</v>
      </c>
      <c r="AJ174" s="685">
        <v>0</v>
      </c>
      <c r="AK174" s="687">
        <v>0</v>
      </c>
      <c r="AL174" s="689">
        <v>0</v>
      </c>
      <c r="AM174" s="685">
        <v>0</v>
      </c>
      <c r="AN174" s="685">
        <v>0</v>
      </c>
      <c r="AO174" s="689">
        <v>0</v>
      </c>
      <c r="AP174" s="690">
        <v>0</v>
      </c>
      <c r="AQ174" s="687">
        <v>0</v>
      </c>
      <c r="AR174" s="685">
        <v>0</v>
      </c>
      <c r="AS174" s="687">
        <v>0</v>
      </c>
      <c r="AT174" s="691">
        <v>0</v>
      </c>
      <c r="AU174" s="685">
        <v>0</v>
      </c>
      <c r="AV174" s="687">
        <v>0</v>
      </c>
      <c r="AW174" s="692">
        <v>0</v>
      </c>
      <c r="AX174" s="693">
        <v>0</v>
      </c>
      <c r="AY174" s="692">
        <v>0</v>
      </c>
      <c r="AZ174" s="693">
        <v>0</v>
      </c>
      <c r="BA174" s="692">
        <v>0</v>
      </c>
      <c r="BB174" s="693">
        <v>0</v>
      </c>
      <c r="BC174" s="694">
        <v>0</v>
      </c>
      <c r="BD174" s="695">
        <v>0</v>
      </c>
      <c r="BE174" s="692">
        <v>0</v>
      </c>
      <c r="BF174" s="693">
        <v>0</v>
      </c>
      <c r="BG174" s="694">
        <v>0</v>
      </c>
      <c r="BH174" s="693">
        <v>0</v>
      </c>
      <c r="BI174" s="694">
        <v>0</v>
      </c>
      <c r="BJ174" s="693">
        <v>0</v>
      </c>
      <c r="BK174" s="694">
        <v>0</v>
      </c>
      <c r="BL174" s="693">
        <v>0</v>
      </c>
      <c r="BM174" s="694">
        <v>0</v>
      </c>
      <c r="BN174" s="693">
        <v>0</v>
      </c>
      <c r="BO174" s="694">
        <v>0</v>
      </c>
      <c r="BP174" s="693">
        <v>0</v>
      </c>
      <c r="BQ174" s="694">
        <v>0</v>
      </c>
      <c r="BR174" s="693">
        <v>0</v>
      </c>
      <c r="BS174" s="694">
        <v>0</v>
      </c>
      <c r="BT174" s="693">
        <v>0</v>
      </c>
      <c r="BU174" s="694">
        <v>0</v>
      </c>
      <c r="BV174" s="693">
        <v>0</v>
      </c>
      <c r="BW174" s="694">
        <v>0</v>
      </c>
      <c r="BX174" s="693">
        <v>0</v>
      </c>
      <c r="BY174" s="694">
        <v>0</v>
      </c>
      <c r="BZ174" s="693">
        <v>0</v>
      </c>
      <c r="CA174" s="694">
        <v>0</v>
      </c>
      <c r="CB174" s="693">
        <v>0</v>
      </c>
      <c r="CC174" s="692">
        <v>0</v>
      </c>
      <c r="CD174" s="695">
        <v>0</v>
      </c>
      <c r="CE174" s="692">
        <v>0</v>
      </c>
      <c r="CF174" s="695">
        <v>0</v>
      </c>
      <c r="CG174" s="692">
        <v>0</v>
      </c>
      <c r="CH174" s="695">
        <v>0</v>
      </c>
      <c r="CI174" s="692">
        <v>0</v>
      </c>
      <c r="CJ174" s="695">
        <v>0</v>
      </c>
      <c r="CK174" s="692">
        <v>0</v>
      </c>
      <c r="CL174" s="695">
        <v>0</v>
      </c>
      <c r="CM174" s="692">
        <v>0</v>
      </c>
      <c r="CN174" s="695">
        <v>0</v>
      </c>
      <c r="CO174" s="692">
        <v>0</v>
      </c>
      <c r="CP174" s="695">
        <v>0</v>
      </c>
      <c r="CQ174" s="692">
        <v>0</v>
      </c>
      <c r="CR174" s="693">
        <v>0</v>
      </c>
      <c r="CS174" s="692">
        <v>0</v>
      </c>
      <c r="CT174" s="693">
        <v>0</v>
      </c>
      <c r="CU174" s="694">
        <v>0</v>
      </c>
      <c r="CV174" s="693">
        <v>0</v>
      </c>
    </row>
    <row r="175" spans="1:100">
      <c r="A175" s="460">
        <v>173</v>
      </c>
      <c r="B175" s="580">
        <v>0</v>
      </c>
      <c r="C175" s="580">
        <v>0</v>
      </c>
      <c r="D175" s="580">
        <v>0</v>
      </c>
      <c r="E175" s="580">
        <v>0</v>
      </c>
      <c r="F175" s="580">
        <v>0</v>
      </c>
      <c r="G175" s="580">
        <v>0</v>
      </c>
      <c r="H175" s="580">
        <v>0</v>
      </c>
      <c r="I175" s="580">
        <v>0</v>
      </c>
      <c r="J175" s="580">
        <v>0</v>
      </c>
      <c r="K175" s="580">
        <v>0</v>
      </c>
      <c r="L175" s="580">
        <v>0</v>
      </c>
      <c r="M175" s="580">
        <v>0</v>
      </c>
      <c r="N175" s="580">
        <v>0</v>
      </c>
      <c r="O175" s="580">
        <v>0</v>
      </c>
      <c r="P175" s="580">
        <v>0</v>
      </c>
      <c r="Q175" s="580">
        <v>0</v>
      </c>
      <c r="R175" s="580">
        <v>0</v>
      </c>
      <c r="S175" s="580">
        <v>0</v>
      </c>
      <c r="T175" s="580">
        <v>0</v>
      </c>
      <c r="U175" s="580">
        <v>0</v>
      </c>
      <c r="V175" s="580">
        <v>0</v>
      </c>
      <c r="W175" s="595">
        <v>0</v>
      </c>
      <c r="X175" s="688">
        <v>0</v>
      </c>
      <c r="Y175" s="688">
        <v>0</v>
      </c>
      <c r="Z175" s="688">
        <v>0</v>
      </c>
      <c r="AA175" s="688">
        <v>0</v>
      </c>
      <c r="AB175" s="688">
        <v>0</v>
      </c>
      <c r="AC175" s="688">
        <v>0</v>
      </c>
      <c r="AD175" s="688">
        <v>0</v>
      </c>
      <c r="AE175" s="977">
        <v>0</v>
      </c>
      <c r="AF175" s="978">
        <v>0</v>
      </c>
      <c r="AG175" s="979">
        <v>0</v>
      </c>
      <c r="AH175" s="688">
        <v>0</v>
      </c>
      <c r="AI175" s="687">
        <v>0</v>
      </c>
      <c r="AJ175" s="685">
        <v>0</v>
      </c>
      <c r="AK175" s="687">
        <v>0</v>
      </c>
      <c r="AL175" s="689">
        <v>0</v>
      </c>
      <c r="AM175" s="685">
        <v>0</v>
      </c>
      <c r="AN175" s="685">
        <v>0</v>
      </c>
      <c r="AO175" s="689">
        <v>0</v>
      </c>
      <c r="AP175" s="690">
        <v>0</v>
      </c>
      <c r="AQ175" s="687">
        <v>0</v>
      </c>
      <c r="AR175" s="685">
        <v>0</v>
      </c>
      <c r="AS175" s="687">
        <v>0</v>
      </c>
      <c r="AT175" s="691">
        <v>0</v>
      </c>
      <c r="AU175" s="685">
        <v>0</v>
      </c>
      <c r="AV175" s="687">
        <v>0</v>
      </c>
      <c r="AW175" s="692">
        <v>0</v>
      </c>
      <c r="AX175" s="693">
        <v>0</v>
      </c>
      <c r="AY175" s="692">
        <v>0</v>
      </c>
      <c r="AZ175" s="693">
        <v>0</v>
      </c>
      <c r="BA175" s="692">
        <v>0</v>
      </c>
      <c r="BB175" s="693">
        <v>0</v>
      </c>
      <c r="BC175" s="694">
        <v>0</v>
      </c>
      <c r="BD175" s="695">
        <v>0</v>
      </c>
      <c r="BE175" s="692">
        <v>0</v>
      </c>
      <c r="BF175" s="693">
        <v>0</v>
      </c>
      <c r="BG175" s="694">
        <v>0</v>
      </c>
      <c r="BH175" s="693">
        <v>0</v>
      </c>
      <c r="BI175" s="694">
        <v>0</v>
      </c>
      <c r="BJ175" s="693">
        <v>0</v>
      </c>
      <c r="BK175" s="694">
        <v>0</v>
      </c>
      <c r="BL175" s="693">
        <v>0</v>
      </c>
      <c r="BM175" s="694">
        <v>0</v>
      </c>
      <c r="BN175" s="693">
        <v>0</v>
      </c>
      <c r="BO175" s="694">
        <v>0</v>
      </c>
      <c r="BP175" s="693">
        <v>0</v>
      </c>
      <c r="BQ175" s="694">
        <v>0</v>
      </c>
      <c r="BR175" s="693">
        <v>0</v>
      </c>
      <c r="BS175" s="694">
        <v>0</v>
      </c>
      <c r="BT175" s="693">
        <v>0</v>
      </c>
      <c r="BU175" s="694">
        <v>0</v>
      </c>
      <c r="BV175" s="693">
        <v>0</v>
      </c>
      <c r="BW175" s="694">
        <v>0</v>
      </c>
      <c r="BX175" s="693">
        <v>0</v>
      </c>
      <c r="BY175" s="694">
        <v>0</v>
      </c>
      <c r="BZ175" s="693">
        <v>0</v>
      </c>
      <c r="CA175" s="694">
        <v>0</v>
      </c>
      <c r="CB175" s="693">
        <v>0</v>
      </c>
      <c r="CC175" s="692">
        <v>0</v>
      </c>
      <c r="CD175" s="695">
        <v>0</v>
      </c>
      <c r="CE175" s="692">
        <v>0</v>
      </c>
      <c r="CF175" s="695">
        <v>0</v>
      </c>
      <c r="CG175" s="692">
        <v>0</v>
      </c>
      <c r="CH175" s="695">
        <v>0</v>
      </c>
      <c r="CI175" s="692">
        <v>0</v>
      </c>
      <c r="CJ175" s="695">
        <v>0</v>
      </c>
      <c r="CK175" s="692">
        <v>0</v>
      </c>
      <c r="CL175" s="695">
        <v>0</v>
      </c>
      <c r="CM175" s="692">
        <v>0</v>
      </c>
      <c r="CN175" s="695">
        <v>0</v>
      </c>
      <c r="CO175" s="692">
        <v>0</v>
      </c>
      <c r="CP175" s="695">
        <v>0</v>
      </c>
      <c r="CQ175" s="692">
        <v>0</v>
      </c>
      <c r="CR175" s="693">
        <v>0</v>
      </c>
      <c r="CS175" s="692">
        <v>0</v>
      </c>
      <c r="CT175" s="693">
        <v>0</v>
      </c>
      <c r="CU175" s="694">
        <v>0</v>
      </c>
      <c r="CV175" s="693">
        <v>0</v>
      </c>
    </row>
    <row r="176" spans="1:100">
      <c r="A176" s="460">
        <v>174</v>
      </c>
      <c r="B176" s="580">
        <v>0</v>
      </c>
      <c r="C176" s="580">
        <v>0</v>
      </c>
      <c r="D176" s="580">
        <v>0</v>
      </c>
      <c r="E176" s="580">
        <v>0</v>
      </c>
      <c r="F176" s="580">
        <v>0</v>
      </c>
      <c r="G176" s="580">
        <v>0</v>
      </c>
      <c r="H176" s="580">
        <v>0</v>
      </c>
      <c r="I176" s="580">
        <v>0</v>
      </c>
      <c r="J176" s="580">
        <v>0</v>
      </c>
      <c r="K176" s="580">
        <v>0</v>
      </c>
      <c r="L176" s="580">
        <v>0</v>
      </c>
      <c r="M176" s="580">
        <v>0</v>
      </c>
      <c r="N176" s="580">
        <v>0</v>
      </c>
      <c r="O176" s="580">
        <v>0</v>
      </c>
      <c r="P176" s="580">
        <v>0</v>
      </c>
      <c r="Q176" s="580">
        <v>0</v>
      </c>
      <c r="R176" s="580">
        <v>0</v>
      </c>
      <c r="S176" s="580">
        <v>0</v>
      </c>
      <c r="T176" s="580">
        <v>0</v>
      </c>
      <c r="U176" s="580">
        <v>0</v>
      </c>
      <c r="V176" s="580">
        <v>0</v>
      </c>
      <c r="W176" s="595">
        <v>0</v>
      </c>
      <c r="X176" s="688">
        <v>0</v>
      </c>
      <c r="Y176" s="688">
        <v>0</v>
      </c>
      <c r="Z176" s="688">
        <v>0</v>
      </c>
      <c r="AA176" s="688">
        <v>0</v>
      </c>
      <c r="AB176" s="688">
        <v>0</v>
      </c>
      <c r="AC176" s="688">
        <v>0</v>
      </c>
      <c r="AD176" s="688">
        <v>0</v>
      </c>
      <c r="AE176" s="977">
        <v>0</v>
      </c>
      <c r="AF176" s="978">
        <v>0</v>
      </c>
      <c r="AG176" s="979">
        <v>0</v>
      </c>
      <c r="AH176" s="688">
        <v>0</v>
      </c>
      <c r="AI176" s="687">
        <v>0</v>
      </c>
      <c r="AJ176" s="685">
        <v>0</v>
      </c>
      <c r="AK176" s="687">
        <v>0</v>
      </c>
      <c r="AL176" s="689">
        <v>0</v>
      </c>
      <c r="AM176" s="685">
        <v>0</v>
      </c>
      <c r="AN176" s="685">
        <v>0</v>
      </c>
      <c r="AO176" s="689">
        <v>0</v>
      </c>
      <c r="AP176" s="690">
        <v>0</v>
      </c>
      <c r="AQ176" s="687">
        <v>0</v>
      </c>
      <c r="AR176" s="685">
        <v>0</v>
      </c>
      <c r="AS176" s="687">
        <v>0</v>
      </c>
      <c r="AT176" s="691">
        <v>0</v>
      </c>
      <c r="AU176" s="685">
        <v>0</v>
      </c>
      <c r="AV176" s="687">
        <v>0</v>
      </c>
      <c r="AW176" s="692">
        <v>0</v>
      </c>
      <c r="AX176" s="693">
        <v>0</v>
      </c>
      <c r="AY176" s="692">
        <v>0</v>
      </c>
      <c r="AZ176" s="693">
        <v>0</v>
      </c>
      <c r="BA176" s="692">
        <v>0</v>
      </c>
      <c r="BB176" s="693">
        <v>0</v>
      </c>
      <c r="BC176" s="694">
        <v>0</v>
      </c>
      <c r="BD176" s="695">
        <v>0</v>
      </c>
      <c r="BE176" s="692">
        <v>0</v>
      </c>
      <c r="BF176" s="693">
        <v>0</v>
      </c>
      <c r="BG176" s="694">
        <v>0</v>
      </c>
      <c r="BH176" s="693">
        <v>0</v>
      </c>
      <c r="BI176" s="694">
        <v>0</v>
      </c>
      <c r="BJ176" s="693">
        <v>0</v>
      </c>
      <c r="BK176" s="694">
        <v>0</v>
      </c>
      <c r="BL176" s="693">
        <v>0</v>
      </c>
      <c r="BM176" s="694">
        <v>0</v>
      </c>
      <c r="BN176" s="693">
        <v>0</v>
      </c>
      <c r="BO176" s="694">
        <v>0</v>
      </c>
      <c r="BP176" s="693">
        <v>0</v>
      </c>
      <c r="BQ176" s="694">
        <v>0</v>
      </c>
      <c r="BR176" s="693">
        <v>0</v>
      </c>
      <c r="BS176" s="694">
        <v>0</v>
      </c>
      <c r="BT176" s="693">
        <v>0</v>
      </c>
      <c r="BU176" s="694">
        <v>0</v>
      </c>
      <c r="BV176" s="693">
        <v>0</v>
      </c>
      <c r="BW176" s="694">
        <v>0</v>
      </c>
      <c r="BX176" s="693">
        <v>0</v>
      </c>
      <c r="BY176" s="694">
        <v>0</v>
      </c>
      <c r="BZ176" s="693">
        <v>0</v>
      </c>
      <c r="CA176" s="694">
        <v>0</v>
      </c>
      <c r="CB176" s="693">
        <v>0</v>
      </c>
      <c r="CC176" s="692">
        <v>0</v>
      </c>
      <c r="CD176" s="695">
        <v>0</v>
      </c>
      <c r="CE176" s="692">
        <v>0</v>
      </c>
      <c r="CF176" s="695">
        <v>0</v>
      </c>
      <c r="CG176" s="692">
        <v>0</v>
      </c>
      <c r="CH176" s="695">
        <v>0</v>
      </c>
      <c r="CI176" s="692">
        <v>0</v>
      </c>
      <c r="CJ176" s="695">
        <v>0</v>
      </c>
      <c r="CK176" s="692">
        <v>0</v>
      </c>
      <c r="CL176" s="695">
        <v>0</v>
      </c>
      <c r="CM176" s="692">
        <v>0</v>
      </c>
      <c r="CN176" s="695">
        <v>0</v>
      </c>
      <c r="CO176" s="692">
        <v>0</v>
      </c>
      <c r="CP176" s="695">
        <v>0</v>
      </c>
      <c r="CQ176" s="692">
        <v>0</v>
      </c>
      <c r="CR176" s="693">
        <v>0</v>
      </c>
      <c r="CS176" s="692">
        <v>0</v>
      </c>
      <c r="CT176" s="693">
        <v>0</v>
      </c>
      <c r="CU176" s="694">
        <v>0</v>
      </c>
      <c r="CV176" s="693">
        <v>0</v>
      </c>
    </row>
    <row r="177" spans="1:100">
      <c r="A177" s="460">
        <v>175</v>
      </c>
      <c r="B177" s="580">
        <v>0</v>
      </c>
      <c r="C177" s="580">
        <v>0</v>
      </c>
      <c r="D177" s="580">
        <v>0</v>
      </c>
      <c r="E177" s="580">
        <v>0</v>
      </c>
      <c r="F177" s="580">
        <v>0</v>
      </c>
      <c r="G177" s="580">
        <v>0</v>
      </c>
      <c r="H177" s="580">
        <v>0</v>
      </c>
      <c r="I177" s="580">
        <v>0</v>
      </c>
      <c r="J177" s="580">
        <v>0</v>
      </c>
      <c r="K177" s="580">
        <v>0</v>
      </c>
      <c r="L177" s="580">
        <v>0</v>
      </c>
      <c r="M177" s="580">
        <v>0</v>
      </c>
      <c r="N177" s="580">
        <v>0</v>
      </c>
      <c r="O177" s="580">
        <v>0</v>
      </c>
      <c r="P177" s="580">
        <v>0</v>
      </c>
      <c r="Q177" s="580">
        <v>0</v>
      </c>
      <c r="R177" s="580">
        <v>0</v>
      </c>
      <c r="S177" s="580">
        <v>0</v>
      </c>
      <c r="T177" s="580">
        <v>0</v>
      </c>
      <c r="U177" s="580">
        <v>0</v>
      </c>
      <c r="V177" s="580">
        <v>0</v>
      </c>
      <c r="W177" s="595">
        <v>0</v>
      </c>
      <c r="X177" s="688">
        <v>0</v>
      </c>
      <c r="Y177" s="688">
        <v>0</v>
      </c>
      <c r="Z177" s="688">
        <v>0</v>
      </c>
      <c r="AA177" s="688">
        <v>0</v>
      </c>
      <c r="AB177" s="688">
        <v>0</v>
      </c>
      <c r="AC177" s="688">
        <v>0</v>
      </c>
      <c r="AD177" s="688">
        <v>0</v>
      </c>
      <c r="AE177" s="977">
        <v>0</v>
      </c>
      <c r="AF177" s="978">
        <v>0</v>
      </c>
      <c r="AG177" s="979">
        <v>0</v>
      </c>
      <c r="AH177" s="688">
        <v>0</v>
      </c>
      <c r="AI177" s="687">
        <v>0</v>
      </c>
      <c r="AJ177" s="685">
        <v>0</v>
      </c>
      <c r="AK177" s="687">
        <v>0</v>
      </c>
      <c r="AL177" s="689">
        <v>0</v>
      </c>
      <c r="AM177" s="685">
        <v>0</v>
      </c>
      <c r="AN177" s="685">
        <v>0</v>
      </c>
      <c r="AO177" s="689">
        <v>0</v>
      </c>
      <c r="AP177" s="690">
        <v>0</v>
      </c>
      <c r="AQ177" s="687">
        <v>0</v>
      </c>
      <c r="AR177" s="685">
        <v>0</v>
      </c>
      <c r="AS177" s="687">
        <v>0</v>
      </c>
      <c r="AT177" s="691">
        <v>0</v>
      </c>
      <c r="AU177" s="685">
        <v>0</v>
      </c>
      <c r="AV177" s="687">
        <v>0</v>
      </c>
      <c r="AW177" s="692">
        <v>0</v>
      </c>
      <c r="AX177" s="693">
        <v>0</v>
      </c>
      <c r="AY177" s="692">
        <v>0</v>
      </c>
      <c r="AZ177" s="693">
        <v>0</v>
      </c>
      <c r="BA177" s="692">
        <v>0</v>
      </c>
      <c r="BB177" s="693">
        <v>0</v>
      </c>
      <c r="BC177" s="694">
        <v>0</v>
      </c>
      <c r="BD177" s="695">
        <v>0</v>
      </c>
      <c r="BE177" s="692">
        <v>0</v>
      </c>
      <c r="BF177" s="693">
        <v>0</v>
      </c>
      <c r="BG177" s="694">
        <v>0</v>
      </c>
      <c r="BH177" s="693">
        <v>0</v>
      </c>
      <c r="BI177" s="694">
        <v>0</v>
      </c>
      <c r="BJ177" s="693">
        <v>0</v>
      </c>
      <c r="BK177" s="694">
        <v>0</v>
      </c>
      <c r="BL177" s="693">
        <v>0</v>
      </c>
      <c r="BM177" s="694">
        <v>0</v>
      </c>
      <c r="BN177" s="693">
        <v>0</v>
      </c>
      <c r="BO177" s="694">
        <v>0</v>
      </c>
      <c r="BP177" s="693">
        <v>0</v>
      </c>
      <c r="BQ177" s="694">
        <v>0</v>
      </c>
      <c r="BR177" s="693">
        <v>0</v>
      </c>
      <c r="BS177" s="694">
        <v>0</v>
      </c>
      <c r="BT177" s="693">
        <v>0</v>
      </c>
      <c r="BU177" s="694">
        <v>0</v>
      </c>
      <c r="BV177" s="693">
        <v>0</v>
      </c>
      <c r="BW177" s="694">
        <v>0</v>
      </c>
      <c r="BX177" s="693">
        <v>0</v>
      </c>
      <c r="BY177" s="694">
        <v>0</v>
      </c>
      <c r="BZ177" s="693">
        <v>0</v>
      </c>
      <c r="CA177" s="694">
        <v>0</v>
      </c>
      <c r="CB177" s="693">
        <v>0</v>
      </c>
      <c r="CC177" s="692">
        <v>0</v>
      </c>
      <c r="CD177" s="695">
        <v>0</v>
      </c>
      <c r="CE177" s="692">
        <v>0</v>
      </c>
      <c r="CF177" s="695">
        <v>0</v>
      </c>
      <c r="CG177" s="692">
        <v>0</v>
      </c>
      <c r="CH177" s="695">
        <v>0</v>
      </c>
      <c r="CI177" s="692">
        <v>0</v>
      </c>
      <c r="CJ177" s="695">
        <v>0</v>
      </c>
      <c r="CK177" s="692">
        <v>0</v>
      </c>
      <c r="CL177" s="695">
        <v>0</v>
      </c>
      <c r="CM177" s="692">
        <v>0</v>
      </c>
      <c r="CN177" s="695">
        <v>0</v>
      </c>
      <c r="CO177" s="692">
        <v>0</v>
      </c>
      <c r="CP177" s="695">
        <v>0</v>
      </c>
      <c r="CQ177" s="692">
        <v>0</v>
      </c>
      <c r="CR177" s="693">
        <v>0</v>
      </c>
      <c r="CS177" s="692">
        <v>0</v>
      </c>
      <c r="CT177" s="693">
        <v>0</v>
      </c>
      <c r="CU177" s="694">
        <v>0</v>
      </c>
      <c r="CV177" s="693">
        <v>0</v>
      </c>
    </row>
    <row r="178" spans="1:100">
      <c r="A178" s="460">
        <v>176</v>
      </c>
      <c r="B178" s="580">
        <v>0</v>
      </c>
      <c r="C178" s="580">
        <v>0</v>
      </c>
      <c r="D178" s="580">
        <v>0</v>
      </c>
      <c r="E178" s="580">
        <v>0</v>
      </c>
      <c r="F178" s="580">
        <v>0</v>
      </c>
      <c r="G178" s="580">
        <v>0</v>
      </c>
      <c r="H178" s="580">
        <v>0</v>
      </c>
      <c r="I178" s="580">
        <v>0</v>
      </c>
      <c r="J178" s="580">
        <v>0</v>
      </c>
      <c r="K178" s="580">
        <v>0</v>
      </c>
      <c r="L178" s="580">
        <v>0</v>
      </c>
      <c r="M178" s="580">
        <v>0</v>
      </c>
      <c r="N178" s="580">
        <v>0</v>
      </c>
      <c r="O178" s="580">
        <v>0</v>
      </c>
      <c r="P178" s="580">
        <v>0</v>
      </c>
      <c r="Q178" s="580">
        <v>0</v>
      </c>
      <c r="R178" s="580">
        <v>0</v>
      </c>
      <c r="S178" s="580">
        <v>0</v>
      </c>
      <c r="T178" s="580">
        <v>0</v>
      </c>
      <c r="U178" s="580">
        <v>0</v>
      </c>
      <c r="V178" s="580">
        <v>0</v>
      </c>
      <c r="W178" s="595">
        <v>0</v>
      </c>
      <c r="X178" s="688">
        <v>0</v>
      </c>
      <c r="Y178" s="688">
        <v>0</v>
      </c>
      <c r="Z178" s="688">
        <v>0</v>
      </c>
      <c r="AA178" s="688">
        <v>0</v>
      </c>
      <c r="AB178" s="688">
        <v>0</v>
      </c>
      <c r="AC178" s="688">
        <v>0</v>
      </c>
      <c r="AD178" s="688">
        <v>0</v>
      </c>
      <c r="AE178" s="977">
        <v>0</v>
      </c>
      <c r="AF178" s="978">
        <v>0</v>
      </c>
      <c r="AG178" s="979">
        <v>0</v>
      </c>
      <c r="AH178" s="688">
        <v>0</v>
      </c>
      <c r="AI178" s="687">
        <v>0</v>
      </c>
      <c r="AJ178" s="685">
        <v>0</v>
      </c>
      <c r="AK178" s="687">
        <v>0</v>
      </c>
      <c r="AL178" s="689">
        <v>0</v>
      </c>
      <c r="AM178" s="685">
        <v>0</v>
      </c>
      <c r="AN178" s="685">
        <v>0</v>
      </c>
      <c r="AO178" s="689">
        <v>0</v>
      </c>
      <c r="AP178" s="690">
        <v>0</v>
      </c>
      <c r="AQ178" s="687">
        <v>0</v>
      </c>
      <c r="AR178" s="685">
        <v>0</v>
      </c>
      <c r="AS178" s="687">
        <v>0</v>
      </c>
      <c r="AT178" s="691">
        <v>0</v>
      </c>
      <c r="AU178" s="685">
        <v>0</v>
      </c>
      <c r="AV178" s="687">
        <v>0</v>
      </c>
      <c r="AW178" s="692">
        <v>0</v>
      </c>
      <c r="AX178" s="693">
        <v>0</v>
      </c>
      <c r="AY178" s="692">
        <v>0</v>
      </c>
      <c r="AZ178" s="693">
        <v>0</v>
      </c>
      <c r="BA178" s="692">
        <v>0</v>
      </c>
      <c r="BB178" s="693">
        <v>0</v>
      </c>
      <c r="BC178" s="694">
        <v>0</v>
      </c>
      <c r="BD178" s="695">
        <v>0</v>
      </c>
      <c r="BE178" s="692">
        <v>0</v>
      </c>
      <c r="BF178" s="693">
        <v>0</v>
      </c>
      <c r="BG178" s="694">
        <v>0</v>
      </c>
      <c r="BH178" s="693">
        <v>0</v>
      </c>
      <c r="BI178" s="694">
        <v>0</v>
      </c>
      <c r="BJ178" s="693">
        <v>0</v>
      </c>
      <c r="BK178" s="694">
        <v>0</v>
      </c>
      <c r="BL178" s="693">
        <v>0</v>
      </c>
      <c r="BM178" s="694">
        <v>0</v>
      </c>
      <c r="BN178" s="693">
        <v>0</v>
      </c>
      <c r="BO178" s="694">
        <v>0</v>
      </c>
      <c r="BP178" s="693">
        <v>0</v>
      </c>
      <c r="BQ178" s="694">
        <v>0</v>
      </c>
      <c r="BR178" s="693">
        <v>0</v>
      </c>
      <c r="BS178" s="694">
        <v>0</v>
      </c>
      <c r="BT178" s="693">
        <v>0</v>
      </c>
      <c r="BU178" s="694">
        <v>0</v>
      </c>
      <c r="BV178" s="693">
        <v>0</v>
      </c>
      <c r="BW178" s="694">
        <v>0</v>
      </c>
      <c r="BX178" s="693">
        <v>0</v>
      </c>
      <c r="BY178" s="694">
        <v>0</v>
      </c>
      <c r="BZ178" s="693">
        <v>0</v>
      </c>
      <c r="CA178" s="694">
        <v>0</v>
      </c>
      <c r="CB178" s="693">
        <v>0</v>
      </c>
      <c r="CC178" s="692">
        <v>0</v>
      </c>
      <c r="CD178" s="695">
        <v>0</v>
      </c>
      <c r="CE178" s="692">
        <v>0</v>
      </c>
      <c r="CF178" s="695">
        <v>0</v>
      </c>
      <c r="CG178" s="692">
        <v>0</v>
      </c>
      <c r="CH178" s="695">
        <v>0</v>
      </c>
      <c r="CI178" s="692">
        <v>0</v>
      </c>
      <c r="CJ178" s="695">
        <v>0</v>
      </c>
      <c r="CK178" s="692">
        <v>0</v>
      </c>
      <c r="CL178" s="695">
        <v>0</v>
      </c>
      <c r="CM178" s="692">
        <v>0</v>
      </c>
      <c r="CN178" s="695">
        <v>0</v>
      </c>
      <c r="CO178" s="692">
        <v>0</v>
      </c>
      <c r="CP178" s="695">
        <v>0</v>
      </c>
      <c r="CQ178" s="692">
        <v>0</v>
      </c>
      <c r="CR178" s="693">
        <v>0</v>
      </c>
      <c r="CS178" s="692">
        <v>0</v>
      </c>
      <c r="CT178" s="693">
        <v>0</v>
      </c>
      <c r="CU178" s="694">
        <v>0</v>
      </c>
      <c r="CV178" s="693">
        <v>0</v>
      </c>
    </row>
    <row r="179" spans="1:100">
      <c r="A179" s="460">
        <v>177</v>
      </c>
      <c r="B179" s="580">
        <v>0</v>
      </c>
      <c r="C179" s="580">
        <v>0</v>
      </c>
      <c r="D179" s="580">
        <v>0</v>
      </c>
      <c r="E179" s="580">
        <v>0</v>
      </c>
      <c r="F179" s="580">
        <v>0</v>
      </c>
      <c r="G179" s="580">
        <v>0</v>
      </c>
      <c r="H179" s="580">
        <v>0</v>
      </c>
      <c r="I179" s="580">
        <v>0</v>
      </c>
      <c r="J179" s="580">
        <v>0</v>
      </c>
      <c r="K179" s="580">
        <v>0</v>
      </c>
      <c r="L179" s="580">
        <v>0</v>
      </c>
      <c r="M179" s="580">
        <v>0</v>
      </c>
      <c r="N179" s="580">
        <v>0</v>
      </c>
      <c r="O179" s="580">
        <v>0</v>
      </c>
      <c r="P179" s="580">
        <v>0</v>
      </c>
      <c r="Q179" s="580">
        <v>0</v>
      </c>
      <c r="R179" s="580">
        <v>0</v>
      </c>
      <c r="S179" s="580">
        <v>0</v>
      </c>
      <c r="T179" s="580">
        <v>0</v>
      </c>
      <c r="U179" s="580">
        <v>0</v>
      </c>
      <c r="V179" s="580">
        <v>0</v>
      </c>
      <c r="W179" s="595">
        <v>0</v>
      </c>
      <c r="X179" s="688">
        <v>0</v>
      </c>
      <c r="Y179" s="688">
        <v>0</v>
      </c>
      <c r="Z179" s="688">
        <v>0</v>
      </c>
      <c r="AA179" s="688">
        <v>0</v>
      </c>
      <c r="AB179" s="688">
        <v>0</v>
      </c>
      <c r="AC179" s="688">
        <v>0</v>
      </c>
      <c r="AD179" s="688">
        <v>0</v>
      </c>
      <c r="AE179" s="977">
        <v>0</v>
      </c>
      <c r="AF179" s="978">
        <v>0</v>
      </c>
      <c r="AG179" s="979">
        <v>0</v>
      </c>
      <c r="AH179" s="688">
        <v>0</v>
      </c>
      <c r="AI179" s="687">
        <v>0</v>
      </c>
      <c r="AJ179" s="685">
        <v>0</v>
      </c>
      <c r="AK179" s="687">
        <v>0</v>
      </c>
      <c r="AL179" s="689">
        <v>0</v>
      </c>
      <c r="AM179" s="685">
        <v>0</v>
      </c>
      <c r="AN179" s="685">
        <v>0</v>
      </c>
      <c r="AO179" s="689">
        <v>0</v>
      </c>
      <c r="AP179" s="690">
        <v>0</v>
      </c>
      <c r="AQ179" s="687">
        <v>0</v>
      </c>
      <c r="AR179" s="685">
        <v>0</v>
      </c>
      <c r="AS179" s="687">
        <v>0</v>
      </c>
      <c r="AT179" s="691">
        <v>0</v>
      </c>
      <c r="AU179" s="685">
        <v>0</v>
      </c>
      <c r="AV179" s="687">
        <v>0</v>
      </c>
      <c r="AW179" s="692">
        <v>0</v>
      </c>
      <c r="AX179" s="693">
        <v>0</v>
      </c>
      <c r="AY179" s="692">
        <v>0</v>
      </c>
      <c r="AZ179" s="693">
        <v>0</v>
      </c>
      <c r="BA179" s="692">
        <v>0</v>
      </c>
      <c r="BB179" s="693">
        <v>0</v>
      </c>
      <c r="BC179" s="694">
        <v>0</v>
      </c>
      <c r="BD179" s="695">
        <v>0</v>
      </c>
      <c r="BE179" s="692">
        <v>0</v>
      </c>
      <c r="BF179" s="693">
        <v>0</v>
      </c>
      <c r="BG179" s="694">
        <v>0</v>
      </c>
      <c r="BH179" s="693">
        <v>0</v>
      </c>
      <c r="BI179" s="694">
        <v>0</v>
      </c>
      <c r="BJ179" s="693">
        <v>0</v>
      </c>
      <c r="BK179" s="694">
        <v>0</v>
      </c>
      <c r="BL179" s="693">
        <v>0</v>
      </c>
      <c r="BM179" s="694">
        <v>0</v>
      </c>
      <c r="BN179" s="693">
        <v>0</v>
      </c>
      <c r="BO179" s="694">
        <v>0</v>
      </c>
      <c r="BP179" s="693">
        <v>0</v>
      </c>
      <c r="BQ179" s="694">
        <v>0</v>
      </c>
      <c r="BR179" s="693">
        <v>0</v>
      </c>
      <c r="BS179" s="694">
        <v>0</v>
      </c>
      <c r="BT179" s="693">
        <v>0</v>
      </c>
      <c r="BU179" s="694">
        <v>0</v>
      </c>
      <c r="BV179" s="693">
        <v>0</v>
      </c>
      <c r="BW179" s="694">
        <v>0</v>
      </c>
      <c r="BX179" s="693">
        <v>0</v>
      </c>
      <c r="BY179" s="694">
        <v>0</v>
      </c>
      <c r="BZ179" s="693">
        <v>0</v>
      </c>
      <c r="CA179" s="694">
        <v>0</v>
      </c>
      <c r="CB179" s="693">
        <v>0</v>
      </c>
      <c r="CC179" s="692">
        <v>0</v>
      </c>
      <c r="CD179" s="695">
        <v>0</v>
      </c>
      <c r="CE179" s="692">
        <v>0</v>
      </c>
      <c r="CF179" s="695">
        <v>0</v>
      </c>
      <c r="CG179" s="692">
        <v>0</v>
      </c>
      <c r="CH179" s="695">
        <v>0</v>
      </c>
      <c r="CI179" s="692">
        <v>0</v>
      </c>
      <c r="CJ179" s="695">
        <v>0</v>
      </c>
      <c r="CK179" s="692">
        <v>0</v>
      </c>
      <c r="CL179" s="695">
        <v>0</v>
      </c>
      <c r="CM179" s="692">
        <v>0</v>
      </c>
      <c r="CN179" s="695">
        <v>0</v>
      </c>
      <c r="CO179" s="692">
        <v>0</v>
      </c>
      <c r="CP179" s="695">
        <v>0</v>
      </c>
      <c r="CQ179" s="692">
        <v>0</v>
      </c>
      <c r="CR179" s="693">
        <v>0</v>
      </c>
      <c r="CS179" s="692">
        <v>0</v>
      </c>
      <c r="CT179" s="693">
        <v>0</v>
      </c>
      <c r="CU179" s="694">
        <v>0</v>
      </c>
      <c r="CV179" s="693">
        <v>0</v>
      </c>
    </row>
    <row r="180" spans="1:100">
      <c r="A180" s="460">
        <v>178</v>
      </c>
      <c r="B180" s="580">
        <v>0</v>
      </c>
      <c r="C180" s="580">
        <v>0</v>
      </c>
      <c r="D180" s="580">
        <v>0</v>
      </c>
      <c r="E180" s="580">
        <v>0</v>
      </c>
      <c r="F180" s="580">
        <v>0</v>
      </c>
      <c r="G180" s="580">
        <v>0</v>
      </c>
      <c r="H180" s="580">
        <v>0</v>
      </c>
      <c r="I180" s="580">
        <v>0</v>
      </c>
      <c r="J180" s="580">
        <v>0</v>
      </c>
      <c r="K180" s="580">
        <v>0</v>
      </c>
      <c r="L180" s="580">
        <v>0</v>
      </c>
      <c r="M180" s="580">
        <v>0</v>
      </c>
      <c r="N180" s="580">
        <v>0</v>
      </c>
      <c r="O180" s="580">
        <v>0</v>
      </c>
      <c r="P180" s="580">
        <v>0</v>
      </c>
      <c r="Q180" s="580">
        <v>0</v>
      </c>
      <c r="R180" s="580">
        <v>0</v>
      </c>
      <c r="S180" s="580">
        <v>0</v>
      </c>
      <c r="T180" s="580">
        <v>0</v>
      </c>
      <c r="U180" s="580">
        <v>0</v>
      </c>
      <c r="V180" s="580">
        <v>0</v>
      </c>
      <c r="W180" s="595">
        <v>0</v>
      </c>
      <c r="X180" s="688">
        <v>0</v>
      </c>
      <c r="Y180" s="688">
        <v>0</v>
      </c>
      <c r="Z180" s="688">
        <v>0</v>
      </c>
      <c r="AA180" s="688">
        <v>0</v>
      </c>
      <c r="AB180" s="688">
        <v>0</v>
      </c>
      <c r="AC180" s="688">
        <v>0</v>
      </c>
      <c r="AD180" s="688">
        <v>0</v>
      </c>
      <c r="AE180" s="977">
        <v>0</v>
      </c>
      <c r="AF180" s="978">
        <v>0</v>
      </c>
      <c r="AG180" s="979">
        <v>0</v>
      </c>
      <c r="AH180" s="688">
        <v>0</v>
      </c>
      <c r="AI180" s="687">
        <v>0</v>
      </c>
      <c r="AJ180" s="685">
        <v>0</v>
      </c>
      <c r="AK180" s="687">
        <v>0</v>
      </c>
      <c r="AL180" s="689">
        <v>0</v>
      </c>
      <c r="AM180" s="685">
        <v>0</v>
      </c>
      <c r="AN180" s="685">
        <v>0</v>
      </c>
      <c r="AO180" s="689">
        <v>0</v>
      </c>
      <c r="AP180" s="690">
        <v>0</v>
      </c>
      <c r="AQ180" s="687">
        <v>0</v>
      </c>
      <c r="AR180" s="685">
        <v>0</v>
      </c>
      <c r="AS180" s="687">
        <v>0</v>
      </c>
      <c r="AT180" s="691">
        <v>0</v>
      </c>
      <c r="AU180" s="685">
        <v>0</v>
      </c>
      <c r="AV180" s="687">
        <v>0</v>
      </c>
      <c r="AW180" s="692">
        <v>0</v>
      </c>
      <c r="AX180" s="693">
        <v>0</v>
      </c>
      <c r="AY180" s="692">
        <v>0</v>
      </c>
      <c r="AZ180" s="693">
        <v>0</v>
      </c>
      <c r="BA180" s="692">
        <v>0</v>
      </c>
      <c r="BB180" s="693">
        <v>0</v>
      </c>
      <c r="BC180" s="694">
        <v>0</v>
      </c>
      <c r="BD180" s="695">
        <v>0</v>
      </c>
      <c r="BE180" s="692">
        <v>0</v>
      </c>
      <c r="BF180" s="693">
        <v>0</v>
      </c>
      <c r="BG180" s="694">
        <v>0</v>
      </c>
      <c r="BH180" s="693">
        <v>0</v>
      </c>
      <c r="BI180" s="694">
        <v>0</v>
      </c>
      <c r="BJ180" s="693">
        <v>0</v>
      </c>
      <c r="BK180" s="694">
        <v>0</v>
      </c>
      <c r="BL180" s="693">
        <v>0</v>
      </c>
      <c r="BM180" s="694">
        <v>0</v>
      </c>
      <c r="BN180" s="693">
        <v>0</v>
      </c>
      <c r="BO180" s="694">
        <v>0</v>
      </c>
      <c r="BP180" s="693">
        <v>0</v>
      </c>
      <c r="BQ180" s="694">
        <v>0</v>
      </c>
      <c r="BR180" s="693">
        <v>0</v>
      </c>
      <c r="BS180" s="694">
        <v>0</v>
      </c>
      <c r="BT180" s="693">
        <v>0</v>
      </c>
      <c r="BU180" s="694">
        <v>0</v>
      </c>
      <c r="BV180" s="693">
        <v>0</v>
      </c>
      <c r="BW180" s="694">
        <v>0</v>
      </c>
      <c r="BX180" s="693">
        <v>0</v>
      </c>
      <c r="BY180" s="694">
        <v>0</v>
      </c>
      <c r="BZ180" s="693">
        <v>0</v>
      </c>
      <c r="CA180" s="694">
        <v>0</v>
      </c>
      <c r="CB180" s="693">
        <v>0</v>
      </c>
      <c r="CC180" s="692">
        <v>0</v>
      </c>
      <c r="CD180" s="695">
        <v>0</v>
      </c>
      <c r="CE180" s="692">
        <v>0</v>
      </c>
      <c r="CF180" s="695">
        <v>0</v>
      </c>
      <c r="CG180" s="692">
        <v>0</v>
      </c>
      <c r="CH180" s="695">
        <v>0</v>
      </c>
      <c r="CI180" s="692">
        <v>0</v>
      </c>
      <c r="CJ180" s="695">
        <v>0</v>
      </c>
      <c r="CK180" s="692">
        <v>0</v>
      </c>
      <c r="CL180" s="695">
        <v>0</v>
      </c>
      <c r="CM180" s="692">
        <v>0</v>
      </c>
      <c r="CN180" s="695">
        <v>0</v>
      </c>
      <c r="CO180" s="692">
        <v>0</v>
      </c>
      <c r="CP180" s="695">
        <v>0</v>
      </c>
      <c r="CQ180" s="692">
        <v>0</v>
      </c>
      <c r="CR180" s="693">
        <v>0</v>
      </c>
      <c r="CS180" s="692">
        <v>0</v>
      </c>
      <c r="CT180" s="693">
        <v>0</v>
      </c>
      <c r="CU180" s="694">
        <v>0</v>
      </c>
      <c r="CV180" s="693">
        <v>0</v>
      </c>
    </row>
    <row r="181" spans="1:100">
      <c r="A181" s="460">
        <v>179</v>
      </c>
      <c r="B181" s="580">
        <v>0</v>
      </c>
      <c r="C181" s="580">
        <v>0</v>
      </c>
      <c r="D181" s="580">
        <v>0</v>
      </c>
      <c r="E181" s="580">
        <v>0</v>
      </c>
      <c r="F181" s="580">
        <v>0</v>
      </c>
      <c r="G181" s="580">
        <v>0</v>
      </c>
      <c r="H181" s="580">
        <v>0</v>
      </c>
      <c r="I181" s="580">
        <v>0</v>
      </c>
      <c r="J181" s="580">
        <v>0</v>
      </c>
      <c r="K181" s="580">
        <v>0</v>
      </c>
      <c r="L181" s="580">
        <v>0</v>
      </c>
      <c r="M181" s="580">
        <v>0</v>
      </c>
      <c r="N181" s="580">
        <v>0</v>
      </c>
      <c r="O181" s="580">
        <v>0</v>
      </c>
      <c r="P181" s="580">
        <v>0</v>
      </c>
      <c r="Q181" s="580">
        <v>0</v>
      </c>
      <c r="R181" s="580">
        <v>0</v>
      </c>
      <c r="S181" s="580">
        <v>0</v>
      </c>
      <c r="T181" s="580">
        <v>0</v>
      </c>
      <c r="U181" s="580">
        <v>0</v>
      </c>
      <c r="V181" s="580">
        <v>0</v>
      </c>
      <c r="W181" s="595">
        <v>0</v>
      </c>
      <c r="X181" s="688">
        <v>0</v>
      </c>
      <c r="Y181" s="688">
        <v>0</v>
      </c>
      <c r="Z181" s="688">
        <v>0</v>
      </c>
      <c r="AA181" s="688">
        <v>0</v>
      </c>
      <c r="AB181" s="688">
        <v>0</v>
      </c>
      <c r="AC181" s="688">
        <v>0</v>
      </c>
      <c r="AD181" s="688">
        <v>0</v>
      </c>
      <c r="AE181" s="977">
        <v>0</v>
      </c>
      <c r="AF181" s="978">
        <v>0</v>
      </c>
      <c r="AG181" s="979">
        <v>0</v>
      </c>
      <c r="AH181" s="688">
        <v>0</v>
      </c>
      <c r="AI181" s="687">
        <v>0</v>
      </c>
      <c r="AJ181" s="685">
        <v>0</v>
      </c>
      <c r="AK181" s="687">
        <v>0</v>
      </c>
      <c r="AL181" s="689">
        <v>0</v>
      </c>
      <c r="AM181" s="685">
        <v>0</v>
      </c>
      <c r="AN181" s="685">
        <v>0</v>
      </c>
      <c r="AO181" s="689">
        <v>0</v>
      </c>
      <c r="AP181" s="690">
        <v>0</v>
      </c>
      <c r="AQ181" s="687">
        <v>0</v>
      </c>
      <c r="AR181" s="685">
        <v>0</v>
      </c>
      <c r="AS181" s="687">
        <v>0</v>
      </c>
      <c r="AT181" s="691">
        <v>0</v>
      </c>
      <c r="AU181" s="685">
        <v>0</v>
      </c>
      <c r="AV181" s="687">
        <v>0</v>
      </c>
      <c r="AW181" s="692">
        <v>0</v>
      </c>
      <c r="AX181" s="693">
        <v>0</v>
      </c>
      <c r="AY181" s="692">
        <v>0</v>
      </c>
      <c r="AZ181" s="693">
        <v>0</v>
      </c>
      <c r="BA181" s="692">
        <v>0</v>
      </c>
      <c r="BB181" s="693">
        <v>0</v>
      </c>
      <c r="BC181" s="694">
        <v>0</v>
      </c>
      <c r="BD181" s="695">
        <v>0</v>
      </c>
      <c r="BE181" s="692">
        <v>0</v>
      </c>
      <c r="BF181" s="693">
        <v>0</v>
      </c>
      <c r="BG181" s="694">
        <v>0</v>
      </c>
      <c r="BH181" s="693">
        <v>0</v>
      </c>
      <c r="BI181" s="694">
        <v>0</v>
      </c>
      <c r="BJ181" s="693">
        <v>0</v>
      </c>
      <c r="BK181" s="694">
        <v>0</v>
      </c>
      <c r="BL181" s="693">
        <v>0</v>
      </c>
      <c r="BM181" s="694">
        <v>0</v>
      </c>
      <c r="BN181" s="693">
        <v>0</v>
      </c>
      <c r="BO181" s="694">
        <v>0</v>
      </c>
      <c r="BP181" s="693">
        <v>0</v>
      </c>
      <c r="BQ181" s="694">
        <v>0</v>
      </c>
      <c r="BR181" s="693">
        <v>0</v>
      </c>
      <c r="BS181" s="694">
        <v>0</v>
      </c>
      <c r="BT181" s="693">
        <v>0</v>
      </c>
      <c r="BU181" s="694">
        <v>0</v>
      </c>
      <c r="BV181" s="693">
        <v>0</v>
      </c>
      <c r="BW181" s="694">
        <v>0</v>
      </c>
      <c r="BX181" s="693">
        <v>0</v>
      </c>
      <c r="BY181" s="694">
        <v>0</v>
      </c>
      <c r="BZ181" s="693">
        <v>0</v>
      </c>
      <c r="CA181" s="694">
        <v>0</v>
      </c>
      <c r="CB181" s="693">
        <v>0</v>
      </c>
      <c r="CC181" s="692">
        <v>0</v>
      </c>
      <c r="CD181" s="695">
        <v>0</v>
      </c>
      <c r="CE181" s="692">
        <v>0</v>
      </c>
      <c r="CF181" s="695">
        <v>0</v>
      </c>
      <c r="CG181" s="692">
        <v>0</v>
      </c>
      <c r="CH181" s="695">
        <v>0</v>
      </c>
      <c r="CI181" s="692">
        <v>0</v>
      </c>
      <c r="CJ181" s="695">
        <v>0</v>
      </c>
      <c r="CK181" s="692">
        <v>0</v>
      </c>
      <c r="CL181" s="695">
        <v>0</v>
      </c>
      <c r="CM181" s="692">
        <v>0</v>
      </c>
      <c r="CN181" s="695">
        <v>0</v>
      </c>
      <c r="CO181" s="692">
        <v>0</v>
      </c>
      <c r="CP181" s="695">
        <v>0</v>
      </c>
      <c r="CQ181" s="692">
        <v>0</v>
      </c>
      <c r="CR181" s="693">
        <v>0</v>
      </c>
      <c r="CS181" s="692">
        <v>0</v>
      </c>
      <c r="CT181" s="693">
        <v>0</v>
      </c>
      <c r="CU181" s="694">
        <v>0</v>
      </c>
      <c r="CV181" s="693">
        <v>0</v>
      </c>
    </row>
    <row r="182" spans="1:100">
      <c r="A182" s="460">
        <v>180</v>
      </c>
      <c r="B182" s="580">
        <v>0</v>
      </c>
      <c r="C182" s="580">
        <v>0</v>
      </c>
      <c r="D182" s="580">
        <v>0</v>
      </c>
      <c r="E182" s="580">
        <v>0</v>
      </c>
      <c r="F182" s="580">
        <v>0</v>
      </c>
      <c r="G182" s="580">
        <v>0</v>
      </c>
      <c r="H182" s="580">
        <v>0</v>
      </c>
      <c r="I182" s="580">
        <v>0</v>
      </c>
      <c r="J182" s="580">
        <v>0</v>
      </c>
      <c r="K182" s="580">
        <v>0</v>
      </c>
      <c r="L182" s="580">
        <v>0</v>
      </c>
      <c r="M182" s="580">
        <v>0</v>
      </c>
      <c r="N182" s="580">
        <v>0</v>
      </c>
      <c r="O182" s="580">
        <v>0</v>
      </c>
      <c r="P182" s="580">
        <v>0</v>
      </c>
      <c r="Q182" s="580">
        <v>0</v>
      </c>
      <c r="R182" s="580">
        <v>0</v>
      </c>
      <c r="S182" s="580">
        <v>0</v>
      </c>
      <c r="T182" s="580">
        <v>0</v>
      </c>
      <c r="U182" s="580">
        <v>0</v>
      </c>
      <c r="V182" s="580">
        <v>0</v>
      </c>
      <c r="W182" s="595">
        <v>0</v>
      </c>
      <c r="X182" s="688">
        <v>0</v>
      </c>
      <c r="Y182" s="688">
        <v>0</v>
      </c>
      <c r="Z182" s="688">
        <v>0</v>
      </c>
      <c r="AA182" s="688">
        <v>0</v>
      </c>
      <c r="AB182" s="688">
        <v>0</v>
      </c>
      <c r="AC182" s="688">
        <v>0</v>
      </c>
      <c r="AD182" s="688">
        <v>0</v>
      </c>
      <c r="AE182" s="977">
        <v>0</v>
      </c>
      <c r="AF182" s="978">
        <v>0</v>
      </c>
      <c r="AG182" s="979">
        <v>0</v>
      </c>
      <c r="AH182" s="688">
        <v>0</v>
      </c>
      <c r="AI182" s="687">
        <v>0</v>
      </c>
      <c r="AJ182" s="685">
        <v>0</v>
      </c>
      <c r="AK182" s="687">
        <v>0</v>
      </c>
      <c r="AL182" s="689">
        <v>0</v>
      </c>
      <c r="AM182" s="685">
        <v>0</v>
      </c>
      <c r="AN182" s="685">
        <v>0</v>
      </c>
      <c r="AO182" s="689">
        <v>0</v>
      </c>
      <c r="AP182" s="690">
        <v>0</v>
      </c>
      <c r="AQ182" s="687">
        <v>0</v>
      </c>
      <c r="AR182" s="685">
        <v>0</v>
      </c>
      <c r="AS182" s="687">
        <v>0</v>
      </c>
      <c r="AT182" s="691">
        <v>0</v>
      </c>
      <c r="AU182" s="685">
        <v>0</v>
      </c>
      <c r="AV182" s="687">
        <v>0</v>
      </c>
      <c r="AW182" s="692">
        <v>0</v>
      </c>
      <c r="AX182" s="693">
        <v>0</v>
      </c>
      <c r="AY182" s="692">
        <v>0</v>
      </c>
      <c r="AZ182" s="693">
        <v>0</v>
      </c>
      <c r="BA182" s="692">
        <v>0</v>
      </c>
      <c r="BB182" s="693">
        <v>0</v>
      </c>
      <c r="BC182" s="694">
        <v>0</v>
      </c>
      <c r="BD182" s="695">
        <v>0</v>
      </c>
      <c r="BE182" s="692">
        <v>0</v>
      </c>
      <c r="BF182" s="693">
        <v>0</v>
      </c>
      <c r="BG182" s="694">
        <v>0</v>
      </c>
      <c r="BH182" s="693">
        <v>0</v>
      </c>
      <c r="BI182" s="694">
        <v>0</v>
      </c>
      <c r="BJ182" s="693">
        <v>0</v>
      </c>
      <c r="BK182" s="694">
        <v>0</v>
      </c>
      <c r="BL182" s="693">
        <v>0</v>
      </c>
      <c r="BM182" s="694">
        <v>0</v>
      </c>
      <c r="BN182" s="693">
        <v>0</v>
      </c>
      <c r="BO182" s="694">
        <v>0</v>
      </c>
      <c r="BP182" s="693">
        <v>0</v>
      </c>
      <c r="BQ182" s="694">
        <v>0</v>
      </c>
      <c r="BR182" s="693">
        <v>0</v>
      </c>
      <c r="BS182" s="694">
        <v>0</v>
      </c>
      <c r="BT182" s="693">
        <v>0</v>
      </c>
      <c r="BU182" s="694">
        <v>0</v>
      </c>
      <c r="BV182" s="693">
        <v>0</v>
      </c>
      <c r="BW182" s="694">
        <v>0</v>
      </c>
      <c r="BX182" s="693">
        <v>0</v>
      </c>
      <c r="BY182" s="694">
        <v>0</v>
      </c>
      <c r="BZ182" s="693">
        <v>0</v>
      </c>
      <c r="CA182" s="694">
        <v>0</v>
      </c>
      <c r="CB182" s="693">
        <v>0</v>
      </c>
      <c r="CC182" s="692">
        <v>0</v>
      </c>
      <c r="CD182" s="695">
        <v>0</v>
      </c>
      <c r="CE182" s="692">
        <v>0</v>
      </c>
      <c r="CF182" s="695">
        <v>0</v>
      </c>
      <c r="CG182" s="692">
        <v>0</v>
      </c>
      <c r="CH182" s="695">
        <v>0</v>
      </c>
      <c r="CI182" s="692">
        <v>0</v>
      </c>
      <c r="CJ182" s="695">
        <v>0</v>
      </c>
      <c r="CK182" s="692">
        <v>0</v>
      </c>
      <c r="CL182" s="695">
        <v>0</v>
      </c>
      <c r="CM182" s="692">
        <v>0</v>
      </c>
      <c r="CN182" s="695">
        <v>0</v>
      </c>
      <c r="CO182" s="692">
        <v>0</v>
      </c>
      <c r="CP182" s="695">
        <v>0</v>
      </c>
      <c r="CQ182" s="692">
        <v>0</v>
      </c>
      <c r="CR182" s="693">
        <v>0</v>
      </c>
      <c r="CS182" s="692">
        <v>0</v>
      </c>
      <c r="CT182" s="693">
        <v>0</v>
      </c>
      <c r="CU182" s="694">
        <v>0</v>
      </c>
      <c r="CV182" s="693">
        <v>0</v>
      </c>
    </row>
    <row r="183" spans="1:100">
      <c r="A183" s="460">
        <v>181</v>
      </c>
      <c r="B183" s="580">
        <v>0</v>
      </c>
      <c r="C183" s="580">
        <v>0</v>
      </c>
      <c r="D183" s="580">
        <v>0</v>
      </c>
      <c r="E183" s="580">
        <v>0</v>
      </c>
      <c r="F183" s="580">
        <v>0</v>
      </c>
      <c r="G183" s="580">
        <v>0</v>
      </c>
      <c r="H183" s="580">
        <v>0</v>
      </c>
      <c r="I183" s="580">
        <v>0</v>
      </c>
      <c r="J183" s="580">
        <v>0</v>
      </c>
      <c r="K183" s="580">
        <v>0</v>
      </c>
      <c r="L183" s="580">
        <v>0</v>
      </c>
      <c r="M183" s="580">
        <v>0</v>
      </c>
      <c r="N183" s="580">
        <v>0</v>
      </c>
      <c r="O183" s="580">
        <v>0</v>
      </c>
      <c r="P183" s="580">
        <v>0</v>
      </c>
      <c r="Q183" s="580">
        <v>0</v>
      </c>
      <c r="R183" s="580">
        <v>0</v>
      </c>
      <c r="S183" s="580">
        <v>0</v>
      </c>
      <c r="T183" s="580">
        <v>0</v>
      </c>
      <c r="U183" s="580">
        <v>0</v>
      </c>
      <c r="V183" s="580">
        <v>0</v>
      </c>
      <c r="W183" s="595">
        <v>0</v>
      </c>
      <c r="X183" s="688">
        <v>0</v>
      </c>
      <c r="Y183" s="688">
        <v>0</v>
      </c>
      <c r="Z183" s="688">
        <v>0</v>
      </c>
      <c r="AA183" s="688">
        <v>0</v>
      </c>
      <c r="AB183" s="688">
        <v>0</v>
      </c>
      <c r="AC183" s="688">
        <v>0</v>
      </c>
      <c r="AD183" s="688">
        <v>0</v>
      </c>
      <c r="AE183" s="977">
        <v>0</v>
      </c>
      <c r="AF183" s="978">
        <v>0</v>
      </c>
      <c r="AG183" s="979">
        <v>0</v>
      </c>
      <c r="AH183" s="688">
        <v>0</v>
      </c>
      <c r="AI183" s="687">
        <v>0</v>
      </c>
      <c r="AJ183" s="685">
        <v>0</v>
      </c>
      <c r="AK183" s="687">
        <v>0</v>
      </c>
      <c r="AL183" s="689">
        <v>0</v>
      </c>
      <c r="AM183" s="685">
        <v>0</v>
      </c>
      <c r="AN183" s="685">
        <v>0</v>
      </c>
      <c r="AO183" s="689">
        <v>0</v>
      </c>
      <c r="AP183" s="690">
        <v>0</v>
      </c>
      <c r="AQ183" s="687">
        <v>0</v>
      </c>
      <c r="AR183" s="685">
        <v>0</v>
      </c>
      <c r="AS183" s="687">
        <v>0</v>
      </c>
      <c r="AT183" s="691">
        <v>0</v>
      </c>
      <c r="AU183" s="685">
        <v>0</v>
      </c>
      <c r="AV183" s="687">
        <v>0</v>
      </c>
      <c r="AW183" s="692">
        <v>0</v>
      </c>
      <c r="AX183" s="693">
        <v>0</v>
      </c>
      <c r="AY183" s="692">
        <v>0</v>
      </c>
      <c r="AZ183" s="693">
        <v>0</v>
      </c>
      <c r="BA183" s="692">
        <v>0</v>
      </c>
      <c r="BB183" s="693">
        <v>0</v>
      </c>
      <c r="BC183" s="694">
        <v>0</v>
      </c>
      <c r="BD183" s="695">
        <v>0</v>
      </c>
      <c r="BE183" s="692">
        <v>0</v>
      </c>
      <c r="BF183" s="693">
        <v>0</v>
      </c>
      <c r="BG183" s="694">
        <v>0</v>
      </c>
      <c r="BH183" s="693">
        <v>0</v>
      </c>
      <c r="BI183" s="694">
        <v>0</v>
      </c>
      <c r="BJ183" s="693">
        <v>0</v>
      </c>
      <c r="BK183" s="694">
        <v>0</v>
      </c>
      <c r="BL183" s="693">
        <v>0</v>
      </c>
      <c r="BM183" s="694">
        <v>0</v>
      </c>
      <c r="BN183" s="693">
        <v>0</v>
      </c>
      <c r="BO183" s="694">
        <v>0</v>
      </c>
      <c r="BP183" s="693">
        <v>0</v>
      </c>
      <c r="BQ183" s="694">
        <v>0</v>
      </c>
      <c r="BR183" s="693">
        <v>0</v>
      </c>
      <c r="BS183" s="694">
        <v>0</v>
      </c>
      <c r="BT183" s="693">
        <v>0</v>
      </c>
      <c r="BU183" s="694">
        <v>0</v>
      </c>
      <c r="BV183" s="693">
        <v>0</v>
      </c>
      <c r="BW183" s="694">
        <v>0</v>
      </c>
      <c r="BX183" s="693">
        <v>0</v>
      </c>
      <c r="BY183" s="694">
        <v>0</v>
      </c>
      <c r="BZ183" s="693">
        <v>0</v>
      </c>
      <c r="CA183" s="694">
        <v>0</v>
      </c>
      <c r="CB183" s="693">
        <v>0</v>
      </c>
      <c r="CC183" s="692">
        <v>0</v>
      </c>
      <c r="CD183" s="695">
        <v>0</v>
      </c>
      <c r="CE183" s="692">
        <v>0</v>
      </c>
      <c r="CF183" s="695">
        <v>0</v>
      </c>
      <c r="CG183" s="692">
        <v>0</v>
      </c>
      <c r="CH183" s="695">
        <v>0</v>
      </c>
      <c r="CI183" s="692">
        <v>0</v>
      </c>
      <c r="CJ183" s="695">
        <v>0</v>
      </c>
      <c r="CK183" s="692">
        <v>0</v>
      </c>
      <c r="CL183" s="695">
        <v>0</v>
      </c>
      <c r="CM183" s="692">
        <v>0</v>
      </c>
      <c r="CN183" s="695">
        <v>0</v>
      </c>
      <c r="CO183" s="692">
        <v>0</v>
      </c>
      <c r="CP183" s="695">
        <v>0</v>
      </c>
      <c r="CQ183" s="692">
        <v>0</v>
      </c>
      <c r="CR183" s="693">
        <v>0</v>
      </c>
      <c r="CS183" s="692">
        <v>0</v>
      </c>
      <c r="CT183" s="693">
        <v>0</v>
      </c>
      <c r="CU183" s="694">
        <v>0</v>
      </c>
      <c r="CV183" s="693">
        <v>0</v>
      </c>
    </row>
    <row r="184" spans="1:100">
      <c r="A184" s="460">
        <v>182</v>
      </c>
      <c r="B184" s="580">
        <v>0</v>
      </c>
      <c r="C184" s="580">
        <v>0</v>
      </c>
      <c r="D184" s="580">
        <v>0</v>
      </c>
      <c r="E184" s="580">
        <v>0</v>
      </c>
      <c r="F184" s="580">
        <v>0</v>
      </c>
      <c r="G184" s="580">
        <v>0</v>
      </c>
      <c r="H184" s="580">
        <v>0</v>
      </c>
      <c r="I184" s="580">
        <v>0</v>
      </c>
      <c r="J184" s="580">
        <v>0</v>
      </c>
      <c r="K184" s="580">
        <v>0</v>
      </c>
      <c r="L184" s="580">
        <v>0</v>
      </c>
      <c r="M184" s="580">
        <v>0</v>
      </c>
      <c r="N184" s="580">
        <v>0</v>
      </c>
      <c r="O184" s="580">
        <v>0</v>
      </c>
      <c r="P184" s="580">
        <v>0</v>
      </c>
      <c r="Q184" s="580">
        <v>0</v>
      </c>
      <c r="R184" s="580">
        <v>0</v>
      </c>
      <c r="S184" s="580">
        <v>0</v>
      </c>
      <c r="T184" s="580">
        <v>0</v>
      </c>
      <c r="U184" s="580">
        <v>0</v>
      </c>
      <c r="V184" s="580">
        <v>0</v>
      </c>
      <c r="W184" s="595">
        <v>0</v>
      </c>
      <c r="X184" s="688">
        <v>0</v>
      </c>
      <c r="Y184" s="688">
        <v>0</v>
      </c>
      <c r="Z184" s="688">
        <v>0</v>
      </c>
      <c r="AA184" s="688">
        <v>0</v>
      </c>
      <c r="AB184" s="688">
        <v>0</v>
      </c>
      <c r="AC184" s="688">
        <v>0</v>
      </c>
      <c r="AD184" s="688">
        <v>0</v>
      </c>
      <c r="AE184" s="977">
        <v>0</v>
      </c>
      <c r="AF184" s="978">
        <v>0</v>
      </c>
      <c r="AG184" s="979">
        <v>0</v>
      </c>
      <c r="AH184" s="688">
        <v>0</v>
      </c>
      <c r="AI184" s="687">
        <v>0</v>
      </c>
      <c r="AJ184" s="685">
        <v>0</v>
      </c>
      <c r="AK184" s="687">
        <v>0</v>
      </c>
      <c r="AL184" s="689">
        <v>0</v>
      </c>
      <c r="AM184" s="685">
        <v>0</v>
      </c>
      <c r="AN184" s="685">
        <v>0</v>
      </c>
      <c r="AO184" s="689">
        <v>0</v>
      </c>
      <c r="AP184" s="690">
        <v>0</v>
      </c>
      <c r="AQ184" s="687">
        <v>0</v>
      </c>
      <c r="AR184" s="685">
        <v>0</v>
      </c>
      <c r="AS184" s="687">
        <v>0</v>
      </c>
      <c r="AT184" s="691">
        <v>0</v>
      </c>
      <c r="AU184" s="685">
        <v>0</v>
      </c>
      <c r="AV184" s="687">
        <v>0</v>
      </c>
      <c r="AW184" s="692">
        <v>0</v>
      </c>
      <c r="AX184" s="693">
        <v>0</v>
      </c>
      <c r="AY184" s="692">
        <v>0</v>
      </c>
      <c r="AZ184" s="693">
        <v>0</v>
      </c>
      <c r="BA184" s="692">
        <v>0</v>
      </c>
      <c r="BB184" s="693">
        <v>0</v>
      </c>
      <c r="BC184" s="694">
        <v>0</v>
      </c>
      <c r="BD184" s="695">
        <v>0</v>
      </c>
      <c r="BE184" s="692">
        <v>0</v>
      </c>
      <c r="BF184" s="693">
        <v>0</v>
      </c>
      <c r="BG184" s="694">
        <v>0</v>
      </c>
      <c r="BH184" s="693">
        <v>0</v>
      </c>
      <c r="BI184" s="694">
        <v>0</v>
      </c>
      <c r="BJ184" s="693">
        <v>0</v>
      </c>
      <c r="BK184" s="694">
        <v>0</v>
      </c>
      <c r="BL184" s="693">
        <v>0</v>
      </c>
      <c r="BM184" s="694">
        <v>0</v>
      </c>
      <c r="BN184" s="693">
        <v>0</v>
      </c>
      <c r="BO184" s="694">
        <v>0</v>
      </c>
      <c r="BP184" s="693">
        <v>0</v>
      </c>
      <c r="BQ184" s="694">
        <v>0</v>
      </c>
      <c r="BR184" s="693">
        <v>0</v>
      </c>
      <c r="BS184" s="694">
        <v>0</v>
      </c>
      <c r="BT184" s="693">
        <v>0</v>
      </c>
      <c r="BU184" s="694">
        <v>0</v>
      </c>
      <c r="BV184" s="693">
        <v>0</v>
      </c>
      <c r="BW184" s="694">
        <v>0</v>
      </c>
      <c r="BX184" s="693">
        <v>0</v>
      </c>
      <c r="BY184" s="694">
        <v>0</v>
      </c>
      <c r="BZ184" s="693">
        <v>0</v>
      </c>
      <c r="CA184" s="694">
        <v>0</v>
      </c>
      <c r="CB184" s="693">
        <v>0</v>
      </c>
      <c r="CC184" s="692">
        <v>0</v>
      </c>
      <c r="CD184" s="695">
        <v>0</v>
      </c>
      <c r="CE184" s="692">
        <v>0</v>
      </c>
      <c r="CF184" s="695">
        <v>0</v>
      </c>
      <c r="CG184" s="692">
        <v>0</v>
      </c>
      <c r="CH184" s="695">
        <v>0</v>
      </c>
      <c r="CI184" s="692">
        <v>0</v>
      </c>
      <c r="CJ184" s="695">
        <v>0</v>
      </c>
      <c r="CK184" s="692">
        <v>0</v>
      </c>
      <c r="CL184" s="695">
        <v>0</v>
      </c>
      <c r="CM184" s="692">
        <v>0</v>
      </c>
      <c r="CN184" s="695">
        <v>0</v>
      </c>
      <c r="CO184" s="692">
        <v>0</v>
      </c>
      <c r="CP184" s="695">
        <v>0</v>
      </c>
      <c r="CQ184" s="692">
        <v>0</v>
      </c>
      <c r="CR184" s="693">
        <v>0</v>
      </c>
      <c r="CS184" s="692">
        <v>0</v>
      </c>
      <c r="CT184" s="693">
        <v>0</v>
      </c>
      <c r="CU184" s="694">
        <v>0</v>
      </c>
      <c r="CV184" s="693">
        <v>0</v>
      </c>
    </row>
    <row r="185" spans="1:100">
      <c r="A185" s="460">
        <v>183</v>
      </c>
      <c r="B185" s="580">
        <v>0</v>
      </c>
      <c r="C185" s="580">
        <v>0</v>
      </c>
      <c r="D185" s="580">
        <v>0</v>
      </c>
      <c r="E185" s="580">
        <v>0</v>
      </c>
      <c r="F185" s="580">
        <v>0</v>
      </c>
      <c r="G185" s="580">
        <v>0</v>
      </c>
      <c r="H185" s="580">
        <v>0</v>
      </c>
      <c r="I185" s="580">
        <v>0</v>
      </c>
      <c r="J185" s="580">
        <v>0</v>
      </c>
      <c r="K185" s="580">
        <v>0</v>
      </c>
      <c r="L185" s="580">
        <v>0</v>
      </c>
      <c r="M185" s="580">
        <v>0</v>
      </c>
      <c r="N185" s="580">
        <v>0</v>
      </c>
      <c r="O185" s="580">
        <v>0</v>
      </c>
      <c r="P185" s="580">
        <v>0</v>
      </c>
      <c r="Q185" s="580">
        <v>0</v>
      </c>
      <c r="R185" s="580">
        <v>0</v>
      </c>
      <c r="S185" s="580">
        <v>0</v>
      </c>
      <c r="T185" s="580">
        <v>0</v>
      </c>
      <c r="U185" s="580">
        <v>0</v>
      </c>
      <c r="V185" s="580">
        <v>0</v>
      </c>
      <c r="W185" s="595">
        <v>0</v>
      </c>
      <c r="X185" s="688">
        <v>0</v>
      </c>
      <c r="Y185" s="688">
        <v>0</v>
      </c>
      <c r="Z185" s="688">
        <v>0</v>
      </c>
      <c r="AA185" s="688">
        <v>0</v>
      </c>
      <c r="AB185" s="688">
        <v>0</v>
      </c>
      <c r="AC185" s="688">
        <v>0</v>
      </c>
      <c r="AD185" s="688">
        <v>0</v>
      </c>
      <c r="AE185" s="977">
        <v>0</v>
      </c>
      <c r="AF185" s="978">
        <v>0</v>
      </c>
      <c r="AG185" s="979">
        <v>0</v>
      </c>
      <c r="AH185" s="688">
        <v>0</v>
      </c>
      <c r="AI185" s="687">
        <v>0</v>
      </c>
      <c r="AJ185" s="685">
        <v>0</v>
      </c>
      <c r="AK185" s="687">
        <v>0</v>
      </c>
      <c r="AL185" s="689">
        <v>0</v>
      </c>
      <c r="AM185" s="685">
        <v>0</v>
      </c>
      <c r="AN185" s="685">
        <v>0</v>
      </c>
      <c r="AO185" s="689">
        <v>0</v>
      </c>
      <c r="AP185" s="690">
        <v>0</v>
      </c>
      <c r="AQ185" s="687">
        <v>0</v>
      </c>
      <c r="AR185" s="685">
        <v>0</v>
      </c>
      <c r="AS185" s="687">
        <v>0</v>
      </c>
      <c r="AT185" s="691">
        <v>0</v>
      </c>
      <c r="AU185" s="685">
        <v>0</v>
      </c>
      <c r="AV185" s="687">
        <v>0</v>
      </c>
      <c r="AW185" s="692">
        <v>0</v>
      </c>
      <c r="AX185" s="693">
        <v>0</v>
      </c>
      <c r="AY185" s="692">
        <v>0</v>
      </c>
      <c r="AZ185" s="693">
        <v>0</v>
      </c>
      <c r="BA185" s="692">
        <v>0</v>
      </c>
      <c r="BB185" s="693">
        <v>0</v>
      </c>
      <c r="BC185" s="694">
        <v>0</v>
      </c>
      <c r="BD185" s="695">
        <v>0</v>
      </c>
      <c r="BE185" s="692">
        <v>0</v>
      </c>
      <c r="BF185" s="693">
        <v>0</v>
      </c>
      <c r="BG185" s="694">
        <v>0</v>
      </c>
      <c r="BH185" s="693">
        <v>0</v>
      </c>
      <c r="BI185" s="694">
        <v>0</v>
      </c>
      <c r="BJ185" s="693">
        <v>0</v>
      </c>
      <c r="BK185" s="694">
        <v>0</v>
      </c>
      <c r="BL185" s="693">
        <v>0</v>
      </c>
      <c r="BM185" s="694">
        <v>0</v>
      </c>
      <c r="BN185" s="693">
        <v>0</v>
      </c>
      <c r="BO185" s="694">
        <v>0</v>
      </c>
      <c r="BP185" s="693">
        <v>0</v>
      </c>
      <c r="BQ185" s="694">
        <v>0</v>
      </c>
      <c r="BR185" s="693">
        <v>0</v>
      </c>
      <c r="BS185" s="694">
        <v>0</v>
      </c>
      <c r="BT185" s="693">
        <v>0</v>
      </c>
      <c r="BU185" s="694">
        <v>0</v>
      </c>
      <c r="BV185" s="693">
        <v>0</v>
      </c>
      <c r="BW185" s="694">
        <v>0</v>
      </c>
      <c r="BX185" s="693">
        <v>0</v>
      </c>
      <c r="BY185" s="694">
        <v>0</v>
      </c>
      <c r="BZ185" s="693">
        <v>0</v>
      </c>
      <c r="CA185" s="694">
        <v>0</v>
      </c>
      <c r="CB185" s="693">
        <v>0</v>
      </c>
      <c r="CC185" s="692">
        <v>0</v>
      </c>
      <c r="CD185" s="695">
        <v>0</v>
      </c>
      <c r="CE185" s="692">
        <v>0</v>
      </c>
      <c r="CF185" s="695">
        <v>0</v>
      </c>
      <c r="CG185" s="692">
        <v>0</v>
      </c>
      <c r="CH185" s="695">
        <v>0</v>
      </c>
      <c r="CI185" s="692">
        <v>0</v>
      </c>
      <c r="CJ185" s="695">
        <v>0</v>
      </c>
      <c r="CK185" s="692">
        <v>0</v>
      </c>
      <c r="CL185" s="695">
        <v>0</v>
      </c>
      <c r="CM185" s="692">
        <v>0</v>
      </c>
      <c r="CN185" s="695">
        <v>0</v>
      </c>
      <c r="CO185" s="692">
        <v>0</v>
      </c>
      <c r="CP185" s="695">
        <v>0</v>
      </c>
      <c r="CQ185" s="692">
        <v>0</v>
      </c>
      <c r="CR185" s="693">
        <v>0</v>
      </c>
      <c r="CS185" s="692">
        <v>0</v>
      </c>
      <c r="CT185" s="693">
        <v>0</v>
      </c>
      <c r="CU185" s="694">
        <v>0</v>
      </c>
      <c r="CV185" s="693">
        <v>0</v>
      </c>
    </row>
    <row r="186" spans="1:100">
      <c r="A186" s="460">
        <v>184</v>
      </c>
      <c r="B186" s="580">
        <v>0</v>
      </c>
      <c r="C186" s="580">
        <v>0</v>
      </c>
      <c r="D186" s="580">
        <v>0</v>
      </c>
      <c r="E186" s="580">
        <v>0</v>
      </c>
      <c r="F186" s="580">
        <v>0</v>
      </c>
      <c r="G186" s="580">
        <v>0</v>
      </c>
      <c r="H186" s="580">
        <v>0</v>
      </c>
      <c r="I186" s="580">
        <v>0</v>
      </c>
      <c r="J186" s="580">
        <v>0</v>
      </c>
      <c r="K186" s="580">
        <v>0</v>
      </c>
      <c r="L186" s="580">
        <v>0</v>
      </c>
      <c r="M186" s="580">
        <v>0</v>
      </c>
      <c r="N186" s="580">
        <v>0</v>
      </c>
      <c r="O186" s="580">
        <v>0</v>
      </c>
      <c r="P186" s="580">
        <v>0</v>
      </c>
      <c r="Q186" s="580">
        <v>0</v>
      </c>
      <c r="R186" s="580">
        <v>0</v>
      </c>
      <c r="S186" s="580">
        <v>0</v>
      </c>
      <c r="T186" s="580">
        <v>0</v>
      </c>
      <c r="U186" s="580">
        <v>0</v>
      </c>
      <c r="V186" s="580">
        <v>0</v>
      </c>
      <c r="W186" s="595">
        <v>0</v>
      </c>
      <c r="X186" s="688">
        <v>0</v>
      </c>
      <c r="Y186" s="688">
        <v>0</v>
      </c>
      <c r="Z186" s="688">
        <v>0</v>
      </c>
      <c r="AA186" s="688">
        <v>0</v>
      </c>
      <c r="AB186" s="688">
        <v>0</v>
      </c>
      <c r="AC186" s="688">
        <v>0</v>
      </c>
      <c r="AD186" s="688">
        <v>0</v>
      </c>
      <c r="AE186" s="977">
        <v>0</v>
      </c>
      <c r="AF186" s="978">
        <v>0</v>
      </c>
      <c r="AG186" s="979">
        <v>0</v>
      </c>
      <c r="AH186" s="688">
        <v>0</v>
      </c>
      <c r="AI186" s="687">
        <v>0</v>
      </c>
      <c r="AJ186" s="685">
        <v>0</v>
      </c>
      <c r="AK186" s="687">
        <v>0</v>
      </c>
      <c r="AL186" s="689">
        <v>0</v>
      </c>
      <c r="AM186" s="685">
        <v>0</v>
      </c>
      <c r="AN186" s="685">
        <v>0</v>
      </c>
      <c r="AO186" s="689">
        <v>0</v>
      </c>
      <c r="AP186" s="690">
        <v>0</v>
      </c>
      <c r="AQ186" s="687">
        <v>0</v>
      </c>
      <c r="AR186" s="685">
        <v>0</v>
      </c>
      <c r="AS186" s="687">
        <v>0</v>
      </c>
      <c r="AT186" s="691">
        <v>0</v>
      </c>
      <c r="AU186" s="685">
        <v>0</v>
      </c>
      <c r="AV186" s="687">
        <v>0</v>
      </c>
      <c r="AW186" s="692">
        <v>0</v>
      </c>
      <c r="AX186" s="693">
        <v>0</v>
      </c>
      <c r="AY186" s="692">
        <v>0</v>
      </c>
      <c r="AZ186" s="693">
        <v>0</v>
      </c>
      <c r="BA186" s="692">
        <v>0</v>
      </c>
      <c r="BB186" s="693">
        <v>0</v>
      </c>
      <c r="BC186" s="694">
        <v>0</v>
      </c>
      <c r="BD186" s="695">
        <v>0</v>
      </c>
      <c r="BE186" s="692">
        <v>0</v>
      </c>
      <c r="BF186" s="693">
        <v>0</v>
      </c>
      <c r="BG186" s="694">
        <v>0</v>
      </c>
      <c r="BH186" s="693">
        <v>0</v>
      </c>
      <c r="BI186" s="694">
        <v>0</v>
      </c>
      <c r="BJ186" s="693">
        <v>0</v>
      </c>
      <c r="BK186" s="694">
        <v>0</v>
      </c>
      <c r="BL186" s="693">
        <v>0</v>
      </c>
      <c r="BM186" s="694">
        <v>0</v>
      </c>
      <c r="BN186" s="693">
        <v>0</v>
      </c>
      <c r="BO186" s="694">
        <v>0</v>
      </c>
      <c r="BP186" s="693">
        <v>0</v>
      </c>
      <c r="BQ186" s="694">
        <v>0</v>
      </c>
      <c r="BR186" s="693">
        <v>0</v>
      </c>
      <c r="BS186" s="694">
        <v>0</v>
      </c>
      <c r="BT186" s="693">
        <v>0</v>
      </c>
      <c r="BU186" s="694">
        <v>0</v>
      </c>
      <c r="BV186" s="693">
        <v>0</v>
      </c>
      <c r="BW186" s="694">
        <v>0</v>
      </c>
      <c r="BX186" s="693">
        <v>0</v>
      </c>
      <c r="BY186" s="694">
        <v>0</v>
      </c>
      <c r="BZ186" s="693">
        <v>0</v>
      </c>
      <c r="CA186" s="694">
        <v>0</v>
      </c>
      <c r="CB186" s="693">
        <v>0</v>
      </c>
      <c r="CC186" s="692">
        <v>0</v>
      </c>
      <c r="CD186" s="695">
        <v>0</v>
      </c>
      <c r="CE186" s="692">
        <v>0</v>
      </c>
      <c r="CF186" s="695">
        <v>0</v>
      </c>
      <c r="CG186" s="692">
        <v>0</v>
      </c>
      <c r="CH186" s="695">
        <v>0</v>
      </c>
      <c r="CI186" s="692">
        <v>0</v>
      </c>
      <c r="CJ186" s="695">
        <v>0</v>
      </c>
      <c r="CK186" s="692">
        <v>0</v>
      </c>
      <c r="CL186" s="695">
        <v>0</v>
      </c>
      <c r="CM186" s="692">
        <v>0</v>
      </c>
      <c r="CN186" s="695">
        <v>0</v>
      </c>
      <c r="CO186" s="692">
        <v>0</v>
      </c>
      <c r="CP186" s="695">
        <v>0</v>
      </c>
      <c r="CQ186" s="692">
        <v>0</v>
      </c>
      <c r="CR186" s="693">
        <v>0</v>
      </c>
      <c r="CS186" s="692">
        <v>0</v>
      </c>
      <c r="CT186" s="693">
        <v>0</v>
      </c>
      <c r="CU186" s="694">
        <v>0</v>
      </c>
      <c r="CV186" s="693">
        <v>0</v>
      </c>
    </row>
    <row r="187" spans="1:100">
      <c r="A187" s="460">
        <v>185</v>
      </c>
      <c r="B187" s="580">
        <v>0</v>
      </c>
      <c r="C187" s="580">
        <v>0</v>
      </c>
      <c r="D187" s="580">
        <v>0</v>
      </c>
      <c r="E187" s="580">
        <v>0</v>
      </c>
      <c r="F187" s="580">
        <v>0</v>
      </c>
      <c r="G187" s="580">
        <v>0</v>
      </c>
      <c r="H187" s="580">
        <v>0</v>
      </c>
      <c r="I187" s="580">
        <v>0</v>
      </c>
      <c r="J187" s="580">
        <v>0</v>
      </c>
      <c r="K187" s="580">
        <v>0</v>
      </c>
      <c r="L187" s="580">
        <v>0</v>
      </c>
      <c r="M187" s="580">
        <v>0</v>
      </c>
      <c r="N187" s="580">
        <v>0</v>
      </c>
      <c r="O187" s="580">
        <v>0</v>
      </c>
      <c r="P187" s="580">
        <v>0</v>
      </c>
      <c r="Q187" s="580">
        <v>0</v>
      </c>
      <c r="R187" s="580">
        <v>0</v>
      </c>
      <c r="S187" s="580">
        <v>0</v>
      </c>
      <c r="T187" s="580">
        <v>0</v>
      </c>
      <c r="U187" s="580">
        <v>0</v>
      </c>
      <c r="V187" s="580">
        <v>0</v>
      </c>
      <c r="W187" s="595">
        <v>0</v>
      </c>
      <c r="X187" s="688">
        <v>0</v>
      </c>
      <c r="Y187" s="688">
        <v>0</v>
      </c>
      <c r="Z187" s="688">
        <v>0</v>
      </c>
      <c r="AA187" s="688">
        <v>0</v>
      </c>
      <c r="AB187" s="688">
        <v>0</v>
      </c>
      <c r="AC187" s="688">
        <v>0</v>
      </c>
      <c r="AD187" s="688">
        <v>0</v>
      </c>
      <c r="AE187" s="977">
        <v>0</v>
      </c>
      <c r="AF187" s="978">
        <v>0</v>
      </c>
      <c r="AG187" s="979">
        <v>0</v>
      </c>
      <c r="AH187" s="688">
        <v>0</v>
      </c>
      <c r="AI187" s="687">
        <v>0</v>
      </c>
      <c r="AJ187" s="685">
        <v>0</v>
      </c>
      <c r="AK187" s="687">
        <v>0</v>
      </c>
      <c r="AL187" s="689">
        <v>0</v>
      </c>
      <c r="AM187" s="685">
        <v>0</v>
      </c>
      <c r="AN187" s="685">
        <v>0</v>
      </c>
      <c r="AO187" s="689">
        <v>0</v>
      </c>
      <c r="AP187" s="690">
        <v>0</v>
      </c>
      <c r="AQ187" s="687">
        <v>0</v>
      </c>
      <c r="AR187" s="685">
        <v>0</v>
      </c>
      <c r="AS187" s="687">
        <v>0</v>
      </c>
      <c r="AT187" s="691">
        <v>0</v>
      </c>
      <c r="AU187" s="685">
        <v>0</v>
      </c>
      <c r="AV187" s="687">
        <v>0</v>
      </c>
      <c r="AW187" s="692">
        <v>0</v>
      </c>
      <c r="AX187" s="693">
        <v>0</v>
      </c>
      <c r="AY187" s="692">
        <v>0</v>
      </c>
      <c r="AZ187" s="693">
        <v>0</v>
      </c>
      <c r="BA187" s="692">
        <v>0</v>
      </c>
      <c r="BB187" s="693">
        <v>0</v>
      </c>
      <c r="BC187" s="694">
        <v>0</v>
      </c>
      <c r="BD187" s="695">
        <v>0</v>
      </c>
      <c r="BE187" s="692">
        <v>0</v>
      </c>
      <c r="BF187" s="693">
        <v>0</v>
      </c>
      <c r="BG187" s="694">
        <v>0</v>
      </c>
      <c r="BH187" s="693">
        <v>0</v>
      </c>
      <c r="BI187" s="694">
        <v>0</v>
      </c>
      <c r="BJ187" s="693">
        <v>0</v>
      </c>
      <c r="BK187" s="694">
        <v>0</v>
      </c>
      <c r="BL187" s="693">
        <v>0</v>
      </c>
      <c r="BM187" s="694">
        <v>0</v>
      </c>
      <c r="BN187" s="693">
        <v>0</v>
      </c>
      <c r="BO187" s="694">
        <v>0</v>
      </c>
      <c r="BP187" s="693">
        <v>0</v>
      </c>
      <c r="BQ187" s="694">
        <v>0</v>
      </c>
      <c r="BR187" s="693">
        <v>0</v>
      </c>
      <c r="BS187" s="694">
        <v>0</v>
      </c>
      <c r="BT187" s="693">
        <v>0</v>
      </c>
      <c r="BU187" s="694">
        <v>0</v>
      </c>
      <c r="BV187" s="693">
        <v>0</v>
      </c>
      <c r="BW187" s="694">
        <v>0</v>
      </c>
      <c r="BX187" s="693">
        <v>0</v>
      </c>
      <c r="BY187" s="694">
        <v>0</v>
      </c>
      <c r="BZ187" s="693">
        <v>0</v>
      </c>
      <c r="CA187" s="694">
        <v>0</v>
      </c>
      <c r="CB187" s="693">
        <v>0</v>
      </c>
      <c r="CC187" s="692">
        <v>0</v>
      </c>
      <c r="CD187" s="695">
        <v>0</v>
      </c>
      <c r="CE187" s="692">
        <v>0</v>
      </c>
      <c r="CF187" s="695">
        <v>0</v>
      </c>
      <c r="CG187" s="692">
        <v>0</v>
      </c>
      <c r="CH187" s="695">
        <v>0</v>
      </c>
      <c r="CI187" s="692">
        <v>0</v>
      </c>
      <c r="CJ187" s="695">
        <v>0</v>
      </c>
      <c r="CK187" s="692">
        <v>0</v>
      </c>
      <c r="CL187" s="695">
        <v>0</v>
      </c>
      <c r="CM187" s="692">
        <v>0</v>
      </c>
      <c r="CN187" s="695">
        <v>0</v>
      </c>
      <c r="CO187" s="692">
        <v>0</v>
      </c>
      <c r="CP187" s="695">
        <v>0</v>
      </c>
      <c r="CQ187" s="692">
        <v>0</v>
      </c>
      <c r="CR187" s="693">
        <v>0</v>
      </c>
      <c r="CS187" s="692">
        <v>0</v>
      </c>
      <c r="CT187" s="693">
        <v>0</v>
      </c>
      <c r="CU187" s="694">
        <v>0</v>
      </c>
      <c r="CV187" s="693">
        <v>0</v>
      </c>
    </row>
    <row r="188" spans="1:100">
      <c r="A188" s="460">
        <v>186</v>
      </c>
      <c r="B188" s="580">
        <v>0</v>
      </c>
      <c r="C188" s="580">
        <v>0</v>
      </c>
      <c r="D188" s="580">
        <v>0</v>
      </c>
      <c r="E188" s="580">
        <v>0</v>
      </c>
      <c r="F188" s="580">
        <v>0</v>
      </c>
      <c r="G188" s="580">
        <v>0</v>
      </c>
      <c r="H188" s="580">
        <v>0</v>
      </c>
      <c r="I188" s="580">
        <v>0</v>
      </c>
      <c r="J188" s="580">
        <v>0</v>
      </c>
      <c r="K188" s="580">
        <v>0</v>
      </c>
      <c r="L188" s="580">
        <v>0</v>
      </c>
      <c r="M188" s="580">
        <v>0</v>
      </c>
      <c r="N188" s="580">
        <v>0</v>
      </c>
      <c r="O188" s="580">
        <v>0</v>
      </c>
      <c r="P188" s="580">
        <v>0</v>
      </c>
      <c r="Q188" s="580">
        <v>0</v>
      </c>
      <c r="R188" s="580">
        <v>0</v>
      </c>
      <c r="S188" s="580">
        <v>0</v>
      </c>
      <c r="T188" s="580">
        <v>0</v>
      </c>
      <c r="U188" s="580">
        <v>0</v>
      </c>
      <c r="V188" s="580">
        <v>0</v>
      </c>
      <c r="W188" s="595">
        <v>0</v>
      </c>
      <c r="X188" s="688">
        <v>0</v>
      </c>
      <c r="Y188" s="688">
        <v>0</v>
      </c>
      <c r="Z188" s="688">
        <v>0</v>
      </c>
      <c r="AA188" s="688">
        <v>0</v>
      </c>
      <c r="AB188" s="688">
        <v>0</v>
      </c>
      <c r="AC188" s="688">
        <v>0</v>
      </c>
      <c r="AD188" s="688">
        <v>0</v>
      </c>
      <c r="AE188" s="977">
        <v>0</v>
      </c>
      <c r="AF188" s="978">
        <v>0</v>
      </c>
      <c r="AG188" s="979">
        <v>0</v>
      </c>
      <c r="AH188" s="688">
        <v>0</v>
      </c>
      <c r="AI188" s="687">
        <v>0</v>
      </c>
      <c r="AJ188" s="685">
        <v>0</v>
      </c>
      <c r="AK188" s="687">
        <v>0</v>
      </c>
      <c r="AL188" s="689">
        <v>0</v>
      </c>
      <c r="AM188" s="685">
        <v>0</v>
      </c>
      <c r="AN188" s="685">
        <v>0</v>
      </c>
      <c r="AO188" s="689">
        <v>0</v>
      </c>
      <c r="AP188" s="690">
        <v>0</v>
      </c>
      <c r="AQ188" s="687">
        <v>0</v>
      </c>
      <c r="AR188" s="685">
        <v>0</v>
      </c>
      <c r="AS188" s="687">
        <v>0</v>
      </c>
      <c r="AT188" s="691">
        <v>0</v>
      </c>
      <c r="AU188" s="685">
        <v>0</v>
      </c>
      <c r="AV188" s="687">
        <v>0</v>
      </c>
      <c r="AW188" s="692">
        <v>0</v>
      </c>
      <c r="AX188" s="693">
        <v>0</v>
      </c>
      <c r="AY188" s="692">
        <v>0</v>
      </c>
      <c r="AZ188" s="693">
        <v>0</v>
      </c>
      <c r="BA188" s="692">
        <v>0</v>
      </c>
      <c r="BB188" s="693">
        <v>0</v>
      </c>
      <c r="BC188" s="694">
        <v>0</v>
      </c>
      <c r="BD188" s="695">
        <v>0</v>
      </c>
      <c r="BE188" s="692">
        <v>0</v>
      </c>
      <c r="BF188" s="693">
        <v>0</v>
      </c>
      <c r="BG188" s="694">
        <v>0</v>
      </c>
      <c r="BH188" s="693">
        <v>0</v>
      </c>
      <c r="BI188" s="694">
        <v>0</v>
      </c>
      <c r="BJ188" s="693">
        <v>0</v>
      </c>
      <c r="BK188" s="694">
        <v>0</v>
      </c>
      <c r="BL188" s="693">
        <v>0</v>
      </c>
      <c r="BM188" s="694">
        <v>0</v>
      </c>
      <c r="BN188" s="693">
        <v>0</v>
      </c>
      <c r="BO188" s="694">
        <v>0</v>
      </c>
      <c r="BP188" s="693">
        <v>0</v>
      </c>
      <c r="BQ188" s="694">
        <v>0</v>
      </c>
      <c r="BR188" s="693">
        <v>0</v>
      </c>
      <c r="BS188" s="694">
        <v>0</v>
      </c>
      <c r="BT188" s="693">
        <v>0</v>
      </c>
      <c r="BU188" s="694">
        <v>0</v>
      </c>
      <c r="BV188" s="693">
        <v>0</v>
      </c>
      <c r="BW188" s="694">
        <v>0</v>
      </c>
      <c r="BX188" s="693">
        <v>0</v>
      </c>
      <c r="BY188" s="694">
        <v>0</v>
      </c>
      <c r="BZ188" s="693">
        <v>0</v>
      </c>
      <c r="CA188" s="694">
        <v>0</v>
      </c>
      <c r="CB188" s="693">
        <v>0</v>
      </c>
      <c r="CC188" s="692">
        <v>0</v>
      </c>
      <c r="CD188" s="695">
        <v>0</v>
      </c>
      <c r="CE188" s="692">
        <v>0</v>
      </c>
      <c r="CF188" s="695">
        <v>0</v>
      </c>
      <c r="CG188" s="692">
        <v>0</v>
      </c>
      <c r="CH188" s="695">
        <v>0</v>
      </c>
      <c r="CI188" s="692">
        <v>0</v>
      </c>
      <c r="CJ188" s="695">
        <v>0</v>
      </c>
      <c r="CK188" s="692">
        <v>0</v>
      </c>
      <c r="CL188" s="695">
        <v>0</v>
      </c>
      <c r="CM188" s="692">
        <v>0</v>
      </c>
      <c r="CN188" s="695">
        <v>0</v>
      </c>
      <c r="CO188" s="692">
        <v>0</v>
      </c>
      <c r="CP188" s="695">
        <v>0</v>
      </c>
      <c r="CQ188" s="692">
        <v>0</v>
      </c>
      <c r="CR188" s="693">
        <v>0</v>
      </c>
      <c r="CS188" s="692">
        <v>0</v>
      </c>
      <c r="CT188" s="693">
        <v>0</v>
      </c>
      <c r="CU188" s="694">
        <v>0</v>
      </c>
      <c r="CV188" s="693">
        <v>0</v>
      </c>
    </row>
    <row r="189" spans="1:100">
      <c r="A189" s="460">
        <v>187</v>
      </c>
      <c r="B189" s="580">
        <v>0</v>
      </c>
      <c r="C189" s="580">
        <v>0</v>
      </c>
      <c r="D189" s="580">
        <v>0</v>
      </c>
      <c r="E189" s="580">
        <v>0</v>
      </c>
      <c r="F189" s="580">
        <v>0</v>
      </c>
      <c r="G189" s="580">
        <v>0</v>
      </c>
      <c r="H189" s="580">
        <v>0</v>
      </c>
      <c r="I189" s="580">
        <v>0</v>
      </c>
      <c r="J189" s="580">
        <v>0</v>
      </c>
      <c r="K189" s="580">
        <v>0</v>
      </c>
      <c r="L189" s="580">
        <v>0</v>
      </c>
      <c r="M189" s="580">
        <v>0</v>
      </c>
      <c r="N189" s="580">
        <v>0</v>
      </c>
      <c r="O189" s="580">
        <v>0</v>
      </c>
      <c r="P189" s="580">
        <v>0</v>
      </c>
      <c r="Q189" s="580">
        <v>0</v>
      </c>
      <c r="R189" s="580">
        <v>0</v>
      </c>
      <c r="S189" s="580">
        <v>0</v>
      </c>
      <c r="T189" s="580">
        <v>0</v>
      </c>
      <c r="U189" s="580">
        <v>0</v>
      </c>
      <c r="V189" s="580">
        <v>0</v>
      </c>
      <c r="W189" s="595">
        <v>0</v>
      </c>
      <c r="X189" s="688">
        <v>0</v>
      </c>
      <c r="Y189" s="688">
        <v>0</v>
      </c>
      <c r="Z189" s="688">
        <v>0</v>
      </c>
      <c r="AA189" s="688">
        <v>0</v>
      </c>
      <c r="AB189" s="688">
        <v>0</v>
      </c>
      <c r="AC189" s="688">
        <v>0</v>
      </c>
      <c r="AD189" s="688">
        <v>0</v>
      </c>
      <c r="AE189" s="977">
        <v>0</v>
      </c>
      <c r="AF189" s="978">
        <v>0</v>
      </c>
      <c r="AG189" s="979">
        <v>0</v>
      </c>
      <c r="AH189" s="688">
        <v>0</v>
      </c>
      <c r="AI189" s="687">
        <v>0</v>
      </c>
      <c r="AJ189" s="685">
        <v>0</v>
      </c>
      <c r="AK189" s="687">
        <v>0</v>
      </c>
      <c r="AL189" s="689">
        <v>0</v>
      </c>
      <c r="AM189" s="685">
        <v>0</v>
      </c>
      <c r="AN189" s="685">
        <v>0</v>
      </c>
      <c r="AO189" s="689">
        <v>0</v>
      </c>
      <c r="AP189" s="690">
        <v>0</v>
      </c>
      <c r="AQ189" s="687">
        <v>0</v>
      </c>
      <c r="AR189" s="685">
        <v>0</v>
      </c>
      <c r="AS189" s="687">
        <v>0</v>
      </c>
      <c r="AT189" s="691">
        <v>0</v>
      </c>
      <c r="AU189" s="685">
        <v>0</v>
      </c>
      <c r="AV189" s="687">
        <v>0</v>
      </c>
      <c r="AW189" s="692">
        <v>0</v>
      </c>
      <c r="AX189" s="693">
        <v>0</v>
      </c>
      <c r="AY189" s="692">
        <v>0</v>
      </c>
      <c r="AZ189" s="693">
        <v>0</v>
      </c>
      <c r="BA189" s="692">
        <v>0</v>
      </c>
      <c r="BB189" s="693">
        <v>0</v>
      </c>
      <c r="BC189" s="694">
        <v>0</v>
      </c>
      <c r="BD189" s="695">
        <v>0</v>
      </c>
      <c r="BE189" s="692">
        <v>0</v>
      </c>
      <c r="BF189" s="693">
        <v>0</v>
      </c>
      <c r="BG189" s="694">
        <v>0</v>
      </c>
      <c r="BH189" s="693">
        <v>0</v>
      </c>
      <c r="BI189" s="694">
        <v>0</v>
      </c>
      <c r="BJ189" s="693">
        <v>0</v>
      </c>
      <c r="BK189" s="694">
        <v>0</v>
      </c>
      <c r="BL189" s="693">
        <v>0</v>
      </c>
      <c r="BM189" s="694">
        <v>0</v>
      </c>
      <c r="BN189" s="693">
        <v>0</v>
      </c>
      <c r="BO189" s="694">
        <v>0</v>
      </c>
      <c r="BP189" s="693">
        <v>0</v>
      </c>
      <c r="BQ189" s="694">
        <v>0</v>
      </c>
      <c r="BR189" s="693">
        <v>0</v>
      </c>
      <c r="BS189" s="694">
        <v>0</v>
      </c>
      <c r="BT189" s="693">
        <v>0</v>
      </c>
      <c r="BU189" s="694">
        <v>0</v>
      </c>
      <c r="BV189" s="693">
        <v>0</v>
      </c>
      <c r="BW189" s="694">
        <v>0</v>
      </c>
      <c r="BX189" s="693">
        <v>0</v>
      </c>
      <c r="BY189" s="694">
        <v>0</v>
      </c>
      <c r="BZ189" s="693">
        <v>0</v>
      </c>
      <c r="CA189" s="694">
        <v>0</v>
      </c>
      <c r="CB189" s="693">
        <v>0</v>
      </c>
      <c r="CC189" s="692">
        <v>0</v>
      </c>
      <c r="CD189" s="695">
        <v>0</v>
      </c>
      <c r="CE189" s="692">
        <v>0</v>
      </c>
      <c r="CF189" s="695">
        <v>0</v>
      </c>
      <c r="CG189" s="692">
        <v>0</v>
      </c>
      <c r="CH189" s="695">
        <v>0</v>
      </c>
      <c r="CI189" s="692">
        <v>0</v>
      </c>
      <c r="CJ189" s="695">
        <v>0</v>
      </c>
      <c r="CK189" s="692">
        <v>0</v>
      </c>
      <c r="CL189" s="695">
        <v>0</v>
      </c>
      <c r="CM189" s="692">
        <v>0</v>
      </c>
      <c r="CN189" s="695">
        <v>0</v>
      </c>
      <c r="CO189" s="692">
        <v>0</v>
      </c>
      <c r="CP189" s="695">
        <v>0</v>
      </c>
      <c r="CQ189" s="692">
        <v>0</v>
      </c>
      <c r="CR189" s="693">
        <v>0</v>
      </c>
      <c r="CS189" s="692">
        <v>0</v>
      </c>
      <c r="CT189" s="693">
        <v>0</v>
      </c>
      <c r="CU189" s="694">
        <v>0</v>
      </c>
      <c r="CV189" s="693">
        <v>0</v>
      </c>
    </row>
    <row r="190" spans="1:100">
      <c r="A190" s="460">
        <v>188</v>
      </c>
      <c r="B190" s="580">
        <v>0</v>
      </c>
      <c r="C190" s="580">
        <v>0</v>
      </c>
      <c r="D190" s="580">
        <v>0</v>
      </c>
      <c r="E190" s="580">
        <v>0</v>
      </c>
      <c r="F190" s="580">
        <v>0</v>
      </c>
      <c r="G190" s="580">
        <v>0</v>
      </c>
      <c r="H190" s="580">
        <v>0</v>
      </c>
      <c r="I190" s="580">
        <v>0</v>
      </c>
      <c r="J190" s="580">
        <v>0</v>
      </c>
      <c r="K190" s="580">
        <v>0</v>
      </c>
      <c r="L190" s="580">
        <v>0</v>
      </c>
      <c r="M190" s="580">
        <v>0</v>
      </c>
      <c r="N190" s="580">
        <v>0</v>
      </c>
      <c r="O190" s="580">
        <v>0</v>
      </c>
      <c r="P190" s="580">
        <v>0</v>
      </c>
      <c r="Q190" s="580">
        <v>0</v>
      </c>
      <c r="R190" s="580">
        <v>0</v>
      </c>
      <c r="S190" s="580">
        <v>0</v>
      </c>
      <c r="T190" s="580">
        <v>0</v>
      </c>
      <c r="U190" s="580">
        <v>0</v>
      </c>
      <c r="V190" s="580">
        <v>0</v>
      </c>
      <c r="W190" s="595">
        <v>0</v>
      </c>
      <c r="X190" s="688">
        <v>0</v>
      </c>
      <c r="Y190" s="688">
        <v>0</v>
      </c>
      <c r="Z190" s="688">
        <v>0</v>
      </c>
      <c r="AA190" s="688">
        <v>0</v>
      </c>
      <c r="AB190" s="688">
        <v>0</v>
      </c>
      <c r="AC190" s="688">
        <v>0</v>
      </c>
      <c r="AD190" s="688">
        <v>0</v>
      </c>
      <c r="AE190" s="977">
        <v>0</v>
      </c>
      <c r="AF190" s="978">
        <v>0</v>
      </c>
      <c r="AG190" s="979">
        <v>0</v>
      </c>
      <c r="AH190" s="688">
        <v>0</v>
      </c>
      <c r="AI190" s="687">
        <v>0</v>
      </c>
      <c r="AJ190" s="685">
        <v>0</v>
      </c>
      <c r="AK190" s="687">
        <v>0</v>
      </c>
      <c r="AL190" s="689">
        <v>0</v>
      </c>
      <c r="AM190" s="685">
        <v>0</v>
      </c>
      <c r="AN190" s="685">
        <v>0</v>
      </c>
      <c r="AO190" s="689">
        <v>0</v>
      </c>
      <c r="AP190" s="690">
        <v>0</v>
      </c>
      <c r="AQ190" s="687">
        <v>0</v>
      </c>
      <c r="AR190" s="685">
        <v>0</v>
      </c>
      <c r="AS190" s="687">
        <v>0</v>
      </c>
      <c r="AT190" s="691">
        <v>0</v>
      </c>
      <c r="AU190" s="685">
        <v>0</v>
      </c>
      <c r="AV190" s="687">
        <v>0</v>
      </c>
      <c r="AW190" s="692">
        <v>0</v>
      </c>
      <c r="AX190" s="693">
        <v>0</v>
      </c>
      <c r="AY190" s="692">
        <v>0</v>
      </c>
      <c r="AZ190" s="693">
        <v>0</v>
      </c>
      <c r="BA190" s="692">
        <v>0</v>
      </c>
      <c r="BB190" s="693">
        <v>0</v>
      </c>
      <c r="BC190" s="694">
        <v>0</v>
      </c>
      <c r="BD190" s="695">
        <v>0</v>
      </c>
      <c r="BE190" s="692">
        <v>0</v>
      </c>
      <c r="BF190" s="693">
        <v>0</v>
      </c>
      <c r="BG190" s="694">
        <v>0</v>
      </c>
      <c r="BH190" s="693">
        <v>0</v>
      </c>
      <c r="BI190" s="694">
        <v>0</v>
      </c>
      <c r="BJ190" s="693">
        <v>0</v>
      </c>
      <c r="BK190" s="694">
        <v>0</v>
      </c>
      <c r="BL190" s="693">
        <v>0</v>
      </c>
      <c r="BM190" s="694">
        <v>0</v>
      </c>
      <c r="BN190" s="693">
        <v>0</v>
      </c>
      <c r="BO190" s="694">
        <v>0</v>
      </c>
      <c r="BP190" s="693">
        <v>0</v>
      </c>
      <c r="BQ190" s="694">
        <v>0</v>
      </c>
      <c r="BR190" s="693">
        <v>0</v>
      </c>
      <c r="BS190" s="694">
        <v>0</v>
      </c>
      <c r="BT190" s="693">
        <v>0</v>
      </c>
      <c r="BU190" s="694">
        <v>0</v>
      </c>
      <c r="BV190" s="693">
        <v>0</v>
      </c>
      <c r="BW190" s="694">
        <v>0</v>
      </c>
      <c r="BX190" s="693">
        <v>0</v>
      </c>
      <c r="BY190" s="694">
        <v>0</v>
      </c>
      <c r="BZ190" s="693">
        <v>0</v>
      </c>
      <c r="CA190" s="694">
        <v>0</v>
      </c>
      <c r="CB190" s="693">
        <v>0</v>
      </c>
      <c r="CC190" s="692">
        <v>0</v>
      </c>
      <c r="CD190" s="695">
        <v>0</v>
      </c>
      <c r="CE190" s="692">
        <v>0</v>
      </c>
      <c r="CF190" s="695">
        <v>0</v>
      </c>
      <c r="CG190" s="692">
        <v>0</v>
      </c>
      <c r="CH190" s="695">
        <v>0</v>
      </c>
      <c r="CI190" s="692">
        <v>0</v>
      </c>
      <c r="CJ190" s="695">
        <v>0</v>
      </c>
      <c r="CK190" s="692">
        <v>0</v>
      </c>
      <c r="CL190" s="695">
        <v>0</v>
      </c>
      <c r="CM190" s="692">
        <v>0</v>
      </c>
      <c r="CN190" s="695">
        <v>0</v>
      </c>
      <c r="CO190" s="692">
        <v>0</v>
      </c>
      <c r="CP190" s="695">
        <v>0</v>
      </c>
      <c r="CQ190" s="692">
        <v>0</v>
      </c>
      <c r="CR190" s="693">
        <v>0</v>
      </c>
      <c r="CS190" s="692">
        <v>0</v>
      </c>
      <c r="CT190" s="693">
        <v>0</v>
      </c>
      <c r="CU190" s="694">
        <v>0</v>
      </c>
      <c r="CV190" s="693">
        <v>0</v>
      </c>
    </row>
    <row r="191" spans="1:100">
      <c r="A191" s="460">
        <v>189</v>
      </c>
      <c r="B191" s="580">
        <v>0</v>
      </c>
      <c r="C191" s="580">
        <v>0</v>
      </c>
      <c r="D191" s="580">
        <v>0</v>
      </c>
      <c r="E191" s="580">
        <v>0</v>
      </c>
      <c r="F191" s="580">
        <v>0</v>
      </c>
      <c r="G191" s="580">
        <v>0</v>
      </c>
      <c r="H191" s="580">
        <v>0</v>
      </c>
      <c r="I191" s="580">
        <v>0</v>
      </c>
      <c r="J191" s="580">
        <v>0</v>
      </c>
      <c r="K191" s="580">
        <v>0</v>
      </c>
      <c r="L191" s="580">
        <v>0</v>
      </c>
      <c r="M191" s="580">
        <v>0</v>
      </c>
      <c r="N191" s="580">
        <v>0</v>
      </c>
      <c r="O191" s="580">
        <v>0</v>
      </c>
      <c r="P191" s="580">
        <v>0</v>
      </c>
      <c r="Q191" s="580">
        <v>0</v>
      </c>
      <c r="R191" s="580">
        <v>0</v>
      </c>
      <c r="S191" s="580">
        <v>0</v>
      </c>
      <c r="T191" s="580">
        <v>0</v>
      </c>
      <c r="U191" s="580">
        <v>0</v>
      </c>
      <c r="V191" s="580">
        <v>0</v>
      </c>
      <c r="W191" s="595">
        <v>0</v>
      </c>
      <c r="X191" s="688">
        <v>0</v>
      </c>
      <c r="Y191" s="688">
        <v>0</v>
      </c>
      <c r="Z191" s="688">
        <v>0</v>
      </c>
      <c r="AA191" s="688">
        <v>0</v>
      </c>
      <c r="AB191" s="688">
        <v>0</v>
      </c>
      <c r="AC191" s="688">
        <v>0</v>
      </c>
      <c r="AD191" s="688">
        <v>0</v>
      </c>
      <c r="AE191" s="977">
        <v>0</v>
      </c>
      <c r="AF191" s="978">
        <v>0</v>
      </c>
      <c r="AG191" s="979">
        <v>0</v>
      </c>
      <c r="AH191" s="688">
        <v>0</v>
      </c>
      <c r="AI191" s="687">
        <v>0</v>
      </c>
      <c r="AJ191" s="685">
        <v>0</v>
      </c>
      <c r="AK191" s="687">
        <v>0</v>
      </c>
      <c r="AL191" s="689">
        <v>0</v>
      </c>
      <c r="AM191" s="685">
        <v>0</v>
      </c>
      <c r="AN191" s="685">
        <v>0</v>
      </c>
      <c r="AO191" s="689">
        <v>0</v>
      </c>
      <c r="AP191" s="690">
        <v>0</v>
      </c>
      <c r="AQ191" s="687">
        <v>0</v>
      </c>
      <c r="AR191" s="685">
        <v>0</v>
      </c>
      <c r="AS191" s="687">
        <v>0</v>
      </c>
      <c r="AT191" s="691">
        <v>0</v>
      </c>
      <c r="AU191" s="685">
        <v>0</v>
      </c>
      <c r="AV191" s="687">
        <v>0</v>
      </c>
      <c r="AW191" s="692">
        <v>0</v>
      </c>
      <c r="AX191" s="693">
        <v>0</v>
      </c>
      <c r="AY191" s="692">
        <v>0</v>
      </c>
      <c r="AZ191" s="693">
        <v>0</v>
      </c>
      <c r="BA191" s="692">
        <v>0</v>
      </c>
      <c r="BB191" s="693">
        <v>0</v>
      </c>
      <c r="BC191" s="694">
        <v>0</v>
      </c>
      <c r="BD191" s="695">
        <v>0</v>
      </c>
      <c r="BE191" s="692">
        <v>0</v>
      </c>
      <c r="BF191" s="693">
        <v>0</v>
      </c>
      <c r="BG191" s="694">
        <v>0</v>
      </c>
      <c r="BH191" s="693">
        <v>0</v>
      </c>
      <c r="BI191" s="694">
        <v>0</v>
      </c>
      <c r="BJ191" s="693">
        <v>0</v>
      </c>
      <c r="BK191" s="694">
        <v>0</v>
      </c>
      <c r="BL191" s="693">
        <v>0</v>
      </c>
      <c r="BM191" s="694">
        <v>0</v>
      </c>
      <c r="BN191" s="693">
        <v>0</v>
      </c>
      <c r="BO191" s="694">
        <v>0</v>
      </c>
      <c r="BP191" s="693">
        <v>0</v>
      </c>
      <c r="BQ191" s="694">
        <v>0</v>
      </c>
      <c r="BR191" s="693">
        <v>0</v>
      </c>
      <c r="BS191" s="694">
        <v>0</v>
      </c>
      <c r="BT191" s="693">
        <v>0</v>
      </c>
      <c r="BU191" s="694">
        <v>0</v>
      </c>
      <c r="BV191" s="693">
        <v>0</v>
      </c>
      <c r="BW191" s="694">
        <v>0</v>
      </c>
      <c r="BX191" s="693">
        <v>0</v>
      </c>
      <c r="BY191" s="694">
        <v>0</v>
      </c>
      <c r="BZ191" s="693">
        <v>0</v>
      </c>
      <c r="CA191" s="694">
        <v>0</v>
      </c>
      <c r="CB191" s="693">
        <v>0</v>
      </c>
      <c r="CC191" s="692">
        <v>0</v>
      </c>
      <c r="CD191" s="695">
        <v>0</v>
      </c>
      <c r="CE191" s="692">
        <v>0</v>
      </c>
      <c r="CF191" s="695">
        <v>0</v>
      </c>
      <c r="CG191" s="692">
        <v>0</v>
      </c>
      <c r="CH191" s="695">
        <v>0</v>
      </c>
      <c r="CI191" s="692">
        <v>0</v>
      </c>
      <c r="CJ191" s="695">
        <v>0</v>
      </c>
      <c r="CK191" s="692">
        <v>0</v>
      </c>
      <c r="CL191" s="695">
        <v>0</v>
      </c>
      <c r="CM191" s="692">
        <v>0</v>
      </c>
      <c r="CN191" s="695">
        <v>0</v>
      </c>
      <c r="CO191" s="692">
        <v>0</v>
      </c>
      <c r="CP191" s="695">
        <v>0</v>
      </c>
      <c r="CQ191" s="692">
        <v>0</v>
      </c>
      <c r="CR191" s="693">
        <v>0</v>
      </c>
      <c r="CS191" s="692">
        <v>0</v>
      </c>
      <c r="CT191" s="693">
        <v>0</v>
      </c>
      <c r="CU191" s="694">
        <v>0</v>
      </c>
      <c r="CV191" s="693">
        <v>0</v>
      </c>
    </row>
    <row r="192" spans="1:100">
      <c r="A192" s="460">
        <v>190</v>
      </c>
      <c r="B192" s="580">
        <v>0</v>
      </c>
      <c r="C192" s="580">
        <v>0</v>
      </c>
      <c r="D192" s="580">
        <v>0</v>
      </c>
      <c r="E192" s="580">
        <v>0</v>
      </c>
      <c r="F192" s="580">
        <v>0</v>
      </c>
      <c r="G192" s="580">
        <v>0</v>
      </c>
      <c r="H192" s="580">
        <v>0</v>
      </c>
      <c r="I192" s="580">
        <v>0</v>
      </c>
      <c r="J192" s="580">
        <v>0</v>
      </c>
      <c r="K192" s="580">
        <v>0</v>
      </c>
      <c r="L192" s="580">
        <v>0</v>
      </c>
      <c r="M192" s="580">
        <v>0</v>
      </c>
      <c r="N192" s="580">
        <v>0</v>
      </c>
      <c r="O192" s="580">
        <v>0</v>
      </c>
      <c r="P192" s="580">
        <v>0</v>
      </c>
      <c r="Q192" s="580">
        <v>0</v>
      </c>
      <c r="R192" s="580">
        <v>0</v>
      </c>
      <c r="S192" s="580">
        <v>0</v>
      </c>
      <c r="T192" s="580">
        <v>0</v>
      </c>
      <c r="U192" s="580">
        <v>0</v>
      </c>
      <c r="V192" s="580">
        <v>0</v>
      </c>
      <c r="W192" s="595">
        <v>0</v>
      </c>
      <c r="X192" s="688">
        <v>0</v>
      </c>
      <c r="Y192" s="688">
        <v>0</v>
      </c>
      <c r="Z192" s="688">
        <v>0</v>
      </c>
      <c r="AA192" s="688">
        <v>0</v>
      </c>
      <c r="AB192" s="688">
        <v>0</v>
      </c>
      <c r="AC192" s="688">
        <v>0</v>
      </c>
      <c r="AD192" s="688">
        <v>0</v>
      </c>
      <c r="AE192" s="977">
        <v>0</v>
      </c>
      <c r="AF192" s="978">
        <v>0</v>
      </c>
      <c r="AG192" s="979">
        <v>0</v>
      </c>
      <c r="AH192" s="688">
        <v>0</v>
      </c>
      <c r="AI192" s="687">
        <v>0</v>
      </c>
      <c r="AJ192" s="685">
        <v>0</v>
      </c>
      <c r="AK192" s="687">
        <v>0</v>
      </c>
      <c r="AL192" s="689">
        <v>0</v>
      </c>
      <c r="AM192" s="685">
        <v>0</v>
      </c>
      <c r="AN192" s="685">
        <v>0</v>
      </c>
      <c r="AO192" s="689">
        <v>0</v>
      </c>
      <c r="AP192" s="690">
        <v>0</v>
      </c>
      <c r="AQ192" s="687">
        <v>0</v>
      </c>
      <c r="AR192" s="685">
        <v>0</v>
      </c>
      <c r="AS192" s="687">
        <v>0</v>
      </c>
      <c r="AT192" s="691">
        <v>0</v>
      </c>
      <c r="AU192" s="685">
        <v>0</v>
      </c>
      <c r="AV192" s="687">
        <v>0</v>
      </c>
      <c r="AW192" s="692">
        <v>0</v>
      </c>
      <c r="AX192" s="693">
        <v>0</v>
      </c>
      <c r="AY192" s="692">
        <v>0</v>
      </c>
      <c r="AZ192" s="693">
        <v>0</v>
      </c>
      <c r="BA192" s="692">
        <v>0</v>
      </c>
      <c r="BB192" s="693">
        <v>0</v>
      </c>
      <c r="BC192" s="694">
        <v>0</v>
      </c>
      <c r="BD192" s="695">
        <v>0</v>
      </c>
      <c r="BE192" s="692">
        <v>0</v>
      </c>
      <c r="BF192" s="693">
        <v>0</v>
      </c>
      <c r="BG192" s="694">
        <v>0</v>
      </c>
      <c r="BH192" s="693">
        <v>0</v>
      </c>
      <c r="BI192" s="694">
        <v>0</v>
      </c>
      <c r="BJ192" s="693">
        <v>0</v>
      </c>
      <c r="BK192" s="694">
        <v>0</v>
      </c>
      <c r="BL192" s="693">
        <v>0</v>
      </c>
      <c r="BM192" s="694">
        <v>0</v>
      </c>
      <c r="BN192" s="693">
        <v>0</v>
      </c>
      <c r="BO192" s="694">
        <v>0</v>
      </c>
      <c r="BP192" s="693">
        <v>0</v>
      </c>
      <c r="BQ192" s="694">
        <v>0</v>
      </c>
      <c r="BR192" s="693">
        <v>0</v>
      </c>
      <c r="BS192" s="694">
        <v>0</v>
      </c>
      <c r="BT192" s="693">
        <v>0</v>
      </c>
      <c r="BU192" s="694">
        <v>0</v>
      </c>
      <c r="BV192" s="693">
        <v>0</v>
      </c>
      <c r="BW192" s="694">
        <v>0</v>
      </c>
      <c r="BX192" s="693">
        <v>0</v>
      </c>
      <c r="BY192" s="694">
        <v>0</v>
      </c>
      <c r="BZ192" s="693">
        <v>0</v>
      </c>
      <c r="CA192" s="694">
        <v>0</v>
      </c>
      <c r="CB192" s="693">
        <v>0</v>
      </c>
      <c r="CC192" s="692">
        <v>0</v>
      </c>
      <c r="CD192" s="695">
        <v>0</v>
      </c>
      <c r="CE192" s="692">
        <v>0</v>
      </c>
      <c r="CF192" s="695">
        <v>0</v>
      </c>
      <c r="CG192" s="692">
        <v>0</v>
      </c>
      <c r="CH192" s="695">
        <v>0</v>
      </c>
      <c r="CI192" s="692">
        <v>0</v>
      </c>
      <c r="CJ192" s="695">
        <v>0</v>
      </c>
      <c r="CK192" s="692">
        <v>0</v>
      </c>
      <c r="CL192" s="695">
        <v>0</v>
      </c>
      <c r="CM192" s="692">
        <v>0</v>
      </c>
      <c r="CN192" s="695">
        <v>0</v>
      </c>
      <c r="CO192" s="692">
        <v>0</v>
      </c>
      <c r="CP192" s="695">
        <v>0</v>
      </c>
      <c r="CQ192" s="692">
        <v>0</v>
      </c>
      <c r="CR192" s="693">
        <v>0</v>
      </c>
      <c r="CS192" s="692">
        <v>0</v>
      </c>
      <c r="CT192" s="693">
        <v>0</v>
      </c>
      <c r="CU192" s="694">
        <v>0</v>
      </c>
      <c r="CV192" s="693">
        <v>0</v>
      </c>
    </row>
    <row r="193" spans="1:100">
      <c r="A193" s="460">
        <v>191</v>
      </c>
      <c r="B193" s="580">
        <v>0</v>
      </c>
      <c r="C193" s="580">
        <v>0</v>
      </c>
      <c r="D193" s="580">
        <v>0</v>
      </c>
      <c r="E193" s="580">
        <v>0</v>
      </c>
      <c r="F193" s="580">
        <v>0</v>
      </c>
      <c r="G193" s="580">
        <v>0</v>
      </c>
      <c r="H193" s="580">
        <v>0</v>
      </c>
      <c r="I193" s="580">
        <v>0</v>
      </c>
      <c r="J193" s="580">
        <v>0</v>
      </c>
      <c r="K193" s="580">
        <v>0</v>
      </c>
      <c r="L193" s="580">
        <v>0</v>
      </c>
      <c r="M193" s="580">
        <v>0</v>
      </c>
      <c r="N193" s="580">
        <v>0</v>
      </c>
      <c r="O193" s="580">
        <v>0</v>
      </c>
      <c r="P193" s="580">
        <v>0</v>
      </c>
      <c r="Q193" s="580">
        <v>0</v>
      </c>
      <c r="R193" s="580">
        <v>0</v>
      </c>
      <c r="S193" s="580">
        <v>0</v>
      </c>
      <c r="T193" s="580">
        <v>0</v>
      </c>
      <c r="U193" s="580">
        <v>0</v>
      </c>
      <c r="V193" s="580">
        <v>0</v>
      </c>
      <c r="W193" s="595">
        <v>0</v>
      </c>
      <c r="X193" s="688">
        <v>0</v>
      </c>
      <c r="Y193" s="688">
        <v>0</v>
      </c>
      <c r="Z193" s="688">
        <v>0</v>
      </c>
      <c r="AA193" s="688">
        <v>0</v>
      </c>
      <c r="AB193" s="688">
        <v>0</v>
      </c>
      <c r="AC193" s="688">
        <v>0</v>
      </c>
      <c r="AD193" s="688">
        <v>0</v>
      </c>
      <c r="AE193" s="977">
        <v>0</v>
      </c>
      <c r="AF193" s="978">
        <v>0</v>
      </c>
      <c r="AG193" s="979">
        <v>0</v>
      </c>
      <c r="AH193" s="688">
        <v>0</v>
      </c>
      <c r="AI193" s="687">
        <v>0</v>
      </c>
      <c r="AJ193" s="685">
        <v>0</v>
      </c>
      <c r="AK193" s="687">
        <v>0</v>
      </c>
      <c r="AL193" s="689">
        <v>0</v>
      </c>
      <c r="AM193" s="685">
        <v>0</v>
      </c>
      <c r="AN193" s="685">
        <v>0</v>
      </c>
      <c r="AO193" s="689">
        <v>0</v>
      </c>
      <c r="AP193" s="690">
        <v>0</v>
      </c>
      <c r="AQ193" s="687">
        <v>0</v>
      </c>
      <c r="AR193" s="685">
        <v>0</v>
      </c>
      <c r="AS193" s="687">
        <v>0</v>
      </c>
      <c r="AT193" s="691">
        <v>0</v>
      </c>
      <c r="AU193" s="685">
        <v>0</v>
      </c>
      <c r="AV193" s="687">
        <v>0</v>
      </c>
      <c r="AW193" s="692">
        <v>0</v>
      </c>
      <c r="AX193" s="693">
        <v>0</v>
      </c>
      <c r="AY193" s="692">
        <v>0</v>
      </c>
      <c r="AZ193" s="693">
        <v>0</v>
      </c>
      <c r="BA193" s="692">
        <v>0</v>
      </c>
      <c r="BB193" s="693">
        <v>0</v>
      </c>
      <c r="BC193" s="694">
        <v>0</v>
      </c>
      <c r="BD193" s="695">
        <v>0</v>
      </c>
      <c r="BE193" s="692">
        <v>0</v>
      </c>
      <c r="BF193" s="693">
        <v>0</v>
      </c>
      <c r="BG193" s="694">
        <v>0</v>
      </c>
      <c r="BH193" s="693">
        <v>0</v>
      </c>
      <c r="BI193" s="694">
        <v>0</v>
      </c>
      <c r="BJ193" s="693">
        <v>0</v>
      </c>
      <c r="BK193" s="694">
        <v>0</v>
      </c>
      <c r="BL193" s="693">
        <v>0</v>
      </c>
      <c r="BM193" s="694">
        <v>0</v>
      </c>
      <c r="BN193" s="693">
        <v>0</v>
      </c>
      <c r="BO193" s="694">
        <v>0</v>
      </c>
      <c r="BP193" s="693">
        <v>0</v>
      </c>
      <c r="BQ193" s="694">
        <v>0</v>
      </c>
      <c r="BR193" s="693">
        <v>0</v>
      </c>
      <c r="BS193" s="694">
        <v>0</v>
      </c>
      <c r="BT193" s="693">
        <v>0</v>
      </c>
      <c r="BU193" s="694">
        <v>0</v>
      </c>
      <c r="BV193" s="693">
        <v>0</v>
      </c>
      <c r="BW193" s="694">
        <v>0</v>
      </c>
      <c r="BX193" s="693">
        <v>0</v>
      </c>
      <c r="BY193" s="694">
        <v>0</v>
      </c>
      <c r="BZ193" s="693">
        <v>0</v>
      </c>
      <c r="CA193" s="694">
        <v>0</v>
      </c>
      <c r="CB193" s="693">
        <v>0</v>
      </c>
      <c r="CC193" s="692">
        <v>0</v>
      </c>
      <c r="CD193" s="695">
        <v>0</v>
      </c>
      <c r="CE193" s="692">
        <v>0</v>
      </c>
      <c r="CF193" s="695">
        <v>0</v>
      </c>
      <c r="CG193" s="692">
        <v>0</v>
      </c>
      <c r="CH193" s="695">
        <v>0</v>
      </c>
      <c r="CI193" s="692">
        <v>0</v>
      </c>
      <c r="CJ193" s="695">
        <v>0</v>
      </c>
      <c r="CK193" s="692">
        <v>0</v>
      </c>
      <c r="CL193" s="695">
        <v>0</v>
      </c>
      <c r="CM193" s="692">
        <v>0</v>
      </c>
      <c r="CN193" s="695">
        <v>0</v>
      </c>
      <c r="CO193" s="692">
        <v>0</v>
      </c>
      <c r="CP193" s="695">
        <v>0</v>
      </c>
      <c r="CQ193" s="692">
        <v>0</v>
      </c>
      <c r="CR193" s="693">
        <v>0</v>
      </c>
      <c r="CS193" s="692">
        <v>0</v>
      </c>
      <c r="CT193" s="693">
        <v>0</v>
      </c>
      <c r="CU193" s="694">
        <v>0</v>
      </c>
      <c r="CV193" s="693">
        <v>0</v>
      </c>
    </row>
    <row r="194" spans="1:100">
      <c r="A194" s="460">
        <v>192</v>
      </c>
      <c r="B194" s="580">
        <v>0</v>
      </c>
      <c r="C194" s="580">
        <v>0</v>
      </c>
      <c r="D194" s="580">
        <v>0</v>
      </c>
      <c r="E194" s="580">
        <v>0</v>
      </c>
      <c r="F194" s="580">
        <v>0</v>
      </c>
      <c r="G194" s="580">
        <v>0</v>
      </c>
      <c r="H194" s="580">
        <v>0</v>
      </c>
      <c r="I194" s="580">
        <v>0</v>
      </c>
      <c r="J194" s="580">
        <v>0</v>
      </c>
      <c r="K194" s="580">
        <v>0</v>
      </c>
      <c r="L194" s="580">
        <v>0</v>
      </c>
      <c r="M194" s="580">
        <v>0</v>
      </c>
      <c r="N194" s="580">
        <v>0</v>
      </c>
      <c r="O194" s="580">
        <v>0</v>
      </c>
      <c r="P194" s="580">
        <v>0</v>
      </c>
      <c r="Q194" s="580">
        <v>0</v>
      </c>
      <c r="R194" s="580">
        <v>0</v>
      </c>
      <c r="S194" s="580">
        <v>0</v>
      </c>
      <c r="T194" s="580">
        <v>0</v>
      </c>
      <c r="U194" s="580">
        <v>0</v>
      </c>
      <c r="V194" s="580">
        <v>0</v>
      </c>
      <c r="W194" s="595">
        <v>0</v>
      </c>
      <c r="X194" s="688">
        <v>0</v>
      </c>
      <c r="Y194" s="688">
        <v>0</v>
      </c>
      <c r="Z194" s="688">
        <v>0</v>
      </c>
      <c r="AA194" s="688">
        <v>0</v>
      </c>
      <c r="AB194" s="688">
        <v>0</v>
      </c>
      <c r="AC194" s="688">
        <v>0</v>
      </c>
      <c r="AD194" s="688">
        <v>0</v>
      </c>
      <c r="AE194" s="977">
        <v>0</v>
      </c>
      <c r="AF194" s="978">
        <v>0</v>
      </c>
      <c r="AG194" s="979">
        <v>0</v>
      </c>
      <c r="AH194" s="688">
        <v>0</v>
      </c>
      <c r="AI194" s="687">
        <v>0</v>
      </c>
      <c r="AJ194" s="685">
        <v>0</v>
      </c>
      <c r="AK194" s="687">
        <v>0</v>
      </c>
      <c r="AL194" s="689">
        <v>0</v>
      </c>
      <c r="AM194" s="685">
        <v>0</v>
      </c>
      <c r="AN194" s="685">
        <v>0</v>
      </c>
      <c r="AO194" s="689">
        <v>0</v>
      </c>
      <c r="AP194" s="690">
        <v>0</v>
      </c>
      <c r="AQ194" s="687">
        <v>0</v>
      </c>
      <c r="AR194" s="685">
        <v>0</v>
      </c>
      <c r="AS194" s="687">
        <v>0</v>
      </c>
      <c r="AT194" s="691">
        <v>0</v>
      </c>
      <c r="AU194" s="685">
        <v>0</v>
      </c>
      <c r="AV194" s="687">
        <v>0</v>
      </c>
      <c r="AW194" s="692">
        <v>0</v>
      </c>
      <c r="AX194" s="693">
        <v>0</v>
      </c>
      <c r="AY194" s="692">
        <v>0</v>
      </c>
      <c r="AZ194" s="693">
        <v>0</v>
      </c>
      <c r="BA194" s="692">
        <v>0</v>
      </c>
      <c r="BB194" s="693">
        <v>0</v>
      </c>
      <c r="BC194" s="694">
        <v>0</v>
      </c>
      <c r="BD194" s="695">
        <v>0</v>
      </c>
      <c r="BE194" s="692">
        <v>0</v>
      </c>
      <c r="BF194" s="693">
        <v>0</v>
      </c>
      <c r="BG194" s="694">
        <v>0</v>
      </c>
      <c r="BH194" s="693">
        <v>0</v>
      </c>
      <c r="BI194" s="694">
        <v>0</v>
      </c>
      <c r="BJ194" s="693">
        <v>0</v>
      </c>
      <c r="BK194" s="694">
        <v>0</v>
      </c>
      <c r="BL194" s="693">
        <v>0</v>
      </c>
      <c r="BM194" s="694">
        <v>0</v>
      </c>
      <c r="BN194" s="693">
        <v>0</v>
      </c>
      <c r="BO194" s="694">
        <v>0</v>
      </c>
      <c r="BP194" s="693">
        <v>0</v>
      </c>
      <c r="BQ194" s="694">
        <v>0</v>
      </c>
      <c r="BR194" s="693">
        <v>0</v>
      </c>
      <c r="BS194" s="694">
        <v>0</v>
      </c>
      <c r="BT194" s="693">
        <v>0</v>
      </c>
      <c r="BU194" s="694">
        <v>0</v>
      </c>
      <c r="BV194" s="693">
        <v>0</v>
      </c>
      <c r="BW194" s="694">
        <v>0</v>
      </c>
      <c r="BX194" s="693">
        <v>0</v>
      </c>
      <c r="BY194" s="694">
        <v>0</v>
      </c>
      <c r="BZ194" s="693">
        <v>0</v>
      </c>
      <c r="CA194" s="694">
        <v>0</v>
      </c>
      <c r="CB194" s="693">
        <v>0</v>
      </c>
      <c r="CC194" s="692">
        <v>0</v>
      </c>
      <c r="CD194" s="695">
        <v>0</v>
      </c>
      <c r="CE194" s="692">
        <v>0</v>
      </c>
      <c r="CF194" s="695">
        <v>0</v>
      </c>
      <c r="CG194" s="692">
        <v>0</v>
      </c>
      <c r="CH194" s="695">
        <v>0</v>
      </c>
      <c r="CI194" s="692">
        <v>0</v>
      </c>
      <c r="CJ194" s="695">
        <v>0</v>
      </c>
      <c r="CK194" s="692">
        <v>0</v>
      </c>
      <c r="CL194" s="695">
        <v>0</v>
      </c>
      <c r="CM194" s="692">
        <v>0</v>
      </c>
      <c r="CN194" s="695">
        <v>0</v>
      </c>
      <c r="CO194" s="692">
        <v>0</v>
      </c>
      <c r="CP194" s="695">
        <v>0</v>
      </c>
      <c r="CQ194" s="692">
        <v>0</v>
      </c>
      <c r="CR194" s="693">
        <v>0</v>
      </c>
      <c r="CS194" s="692">
        <v>0</v>
      </c>
      <c r="CT194" s="693">
        <v>0</v>
      </c>
      <c r="CU194" s="694">
        <v>0</v>
      </c>
      <c r="CV194" s="693">
        <v>0</v>
      </c>
    </row>
    <row r="195" spans="1:100">
      <c r="A195" s="460">
        <v>193</v>
      </c>
      <c r="B195" s="580">
        <v>0</v>
      </c>
      <c r="C195" s="580">
        <v>0</v>
      </c>
      <c r="D195" s="580">
        <v>0</v>
      </c>
      <c r="E195" s="580">
        <v>0</v>
      </c>
      <c r="F195" s="580">
        <v>0</v>
      </c>
      <c r="G195" s="580">
        <v>0</v>
      </c>
      <c r="H195" s="580">
        <v>0</v>
      </c>
      <c r="I195" s="580">
        <v>0</v>
      </c>
      <c r="J195" s="580">
        <v>0</v>
      </c>
      <c r="K195" s="580">
        <v>0</v>
      </c>
      <c r="L195" s="580">
        <v>0</v>
      </c>
      <c r="M195" s="580">
        <v>0</v>
      </c>
      <c r="N195" s="580">
        <v>0</v>
      </c>
      <c r="O195" s="580">
        <v>0</v>
      </c>
      <c r="P195" s="580">
        <v>0</v>
      </c>
      <c r="Q195" s="580">
        <v>0</v>
      </c>
      <c r="R195" s="580">
        <v>0</v>
      </c>
      <c r="S195" s="580">
        <v>0</v>
      </c>
      <c r="T195" s="580">
        <v>0</v>
      </c>
      <c r="U195" s="580">
        <v>0</v>
      </c>
      <c r="V195" s="580">
        <v>0</v>
      </c>
      <c r="W195" s="595">
        <v>0</v>
      </c>
      <c r="X195" s="688">
        <v>0</v>
      </c>
      <c r="Y195" s="688">
        <v>0</v>
      </c>
      <c r="Z195" s="688">
        <v>0</v>
      </c>
      <c r="AA195" s="688">
        <v>0</v>
      </c>
      <c r="AB195" s="688">
        <v>0</v>
      </c>
      <c r="AC195" s="688">
        <v>0</v>
      </c>
      <c r="AD195" s="688">
        <v>0</v>
      </c>
      <c r="AE195" s="977">
        <v>0</v>
      </c>
      <c r="AF195" s="978">
        <v>0</v>
      </c>
      <c r="AG195" s="979">
        <v>0</v>
      </c>
      <c r="AH195" s="688">
        <v>0</v>
      </c>
      <c r="AI195" s="687">
        <v>0</v>
      </c>
      <c r="AJ195" s="685">
        <v>0</v>
      </c>
      <c r="AK195" s="687">
        <v>0</v>
      </c>
      <c r="AL195" s="689">
        <v>0</v>
      </c>
      <c r="AM195" s="685">
        <v>0</v>
      </c>
      <c r="AN195" s="685">
        <v>0</v>
      </c>
      <c r="AO195" s="689">
        <v>0</v>
      </c>
      <c r="AP195" s="690">
        <v>0</v>
      </c>
      <c r="AQ195" s="687">
        <v>0</v>
      </c>
      <c r="AR195" s="685">
        <v>0</v>
      </c>
      <c r="AS195" s="687">
        <v>0</v>
      </c>
      <c r="AT195" s="691">
        <v>0</v>
      </c>
      <c r="AU195" s="685">
        <v>0</v>
      </c>
      <c r="AV195" s="687">
        <v>0</v>
      </c>
      <c r="AW195" s="692">
        <v>0</v>
      </c>
      <c r="AX195" s="693">
        <v>0</v>
      </c>
      <c r="AY195" s="692">
        <v>0</v>
      </c>
      <c r="AZ195" s="693">
        <v>0</v>
      </c>
      <c r="BA195" s="692">
        <v>0</v>
      </c>
      <c r="BB195" s="693">
        <v>0</v>
      </c>
      <c r="BC195" s="694">
        <v>0</v>
      </c>
      <c r="BD195" s="695">
        <v>0</v>
      </c>
      <c r="BE195" s="692">
        <v>0</v>
      </c>
      <c r="BF195" s="693">
        <v>0</v>
      </c>
      <c r="BG195" s="694">
        <v>0</v>
      </c>
      <c r="BH195" s="693">
        <v>0</v>
      </c>
      <c r="BI195" s="694">
        <v>0</v>
      </c>
      <c r="BJ195" s="693">
        <v>0</v>
      </c>
      <c r="BK195" s="694">
        <v>0</v>
      </c>
      <c r="BL195" s="693">
        <v>0</v>
      </c>
      <c r="BM195" s="694">
        <v>0</v>
      </c>
      <c r="BN195" s="693">
        <v>0</v>
      </c>
      <c r="BO195" s="694">
        <v>0</v>
      </c>
      <c r="BP195" s="693">
        <v>0</v>
      </c>
      <c r="BQ195" s="694">
        <v>0</v>
      </c>
      <c r="BR195" s="693">
        <v>0</v>
      </c>
      <c r="BS195" s="694">
        <v>0</v>
      </c>
      <c r="BT195" s="693">
        <v>0</v>
      </c>
      <c r="BU195" s="694">
        <v>0</v>
      </c>
      <c r="BV195" s="693">
        <v>0</v>
      </c>
      <c r="BW195" s="694">
        <v>0</v>
      </c>
      <c r="BX195" s="693">
        <v>0</v>
      </c>
      <c r="BY195" s="694">
        <v>0</v>
      </c>
      <c r="BZ195" s="693">
        <v>0</v>
      </c>
      <c r="CA195" s="694">
        <v>0</v>
      </c>
      <c r="CB195" s="693">
        <v>0</v>
      </c>
      <c r="CC195" s="692">
        <v>0</v>
      </c>
      <c r="CD195" s="695">
        <v>0</v>
      </c>
      <c r="CE195" s="692">
        <v>0</v>
      </c>
      <c r="CF195" s="695">
        <v>0</v>
      </c>
      <c r="CG195" s="692">
        <v>0</v>
      </c>
      <c r="CH195" s="695">
        <v>0</v>
      </c>
      <c r="CI195" s="692">
        <v>0</v>
      </c>
      <c r="CJ195" s="695">
        <v>0</v>
      </c>
      <c r="CK195" s="692">
        <v>0</v>
      </c>
      <c r="CL195" s="695">
        <v>0</v>
      </c>
      <c r="CM195" s="692">
        <v>0</v>
      </c>
      <c r="CN195" s="695">
        <v>0</v>
      </c>
      <c r="CO195" s="692">
        <v>0</v>
      </c>
      <c r="CP195" s="695">
        <v>0</v>
      </c>
      <c r="CQ195" s="692">
        <v>0</v>
      </c>
      <c r="CR195" s="693">
        <v>0</v>
      </c>
      <c r="CS195" s="692">
        <v>0</v>
      </c>
      <c r="CT195" s="693">
        <v>0</v>
      </c>
      <c r="CU195" s="694">
        <v>0</v>
      </c>
      <c r="CV195" s="693">
        <v>0</v>
      </c>
    </row>
    <row r="196" spans="1:100">
      <c r="A196" s="460">
        <v>194</v>
      </c>
      <c r="B196" s="580">
        <v>0</v>
      </c>
      <c r="C196" s="580">
        <v>0</v>
      </c>
      <c r="D196" s="580">
        <v>0</v>
      </c>
      <c r="E196" s="580">
        <v>0</v>
      </c>
      <c r="F196" s="580">
        <v>0</v>
      </c>
      <c r="G196" s="580">
        <v>0</v>
      </c>
      <c r="H196" s="580">
        <v>0</v>
      </c>
      <c r="I196" s="580">
        <v>0</v>
      </c>
      <c r="J196" s="580">
        <v>0</v>
      </c>
      <c r="K196" s="580">
        <v>0</v>
      </c>
      <c r="L196" s="580">
        <v>0</v>
      </c>
      <c r="M196" s="580">
        <v>0</v>
      </c>
      <c r="N196" s="580">
        <v>0</v>
      </c>
      <c r="O196" s="580">
        <v>0</v>
      </c>
      <c r="P196" s="580">
        <v>0</v>
      </c>
      <c r="Q196" s="580">
        <v>0</v>
      </c>
      <c r="R196" s="580">
        <v>0</v>
      </c>
      <c r="S196" s="580">
        <v>0</v>
      </c>
      <c r="T196" s="580">
        <v>0</v>
      </c>
      <c r="U196" s="580">
        <v>0</v>
      </c>
      <c r="V196" s="580">
        <v>0</v>
      </c>
      <c r="W196" s="595">
        <v>0</v>
      </c>
      <c r="X196" s="688">
        <v>0</v>
      </c>
      <c r="Y196" s="688">
        <v>0</v>
      </c>
      <c r="Z196" s="688">
        <v>0</v>
      </c>
      <c r="AA196" s="688">
        <v>0</v>
      </c>
      <c r="AB196" s="688">
        <v>0</v>
      </c>
      <c r="AC196" s="688">
        <v>0</v>
      </c>
      <c r="AD196" s="688">
        <v>0</v>
      </c>
      <c r="AE196" s="977">
        <v>0</v>
      </c>
      <c r="AF196" s="978">
        <v>0</v>
      </c>
      <c r="AG196" s="979">
        <v>0</v>
      </c>
      <c r="AH196" s="688">
        <v>0</v>
      </c>
      <c r="AI196" s="687">
        <v>0</v>
      </c>
      <c r="AJ196" s="685">
        <v>0</v>
      </c>
      <c r="AK196" s="687">
        <v>0</v>
      </c>
      <c r="AL196" s="689">
        <v>0</v>
      </c>
      <c r="AM196" s="685">
        <v>0</v>
      </c>
      <c r="AN196" s="685">
        <v>0</v>
      </c>
      <c r="AO196" s="689">
        <v>0</v>
      </c>
      <c r="AP196" s="690">
        <v>0</v>
      </c>
      <c r="AQ196" s="687">
        <v>0</v>
      </c>
      <c r="AR196" s="685">
        <v>0</v>
      </c>
      <c r="AS196" s="687">
        <v>0</v>
      </c>
      <c r="AT196" s="691">
        <v>0</v>
      </c>
      <c r="AU196" s="685">
        <v>0</v>
      </c>
      <c r="AV196" s="687">
        <v>0</v>
      </c>
      <c r="AW196" s="692">
        <v>0</v>
      </c>
      <c r="AX196" s="693">
        <v>0</v>
      </c>
      <c r="AY196" s="692">
        <v>0</v>
      </c>
      <c r="AZ196" s="693">
        <v>0</v>
      </c>
      <c r="BA196" s="692">
        <v>0</v>
      </c>
      <c r="BB196" s="693">
        <v>0</v>
      </c>
      <c r="BC196" s="694">
        <v>0</v>
      </c>
      <c r="BD196" s="695">
        <v>0</v>
      </c>
      <c r="BE196" s="692">
        <v>0</v>
      </c>
      <c r="BF196" s="693">
        <v>0</v>
      </c>
      <c r="BG196" s="694">
        <v>0</v>
      </c>
      <c r="BH196" s="693">
        <v>0</v>
      </c>
      <c r="BI196" s="694">
        <v>0</v>
      </c>
      <c r="BJ196" s="693">
        <v>0</v>
      </c>
      <c r="BK196" s="694">
        <v>0</v>
      </c>
      <c r="BL196" s="693">
        <v>0</v>
      </c>
      <c r="BM196" s="694">
        <v>0</v>
      </c>
      <c r="BN196" s="693">
        <v>0</v>
      </c>
      <c r="BO196" s="694">
        <v>0</v>
      </c>
      <c r="BP196" s="693">
        <v>0</v>
      </c>
      <c r="BQ196" s="694">
        <v>0</v>
      </c>
      <c r="BR196" s="693">
        <v>0</v>
      </c>
      <c r="BS196" s="694">
        <v>0</v>
      </c>
      <c r="BT196" s="693">
        <v>0</v>
      </c>
      <c r="BU196" s="694">
        <v>0</v>
      </c>
      <c r="BV196" s="693">
        <v>0</v>
      </c>
      <c r="BW196" s="694">
        <v>0</v>
      </c>
      <c r="BX196" s="693">
        <v>0</v>
      </c>
      <c r="BY196" s="694">
        <v>0</v>
      </c>
      <c r="BZ196" s="693">
        <v>0</v>
      </c>
      <c r="CA196" s="694">
        <v>0</v>
      </c>
      <c r="CB196" s="693">
        <v>0</v>
      </c>
      <c r="CC196" s="692">
        <v>0</v>
      </c>
      <c r="CD196" s="695">
        <v>0</v>
      </c>
      <c r="CE196" s="692">
        <v>0</v>
      </c>
      <c r="CF196" s="695">
        <v>0</v>
      </c>
      <c r="CG196" s="692">
        <v>0</v>
      </c>
      <c r="CH196" s="695">
        <v>0</v>
      </c>
      <c r="CI196" s="692">
        <v>0</v>
      </c>
      <c r="CJ196" s="695">
        <v>0</v>
      </c>
      <c r="CK196" s="692">
        <v>0</v>
      </c>
      <c r="CL196" s="695">
        <v>0</v>
      </c>
      <c r="CM196" s="692">
        <v>0</v>
      </c>
      <c r="CN196" s="695">
        <v>0</v>
      </c>
      <c r="CO196" s="692">
        <v>0</v>
      </c>
      <c r="CP196" s="695">
        <v>0</v>
      </c>
      <c r="CQ196" s="692">
        <v>0</v>
      </c>
      <c r="CR196" s="693">
        <v>0</v>
      </c>
      <c r="CS196" s="692">
        <v>0</v>
      </c>
      <c r="CT196" s="693">
        <v>0</v>
      </c>
      <c r="CU196" s="694">
        <v>0</v>
      </c>
      <c r="CV196" s="693">
        <v>0</v>
      </c>
    </row>
    <row r="197" spans="1:100">
      <c r="A197" s="460">
        <v>195</v>
      </c>
      <c r="B197" s="580">
        <v>0</v>
      </c>
      <c r="C197" s="580">
        <v>0</v>
      </c>
      <c r="D197" s="580">
        <v>0</v>
      </c>
      <c r="E197" s="580">
        <v>0</v>
      </c>
      <c r="F197" s="580">
        <v>0</v>
      </c>
      <c r="G197" s="580">
        <v>0</v>
      </c>
      <c r="H197" s="580">
        <v>0</v>
      </c>
      <c r="I197" s="580">
        <v>0</v>
      </c>
      <c r="J197" s="580">
        <v>0</v>
      </c>
      <c r="K197" s="580">
        <v>0</v>
      </c>
      <c r="L197" s="580">
        <v>0</v>
      </c>
      <c r="M197" s="580">
        <v>0</v>
      </c>
      <c r="N197" s="580">
        <v>0</v>
      </c>
      <c r="O197" s="580">
        <v>0</v>
      </c>
      <c r="P197" s="580">
        <v>0</v>
      </c>
      <c r="Q197" s="580">
        <v>0</v>
      </c>
      <c r="R197" s="580">
        <v>0</v>
      </c>
      <c r="S197" s="580">
        <v>0</v>
      </c>
      <c r="T197" s="580">
        <v>0</v>
      </c>
      <c r="U197" s="580">
        <v>0</v>
      </c>
      <c r="V197" s="580">
        <v>0</v>
      </c>
      <c r="W197" s="595">
        <v>0</v>
      </c>
      <c r="X197" s="688">
        <v>0</v>
      </c>
      <c r="Y197" s="688">
        <v>0</v>
      </c>
      <c r="Z197" s="688">
        <v>0</v>
      </c>
      <c r="AA197" s="688">
        <v>0</v>
      </c>
      <c r="AB197" s="688">
        <v>0</v>
      </c>
      <c r="AC197" s="688">
        <v>0</v>
      </c>
      <c r="AD197" s="688">
        <v>0</v>
      </c>
      <c r="AE197" s="977">
        <v>0</v>
      </c>
      <c r="AF197" s="978">
        <v>0</v>
      </c>
      <c r="AG197" s="979">
        <v>0</v>
      </c>
      <c r="AH197" s="688">
        <v>0</v>
      </c>
      <c r="AI197" s="687">
        <v>0</v>
      </c>
      <c r="AJ197" s="685">
        <v>0</v>
      </c>
      <c r="AK197" s="687">
        <v>0</v>
      </c>
      <c r="AL197" s="689">
        <v>0</v>
      </c>
      <c r="AM197" s="685">
        <v>0</v>
      </c>
      <c r="AN197" s="685">
        <v>0</v>
      </c>
      <c r="AO197" s="689">
        <v>0</v>
      </c>
      <c r="AP197" s="690">
        <v>0</v>
      </c>
      <c r="AQ197" s="687">
        <v>0</v>
      </c>
      <c r="AR197" s="685">
        <v>0</v>
      </c>
      <c r="AS197" s="687">
        <v>0</v>
      </c>
      <c r="AT197" s="691">
        <v>0</v>
      </c>
      <c r="AU197" s="685">
        <v>0</v>
      </c>
      <c r="AV197" s="687">
        <v>0</v>
      </c>
      <c r="AW197" s="692">
        <v>0</v>
      </c>
      <c r="AX197" s="693">
        <v>0</v>
      </c>
      <c r="AY197" s="692">
        <v>0</v>
      </c>
      <c r="AZ197" s="693">
        <v>0</v>
      </c>
      <c r="BA197" s="692">
        <v>0</v>
      </c>
      <c r="BB197" s="693">
        <v>0</v>
      </c>
      <c r="BC197" s="694">
        <v>0</v>
      </c>
      <c r="BD197" s="695">
        <v>0</v>
      </c>
      <c r="BE197" s="692">
        <v>0</v>
      </c>
      <c r="BF197" s="693">
        <v>0</v>
      </c>
      <c r="BG197" s="694">
        <v>0</v>
      </c>
      <c r="BH197" s="693">
        <v>0</v>
      </c>
      <c r="BI197" s="694">
        <v>0</v>
      </c>
      <c r="BJ197" s="693">
        <v>0</v>
      </c>
      <c r="BK197" s="694">
        <v>0</v>
      </c>
      <c r="BL197" s="693">
        <v>0</v>
      </c>
      <c r="BM197" s="694">
        <v>0</v>
      </c>
      <c r="BN197" s="693">
        <v>0</v>
      </c>
      <c r="BO197" s="694">
        <v>0</v>
      </c>
      <c r="BP197" s="693">
        <v>0</v>
      </c>
      <c r="BQ197" s="694">
        <v>0</v>
      </c>
      <c r="BR197" s="693">
        <v>0</v>
      </c>
      <c r="BS197" s="694">
        <v>0</v>
      </c>
      <c r="BT197" s="693">
        <v>0</v>
      </c>
      <c r="BU197" s="694">
        <v>0</v>
      </c>
      <c r="BV197" s="693">
        <v>0</v>
      </c>
      <c r="BW197" s="694">
        <v>0</v>
      </c>
      <c r="BX197" s="693">
        <v>0</v>
      </c>
      <c r="BY197" s="694">
        <v>0</v>
      </c>
      <c r="BZ197" s="693">
        <v>0</v>
      </c>
      <c r="CA197" s="694">
        <v>0</v>
      </c>
      <c r="CB197" s="693">
        <v>0</v>
      </c>
      <c r="CC197" s="692">
        <v>0</v>
      </c>
      <c r="CD197" s="695">
        <v>0</v>
      </c>
      <c r="CE197" s="692">
        <v>0</v>
      </c>
      <c r="CF197" s="695">
        <v>0</v>
      </c>
      <c r="CG197" s="692">
        <v>0</v>
      </c>
      <c r="CH197" s="695">
        <v>0</v>
      </c>
      <c r="CI197" s="692">
        <v>0</v>
      </c>
      <c r="CJ197" s="695">
        <v>0</v>
      </c>
      <c r="CK197" s="692">
        <v>0</v>
      </c>
      <c r="CL197" s="695">
        <v>0</v>
      </c>
      <c r="CM197" s="692">
        <v>0</v>
      </c>
      <c r="CN197" s="695">
        <v>0</v>
      </c>
      <c r="CO197" s="692">
        <v>0</v>
      </c>
      <c r="CP197" s="695">
        <v>0</v>
      </c>
      <c r="CQ197" s="692">
        <v>0</v>
      </c>
      <c r="CR197" s="693">
        <v>0</v>
      </c>
      <c r="CS197" s="692">
        <v>0</v>
      </c>
      <c r="CT197" s="693">
        <v>0</v>
      </c>
      <c r="CU197" s="694">
        <v>0</v>
      </c>
      <c r="CV197" s="693">
        <v>0</v>
      </c>
    </row>
    <row r="198" spans="1:100">
      <c r="A198" s="460">
        <v>196</v>
      </c>
      <c r="B198" s="580">
        <v>0</v>
      </c>
      <c r="C198" s="580">
        <v>0</v>
      </c>
      <c r="D198" s="580">
        <v>0</v>
      </c>
      <c r="E198" s="580">
        <v>0</v>
      </c>
      <c r="F198" s="580">
        <v>0</v>
      </c>
      <c r="G198" s="580">
        <v>0</v>
      </c>
      <c r="H198" s="580">
        <v>0</v>
      </c>
      <c r="I198" s="580">
        <v>0</v>
      </c>
      <c r="J198" s="580">
        <v>0</v>
      </c>
      <c r="K198" s="580">
        <v>0</v>
      </c>
      <c r="L198" s="580">
        <v>0</v>
      </c>
      <c r="M198" s="580">
        <v>0</v>
      </c>
      <c r="N198" s="580">
        <v>0</v>
      </c>
      <c r="O198" s="580">
        <v>0</v>
      </c>
      <c r="P198" s="580">
        <v>0</v>
      </c>
      <c r="Q198" s="580">
        <v>0</v>
      </c>
      <c r="R198" s="580">
        <v>0</v>
      </c>
      <c r="S198" s="580">
        <v>0</v>
      </c>
      <c r="T198" s="580">
        <v>0</v>
      </c>
      <c r="U198" s="580">
        <v>0</v>
      </c>
      <c r="V198" s="580">
        <v>0</v>
      </c>
      <c r="W198" s="595">
        <v>0</v>
      </c>
      <c r="X198" s="688">
        <v>0</v>
      </c>
      <c r="Y198" s="688">
        <v>0</v>
      </c>
      <c r="Z198" s="688">
        <v>0</v>
      </c>
      <c r="AA198" s="688">
        <v>0</v>
      </c>
      <c r="AB198" s="688">
        <v>0</v>
      </c>
      <c r="AC198" s="688">
        <v>0</v>
      </c>
      <c r="AD198" s="688">
        <v>0</v>
      </c>
      <c r="AE198" s="977">
        <v>0</v>
      </c>
      <c r="AF198" s="978">
        <v>0</v>
      </c>
      <c r="AG198" s="979">
        <v>0</v>
      </c>
      <c r="AH198" s="688">
        <v>0</v>
      </c>
      <c r="AI198" s="687">
        <v>0</v>
      </c>
      <c r="AJ198" s="685">
        <v>0</v>
      </c>
      <c r="AK198" s="687">
        <v>0</v>
      </c>
      <c r="AL198" s="689">
        <v>0</v>
      </c>
      <c r="AM198" s="685">
        <v>0</v>
      </c>
      <c r="AN198" s="685">
        <v>0</v>
      </c>
      <c r="AO198" s="689">
        <v>0</v>
      </c>
      <c r="AP198" s="690">
        <v>0</v>
      </c>
      <c r="AQ198" s="687">
        <v>0</v>
      </c>
      <c r="AR198" s="685">
        <v>0</v>
      </c>
      <c r="AS198" s="687">
        <v>0</v>
      </c>
      <c r="AT198" s="691">
        <v>0</v>
      </c>
      <c r="AU198" s="685">
        <v>0</v>
      </c>
      <c r="AV198" s="687">
        <v>0</v>
      </c>
      <c r="AW198" s="692">
        <v>0</v>
      </c>
      <c r="AX198" s="693">
        <v>0</v>
      </c>
      <c r="AY198" s="692">
        <v>0</v>
      </c>
      <c r="AZ198" s="693">
        <v>0</v>
      </c>
      <c r="BA198" s="692">
        <v>0</v>
      </c>
      <c r="BB198" s="693">
        <v>0</v>
      </c>
      <c r="BC198" s="694">
        <v>0</v>
      </c>
      <c r="BD198" s="695">
        <v>0</v>
      </c>
      <c r="BE198" s="692">
        <v>0</v>
      </c>
      <c r="BF198" s="693">
        <v>0</v>
      </c>
      <c r="BG198" s="694">
        <v>0</v>
      </c>
      <c r="BH198" s="693">
        <v>0</v>
      </c>
      <c r="BI198" s="694">
        <v>0</v>
      </c>
      <c r="BJ198" s="693">
        <v>0</v>
      </c>
      <c r="BK198" s="694">
        <v>0</v>
      </c>
      <c r="BL198" s="693">
        <v>0</v>
      </c>
      <c r="BM198" s="694">
        <v>0</v>
      </c>
      <c r="BN198" s="693">
        <v>0</v>
      </c>
      <c r="BO198" s="694">
        <v>0</v>
      </c>
      <c r="BP198" s="693">
        <v>0</v>
      </c>
      <c r="BQ198" s="694">
        <v>0</v>
      </c>
      <c r="BR198" s="693">
        <v>0</v>
      </c>
      <c r="BS198" s="694">
        <v>0</v>
      </c>
      <c r="BT198" s="693">
        <v>0</v>
      </c>
      <c r="BU198" s="694">
        <v>0</v>
      </c>
      <c r="BV198" s="693">
        <v>0</v>
      </c>
      <c r="BW198" s="694">
        <v>0</v>
      </c>
      <c r="BX198" s="693">
        <v>0</v>
      </c>
      <c r="BY198" s="694">
        <v>0</v>
      </c>
      <c r="BZ198" s="693">
        <v>0</v>
      </c>
      <c r="CA198" s="694">
        <v>0</v>
      </c>
      <c r="CB198" s="693">
        <v>0</v>
      </c>
      <c r="CC198" s="692">
        <v>0</v>
      </c>
      <c r="CD198" s="695">
        <v>0</v>
      </c>
      <c r="CE198" s="692">
        <v>0</v>
      </c>
      <c r="CF198" s="695">
        <v>0</v>
      </c>
      <c r="CG198" s="692">
        <v>0</v>
      </c>
      <c r="CH198" s="695">
        <v>0</v>
      </c>
      <c r="CI198" s="692">
        <v>0</v>
      </c>
      <c r="CJ198" s="695">
        <v>0</v>
      </c>
      <c r="CK198" s="692">
        <v>0</v>
      </c>
      <c r="CL198" s="695">
        <v>0</v>
      </c>
      <c r="CM198" s="692">
        <v>0</v>
      </c>
      <c r="CN198" s="695">
        <v>0</v>
      </c>
      <c r="CO198" s="692">
        <v>0</v>
      </c>
      <c r="CP198" s="695">
        <v>0</v>
      </c>
      <c r="CQ198" s="692">
        <v>0</v>
      </c>
      <c r="CR198" s="693">
        <v>0</v>
      </c>
      <c r="CS198" s="692">
        <v>0</v>
      </c>
      <c r="CT198" s="693">
        <v>0</v>
      </c>
      <c r="CU198" s="694">
        <v>0</v>
      </c>
      <c r="CV198" s="693">
        <v>0</v>
      </c>
    </row>
    <row r="199" spans="1:100">
      <c r="A199" s="460">
        <v>197</v>
      </c>
      <c r="B199" s="580">
        <v>0</v>
      </c>
      <c r="C199" s="580">
        <v>0</v>
      </c>
      <c r="D199" s="580">
        <v>0</v>
      </c>
      <c r="E199" s="580">
        <v>0</v>
      </c>
      <c r="F199" s="580">
        <v>0</v>
      </c>
      <c r="G199" s="580">
        <v>0</v>
      </c>
      <c r="H199" s="580">
        <v>0</v>
      </c>
      <c r="I199" s="580">
        <v>0</v>
      </c>
      <c r="J199" s="580">
        <v>0</v>
      </c>
      <c r="K199" s="580">
        <v>0</v>
      </c>
      <c r="L199" s="580">
        <v>0</v>
      </c>
      <c r="M199" s="580">
        <v>0</v>
      </c>
      <c r="N199" s="580">
        <v>0</v>
      </c>
      <c r="O199" s="580">
        <v>0</v>
      </c>
      <c r="P199" s="580">
        <v>0</v>
      </c>
      <c r="Q199" s="580">
        <v>0</v>
      </c>
      <c r="R199" s="580">
        <v>0</v>
      </c>
      <c r="S199" s="580">
        <v>0</v>
      </c>
      <c r="T199" s="580">
        <v>0</v>
      </c>
      <c r="U199" s="580">
        <v>0</v>
      </c>
      <c r="V199" s="580">
        <v>0</v>
      </c>
      <c r="W199" s="595">
        <v>0</v>
      </c>
      <c r="X199" s="688">
        <v>0</v>
      </c>
      <c r="Y199" s="688">
        <v>0</v>
      </c>
      <c r="Z199" s="688">
        <v>0</v>
      </c>
      <c r="AA199" s="688">
        <v>0</v>
      </c>
      <c r="AB199" s="688">
        <v>0</v>
      </c>
      <c r="AC199" s="688">
        <v>0</v>
      </c>
      <c r="AD199" s="688">
        <v>0</v>
      </c>
      <c r="AE199" s="977">
        <v>0</v>
      </c>
      <c r="AF199" s="978">
        <v>0</v>
      </c>
      <c r="AG199" s="979">
        <v>0</v>
      </c>
      <c r="AH199" s="688">
        <v>0</v>
      </c>
      <c r="AI199" s="687">
        <v>0</v>
      </c>
      <c r="AJ199" s="685">
        <v>0</v>
      </c>
      <c r="AK199" s="687">
        <v>0</v>
      </c>
      <c r="AL199" s="689">
        <v>0</v>
      </c>
      <c r="AM199" s="685">
        <v>0</v>
      </c>
      <c r="AN199" s="685">
        <v>0</v>
      </c>
      <c r="AO199" s="689">
        <v>0</v>
      </c>
      <c r="AP199" s="690">
        <v>0</v>
      </c>
      <c r="AQ199" s="687">
        <v>0</v>
      </c>
      <c r="AR199" s="685">
        <v>0</v>
      </c>
      <c r="AS199" s="687">
        <v>0</v>
      </c>
      <c r="AT199" s="691">
        <v>0</v>
      </c>
      <c r="AU199" s="685">
        <v>0</v>
      </c>
      <c r="AV199" s="687">
        <v>0</v>
      </c>
      <c r="AW199" s="692">
        <v>0</v>
      </c>
      <c r="AX199" s="693">
        <v>0</v>
      </c>
      <c r="AY199" s="692">
        <v>0</v>
      </c>
      <c r="AZ199" s="693">
        <v>0</v>
      </c>
      <c r="BA199" s="692">
        <v>0</v>
      </c>
      <c r="BB199" s="693">
        <v>0</v>
      </c>
      <c r="BC199" s="694">
        <v>0</v>
      </c>
      <c r="BD199" s="695">
        <v>0</v>
      </c>
      <c r="BE199" s="692">
        <v>0</v>
      </c>
      <c r="BF199" s="693">
        <v>0</v>
      </c>
      <c r="BG199" s="694">
        <v>0</v>
      </c>
      <c r="BH199" s="693">
        <v>0</v>
      </c>
      <c r="BI199" s="694">
        <v>0</v>
      </c>
      <c r="BJ199" s="693">
        <v>0</v>
      </c>
      <c r="BK199" s="694">
        <v>0</v>
      </c>
      <c r="BL199" s="693">
        <v>0</v>
      </c>
      <c r="BM199" s="694">
        <v>0</v>
      </c>
      <c r="BN199" s="693">
        <v>0</v>
      </c>
      <c r="BO199" s="694">
        <v>0</v>
      </c>
      <c r="BP199" s="693">
        <v>0</v>
      </c>
      <c r="BQ199" s="694">
        <v>0</v>
      </c>
      <c r="BR199" s="693">
        <v>0</v>
      </c>
      <c r="BS199" s="694">
        <v>0</v>
      </c>
      <c r="BT199" s="693">
        <v>0</v>
      </c>
      <c r="BU199" s="694">
        <v>0</v>
      </c>
      <c r="BV199" s="693">
        <v>0</v>
      </c>
      <c r="BW199" s="694">
        <v>0</v>
      </c>
      <c r="BX199" s="693">
        <v>0</v>
      </c>
      <c r="BY199" s="694">
        <v>0</v>
      </c>
      <c r="BZ199" s="693">
        <v>0</v>
      </c>
      <c r="CA199" s="694">
        <v>0</v>
      </c>
      <c r="CB199" s="693">
        <v>0</v>
      </c>
      <c r="CC199" s="692">
        <v>0</v>
      </c>
      <c r="CD199" s="695">
        <v>0</v>
      </c>
      <c r="CE199" s="692">
        <v>0</v>
      </c>
      <c r="CF199" s="695">
        <v>0</v>
      </c>
      <c r="CG199" s="692">
        <v>0</v>
      </c>
      <c r="CH199" s="695">
        <v>0</v>
      </c>
      <c r="CI199" s="692">
        <v>0</v>
      </c>
      <c r="CJ199" s="695">
        <v>0</v>
      </c>
      <c r="CK199" s="692">
        <v>0</v>
      </c>
      <c r="CL199" s="695">
        <v>0</v>
      </c>
      <c r="CM199" s="692">
        <v>0</v>
      </c>
      <c r="CN199" s="695">
        <v>0</v>
      </c>
      <c r="CO199" s="692">
        <v>0</v>
      </c>
      <c r="CP199" s="695">
        <v>0</v>
      </c>
      <c r="CQ199" s="692">
        <v>0</v>
      </c>
      <c r="CR199" s="693">
        <v>0</v>
      </c>
      <c r="CS199" s="692">
        <v>0</v>
      </c>
      <c r="CT199" s="693">
        <v>0</v>
      </c>
      <c r="CU199" s="694">
        <v>0</v>
      </c>
      <c r="CV199" s="693">
        <v>0</v>
      </c>
    </row>
    <row r="200" spans="1:100">
      <c r="A200" s="460">
        <v>198</v>
      </c>
      <c r="B200" s="580">
        <v>0</v>
      </c>
      <c r="C200" s="580">
        <v>0</v>
      </c>
      <c r="D200" s="580">
        <v>0</v>
      </c>
      <c r="E200" s="580">
        <v>0</v>
      </c>
      <c r="F200" s="580">
        <v>0</v>
      </c>
      <c r="G200" s="580">
        <v>0</v>
      </c>
      <c r="H200" s="580">
        <v>0</v>
      </c>
      <c r="I200" s="580">
        <v>0</v>
      </c>
      <c r="J200" s="580">
        <v>0</v>
      </c>
      <c r="K200" s="580">
        <v>0</v>
      </c>
      <c r="L200" s="580">
        <v>0</v>
      </c>
      <c r="M200" s="580">
        <v>0</v>
      </c>
      <c r="N200" s="580">
        <v>0</v>
      </c>
      <c r="O200" s="580">
        <v>0</v>
      </c>
      <c r="P200" s="580">
        <v>0</v>
      </c>
      <c r="Q200" s="580">
        <v>0</v>
      </c>
      <c r="R200" s="580">
        <v>0</v>
      </c>
      <c r="S200" s="580">
        <v>0</v>
      </c>
      <c r="T200" s="580">
        <v>0</v>
      </c>
      <c r="U200" s="580">
        <v>0</v>
      </c>
      <c r="V200" s="580">
        <v>0</v>
      </c>
      <c r="W200" s="595">
        <v>0</v>
      </c>
      <c r="X200" s="688">
        <v>0</v>
      </c>
      <c r="Y200" s="688">
        <v>0</v>
      </c>
      <c r="Z200" s="688">
        <v>0</v>
      </c>
      <c r="AA200" s="688">
        <v>0</v>
      </c>
      <c r="AB200" s="688">
        <v>0</v>
      </c>
      <c r="AC200" s="688">
        <v>0</v>
      </c>
      <c r="AD200" s="688">
        <v>0</v>
      </c>
      <c r="AE200" s="977">
        <v>0</v>
      </c>
      <c r="AF200" s="978">
        <v>0</v>
      </c>
      <c r="AG200" s="979">
        <v>0</v>
      </c>
      <c r="AH200" s="688">
        <v>0</v>
      </c>
      <c r="AI200" s="687">
        <v>0</v>
      </c>
      <c r="AJ200" s="685">
        <v>0</v>
      </c>
      <c r="AK200" s="687">
        <v>0</v>
      </c>
      <c r="AL200" s="689">
        <v>0</v>
      </c>
      <c r="AM200" s="685">
        <v>0</v>
      </c>
      <c r="AN200" s="685">
        <v>0</v>
      </c>
      <c r="AO200" s="689">
        <v>0</v>
      </c>
      <c r="AP200" s="690">
        <v>0</v>
      </c>
      <c r="AQ200" s="687">
        <v>0</v>
      </c>
      <c r="AR200" s="685">
        <v>0</v>
      </c>
      <c r="AS200" s="687">
        <v>0</v>
      </c>
      <c r="AT200" s="691">
        <v>0</v>
      </c>
      <c r="AU200" s="685">
        <v>0</v>
      </c>
      <c r="AV200" s="687">
        <v>0</v>
      </c>
      <c r="AW200" s="692">
        <v>0</v>
      </c>
      <c r="AX200" s="693">
        <v>0</v>
      </c>
      <c r="AY200" s="692">
        <v>0</v>
      </c>
      <c r="AZ200" s="693">
        <v>0</v>
      </c>
      <c r="BA200" s="692">
        <v>0</v>
      </c>
      <c r="BB200" s="693">
        <v>0</v>
      </c>
      <c r="BC200" s="694">
        <v>0</v>
      </c>
      <c r="BD200" s="695">
        <v>0</v>
      </c>
      <c r="BE200" s="692">
        <v>0</v>
      </c>
      <c r="BF200" s="693">
        <v>0</v>
      </c>
      <c r="BG200" s="694">
        <v>0</v>
      </c>
      <c r="BH200" s="693">
        <v>0</v>
      </c>
      <c r="BI200" s="694">
        <v>0</v>
      </c>
      <c r="BJ200" s="693">
        <v>0</v>
      </c>
      <c r="BK200" s="694">
        <v>0</v>
      </c>
      <c r="BL200" s="693">
        <v>0</v>
      </c>
      <c r="BM200" s="694">
        <v>0</v>
      </c>
      <c r="BN200" s="693">
        <v>0</v>
      </c>
      <c r="BO200" s="694">
        <v>0</v>
      </c>
      <c r="BP200" s="693">
        <v>0</v>
      </c>
      <c r="BQ200" s="694">
        <v>0</v>
      </c>
      <c r="BR200" s="693">
        <v>0</v>
      </c>
      <c r="BS200" s="694">
        <v>0</v>
      </c>
      <c r="BT200" s="693">
        <v>0</v>
      </c>
      <c r="BU200" s="694">
        <v>0</v>
      </c>
      <c r="BV200" s="693">
        <v>0</v>
      </c>
      <c r="BW200" s="694">
        <v>0</v>
      </c>
      <c r="BX200" s="693">
        <v>0</v>
      </c>
      <c r="BY200" s="694">
        <v>0</v>
      </c>
      <c r="BZ200" s="693">
        <v>0</v>
      </c>
      <c r="CA200" s="694">
        <v>0</v>
      </c>
      <c r="CB200" s="693">
        <v>0</v>
      </c>
      <c r="CC200" s="692">
        <v>0</v>
      </c>
      <c r="CD200" s="695">
        <v>0</v>
      </c>
      <c r="CE200" s="692">
        <v>0</v>
      </c>
      <c r="CF200" s="695">
        <v>0</v>
      </c>
      <c r="CG200" s="692">
        <v>0</v>
      </c>
      <c r="CH200" s="695">
        <v>0</v>
      </c>
      <c r="CI200" s="692">
        <v>0</v>
      </c>
      <c r="CJ200" s="695">
        <v>0</v>
      </c>
      <c r="CK200" s="692">
        <v>0</v>
      </c>
      <c r="CL200" s="695">
        <v>0</v>
      </c>
      <c r="CM200" s="692">
        <v>0</v>
      </c>
      <c r="CN200" s="695">
        <v>0</v>
      </c>
      <c r="CO200" s="692">
        <v>0</v>
      </c>
      <c r="CP200" s="695">
        <v>0</v>
      </c>
      <c r="CQ200" s="692">
        <v>0</v>
      </c>
      <c r="CR200" s="693">
        <v>0</v>
      </c>
      <c r="CS200" s="692">
        <v>0</v>
      </c>
      <c r="CT200" s="693">
        <v>0</v>
      </c>
      <c r="CU200" s="694">
        <v>0</v>
      </c>
      <c r="CV200" s="693">
        <v>0</v>
      </c>
    </row>
    <row r="201" spans="1:100" ht="15.75" thickBot="1">
      <c r="A201" s="460">
        <v>199</v>
      </c>
      <c r="B201" s="580">
        <v>0</v>
      </c>
      <c r="C201" s="580">
        <v>0</v>
      </c>
      <c r="D201" s="580">
        <v>0</v>
      </c>
      <c r="E201" s="580">
        <v>0</v>
      </c>
      <c r="F201" s="580">
        <v>0</v>
      </c>
      <c r="G201" s="580">
        <v>0</v>
      </c>
      <c r="H201" s="580">
        <v>0</v>
      </c>
      <c r="I201" s="580">
        <v>0</v>
      </c>
      <c r="J201" s="580">
        <v>0</v>
      </c>
      <c r="K201" s="580">
        <v>0</v>
      </c>
      <c r="L201" s="580">
        <v>0</v>
      </c>
      <c r="M201" s="580">
        <v>0</v>
      </c>
      <c r="N201" s="580">
        <v>0</v>
      </c>
      <c r="O201" s="580">
        <v>0</v>
      </c>
      <c r="P201" s="580">
        <v>0</v>
      </c>
      <c r="Q201" s="580">
        <v>0</v>
      </c>
      <c r="R201" s="580">
        <v>0</v>
      </c>
      <c r="S201" s="580">
        <v>0</v>
      </c>
      <c r="T201" s="580">
        <v>0</v>
      </c>
      <c r="U201" s="580">
        <v>0</v>
      </c>
      <c r="V201" s="580">
        <v>0</v>
      </c>
      <c r="W201" s="595">
        <v>0</v>
      </c>
      <c r="X201" s="688">
        <v>0</v>
      </c>
      <c r="Y201" s="688">
        <v>0</v>
      </c>
      <c r="Z201" s="688">
        <v>0</v>
      </c>
      <c r="AA201" s="688">
        <v>0</v>
      </c>
      <c r="AB201" s="688">
        <v>0</v>
      </c>
      <c r="AC201" s="688">
        <v>0</v>
      </c>
      <c r="AD201" s="688">
        <v>0</v>
      </c>
      <c r="AE201" s="980">
        <v>0</v>
      </c>
      <c r="AF201" s="981">
        <v>0</v>
      </c>
      <c r="AG201" s="982">
        <v>0</v>
      </c>
      <c r="AH201" s="698">
        <v>0</v>
      </c>
      <c r="AI201" s="697">
        <v>0</v>
      </c>
      <c r="AJ201" s="696">
        <v>0</v>
      </c>
      <c r="AK201" s="697">
        <v>0</v>
      </c>
      <c r="AL201" s="699">
        <v>0</v>
      </c>
      <c r="AM201" s="696">
        <v>0</v>
      </c>
      <c r="AN201" s="696">
        <v>0</v>
      </c>
      <c r="AO201" s="699">
        <v>0</v>
      </c>
      <c r="AP201" s="700">
        <v>0</v>
      </c>
      <c r="AQ201" s="687">
        <v>0</v>
      </c>
      <c r="AR201" s="696">
        <v>0</v>
      </c>
      <c r="AS201" s="697">
        <v>0</v>
      </c>
      <c r="AT201" s="701">
        <v>0</v>
      </c>
      <c r="AU201" s="696">
        <v>0</v>
      </c>
      <c r="AV201" s="697">
        <v>0</v>
      </c>
      <c r="AW201" s="702">
        <v>0</v>
      </c>
      <c r="AX201" s="703">
        <v>0</v>
      </c>
      <c r="AY201" s="702">
        <v>0</v>
      </c>
      <c r="AZ201" s="703">
        <v>0</v>
      </c>
      <c r="BA201" s="702">
        <v>0</v>
      </c>
      <c r="BB201" s="703">
        <v>0</v>
      </c>
      <c r="BC201" s="704">
        <v>0</v>
      </c>
      <c r="BD201" s="705">
        <v>0</v>
      </c>
      <c r="BE201" s="702">
        <v>0</v>
      </c>
      <c r="BF201" s="703">
        <v>0</v>
      </c>
      <c r="BG201" s="704">
        <v>0</v>
      </c>
      <c r="BH201" s="703">
        <v>0</v>
      </c>
      <c r="BI201" s="704">
        <v>0</v>
      </c>
      <c r="BJ201" s="703">
        <v>0</v>
      </c>
      <c r="BK201" s="704">
        <v>0</v>
      </c>
      <c r="BL201" s="703">
        <v>0</v>
      </c>
      <c r="BM201" s="704">
        <v>0</v>
      </c>
      <c r="BN201" s="703">
        <v>0</v>
      </c>
      <c r="BO201" s="704">
        <v>0</v>
      </c>
      <c r="BP201" s="703">
        <v>0</v>
      </c>
      <c r="BQ201" s="704">
        <v>0</v>
      </c>
      <c r="BR201" s="703">
        <v>0</v>
      </c>
      <c r="BS201" s="704">
        <v>0</v>
      </c>
      <c r="BT201" s="703">
        <v>0</v>
      </c>
      <c r="BU201" s="704">
        <v>0</v>
      </c>
      <c r="BV201" s="703">
        <v>0</v>
      </c>
      <c r="BW201" s="704">
        <v>0</v>
      </c>
      <c r="BX201" s="703">
        <v>0</v>
      </c>
      <c r="BY201" s="704">
        <v>0</v>
      </c>
      <c r="BZ201" s="703">
        <v>0</v>
      </c>
      <c r="CA201" s="704">
        <v>0</v>
      </c>
      <c r="CB201" s="703">
        <v>0</v>
      </c>
      <c r="CC201" s="702">
        <v>0</v>
      </c>
      <c r="CD201" s="705">
        <v>0</v>
      </c>
      <c r="CE201" s="702">
        <v>0</v>
      </c>
      <c r="CF201" s="705">
        <v>0</v>
      </c>
      <c r="CG201" s="702">
        <v>0</v>
      </c>
      <c r="CH201" s="705">
        <v>0</v>
      </c>
      <c r="CI201" s="702">
        <v>0</v>
      </c>
      <c r="CJ201" s="705">
        <v>0</v>
      </c>
      <c r="CK201" s="702">
        <v>0</v>
      </c>
      <c r="CL201" s="705">
        <v>0</v>
      </c>
      <c r="CM201" s="702">
        <v>0</v>
      </c>
      <c r="CN201" s="705">
        <v>0</v>
      </c>
      <c r="CO201" s="702">
        <v>0</v>
      </c>
      <c r="CP201" s="705">
        <v>0</v>
      </c>
      <c r="CQ201" s="702">
        <v>0</v>
      </c>
      <c r="CR201" s="703">
        <v>0</v>
      </c>
      <c r="CS201" s="702">
        <v>0</v>
      </c>
      <c r="CT201" s="703">
        <v>0</v>
      </c>
      <c r="CU201" s="704">
        <v>0</v>
      </c>
      <c r="CV201" s="703">
        <v>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57" zoomScale="70" zoomScaleNormal="70" workbookViewId="0">
      <selection activeCell="A98" sqref="A98"/>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57" t="s">
        <v>1331</v>
      </c>
      <c r="B1" s="597" t="s">
        <v>1332</v>
      </c>
      <c r="C1" s="598" t="s">
        <v>1333</v>
      </c>
      <c r="D1" s="596" t="s">
        <v>1334</v>
      </c>
      <c r="E1" s="630" t="s">
        <v>1335</v>
      </c>
      <c r="F1" s="630" t="s">
        <v>1336</v>
      </c>
      <c r="G1" s="627" t="s">
        <v>1337</v>
      </c>
      <c r="H1"/>
    </row>
    <row r="2" spans="1:8">
      <c r="A2" s="224" t="s">
        <v>138</v>
      </c>
      <c r="B2" s="599" t="s">
        <v>1160</v>
      </c>
      <c r="C2" s="224" t="b">
        <f>NOT(ISERROR(MATCH(B2, D:D, 0)))</f>
        <v>1</v>
      </c>
      <c r="D2" s="458" t="str">
        <f>Lifetimes!B1</f>
        <v>AgriculturalFilmsIU</v>
      </c>
      <c r="E2" s="631" t="str" cm="1">
        <f t="array" ref="E2:E83">_xlfn._xlws.FILTER(Compartments!A2:A241, Compartments!B2:B241="stock")</f>
        <v>Agricultural packaging bottles</v>
      </c>
      <c r="F2" s="224" t="str" cm="1">
        <f t="array" ref="F2:F83">_xlfn._xlws.FILTER(Compartments!C2:C241, Compartments!B2:B241="stock")</f>
        <v>AgriculturalPackagingBottles</v>
      </c>
      <c r="G2" s="224" t="b">
        <f>NOT(ISERROR(MATCH(E2, A:A, 0)))</f>
        <v>1</v>
      </c>
      <c r="H2" s="626"/>
    </row>
    <row r="3" spans="1:8">
      <c r="A3" s="224" t="s">
        <v>447</v>
      </c>
      <c r="B3" s="599" t="s">
        <v>1312</v>
      </c>
      <c r="C3" s="224" t="b">
        <f t="shared" ref="C3:C33" si="0">NOT(ISERROR(MATCH(B3, D:D, 0)))</f>
        <v>1</v>
      </c>
      <c r="D3" s="458" t="str">
        <f>Lifetimes!C1</f>
        <v>AgriculturalFilmsDis</v>
      </c>
      <c r="E3" s="224" t="str">
        <v>Agricultural packaging films</v>
      </c>
      <c r="F3" s="224" t="str">
        <v>AgriculturalPackagingFilms</v>
      </c>
      <c r="G3" s="224" t="b">
        <f t="shared" ref="G3:G66" si="1">NOT(ISERROR(MATCH(E3, A:A, 0)))</f>
        <v>1</v>
      </c>
      <c r="H3" s="626"/>
    </row>
    <row r="4" spans="1:8">
      <c r="A4" s="224" t="s">
        <v>449</v>
      </c>
      <c r="B4" s="599" t="s">
        <v>1314</v>
      </c>
      <c r="C4" s="224" t="b">
        <f t="shared" si="0"/>
        <v>1</v>
      </c>
      <c r="D4" s="458" t="str">
        <f>Lifetimes!D1</f>
        <v>AgriculturalPackagingBottles</v>
      </c>
      <c r="E4" s="224" t="str">
        <v>Agricultural pipes (in use)</v>
      </c>
      <c r="F4" s="224" t="str">
        <v>AgriculturalPipesIU</v>
      </c>
      <c r="G4" s="224" t="b">
        <f t="shared" si="1"/>
        <v>1</v>
      </c>
      <c r="H4" s="626"/>
    </row>
    <row r="5" spans="1:8">
      <c r="A5" s="224" t="s">
        <v>448</v>
      </c>
      <c r="B5" s="599" t="s">
        <v>1311</v>
      </c>
      <c r="C5" s="224" t="b">
        <f t="shared" si="0"/>
        <v>1</v>
      </c>
      <c r="D5" s="458" t="str">
        <f>Lifetimes!E1</f>
        <v>AgriculturalPackagingFilms</v>
      </c>
      <c r="E5" s="224" t="str">
        <v>Agricultural greenhouse films (in use)</v>
      </c>
      <c r="F5" s="224" t="str">
        <v>AgriculturalFilmsIU</v>
      </c>
      <c r="G5" s="224" t="b">
        <f t="shared" si="1"/>
        <v>1</v>
      </c>
      <c r="H5" s="626"/>
    </row>
    <row r="6" spans="1:8">
      <c r="A6" s="224" t="s">
        <v>450</v>
      </c>
      <c r="B6" s="599" t="s">
        <v>1313</v>
      </c>
      <c r="C6" s="224" t="b">
        <f t="shared" si="0"/>
        <v>1</v>
      </c>
      <c r="D6" s="458" t="str">
        <f>Lifetimes!F1</f>
        <v>AgriculturalPipesIU</v>
      </c>
      <c r="E6" s="224" t="str">
        <v>Agricultural pipes (discarded)</v>
      </c>
      <c r="F6" s="224" t="str">
        <v>AgriculturalPipesDis</v>
      </c>
      <c r="G6" s="224" t="b">
        <f t="shared" si="1"/>
        <v>1</v>
      </c>
      <c r="H6" s="626"/>
    </row>
    <row r="7" spans="1:8">
      <c r="A7" s="224" t="s">
        <v>455</v>
      </c>
      <c r="B7" s="599" t="s">
        <v>1282</v>
      </c>
      <c r="C7" s="224" t="b">
        <f t="shared" si="0"/>
        <v>1</v>
      </c>
      <c r="D7" s="458" t="str">
        <f>Lifetimes!G1</f>
        <v>AgriculturalPipesDis</v>
      </c>
      <c r="E7" s="224" t="str">
        <v>Agricultural greenhouse films (discarded)</v>
      </c>
      <c r="F7" s="224" t="str">
        <v>AgriculturalFilmsDis</v>
      </c>
      <c r="G7" s="224" t="b">
        <f t="shared" si="1"/>
        <v>1</v>
      </c>
      <c r="H7" s="626"/>
    </row>
    <row r="8" spans="1:8">
      <c r="A8" s="224" t="s">
        <v>456</v>
      </c>
      <c r="B8" s="599" t="s">
        <v>1280</v>
      </c>
      <c r="C8" s="224" t="b">
        <f t="shared" si="0"/>
        <v>1</v>
      </c>
      <c r="D8" s="458" t="str">
        <f>Lifetimes!H1</f>
        <v>AgriculturalPPP</v>
      </c>
      <c r="E8" s="224" t="str">
        <v>Agrotextiles (discarded)</v>
      </c>
      <c r="F8" s="224" t="str">
        <v>AgrotextilesDis</v>
      </c>
      <c r="G8" s="224" t="b">
        <f t="shared" si="1"/>
        <v>1</v>
      </c>
      <c r="H8" s="626"/>
    </row>
    <row r="9" spans="1:8">
      <c r="A9" s="224" t="s">
        <v>454</v>
      </c>
      <c r="B9" s="599" t="s">
        <v>1281</v>
      </c>
      <c r="C9" s="224" t="b">
        <f t="shared" si="0"/>
        <v>1</v>
      </c>
      <c r="D9" s="458" t="str">
        <f>Lifetimes!I1</f>
        <v>BuildingPackagingFilms</v>
      </c>
      <c r="E9" s="224" t="str">
        <v>Agrotextiles (in use)</v>
      </c>
      <c r="F9" s="224" t="str">
        <v>AgrotextilesIU</v>
      </c>
      <c r="G9" s="224" t="b">
        <f t="shared" si="1"/>
        <v>1</v>
      </c>
      <c r="H9" s="626"/>
    </row>
    <row r="10" spans="1:8">
      <c r="A10" s="224" t="s">
        <v>451</v>
      </c>
      <c r="B10" s="599" t="s">
        <v>1279</v>
      </c>
      <c r="C10" s="224" t="b">
        <f t="shared" si="0"/>
        <v>1</v>
      </c>
      <c r="D10" s="458" t="str">
        <f>Lifetimes!J1</f>
        <v>ConsumerBags</v>
      </c>
      <c r="E10" s="224" t="str">
        <v>Building textiles (discarded)</v>
      </c>
      <c r="F10" s="224" t="str">
        <v>BuildingTextilesDis</v>
      </c>
      <c r="G10" s="224" t="b">
        <f t="shared" si="1"/>
        <v>1</v>
      </c>
      <c r="H10" s="626"/>
    </row>
    <row r="11" spans="1:8">
      <c r="A11" s="224" t="s">
        <v>459</v>
      </c>
      <c r="B11" s="599" t="s">
        <v>1290</v>
      </c>
      <c r="C11" s="224" t="b">
        <f t="shared" si="0"/>
        <v>1</v>
      </c>
      <c r="D11" s="458" t="str">
        <f>Lifetimes!K1</f>
        <v>ConsumerBottles</v>
      </c>
      <c r="E11" s="224" t="str">
        <v>Building textiles (in use)</v>
      </c>
      <c r="F11" s="224" t="str">
        <v>BuildingTextilesIU</v>
      </c>
      <c r="G11" s="224" t="b">
        <f t="shared" si="1"/>
        <v>1</v>
      </c>
      <c r="H11" s="626"/>
    </row>
    <row r="12" spans="1:8">
      <c r="A12" s="224" t="s">
        <v>461</v>
      </c>
      <c r="B12" s="599" t="s">
        <v>1288</v>
      </c>
      <c r="C12" s="224" t="b">
        <f t="shared" si="0"/>
        <v>1</v>
      </c>
      <c r="D12" s="458" t="str">
        <f>Lifetimes!L1</f>
        <v>ConsumerFilms</v>
      </c>
      <c r="E12" s="224" t="str">
        <v>Geotextiles (discarded)</v>
      </c>
      <c r="F12" s="224" t="str">
        <v>GeotextilesDis</v>
      </c>
      <c r="G12" s="224" t="b">
        <f t="shared" si="1"/>
        <v>1</v>
      </c>
      <c r="H12" s="626"/>
    </row>
    <row r="13" spans="1:8">
      <c r="A13" s="224" t="s">
        <v>460</v>
      </c>
      <c r="B13" s="599" t="s">
        <v>1289</v>
      </c>
      <c r="C13" s="224" t="b">
        <f t="shared" si="0"/>
        <v>1</v>
      </c>
      <c r="D13" s="458" t="str">
        <f>Lifetimes!M1</f>
        <v>ConsumerOther</v>
      </c>
      <c r="E13" s="224" t="str">
        <v>Geotextiles (in use)</v>
      </c>
      <c r="F13" s="224" t="str">
        <v>GeotextilesIU</v>
      </c>
      <c r="G13" s="224" t="b">
        <f t="shared" si="1"/>
        <v>1</v>
      </c>
    </row>
    <row r="14" spans="1:8">
      <c r="A14" s="224" t="s">
        <v>462</v>
      </c>
      <c r="B14" s="599" t="s">
        <v>1287</v>
      </c>
      <c r="C14" s="224" t="b">
        <f t="shared" si="0"/>
        <v>1</v>
      </c>
      <c r="D14" s="458" t="str">
        <f>Lifetimes!N1</f>
        <v>Cosmetics</v>
      </c>
      <c r="E14" s="224" t="str">
        <v>Consumer bags</v>
      </c>
      <c r="F14" s="224" t="str">
        <v>ConsumerBags</v>
      </c>
      <c r="G14" s="224" t="b">
        <f t="shared" si="1"/>
        <v>1</v>
      </c>
    </row>
    <row r="15" spans="1:8">
      <c r="A15" s="224" t="s">
        <v>466</v>
      </c>
      <c r="B15" s="599" t="s">
        <v>1330</v>
      </c>
      <c r="C15" s="224" t="b">
        <f t="shared" si="0"/>
        <v>1</v>
      </c>
      <c r="D15" s="458" t="str">
        <f>Lifetimes!O1</f>
        <v>Household</v>
      </c>
      <c r="E15" s="224" t="str">
        <v>Consumer bottles</v>
      </c>
      <c r="F15" s="224" t="str">
        <v>ConsumerBottles</v>
      </c>
      <c r="G15" s="224" t="b">
        <f t="shared" si="1"/>
        <v>1</v>
      </c>
    </row>
    <row r="16" spans="1:8">
      <c r="A16" s="224" t="s">
        <v>468</v>
      </c>
      <c r="B16" s="599" t="s">
        <v>1328</v>
      </c>
      <c r="C16" s="224" t="b">
        <f t="shared" si="0"/>
        <v>1</v>
      </c>
      <c r="D16" s="458" t="str">
        <f>Lifetimes!P1</f>
        <v>NonConsumerBags</v>
      </c>
      <c r="E16" s="224" t="str">
        <v>Consumer films</v>
      </c>
      <c r="F16" s="224" t="str">
        <v>ConsumerFilms</v>
      </c>
      <c r="G16" s="224" t="b">
        <f t="shared" si="1"/>
        <v>1</v>
      </c>
    </row>
    <row r="17" spans="1:7">
      <c r="A17" s="224" t="s">
        <v>467</v>
      </c>
      <c r="B17" s="599" t="s">
        <v>1329</v>
      </c>
      <c r="C17" s="224" t="b">
        <f t="shared" si="0"/>
        <v>1</v>
      </c>
      <c r="D17" s="458" t="str">
        <f>Lifetimes!Q1</f>
        <v>NonConsumerOther</v>
      </c>
      <c r="E17" s="224" t="str">
        <v>Other consumer packaging</v>
      </c>
      <c r="F17" s="224" t="str">
        <v>ConsumerOther</v>
      </c>
      <c r="G17" s="224" t="b">
        <f t="shared" si="1"/>
        <v>1</v>
      </c>
    </row>
    <row r="18" spans="1:7">
      <c r="A18" s="224" t="s">
        <v>469</v>
      </c>
      <c r="B18" s="599" t="s">
        <v>1327</v>
      </c>
      <c r="C18" s="224" t="b">
        <f t="shared" si="0"/>
        <v>1</v>
      </c>
      <c r="D18" s="458" t="str">
        <f>Lifetimes!R1</f>
        <v>OtherNonConsumerFilms</v>
      </c>
      <c r="E18" s="224" t="str">
        <v>Home textiles (discarded)</v>
      </c>
      <c r="F18" s="224" t="str">
        <v>HomeTextilesDis</v>
      </c>
      <c r="G18" s="224" t="b">
        <f t="shared" si="1"/>
        <v>1</v>
      </c>
    </row>
    <row r="19" spans="1:7">
      <c r="A19" s="224" t="s">
        <v>473</v>
      </c>
      <c r="B19" s="599" t="s">
        <v>1322</v>
      </c>
      <c r="C19" s="224" t="b">
        <f t="shared" si="0"/>
        <v>1</v>
      </c>
      <c r="D19" s="458" t="str">
        <f>Lifetimes!S1</f>
        <v>OtherOther</v>
      </c>
      <c r="E19" s="224" t="str">
        <v>Home textiles (in use)</v>
      </c>
      <c r="F19" s="224" t="str">
        <v>HomeTextilesIU</v>
      </c>
      <c r="G19" s="224" t="b">
        <f t="shared" si="1"/>
        <v>1</v>
      </c>
    </row>
    <row r="20" spans="1:7">
      <c r="A20" s="224" t="s">
        <v>475</v>
      </c>
      <c r="B20" s="599" t="s">
        <v>1320</v>
      </c>
      <c r="C20" s="224" t="b">
        <f t="shared" si="0"/>
        <v>1</v>
      </c>
      <c r="D20" s="458" t="str">
        <f>Lifetimes!T1</f>
        <v>PipesDucts</v>
      </c>
      <c r="E20" s="224" t="str">
        <v>Non-consumer bags</v>
      </c>
      <c r="F20" s="224" t="str">
        <v>NonConsumerBags</v>
      </c>
      <c r="G20" s="224" t="b">
        <f t="shared" si="1"/>
        <v>1</v>
      </c>
    </row>
    <row r="21" spans="1:7">
      <c r="A21" s="224" t="s">
        <v>474</v>
      </c>
      <c r="B21" s="599" t="s">
        <v>1321</v>
      </c>
      <c r="C21" s="224" t="b">
        <f t="shared" si="0"/>
        <v>1</v>
      </c>
      <c r="D21" s="458" t="str">
        <f>Lifetimes!U1</f>
        <v>OtherOilGas</v>
      </c>
      <c r="E21" s="224" t="str">
        <v>Other non-consumer films</v>
      </c>
      <c r="F21" s="224" t="str">
        <v>OtherNonConsumerFilms</v>
      </c>
      <c r="G21" s="224" t="b">
        <f t="shared" si="1"/>
        <v>1</v>
      </c>
    </row>
    <row r="22" spans="1:7">
      <c r="A22" s="224" t="s">
        <v>476</v>
      </c>
      <c r="B22" s="599" t="s">
        <v>1319</v>
      </c>
      <c r="C22" s="224" t="b">
        <f t="shared" si="0"/>
        <v>1</v>
      </c>
      <c r="D22" s="458" t="str">
        <f>Lifetimes!V1</f>
        <v>InfillSportsFieldDis</v>
      </c>
      <c r="E22" s="224" t="str">
        <v>Other non-consumer packaging</v>
      </c>
      <c r="F22" s="224" t="str">
        <v>NonConsumerOther</v>
      </c>
      <c r="G22" s="224" t="b">
        <f t="shared" si="1"/>
        <v>1</v>
      </c>
    </row>
    <row r="23" spans="1:7">
      <c r="A23" s="224" t="s">
        <v>481</v>
      </c>
      <c r="B23" s="599" t="s">
        <v>1310</v>
      </c>
      <c r="C23" s="224" t="b">
        <f t="shared" si="0"/>
        <v>1</v>
      </c>
      <c r="D23" s="458" t="str">
        <f>Lifetimes!W1</f>
        <v>InfillSportsFieldU</v>
      </c>
      <c r="E23" s="224" t="str">
        <v>Other technical textiles</v>
      </c>
      <c r="F23" s="224" t="str">
        <v>OtherTechnicalTextiles</v>
      </c>
      <c r="G23" s="224" t="b">
        <f t="shared" si="1"/>
        <v>1</v>
      </c>
    </row>
    <row r="24" spans="1:7">
      <c r="A24" s="224" t="s">
        <v>483</v>
      </c>
      <c r="B24" s="599" t="s">
        <v>1308</v>
      </c>
      <c r="C24" s="224" t="b">
        <f t="shared" si="0"/>
        <v>1</v>
      </c>
      <c r="D24" s="458" t="str">
        <f>Lifetimes!AE1</f>
        <v>ClothingDis</v>
      </c>
      <c r="E24" s="224" t="str">
        <v>Technical home textiles (discarded)</v>
      </c>
      <c r="F24" s="224" t="str">
        <v>TechHomeTextilesDis</v>
      </c>
      <c r="G24" s="224" t="b">
        <f t="shared" si="1"/>
        <v>1</v>
      </c>
    </row>
    <row r="25" spans="1:7">
      <c r="A25" s="224" t="s">
        <v>482</v>
      </c>
      <c r="B25" s="599" t="s">
        <v>1309</v>
      </c>
      <c r="C25" s="224" t="b">
        <f t="shared" si="0"/>
        <v>1</v>
      </c>
      <c r="D25" s="458" t="str">
        <f>Lifetimes!AF1</f>
        <v>ClothingIUWearTear</v>
      </c>
      <c r="E25" s="224" t="str">
        <v>Medical textiles</v>
      </c>
      <c r="F25" s="224" t="str">
        <v>MedicalTextiles</v>
      </c>
      <c r="G25" s="224" t="b">
        <f t="shared" si="1"/>
        <v>1</v>
      </c>
    </row>
    <row r="26" spans="1:7">
      <c r="A26" s="224" t="s">
        <v>484</v>
      </c>
      <c r="B26" s="599" t="s">
        <v>1307</v>
      </c>
      <c r="C26" s="224" t="b">
        <f t="shared" si="0"/>
        <v>1</v>
      </c>
      <c r="D26" s="458" t="str">
        <f>Lifetimes!AG1</f>
        <v>ClothingIUWashDry</v>
      </c>
      <c r="E26" s="224" t="str">
        <v>Mobility textiles</v>
      </c>
      <c r="F26" s="224" t="str">
        <v>MobilityTextiles</v>
      </c>
      <c r="G26" s="224" t="b">
        <f t="shared" si="1"/>
        <v>1</v>
      </c>
    </row>
    <row r="27" spans="1:7">
      <c r="A27" s="224" t="s">
        <v>487</v>
      </c>
      <c r="B27" s="599" t="s">
        <v>1298</v>
      </c>
      <c r="C27" s="224" t="b">
        <f t="shared" si="0"/>
        <v>1</v>
      </c>
      <c r="D27" s="458" t="str">
        <f>Lifetimes!AH1</f>
        <v>HomeTextilesDis</v>
      </c>
      <c r="E27" s="224" t="str">
        <v>Textile coating (discarded)</v>
      </c>
      <c r="F27" s="224" t="str">
        <v>TextileCoatingDis</v>
      </c>
      <c r="G27" s="224" t="b">
        <f t="shared" si="1"/>
        <v>1</v>
      </c>
    </row>
    <row r="28" spans="1:7">
      <c r="A28" s="224" t="s">
        <v>488</v>
      </c>
      <c r="B28" s="599" t="s">
        <v>1296</v>
      </c>
      <c r="C28" s="224" t="b">
        <f t="shared" si="0"/>
        <v>1</v>
      </c>
      <c r="D28" s="458" t="str">
        <f>Lifetimes!AI1</f>
        <v>HomeTextilesIU</v>
      </c>
      <c r="E28" s="224" t="str">
        <v>Infill material sports fields (in use)</v>
      </c>
      <c r="F28" s="224" t="str">
        <v>InfillSportsFieldU</v>
      </c>
      <c r="G28" s="224" t="b">
        <f t="shared" si="1"/>
        <v>1</v>
      </c>
    </row>
    <row r="29" spans="1:7">
      <c r="A29" s="224" t="s">
        <v>480</v>
      </c>
      <c r="B29" s="599" t="s">
        <v>1297</v>
      </c>
      <c r="C29" s="224" t="b">
        <f t="shared" si="0"/>
        <v>1</v>
      </c>
      <c r="D29" s="458" t="str">
        <f>Lifetimes!AJ1</f>
        <v>TechHomeTextilesDis</v>
      </c>
      <c r="E29" s="224" t="str">
        <v>Infill material sports fields (discarded)</v>
      </c>
      <c r="F29" s="224" t="str">
        <v>InfillSportsFieldDis</v>
      </c>
      <c r="G29" s="224" t="b">
        <f t="shared" si="1"/>
        <v>1</v>
      </c>
    </row>
    <row r="30" spans="1:7">
      <c r="A30" s="224" t="s">
        <v>477</v>
      </c>
      <c r="B30" s="599" t="s">
        <v>1295</v>
      </c>
      <c r="C30" s="224" t="b">
        <f t="shared" si="0"/>
        <v>1</v>
      </c>
      <c r="D30" s="458" t="str">
        <f>Lifetimes!AK1</f>
        <v>TechHomeTextilesIU</v>
      </c>
      <c r="E30" s="224" t="str">
        <v>Technical home textiles (in use)</v>
      </c>
      <c r="F30" s="224" t="str">
        <v>TechHomeTextilesIU</v>
      </c>
      <c r="G30" s="224" t="b">
        <f t="shared" si="1"/>
        <v>1</v>
      </c>
    </row>
    <row r="31" spans="1:7">
      <c r="A31" s="224" t="s">
        <v>493</v>
      </c>
      <c r="B31" s="599" t="s">
        <v>1302</v>
      </c>
      <c r="C31" s="224" t="b">
        <f t="shared" si="0"/>
        <v>1</v>
      </c>
      <c r="D31" s="458" t="str">
        <f>Lifetimes!AL1</f>
        <v>MedicalTextiles</v>
      </c>
      <c r="E31" s="224" t="str">
        <v>Textile coating (in use)</v>
      </c>
      <c r="F31" s="224" t="str">
        <v>TextileCoatingIU</v>
      </c>
      <c r="G31" s="224" t="b">
        <f t="shared" si="1"/>
        <v>1</v>
      </c>
    </row>
    <row r="32" spans="1:7">
      <c r="A32" s="224" t="s">
        <v>494</v>
      </c>
      <c r="B32" s="599" t="s">
        <v>1300</v>
      </c>
      <c r="C32" s="224" t="b">
        <f t="shared" si="0"/>
        <v>1</v>
      </c>
      <c r="D32" s="458" t="str">
        <f>Lifetimes!AM1</f>
        <v>AgrotextilesDis</v>
      </c>
      <c r="E32" s="224" t="str">
        <v>Ship paint (prof) (in use)</v>
      </c>
      <c r="F32" s="224" t="str">
        <v>ShipProfIU</v>
      </c>
      <c r="G32" s="224" t="b">
        <f t="shared" si="1"/>
        <v>1</v>
      </c>
    </row>
    <row r="33" spans="1:7">
      <c r="A33" s="224" t="s">
        <v>490</v>
      </c>
      <c r="B33" s="599" t="s">
        <v>1301</v>
      </c>
      <c r="C33" s="224" t="b">
        <f t="shared" si="0"/>
        <v>1</v>
      </c>
      <c r="D33" s="458" t="str">
        <f>Lifetimes!AN1</f>
        <v>AgrotextilesIU</v>
      </c>
      <c r="E33" s="224" t="str">
        <v>Ship paint (recr) (in use)</v>
      </c>
      <c r="F33" s="224" t="str">
        <v>ShipDiyIU</v>
      </c>
      <c r="G33" s="224" t="b">
        <f t="shared" si="1"/>
        <v>1</v>
      </c>
    </row>
    <row r="34" spans="1:7">
      <c r="A34" s="224" t="s">
        <v>489</v>
      </c>
      <c r="B34" s="599" t="s">
        <v>1299</v>
      </c>
      <c r="C34" s="224" t="b">
        <f t="shared" ref="C34:C58" si="2">NOT(ISERROR(MATCH(B34, D:D, 0)))</f>
        <v>1</v>
      </c>
      <c r="D34" s="458" t="str">
        <f>Lifetimes!AO1</f>
        <v>MobilityTextiles</v>
      </c>
      <c r="E34" s="224" t="str">
        <v>Ship paint (prof) (discarded)</v>
      </c>
      <c r="F34" s="224" t="str">
        <v>ShipProfDis</v>
      </c>
      <c r="G34" s="224" t="b">
        <f t="shared" si="1"/>
        <v>1</v>
      </c>
    </row>
    <row r="35" spans="1:7">
      <c r="A35" s="224" t="s">
        <v>497</v>
      </c>
      <c r="B35" s="599" t="s">
        <v>1286</v>
      </c>
      <c r="C35" s="224" t="b">
        <f t="shared" si="2"/>
        <v>1</v>
      </c>
      <c r="D35" s="458" t="str">
        <f>Lifetimes!AP1</f>
        <v>GeotextilesDis</v>
      </c>
      <c r="E35" s="224" t="str">
        <v>Ship paint (recr) (discarded)</v>
      </c>
      <c r="F35" s="224" t="str">
        <v>ShipDiyDis</v>
      </c>
      <c r="G35" s="224" t="b">
        <f t="shared" si="1"/>
        <v>1</v>
      </c>
    </row>
    <row r="36" spans="1:7">
      <c r="A36" s="224" t="s">
        <v>499</v>
      </c>
      <c r="B36" s="599" t="s">
        <v>1284</v>
      </c>
      <c r="C36" s="224" t="b">
        <f t="shared" si="2"/>
        <v>1</v>
      </c>
      <c r="D36" s="458" t="str">
        <f>Lifetimes!AQ1</f>
        <v>GeotextilesIU</v>
      </c>
      <c r="E36" s="224" t="str">
        <v>Concrete paint (prof) outdoor (in use)</v>
      </c>
      <c r="F36" s="224" t="str">
        <v>ConcreteProfOutIU</v>
      </c>
      <c r="G36" s="224" t="b">
        <f t="shared" si="1"/>
        <v>1</v>
      </c>
    </row>
    <row r="37" spans="1:7">
      <c r="A37" s="224" t="s">
        <v>498</v>
      </c>
      <c r="B37" s="599" t="s">
        <v>1285</v>
      </c>
      <c r="C37" s="224" t="b">
        <f t="shared" si="2"/>
        <v>1</v>
      </c>
      <c r="D37" s="458" t="str">
        <f>Lifetimes!AR1</f>
        <v>BuildingTextilesDis</v>
      </c>
      <c r="E37" s="224" t="str">
        <v>Concrete paint (prof) indoor (in use)</v>
      </c>
      <c r="F37" s="224" t="str">
        <v>ConcreteProfInIU</v>
      </c>
      <c r="G37" s="224" t="b">
        <f t="shared" si="1"/>
        <v>1</v>
      </c>
    </row>
    <row r="38" spans="1:7">
      <c r="A38" s="224" t="s">
        <v>500</v>
      </c>
      <c r="B38" s="599" t="s">
        <v>1283</v>
      </c>
      <c r="C38" s="224" t="b">
        <f t="shared" si="2"/>
        <v>1</v>
      </c>
      <c r="D38" s="458" t="str">
        <f>Lifetimes!AS1</f>
        <v>BuildingTextilesIU</v>
      </c>
      <c r="E38" s="224" t="str">
        <v>Concrete paint (prof) outdoor (discarded)</v>
      </c>
      <c r="F38" s="224" t="str">
        <v>ConcreteProfOutDis</v>
      </c>
      <c r="G38" s="224" t="b">
        <f t="shared" si="1"/>
        <v>1</v>
      </c>
    </row>
    <row r="39" spans="1:7">
      <c r="A39" s="224" t="s">
        <v>503</v>
      </c>
      <c r="B39" s="599" t="s">
        <v>1326</v>
      </c>
      <c r="C39" s="224" t="b">
        <f t="shared" si="2"/>
        <v>1</v>
      </c>
      <c r="D39" s="458" t="str">
        <f>Lifetimes!AT1</f>
        <v>OtherTechnicalTextiles</v>
      </c>
      <c r="E39" s="224" t="str">
        <v>Concrete paint (prof) indoor (discarded)</v>
      </c>
      <c r="F39" s="224" t="str">
        <v>ConcreteProfInDis</v>
      </c>
      <c r="G39" s="224" t="b">
        <f t="shared" si="1"/>
        <v>1</v>
      </c>
    </row>
    <row r="40" spans="1:7">
      <c r="A40" s="224" t="s">
        <v>505</v>
      </c>
      <c r="B40" s="599" t="s">
        <v>1324</v>
      </c>
      <c r="C40" s="224" t="b">
        <f t="shared" si="2"/>
        <v>1</v>
      </c>
      <c r="D40" s="458" t="str">
        <f>Lifetimes!AU1</f>
        <v>TextileCoatingDis</v>
      </c>
      <c r="E40" s="224" t="str">
        <v>Lacquer (prof) outdoor (in use)</v>
      </c>
      <c r="F40" s="224" t="str">
        <v>LacquerProfOutIU</v>
      </c>
      <c r="G40" s="224" t="b">
        <f t="shared" si="1"/>
        <v>1</v>
      </c>
    </row>
    <row r="41" spans="1:7">
      <c r="A41" s="224" t="s">
        <v>504</v>
      </c>
      <c r="B41" s="599" t="s">
        <v>1325</v>
      </c>
      <c r="C41" s="224" t="b">
        <f t="shared" si="2"/>
        <v>1</v>
      </c>
      <c r="D41" s="458" t="str">
        <f>Lifetimes!AV1</f>
        <v>TextileCoatingIU</v>
      </c>
      <c r="E41" s="224" t="str">
        <v>Lacquer (prof) indoor (in use)</v>
      </c>
      <c r="F41" s="224" t="str">
        <v>LacquerProfInIU</v>
      </c>
      <c r="G41" s="224" t="b">
        <f t="shared" si="1"/>
        <v>1</v>
      </c>
    </row>
    <row r="42" spans="1:7">
      <c r="A42" s="224" t="s">
        <v>506</v>
      </c>
      <c r="B42" s="599" t="s">
        <v>1323</v>
      </c>
      <c r="C42" s="224" t="b">
        <f t="shared" si="2"/>
        <v>1</v>
      </c>
      <c r="D42" s="458" t="str">
        <f>Lifetimes!AW1</f>
        <v>ConcreteProfInDis</v>
      </c>
      <c r="E42" s="224" t="str">
        <v>Lacquer (prof) outdoor (discarded)</v>
      </c>
      <c r="F42" s="224" t="str">
        <v>LacquerProfOutDis</v>
      </c>
      <c r="G42" s="224" t="b">
        <f t="shared" si="1"/>
        <v>1</v>
      </c>
    </row>
    <row r="43" spans="1:7">
      <c r="A43" s="224" t="s">
        <v>510</v>
      </c>
      <c r="B43" s="599" t="s">
        <v>1318</v>
      </c>
      <c r="C43" s="224" t="b">
        <f t="shared" si="2"/>
        <v>1</v>
      </c>
      <c r="D43" s="458" t="str">
        <f>Lifetimes!AX1</f>
        <v>ConcreteProfInIU</v>
      </c>
      <c r="E43" s="224" t="str">
        <v>Lacquer (prof) indoor (discarded)</v>
      </c>
      <c r="F43" s="224" t="str">
        <v>LacquerProfInDis</v>
      </c>
      <c r="G43" s="224" t="b">
        <f t="shared" si="1"/>
        <v>1</v>
      </c>
    </row>
    <row r="44" spans="1:7">
      <c r="A44" s="224" t="s">
        <v>514</v>
      </c>
      <c r="B44" s="599" t="s">
        <v>1316</v>
      </c>
      <c r="C44" s="224" t="b">
        <f t="shared" si="2"/>
        <v>1</v>
      </c>
      <c r="D44" s="458" t="str">
        <f>Lifetimes!AY1</f>
        <v>ConcreteProfOutDis</v>
      </c>
      <c r="E44" s="224" t="str">
        <v>Wood stain (prof) outdoor (in use)</v>
      </c>
      <c r="F44" s="224" t="str">
        <v>WoodStainProfOutIU</v>
      </c>
      <c r="G44" s="224" t="b">
        <f t="shared" si="1"/>
        <v>1</v>
      </c>
    </row>
    <row r="45" spans="1:7">
      <c r="A45" s="224" t="s">
        <v>511</v>
      </c>
      <c r="B45" s="599" t="s">
        <v>1317</v>
      </c>
      <c r="C45" s="224" t="b">
        <f t="shared" si="2"/>
        <v>1</v>
      </c>
      <c r="D45" s="458" t="str">
        <f>Lifetimes!AZ1</f>
        <v>ConcreteProfOutIU</v>
      </c>
      <c r="E45" s="224" t="str">
        <v>Wood stain (prof) indoor (in use)</v>
      </c>
      <c r="F45" s="224" t="str">
        <v>WoodStainProfInIU</v>
      </c>
      <c r="G45" s="224" t="b">
        <f t="shared" si="1"/>
        <v>1</v>
      </c>
    </row>
    <row r="46" spans="1:7">
      <c r="A46" s="224" t="s">
        <v>509</v>
      </c>
      <c r="B46" s="599" t="s">
        <v>1315</v>
      </c>
      <c r="C46" s="224" t="b">
        <f t="shared" si="2"/>
        <v>1</v>
      </c>
      <c r="D46" s="458" t="str">
        <f>Lifetimes!BA1</f>
        <v>LacquerDiyInDis</v>
      </c>
      <c r="E46" s="224" t="str">
        <v>Wood stain (prof) outdoor (discarded)</v>
      </c>
      <c r="F46" s="224" t="str">
        <v>WoodStainProfOutDis</v>
      </c>
      <c r="G46" s="224" t="b">
        <f t="shared" si="1"/>
        <v>1</v>
      </c>
    </row>
    <row r="47" spans="1:7">
      <c r="A47" s="224" t="s">
        <v>517</v>
      </c>
      <c r="B47" s="599" t="s">
        <v>1306</v>
      </c>
      <c r="C47" s="224" t="b">
        <f t="shared" si="2"/>
        <v>1</v>
      </c>
      <c r="D47" s="458" t="str">
        <f>Lifetimes!BB1</f>
        <v>LacquerDiyInIU</v>
      </c>
      <c r="E47" s="224" t="str">
        <v>Wood stain (prof) indoor (discarded)</v>
      </c>
      <c r="F47" s="224" t="str">
        <v>WoodStainProfInDis</v>
      </c>
      <c r="G47" s="224" t="b">
        <f t="shared" si="1"/>
        <v>1</v>
      </c>
    </row>
    <row r="48" spans="1:7">
      <c r="A48" s="224" t="s">
        <v>519</v>
      </c>
      <c r="B48" s="599" t="s">
        <v>1304</v>
      </c>
      <c r="C48" s="224" t="b">
        <f t="shared" si="2"/>
        <v>1</v>
      </c>
      <c r="D48" s="458" t="str">
        <f>Lifetimes!BC1</f>
        <v>LacquerDiyOutDis</v>
      </c>
      <c r="E48" s="224" t="str">
        <v>Wall paint (prof) outdoor (in use)</v>
      </c>
      <c r="F48" s="224" t="str">
        <v>WallPaintProfOutIU</v>
      </c>
      <c r="G48" s="224" t="b">
        <f t="shared" si="1"/>
        <v>1</v>
      </c>
    </row>
    <row r="49" spans="1:7">
      <c r="A49" s="224" t="s">
        <v>518</v>
      </c>
      <c r="B49" s="599" t="s">
        <v>1305</v>
      </c>
      <c r="C49" s="224" t="b">
        <f t="shared" si="2"/>
        <v>1</v>
      </c>
      <c r="D49" s="458" t="str">
        <f>Lifetimes!BD1</f>
        <v>LacquerDiyOutIU</v>
      </c>
      <c r="E49" s="224" t="str">
        <v>Wall paint (prof) indoor (in use)</v>
      </c>
      <c r="F49" s="224" t="str">
        <v>WallPaintProfInIU</v>
      </c>
      <c r="G49" s="224" t="b">
        <f t="shared" si="1"/>
        <v>1</v>
      </c>
    </row>
    <row r="50" spans="1:7">
      <c r="A50" s="224" t="s">
        <v>520</v>
      </c>
      <c r="B50" s="599" t="s">
        <v>1303</v>
      </c>
      <c r="C50" s="224" t="b">
        <f t="shared" si="2"/>
        <v>1</v>
      </c>
      <c r="D50" s="458" t="str">
        <f>Lifetimes!BE1</f>
        <v>LacquerProfInDis</v>
      </c>
      <c r="E50" s="224" t="str">
        <v>Wall paint (prof) outdoor (discarded)</v>
      </c>
      <c r="F50" s="224" t="str">
        <v>WallPaintProfOutDis</v>
      </c>
      <c r="G50" s="224" t="b">
        <f t="shared" si="1"/>
        <v>1</v>
      </c>
    </row>
    <row r="51" spans="1:7">
      <c r="A51" s="224" t="s">
        <v>523</v>
      </c>
      <c r="B51" s="599" t="s">
        <v>1294</v>
      </c>
      <c r="C51" s="224" t="b">
        <f t="shared" si="2"/>
        <v>1</v>
      </c>
      <c r="D51" s="458" t="str">
        <f>Lifetimes!BF1</f>
        <v>LacquerProfInIU</v>
      </c>
      <c r="E51" s="224" t="str">
        <v>Wall paint (prof) indoor (discarded)</v>
      </c>
      <c r="F51" s="224" t="str">
        <v>WallPaintProfInDis</v>
      </c>
      <c r="G51" s="224" t="b">
        <f t="shared" si="1"/>
        <v>1</v>
      </c>
    </row>
    <row r="52" spans="1:7">
      <c r="A52" s="224" t="s">
        <v>524</v>
      </c>
      <c r="B52" s="599" t="s">
        <v>1292</v>
      </c>
      <c r="C52" s="224" t="b">
        <f t="shared" si="2"/>
        <v>1</v>
      </c>
      <c r="D52" s="458" t="str">
        <f>Lifetimes!BG1</f>
        <v>LacquerProfOutDis</v>
      </c>
      <c r="E52" s="224" t="str">
        <v>Plaster (prof) outdoor (in use)</v>
      </c>
      <c r="F52" s="224" t="str">
        <v>PlasterProfOutIU</v>
      </c>
      <c r="G52" s="224" t="b">
        <f t="shared" si="1"/>
        <v>1</v>
      </c>
    </row>
    <row r="53" spans="1:7">
      <c r="A53" s="224" t="s">
        <v>472</v>
      </c>
      <c r="B53" s="599" t="s">
        <v>1293</v>
      </c>
      <c r="C53" s="224" t="b">
        <f t="shared" si="2"/>
        <v>1</v>
      </c>
      <c r="D53" s="458" t="str">
        <f>Lifetimes!BH1</f>
        <v>LacquerProfOutIU</v>
      </c>
      <c r="E53" s="224" t="str">
        <v>Plaster (prof) indoor (in use)</v>
      </c>
      <c r="F53" s="224" t="str">
        <v>PlasterProfInIU</v>
      </c>
      <c r="G53" s="224" t="b">
        <f t="shared" si="1"/>
        <v>1</v>
      </c>
    </row>
    <row r="54" spans="1:7">
      <c r="A54" s="224" t="s">
        <v>465</v>
      </c>
      <c r="B54" s="599" t="s">
        <v>1291</v>
      </c>
      <c r="C54" s="224" t="b">
        <f t="shared" si="2"/>
        <v>1</v>
      </c>
      <c r="D54" s="458" t="str">
        <f>Lifetimes!BI1</f>
        <v>OtherPaintUsesDiyInDis</v>
      </c>
      <c r="E54" s="224" t="str">
        <v>Plaster (prof) outdoor (discarded)</v>
      </c>
      <c r="F54" s="224" t="str">
        <v>PlasterProfOutDis</v>
      </c>
      <c r="G54" s="224" t="b">
        <f t="shared" si="1"/>
        <v>1</v>
      </c>
    </row>
    <row r="55" spans="1:7">
      <c r="A55" s="224" t="s">
        <v>969</v>
      </c>
      <c r="B55" s="599" t="s">
        <v>979</v>
      </c>
      <c r="C55" s="224" t="b">
        <f t="shared" si="2"/>
        <v>1</v>
      </c>
      <c r="D55" s="458" t="str">
        <f>Lifetimes!BJ1</f>
        <v>OtherPaintUsesDiyInIU</v>
      </c>
      <c r="E55" s="224" t="str">
        <v>Plaster (prof) indoor (discarded)</v>
      </c>
      <c r="F55" s="224" t="str">
        <v>PlasterProfInDis</v>
      </c>
      <c r="G55" s="224" t="b">
        <f t="shared" si="1"/>
        <v>1</v>
      </c>
    </row>
    <row r="56" spans="1:7">
      <c r="A56" s="224" t="s">
        <v>968</v>
      </c>
      <c r="B56" s="599" t="s">
        <v>984</v>
      </c>
      <c r="C56" s="224" t="b">
        <f t="shared" si="2"/>
        <v>1</v>
      </c>
      <c r="D56" s="458" t="str">
        <f>Lifetimes!BK1</f>
        <v>OtherPaintUsesDiyOutDis</v>
      </c>
      <c r="E56" s="224" t="str">
        <v>Other paint uses (prof) outdoor (in use)</v>
      </c>
      <c r="F56" s="224" t="str">
        <v>OtherPaintUsesProfOutIU</v>
      </c>
      <c r="G56" s="224" t="b">
        <f t="shared" si="1"/>
        <v>1</v>
      </c>
    </row>
    <row r="57" spans="1:7">
      <c r="A57" s="224" t="s">
        <v>964</v>
      </c>
      <c r="B57" s="599" t="s">
        <v>1254</v>
      </c>
      <c r="C57" s="224" t="b">
        <f t="shared" si="2"/>
        <v>1</v>
      </c>
      <c r="D57" s="458" t="str">
        <f>Lifetimes!BL1</f>
        <v>OtherPaintUsesDiyOutIU</v>
      </c>
      <c r="E57" s="224" t="str">
        <v>Other paint uses (prof) indoor (in use)</v>
      </c>
      <c r="F57" s="224" t="str">
        <v>OtherPaintUsesProfInIU</v>
      </c>
      <c r="G57" s="224" t="b">
        <f t="shared" si="1"/>
        <v>1</v>
      </c>
    </row>
    <row r="58" spans="1:7">
      <c r="A58" s="224" t="s">
        <v>970</v>
      </c>
      <c r="B58" s="599" t="s">
        <v>1253</v>
      </c>
      <c r="C58" s="224" t="b">
        <f t="shared" si="2"/>
        <v>1</v>
      </c>
      <c r="D58" s="458" t="str">
        <f>Lifetimes!BM1</f>
        <v>OtherPaintUsesProfInDis</v>
      </c>
      <c r="E58" s="224" t="str">
        <v>Other paint uses (prof) outdoor (discarded)</v>
      </c>
      <c r="F58" s="224" t="str">
        <v>OtherPaintUsesProfOutDis</v>
      </c>
      <c r="G58" s="224" t="b">
        <f t="shared" si="1"/>
        <v>1</v>
      </c>
    </row>
    <row r="59" spans="1:7">
      <c r="A59" s="224" t="s">
        <v>194</v>
      </c>
      <c r="B59" s="599" t="s">
        <v>1261</v>
      </c>
      <c r="C59" s="224" t="b">
        <f t="shared" ref="C59:C100" si="3">NOT(ISERROR(MATCH(B59, D:D, 0)))</f>
        <v>1</v>
      </c>
      <c r="D59" s="458" t="str">
        <f>Lifetimes!BN1</f>
        <v>OtherPaintUsesProfInIU</v>
      </c>
      <c r="E59" s="224" t="str">
        <v>Other paint uses (prof) indoor (discarded)</v>
      </c>
      <c r="F59" s="224" t="str">
        <v>OtherPaintUsesProfInDis</v>
      </c>
      <c r="G59" s="224" t="b">
        <f t="shared" si="1"/>
        <v>1</v>
      </c>
    </row>
    <row r="60" spans="1:7">
      <c r="A60" s="224" t="s">
        <v>191</v>
      </c>
      <c r="B60" s="599" t="s">
        <v>1265</v>
      </c>
      <c r="C60" s="224" t="b">
        <f t="shared" si="3"/>
        <v>1</v>
      </c>
      <c r="D60" s="458" t="str">
        <f>Lifetimes!BO1</f>
        <v>OtherPaintUsesProfOutDis</v>
      </c>
      <c r="E60" s="224" t="str">
        <v>Paints used in pre-made wooden products outdoor (in use)</v>
      </c>
      <c r="F60" s="224" t="str">
        <v>PaintsPreMadeWoodOutIU</v>
      </c>
      <c r="G60" s="224" t="b">
        <f t="shared" si="1"/>
        <v>1</v>
      </c>
    </row>
    <row r="61" spans="1:7">
      <c r="A61" s="224" t="s">
        <v>190</v>
      </c>
      <c r="B61" s="599" t="s">
        <v>1264</v>
      </c>
      <c r="C61" s="224" t="b">
        <f t="shared" si="3"/>
        <v>1</v>
      </c>
      <c r="D61" s="458" t="str">
        <f>Lifetimes!BP1</f>
        <v>OtherPaintUsesProfOutIU</v>
      </c>
      <c r="E61" s="224" t="str">
        <v>Paints used in pre-made wooden products indoor (in use)</v>
      </c>
      <c r="F61" s="224" t="str">
        <v>PaintsPreMadeWoodInIU</v>
      </c>
      <c r="G61" s="224" t="b">
        <f t="shared" si="1"/>
        <v>1</v>
      </c>
    </row>
    <row r="62" spans="1:7">
      <c r="A62" s="224" t="s">
        <v>356</v>
      </c>
      <c r="B62" s="599" t="s">
        <v>1267</v>
      </c>
      <c r="C62" s="224" t="b">
        <f t="shared" si="3"/>
        <v>1</v>
      </c>
      <c r="D62" s="458" t="str">
        <f>Lifetimes!BQ1</f>
        <v>PaintsPreMadeWoodInDis</v>
      </c>
      <c r="E62" s="224" t="str">
        <v>Paints used in pre-made wooden products outdoor (discarded)</v>
      </c>
      <c r="F62" s="224" t="str">
        <v>PaintsPreMadeWoodOutDis</v>
      </c>
      <c r="G62" s="224" t="b">
        <f t="shared" si="1"/>
        <v>1</v>
      </c>
    </row>
    <row r="63" spans="1:7">
      <c r="A63" s="224" t="s">
        <v>242</v>
      </c>
      <c r="B63" s="599" t="s">
        <v>1266</v>
      </c>
      <c r="C63" s="224" t="b">
        <f t="shared" si="3"/>
        <v>1</v>
      </c>
      <c r="D63" s="458" t="str">
        <f>Lifetimes!BR1</f>
        <v>PaintsPreMadeWoodInIU</v>
      </c>
      <c r="E63" s="224" t="str">
        <v>Paints used in pre-made wooden products indoor (discarded)</v>
      </c>
      <c r="F63" s="224" t="str">
        <v>PaintsPreMadeWoodInDis</v>
      </c>
      <c r="G63" s="224" t="b">
        <f t="shared" si="1"/>
        <v>1</v>
      </c>
    </row>
    <row r="64" spans="1:7">
      <c r="A64" s="224" t="s">
        <v>172</v>
      </c>
      <c r="B64" s="599" t="s">
        <v>1275</v>
      </c>
      <c r="C64" s="224" t="b">
        <f t="shared" si="3"/>
        <v>1</v>
      </c>
      <c r="D64" s="458" t="str">
        <f>Lifetimes!BS1</f>
        <v>PaintsPreMadeWoodOutDis</v>
      </c>
      <c r="E64" s="224" t="str">
        <v>Lacquer (DIY) outdoor (in use)</v>
      </c>
      <c r="F64" s="224" t="str">
        <v>LacquerDiyOutIU</v>
      </c>
      <c r="G64" s="224" t="b">
        <f t="shared" si="1"/>
        <v>1</v>
      </c>
    </row>
    <row r="65" spans="1:7">
      <c r="A65" s="224" t="s">
        <v>171</v>
      </c>
      <c r="B65" s="599" t="s">
        <v>1274</v>
      </c>
      <c r="C65" s="224" t="b">
        <f t="shared" si="3"/>
        <v>1</v>
      </c>
      <c r="D65" s="458" t="str">
        <f>Lifetimes!BT1</f>
        <v>PaintsPreMadeWoodOutIU</v>
      </c>
      <c r="E65" s="224" t="str">
        <v>Lacquer (DIY) indoor (in use)</v>
      </c>
      <c r="F65" s="224" t="str">
        <v>LacquerDiyInIU</v>
      </c>
      <c r="G65" s="224" t="b">
        <f t="shared" si="1"/>
        <v>1</v>
      </c>
    </row>
    <row r="66" spans="1:7">
      <c r="A66" s="224" t="s">
        <v>162</v>
      </c>
      <c r="B66" s="599" t="s">
        <v>1270</v>
      </c>
      <c r="C66" s="224" t="b">
        <f t="shared" si="3"/>
        <v>1</v>
      </c>
      <c r="D66" s="458" t="str">
        <f>Lifetimes!BU1</f>
        <v>PlasterDiyInDis</v>
      </c>
      <c r="E66" s="224" t="str">
        <v>Lacquer (DIY) outdoor (discarded)</v>
      </c>
      <c r="F66" s="224" t="str">
        <v>LacquerDiyOutDis</v>
      </c>
      <c r="G66" s="224" t="b">
        <f t="shared" si="1"/>
        <v>1</v>
      </c>
    </row>
    <row r="67" spans="1:7">
      <c r="A67" s="224" t="s">
        <v>153</v>
      </c>
      <c r="B67" s="599" t="s">
        <v>1269</v>
      </c>
      <c r="C67" s="224" t="b">
        <f t="shared" si="3"/>
        <v>1</v>
      </c>
      <c r="D67" s="458" t="str">
        <f>Lifetimes!BV1</f>
        <v>PlasterDiyInIU</v>
      </c>
      <c r="E67" s="224" t="str">
        <v>Lacquer (DIY) indoor (discarded)</v>
      </c>
      <c r="F67" s="224" t="str">
        <v>LacquerDiyInDis</v>
      </c>
      <c r="G67" s="224" t="b">
        <f t="shared" ref="G67:G99" si="4">NOT(ISERROR(MATCH(E67, A:A, 0)))</f>
        <v>1</v>
      </c>
    </row>
    <row r="68" spans="1:7">
      <c r="A68" s="224" t="s">
        <v>187</v>
      </c>
      <c r="B68" s="599" t="s">
        <v>1273</v>
      </c>
      <c r="C68" s="224" t="b">
        <f t="shared" si="3"/>
        <v>1</v>
      </c>
      <c r="D68" s="458" t="str">
        <f>Lifetimes!BW1</f>
        <v>PlasterDiyOutDis</v>
      </c>
      <c r="E68" s="224" t="str">
        <v>Wood stain (DIY) outdoor (in use)</v>
      </c>
      <c r="F68" s="224" t="str">
        <v>WoodStainDiyOutIU</v>
      </c>
      <c r="G68" s="224" t="b">
        <f t="shared" si="4"/>
        <v>1</v>
      </c>
    </row>
    <row r="69" spans="1:7">
      <c r="A69" s="224" t="s">
        <v>186</v>
      </c>
      <c r="B69" s="599" t="s">
        <v>1272</v>
      </c>
      <c r="C69" s="224" t="b">
        <f t="shared" si="3"/>
        <v>1</v>
      </c>
      <c r="D69" s="458" t="str">
        <f>Lifetimes!BX1</f>
        <v>PlasterDiyOutIU</v>
      </c>
      <c r="E69" s="224" t="str">
        <v>Wood stain (DIY) indoor (in use)</v>
      </c>
      <c r="F69" s="224" t="str">
        <v>WoodStainDiyInIU</v>
      </c>
      <c r="G69" s="224" t="b">
        <f t="shared" si="4"/>
        <v>1</v>
      </c>
    </row>
    <row r="70" spans="1:7">
      <c r="A70" s="224" t="s">
        <v>360</v>
      </c>
      <c r="B70" s="599" t="s">
        <v>1278</v>
      </c>
      <c r="C70" s="224" t="b">
        <f t="shared" si="3"/>
        <v>1</v>
      </c>
      <c r="D70" s="458" t="str">
        <f>Lifetimes!BY1</f>
        <v>PlasterProfInDis</v>
      </c>
      <c r="E70" s="224" t="str">
        <v>Wood stain (DIY) outdoor (discarded)</v>
      </c>
      <c r="F70" s="224" t="str">
        <v>WoodStainDiyOutDis</v>
      </c>
      <c r="G70" s="224" t="b">
        <f t="shared" si="4"/>
        <v>1</v>
      </c>
    </row>
    <row r="71" spans="1:7">
      <c r="A71" s="224" t="s">
        <v>350</v>
      </c>
      <c r="B71" s="599" t="s">
        <v>1277</v>
      </c>
      <c r="C71" s="224" t="b">
        <f t="shared" si="3"/>
        <v>1</v>
      </c>
      <c r="D71" s="458" t="str">
        <f>Lifetimes!BZ1</f>
        <v>PlasterProfInIU</v>
      </c>
      <c r="E71" s="224" t="str">
        <v>Wood stain (DIY) indoor (discarded)</v>
      </c>
      <c r="F71" s="224" t="str">
        <v>WoodStainDiyInDis</v>
      </c>
      <c r="G71" s="224" t="b">
        <f t="shared" si="4"/>
        <v>1</v>
      </c>
    </row>
    <row r="72" spans="1:7">
      <c r="A72" s="227" t="s">
        <v>311</v>
      </c>
      <c r="B72" s="459" t="s">
        <v>1259</v>
      </c>
      <c r="C72" s="224" t="b">
        <f t="shared" si="3"/>
        <v>1</v>
      </c>
      <c r="D72" s="458" t="str">
        <f>Lifetimes!CA1</f>
        <v>PlasterProfOutDis</v>
      </c>
      <c r="E72" s="224" t="str">
        <v>Wall paint (DIY) outdoor (in use)</v>
      </c>
      <c r="F72" s="224" t="str">
        <v>WallPaintDiyOutIU</v>
      </c>
      <c r="G72" s="224" t="b">
        <f t="shared" si="4"/>
        <v>1</v>
      </c>
    </row>
    <row r="73" spans="1:7">
      <c r="A73" s="227" t="s">
        <v>312</v>
      </c>
      <c r="B73" s="459" t="s">
        <v>1260</v>
      </c>
      <c r="C73" s="224" t="b">
        <f t="shared" si="3"/>
        <v>1</v>
      </c>
      <c r="D73" s="458" t="str">
        <f>Lifetimes!CB1</f>
        <v>PlasterProfOutIU</v>
      </c>
      <c r="E73" s="224" t="str">
        <v>Wall paint (DIY) indoor applied (in use)</v>
      </c>
      <c r="F73" s="224" t="str">
        <v>WallPaintDiyIndoorAppliedIU</v>
      </c>
      <c r="G73" s="224" t="b">
        <f t="shared" si="4"/>
        <v>1</v>
      </c>
    </row>
    <row r="74" spans="1:7">
      <c r="A74" s="288" t="s">
        <v>200</v>
      </c>
      <c r="B74" s="307" t="s">
        <v>1165</v>
      </c>
      <c r="C74" s="224" t="b">
        <f t="shared" si="3"/>
        <v>1</v>
      </c>
      <c r="D74" s="458" t="str">
        <f>Lifetimes!CC1</f>
        <v>ShipProfDis</v>
      </c>
      <c r="E74" s="224" t="str">
        <v>Wall paint (DIY) outdoor (discarded)</v>
      </c>
      <c r="F74" s="224" t="str">
        <v>WallPaintDiyOutDis</v>
      </c>
      <c r="G74" s="224" t="b">
        <f t="shared" si="4"/>
        <v>1</v>
      </c>
    </row>
    <row r="75" spans="1:7">
      <c r="A75" s="288" t="s">
        <v>201</v>
      </c>
      <c r="B75" s="307" t="s">
        <v>1255</v>
      </c>
      <c r="C75" s="224" t="b">
        <f t="shared" si="3"/>
        <v>1</v>
      </c>
      <c r="D75" s="458" t="str">
        <f>Lifetimes!CD1</f>
        <v>ShipProfIU</v>
      </c>
      <c r="E75" s="224" t="str">
        <v>Wall paint (DIY) indoor applied (discarded)</v>
      </c>
      <c r="F75" s="224" t="str">
        <v>WallPaintDiyIndoorAppliedDis</v>
      </c>
      <c r="G75" s="224" t="b">
        <f t="shared" si="4"/>
        <v>1</v>
      </c>
    </row>
    <row r="76" spans="1:7">
      <c r="A76" s="288" t="s">
        <v>202</v>
      </c>
      <c r="B76" s="307" t="s">
        <v>1166</v>
      </c>
      <c r="C76" s="224" t="b">
        <f t="shared" si="3"/>
        <v>1</v>
      </c>
      <c r="D76" s="458" t="str">
        <f>Lifetimes!CE1</f>
        <v>ShipDiyDis</v>
      </c>
      <c r="E76" s="224" t="str">
        <v>Plaster (DIY) outdoor (in use)</v>
      </c>
      <c r="F76" s="224" t="str">
        <v>PlasterDiyOutIU</v>
      </c>
      <c r="G76" s="224" t="b">
        <f t="shared" si="4"/>
        <v>1</v>
      </c>
    </row>
    <row r="77" spans="1:7">
      <c r="A77" s="288" t="s">
        <v>235</v>
      </c>
      <c r="B77" s="307" t="s">
        <v>1167</v>
      </c>
      <c r="C77" s="224" t="b">
        <f t="shared" si="3"/>
        <v>1</v>
      </c>
      <c r="D77" s="458" t="str">
        <f>Lifetimes!CF1</f>
        <v>ShipDiyIU</v>
      </c>
      <c r="E77" s="224" t="str">
        <v>Plaster (DIY) indoor (in use)</v>
      </c>
      <c r="F77" s="224" t="str">
        <v>PlasterDiyInIU</v>
      </c>
      <c r="G77" s="224" t="b">
        <f t="shared" si="4"/>
        <v>1</v>
      </c>
    </row>
    <row r="78" spans="1:7">
      <c r="A78" s="288" t="s">
        <v>203</v>
      </c>
      <c r="B78" s="307" t="s">
        <v>1075</v>
      </c>
      <c r="C78" s="224" t="b">
        <f t="shared" si="3"/>
        <v>1</v>
      </c>
      <c r="D78" s="458" t="str">
        <f>Lifetimes!CG1</f>
        <v>WallPaintDiyIndoorAppliedDis</v>
      </c>
      <c r="E78" s="224" t="str">
        <v>Plaster (DIY) outdoor (discarded)</v>
      </c>
      <c r="F78" s="224" t="str">
        <v>PlasterDiyOutDis</v>
      </c>
      <c r="G78" s="224" t="b">
        <f t="shared" si="4"/>
        <v>1</v>
      </c>
    </row>
    <row r="79" spans="1:7">
      <c r="A79" s="288" t="s">
        <v>236</v>
      </c>
      <c r="B79" s="307" t="s">
        <v>1169</v>
      </c>
      <c r="C79" s="224" t="b">
        <f t="shared" si="3"/>
        <v>1</v>
      </c>
      <c r="D79" s="458" t="str">
        <f>Lifetimes!CH1</f>
        <v>WallPaintDiyIndoorAppliedIU</v>
      </c>
      <c r="E79" s="224" t="str">
        <v>Plaster (DIY) indoor (discarded)</v>
      </c>
      <c r="F79" s="224" t="str">
        <v>PlasterDiyInDis</v>
      </c>
      <c r="G79" s="224" t="b">
        <f t="shared" si="4"/>
        <v>1</v>
      </c>
    </row>
    <row r="80" spans="1:7">
      <c r="A80" s="288" t="s">
        <v>237</v>
      </c>
      <c r="B80" s="307" t="s">
        <v>1168</v>
      </c>
      <c r="C80" s="224" t="b">
        <f t="shared" si="3"/>
        <v>1</v>
      </c>
      <c r="D80" s="458" t="str">
        <f>Lifetimes!CI1</f>
        <v>WallPaintDiyOutDis</v>
      </c>
      <c r="E80" s="224" t="str">
        <v>Other paint uses (DIY) outdoor (in use)</v>
      </c>
      <c r="F80" s="224" t="str">
        <v>OtherPaintUsesDiyOutIU</v>
      </c>
      <c r="G80" s="224" t="b">
        <f t="shared" si="4"/>
        <v>1</v>
      </c>
    </row>
    <row r="81" spans="1:7">
      <c r="A81" s="224" t="s">
        <v>142</v>
      </c>
      <c r="B81" s="628" t="s">
        <v>1163</v>
      </c>
      <c r="C81" s="224" t="b">
        <f t="shared" si="3"/>
        <v>1</v>
      </c>
      <c r="D81" s="458" t="str">
        <f>Lifetimes!CJ1</f>
        <v>WallPaintDiyOutIU</v>
      </c>
      <c r="E81" s="224" t="str">
        <v>Other paint uses (DIY) indoor (in use)</v>
      </c>
      <c r="F81" s="224" t="str">
        <v>OtherPaintUsesDiyInIU</v>
      </c>
      <c r="G81" s="224" t="b">
        <f t="shared" si="4"/>
        <v>1</v>
      </c>
    </row>
    <row r="82" spans="1:7">
      <c r="A82" s="629" t="s">
        <v>198</v>
      </c>
      <c r="B82" s="628" t="s">
        <v>1262</v>
      </c>
      <c r="C82" s="224" t="b">
        <f t="shared" si="3"/>
        <v>1</v>
      </c>
      <c r="D82" s="458" t="str">
        <f>Lifetimes!CK1</f>
        <v>WallPaintProfInDis</v>
      </c>
      <c r="E82" s="224" t="str">
        <v>Other paint uses (DIY) outdoor (discarded)</v>
      </c>
      <c r="F82" s="224" t="str">
        <v>OtherPaintUsesDiyOutDis</v>
      </c>
      <c r="G82" s="224" t="b">
        <f t="shared" si="4"/>
        <v>1</v>
      </c>
    </row>
    <row r="83" spans="1:7">
      <c r="A83" s="629" t="s">
        <v>190</v>
      </c>
      <c r="B83" s="628" t="s">
        <v>1264</v>
      </c>
      <c r="C83" s="224" t="b">
        <f t="shared" si="3"/>
        <v>1</v>
      </c>
      <c r="D83" s="458" t="str">
        <f>Lifetimes!CL1</f>
        <v>WallPaintProfInIU</v>
      </c>
      <c r="E83" s="224" t="str">
        <v>Other paint uses (DIY) indoor (discarded)</v>
      </c>
      <c r="F83" s="224" t="str">
        <v>OtherPaintUsesDiyInDis</v>
      </c>
      <c r="G83" s="224" t="b">
        <f t="shared" si="4"/>
        <v>1</v>
      </c>
    </row>
    <row r="84" spans="1:7">
      <c r="A84" s="629" t="s">
        <v>346</v>
      </c>
      <c r="B84" s="628" t="s">
        <v>1268</v>
      </c>
      <c r="C84" s="224" t="b">
        <f t="shared" si="3"/>
        <v>1</v>
      </c>
      <c r="D84" s="458" t="str">
        <f>Lifetimes!CM1</f>
        <v>WallPaintProfOutDis</v>
      </c>
      <c r="E84" s="224"/>
      <c r="F84" s="224"/>
      <c r="G84" s="224" t="b">
        <f t="shared" si="4"/>
        <v>0</v>
      </c>
    </row>
    <row r="85" spans="1:7">
      <c r="A85" s="629" t="s">
        <v>348</v>
      </c>
      <c r="B85" s="628" t="s">
        <v>1271</v>
      </c>
      <c r="C85" s="224" t="b">
        <f t="shared" si="3"/>
        <v>1</v>
      </c>
      <c r="D85" s="933" t="str">
        <f>Lifetimes!CN1</f>
        <v>WallPaintProfOutIU</v>
      </c>
      <c r="E85" s="224"/>
      <c r="F85" s="224"/>
      <c r="G85" s="224" t="b">
        <f t="shared" si="4"/>
        <v>0</v>
      </c>
    </row>
    <row r="86" spans="1:7">
      <c r="A86" s="629" t="s">
        <v>238</v>
      </c>
      <c r="B86" s="628" t="s">
        <v>1276</v>
      </c>
      <c r="C86" s="224" t="b">
        <f t="shared" si="3"/>
        <v>1</v>
      </c>
      <c r="D86" s="933" t="str">
        <f>Lifetimes!CO1</f>
        <v>WoodStainDiyInDis</v>
      </c>
      <c r="E86" s="224"/>
      <c r="F86" s="224"/>
      <c r="G86" s="224" t="b">
        <f t="shared" si="4"/>
        <v>0</v>
      </c>
    </row>
    <row r="87" spans="1:7">
      <c r="A87" s="629" t="s">
        <v>197</v>
      </c>
      <c r="B87" s="628" t="s">
        <v>1263</v>
      </c>
      <c r="C87" s="224" t="b">
        <f t="shared" si="3"/>
        <v>1</v>
      </c>
      <c r="D87" s="933" t="str">
        <f>Lifetimes!CP1</f>
        <v>WoodStainDiyInIU</v>
      </c>
      <c r="E87" s="224"/>
      <c r="F87" s="224"/>
      <c r="G87" s="224" t="b">
        <f t="shared" si="4"/>
        <v>0</v>
      </c>
    </row>
    <row r="88" spans="1:7">
      <c r="A88" s="310" t="str">
        <f>Clothing!A744</f>
        <v>Apparel accessories</v>
      </c>
      <c r="B88" s="310" t="str">
        <f>Clothing!B744</f>
        <v>ClothingTwoYears</v>
      </c>
      <c r="C88" s="224" t="b">
        <f>NOT(ISERROR(MATCH(B88, D:D, 0)))</f>
        <v>1</v>
      </c>
      <c r="D88" s="933" t="str">
        <f>Lifetimes!CQ1</f>
        <v>WoodStainDiyOutDis</v>
      </c>
      <c r="E88" s="224"/>
      <c r="F88" s="224"/>
      <c r="G88" s="224" t="b">
        <f t="shared" si="4"/>
        <v>0</v>
      </c>
    </row>
    <row r="89" spans="1:7">
      <c r="A89" s="310" t="str">
        <f>Clothing!A745</f>
        <v>Boots</v>
      </c>
      <c r="B89" s="310" t="str">
        <f>Clothing!B745</f>
        <v>ClothingFiveYears</v>
      </c>
      <c r="C89" s="224" t="b">
        <f t="shared" si="3"/>
        <v>1</v>
      </c>
      <c r="D89" s="933" t="str">
        <f>Lifetimes!CR1</f>
        <v>WoodStainDiyOutIU</v>
      </c>
      <c r="E89" s="224"/>
      <c r="F89" s="224"/>
      <c r="G89" s="224" t="b">
        <f t="shared" si="4"/>
        <v>0</v>
      </c>
    </row>
    <row r="90" spans="1:7">
      <c r="A90" s="310" t="str">
        <f>Clothing!A746</f>
        <v>Closed-toed shoes</v>
      </c>
      <c r="B90" s="310" t="str">
        <f>Clothing!B746</f>
        <v>ClothingFiveYears</v>
      </c>
      <c r="C90" s="224" t="b">
        <f t="shared" si="3"/>
        <v>1</v>
      </c>
      <c r="D90" s="933" t="str">
        <f>Lifetimes!CS1</f>
        <v>WoodStainProfInDis</v>
      </c>
      <c r="E90" s="224"/>
      <c r="F90" s="224"/>
      <c r="G90" s="224" t="b">
        <f t="shared" si="4"/>
        <v>0</v>
      </c>
    </row>
    <row r="91" spans="1:7">
      <c r="A91" s="310" t="str">
        <f>Clothing!A747</f>
        <v>Dresses skirts and jumpsuits</v>
      </c>
      <c r="B91" s="310" t="str">
        <f>Clothing!B747</f>
        <v>ClothingEightYears</v>
      </c>
      <c r="C91" s="224" t="b">
        <f t="shared" si="3"/>
        <v>1</v>
      </c>
      <c r="D91" s="933" t="str">
        <f>Lifetimes!CT1</f>
        <v>WoodStainProfInIU</v>
      </c>
      <c r="E91" s="224"/>
      <c r="F91" s="224"/>
      <c r="G91" s="224" t="b">
        <f t="shared" si="4"/>
        <v>0</v>
      </c>
    </row>
    <row r="92" spans="1:7">
      <c r="A92" s="310" t="str">
        <f>Clothing!A748</f>
        <v>Jackets and coats</v>
      </c>
      <c r="B92" s="310" t="str">
        <f>Clothing!B748</f>
        <v>ClothingSevenYears</v>
      </c>
      <c r="C92" s="224" t="b">
        <f t="shared" si="3"/>
        <v>1</v>
      </c>
      <c r="D92" s="933" t="str">
        <f>Lifetimes!CU1</f>
        <v>WoodStainProfOutDis</v>
      </c>
      <c r="E92" s="224"/>
      <c r="F92" s="224"/>
      <c r="G92" s="224" t="b">
        <f t="shared" si="4"/>
        <v>0</v>
      </c>
    </row>
    <row r="93" spans="1:7">
      <c r="A93" s="310" t="str">
        <f>Clothing!A749</f>
        <v>Leggings stockings tights and socks</v>
      </c>
      <c r="B93" s="310" t="str">
        <f>Clothing!B749</f>
        <v>ClothingThreeYears</v>
      </c>
      <c r="C93" s="224" t="b">
        <f t="shared" si="3"/>
        <v>1</v>
      </c>
      <c r="D93" s="984" t="str">
        <f>Lifetimes!CV1</f>
        <v>WoodStainProfOutIU</v>
      </c>
      <c r="E93" s="224"/>
      <c r="F93" s="224"/>
      <c r="G93" s="224" t="b">
        <f t="shared" si="4"/>
        <v>0</v>
      </c>
    </row>
    <row r="94" spans="1:7">
      <c r="A94" s="310" t="str">
        <f>Clothing!A750</f>
        <v>Open-toed shoes</v>
      </c>
      <c r="B94" s="310" t="str">
        <f>Clothing!B750</f>
        <v>ClothingFiveYears</v>
      </c>
      <c r="C94" s="599" t="b">
        <f t="shared" si="3"/>
        <v>1</v>
      </c>
      <c r="D94" s="458" t="str">
        <f>Lifetimes!X1</f>
        <v>ClothingTwoYears</v>
      </c>
      <c r="E94" s="647"/>
      <c r="F94" s="224"/>
      <c r="G94" s="224" t="b">
        <f t="shared" si="4"/>
        <v>0</v>
      </c>
    </row>
    <row r="95" spans="1:7">
      <c r="A95" s="310" t="str">
        <f>Clothing!A751</f>
        <v>Pants and shorts</v>
      </c>
      <c r="B95" s="310" t="str">
        <f>Clothing!B751</f>
        <v>ClothingFourYears</v>
      </c>
      <c r="C95" s="599" t="b">
        <f t="shared" si="3"/>
        <v>1</v>
      </c>
      <c r="D95" s="458" t="str">
        <f>Lifetimes!Y1</f>
        <v>ClothingThreeYears</v>
      </c>
      <c r="E95" s="647"/>
      <c r="F95" s="224"/>
      <c r="G95" s="224" t="b">
        <f t="shared" si="4"/>
        <v>0</v>
      </c>
    </row>
    <row r="96" spans="1:7">
      <c r="A96" s="310" t="str">
        <f>Clothing!A752</f>
        <v>Shirts and blouses</v>
      </c>
      <c r="B96" s="310" t="str">
        <f>Clothing!B752</f>
        <v>ClothingFiveYears</v>
      </c>
      <c r="C96" s="599" t="b">
        <f t="shared" si="3"/>
        <v>1</v>
      </c>
      <c r="D96" s="458" t="str">
        <f>Lifetimes!Z1</f>
        <v>ClothingFourYears</v>
      </c>
      <c r="E96" s="647"/>
      <c r="F96" s="224"/>
      <c r="G96" s="224" t="b">
        <f t="shared" si="4"/>
        <v>0</v>
      </c>
    </row>
    <row r="97" spans="1:7">
      <c r="A97" s="310" t="str">
        <f>Clothing!A753</f>
        <v>Sweaters and midlayers</v>
      </c>
      <c r="B97" s="310" t="str">
        <f>Clothing!B753</f>
        <v>ClothingSixYears</v>
      </c>
      <c r="C97" s="599" t="b">
        <f t="shared" si="3"/>
        <v>1</v>
      </c>
      <c r="D97" s="458" t="str">
        <f>Lifetimes!AA1</f>
        <v>ClothingFiveYears</v>
      </c>
      <c r="G97" s="224" t="b">
        <f t="shared" si="4"/>
        <v>0</v>
      </c>
    </row>
    <row r="98" spans="1:7">
      <c r="A98" s="310" t="str">
        <f>Clothing!A754</f>
        <v>Swimwear</v>
      </c>
      <c r="B98" s="310" t="str">
        <f>Clothing!B754</f>
        <v>ClothingTwoYears</v>
      </c>
      <c r="C98" s="599" t="b">
        <f t="shared" si="3"/>
        <v>1</v>
      </c>
      <c r="D98" s="458" t="str">
        <f>Lifetimes!AB1</f>
        <v>ClothingSixYears</v>
      </c>
      <c r="G98" s="224" t="b">
        <f t="shared" si="4"/>
        <v>0</v>
      </c>
    </row>
    <row r="99" spans="1:7">
      <c r="A99" s="310" t="str">
        <f>Clothing!A755</f>
        <v>T-shirts</v>
      </c>
      <c r="B99" s="310" t="str">
        <f>Clothing!B755</f>
        <v>ClothingFiveYears</v>
      </c>
      <c r="C99" s="599" t="b">
        <f t="shared" si="3"/>
        <v>1</v>
      </c>
      <c r="D99" s="458" t="str">
        <f>Lifetimes!AC1</f>
        <v>ClothingSevenYears</v>
      </c>
      <c r="G99" s="224" t="b">
        <f t="shared" si="4"/>
        <v>0</v>
      </c>
    </row>
    <row r="100" spans="1:7">
      <c r="A100" s="310" t="str">
        <f>Clothing!A756</f>
        <v>Underwear</v>
      </c>
      <c r="B100" s="310" t="str">
        <f>Clothing!B756</f>
        <v>ClothingThreeYears</v>
      </c>
      <c r="C100" s="599" t="b">
        <f t="shared" si="3"/>
        <v>1</v>
      </c>
      <c r="D100" s="458"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23"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5546875" defaultRowHeight="15"/>
  <cols>
    <col min="1" max="1" width="70.7109375" style="582" customWidth="1"/>
    <col min="2" max="2" width="30.7109375" style="582" customWidth="1"/>
    <col min="3" max="3" width="100.7109375" style="582" customWidth="1"/>
    <col min="4" max="4" width="200.7109375" style="584" customWidth="1"/>
    <col min="5" max="16384" width="8.85546875" style="582"/>
  </cols>
  <sheetData>
    <row r="1" spans="1:4" s="583" customFormat="1" ht="15.75" thickBot="1">
      <c r="A1" s="585" t="s">
        <v>1338</v>
      </c>
      <c r="B1" s="585" t="s">
        <v>1339</v>
      </c>
      <c r="C1" s="585" t="s">
        <v>1340</v>
      </c>
      <c r="D1" s="585" t="s">
        <v>1341</v>
      </c>
    </row>
    <row r="2" spans="1:4" s="584" customFormat="1">
      <c r="A2" s="706" t="s">
        <v>194</v>
      </c>
      <c r="B2" s="707" t="s">
        <v>1261</v>
      </c>
      <c r="C2" s="707" t="s">
        <v>1342</v>
      </c>
      <c r="D2" s="708" t="s">
        <v>45</v>
      </c>
    </row>
    <row r="3" spans="1:4" s="584" customFormat="1" ht="90">
      <c r="A3" s="709" t="s">
        <v>1343</v>
      </c>
      <c r="B3" s="710" t="s">
        <v>1262</v>
      </c>
      <c r="C3" s="711" t="s">
        <v>1344</v>
      </c>
      <c r="D3" s="712" t="s">
        <v>1345</v>
      </c>
    </row>
    <row r="4" spans="1:4" s="584" customFormat="1" ht="210" customHeight="1" thickBot="1">
      <c r="A4" s="713" t="s">
        <v>1346</v>
      </c>
      <c r="B4" s="714" t="s">
        <v>1263</v>
      </c>
      <c r="C4" s="715" t="s">
        <v>1347</v>
      </c>
      <c r="D4" s="716" t="s">
        <v>1348</v>
      </c>
    </row>
    <row r="5" spans="1:4" s="584" customFormat="1">
      <c r="A5" s="717" t="s">
        <v>190</v>
      </c>
      <c r="B5" s="718" t="s">
        <v>1264</v>
      </c>
      <c r="C5" s="718" t="s">
        <v>1349</v>
      </c>
      <c r="D5" s="719" t="s">
        <v>45</v>
      </c>
    </row>
    <row r="6" spans="1:4" s="584" customFormat="1" ht="15.75" thickBot="1">
      <c r="A6" s="713" t="s">
        <v>191</v>
      </c>
      <c r="B6" s="714" t="s">
        <v>1265</v>
      </c>
      <c r="C6" s="714" t="s">
        <v>1350</v>
      </c>
      <c r="D6" s="586" t="s">
        <v>1351</v>
      </c>
    </row>
    <row r="7" spans="1:4" s="584" customFormat="1">
      <c r="A7" s="706" t="s">
        <v>242</v>
      </c>
      <c r="B7" s="707" t="s">
        <v>1266</v>
      </c>
      <c r="C7" s="707" t="s">
        <v>1352</v>
      </c>
      <c r="D7" s="708" t="s">
        <v>45</v>
      </c>
    </row>
    <row r="8" spans="1:4" s="584" customFormat="1" ht="15.75" thickBot="1">
      <c r="A8" s="713" t="s">
        <v>356</v>
      </c>
      <c r="B8" s="714" t="s">
        <v>1267</v>
      </c>
      <c r="C8" s="714" t="s">
        <v>1350</v>
      </c>
      <c r="D8" s="586" t="s">
        <v>1351</v>
      </c>
    </row>
    <row r="9" spans="1:4" s="584" customFormat="1" ht="15.75" thickBot="1">
      <c r="A9" s="720" t="s">
        <v>346</v>
      </c>
      <c r="B9" s="721" t="s">
        <v>1268</v>
      </c>
      <c r="C9" s="721" t="s">
        <v>1353</v>
      </c>
      <c r="D9" s="722" t="s">
        <v>45</v>
      </c>
    </row>
    <row r="10" spans="1:4" s="584" customFormat="1">
      <c r="A10" s="706" t="s">
        <v>153</v>
      </c>
      <c r="B10" s="707" t="s">
        <v>1269</v>
      </c>
      <c r="C10" s="707" t="s">
        <v>1354</v>
      </c>
      <c r="D10" s="708" t="s">
        <v>45</v>
      </c>
    </row>
    <row r="11" spans="1:4" s="584" customFormat="1" ht="15.75" thickBot="1">
      <c r="A11" s="713" t="s">
        <v>162</v>
      </c>
      <c r="B11" s="714" t="s">
        <v>1270</v>
      </c>
      <c r="C11" s="723" t="s">
        <v>1350</v>
      </c>
      <c r="D11" s="724" t="s">
        <v>1351</v>
      </c>
    </row>
    <row r="12" spans="1:4" s="584" customFormat="1" ht="15.75" thickBot="1">
      <c r="A12" s="725" t="s">
        <v>348</v>
      </c>
      <c r="B12" s="726" t="s">
        <v>1271</v>
      </c>
      <c r="C12" s="726" t="s">
        <v>1355</v>
      </c>
      <c r="D12" s="727" t="s">
        <v>45</v>
      </c>
    </row>
    <row r="13" spans="1:4" s="584" customFormat="1">
      <c r="A13" s="706" t="s">
        <v>186</v>
      </c>
      <c r="B13" s="707" t="s">
        <v>1272</v>
      </c>
      <c r="C13" s="707" t="s">
        <v>1356</v>
      </c>
      <c r="D13" s="708" t="s">
        <v>45</v>
      </c>
    </row>
    <row r="14" spans="1:4" s="584" customFormat="1" ht="15.75" thickBot="1">
      <c r="A14" s="728" t="s">
        <v>187</v>
      </c>
      <c r="B14" s="729" t="s">
        <v>1273</v>
      </c>
      <c r="C14" s="714" t="s">
        <v>1350</v>
      </c>
      <c r="D14" s="586" t="s">
        <v>1351</v>
      </c>
    </row>
    <row r="15" spans="1:4" s="584" customFormat="1">
      <c r="A15" s="706" t="s">
        <v>171</v>
      </c>
      <c r="B15" s="707" t="s">
        <v>1274</v>
      </c>
      <c r="C15" s="707" t="s">
        <v>1357</v>
      </c>
      <c r="D15" s="708" t="s">
        <v>45</v>
      </c>
    </row>
    <row r="16" spans="1:4" s="584" customFormat="1" ht="15.75" thickBot="1">
      <c r="A16" s="713" t="s">
        <v>172</v>
      </c>
      <c r="B16" s="714" t="s">
        <v>1275</v>
      </c>
      <c r="C16" s="723" t="s">
        <v>1350</v>
      </c>
      <c r="D16" s="724" t="s">
        <v>1351</v>
      </c>
    </row>
    <row r="17" spans="1:4" s="584" customFormat="1" ht="15.75" thickBot="1">
      <c r="A17" s="720" t="s">
        <v>238</v>
      </c>
      <c r="B17" s="721" t="s">
        <v>1358</v>
      </c>
      <c r="C17" s="721" t="s">
        <v>1359</v>
      </c>
      <c r="D17" s="722" t="s">
        <v>45</v>
      </c>
    </row>
    <row r="18" spans="1:4" s="584" customFormat="1">
      <c r="A18" s="706" t="s">
        <v>350</v>
      </c>
      <c r="B18" s="707" t="s">
        <v>1277</v>
      </c>
      <c r="C18" s="707" t="s">
        <v>1360</v>
      </c>
      <c r="D18" s="708" t="s">
        <v>45</v>
      </c>
    </row>
    <row r="19" spans="1:4" s="584" customFormat="1" ht="15.75" thickBot="1">
      <c r="A19" s="713" t="s">
        <v>360</v>
      </c>
      <c r="B19" s="714" t="s">
        <v>1278</v>
      </c>
      <c r="C19" s="714" t="s">
        <v>1350</v>
      </c>
      <c r="D19" s="586" t="s">
        <v>1351</v>
      </c>
    </row>
    <row r="20" spans="1:4" s="584" customFormat="1">
      <c r="A20" s="730" t="s">
        <v>451</v>
      </c>
      <c r="B20" s="731" t="s">
        <v>1279</v>
      </c>
      <c r="C20" s="731" t="s">
        <v>1361</v>
      </c>
      <c r="D20" s="587" t="s">
        <v>1362</v>
      </c>
    </row>
    <row r="21" spans="1:4" s="584" customFormat="1">
      <c r="A21" s="732" t="s">
        <v>456</v>
      </c>
      <c r="B21" s="733" t="s">
        <v>1280</v>
      </c>
      <c r="C21" s="733" t="s">
        <v>1350</v>
      </c>
      <c r="D21" s="588" t="s">
        <v>1351</v>
      </c>
    </row>
    <row r="22" spans="1:4" s="584" customFormat="1">
      <c r="A22" s="709" t="s">
        <v>454</v>
      </c>
      <c r="B22" s="710" t="s">
        <v>1281</v>
      </c>
      <c r="C22" s="710" t="s">
        <v>1363</v>
      </c>
      <c r="D22" s="589" t="s">
        <v>1364</v>
      </c>
    </row>
    <row r="23" spans="1:4" s="584" customFormat="1" ht="15.75" thickBot="1">
      <c r="A23" s="713" t="s">
        <v>455</v>
      </c>
      <c r="B23" s="714" t="s">
        <v>1282</v>
      </c>
      <c r="C23" s="714" t="s">
        <v>1350</v>
      </c>
      <c r="D23" s="586" t="s">
        <v>1351</v>
      </c>
    </row>
    <row r="24" spans="1:4" s="584" customFormat="1">
      <c r="A24" s="730" t="s">
        <v>500</v>
      </c>
      <c r="B24" s="731" t="s">
        <v>1283</v>
      </c>
      <c r="C24" s="731" t="s">
        <v>1365</v>
      </c>
      <c r="D24" s="587" t="s">
        <v>1362</v>
      </c>
    </row>
    <row r="25" spans="1:4" s="584" customFormat="1">
      <c r="A25" s="732" t="s">
        <v>499</v>
      </c>
      <c r="B25" s="733" t="s">
        <v>1284</v>
      </c>
      <c r="C25" s="733" t="s">
        <v>1350</v>
      </c>
      <c r="D25" s="588" t="s">
        <v>1351</v>
      </c>
    </row>
    <row r="26" spans="1:4" s="584" customFormat="1">
      <c r="A26" s="709" t="s">
        <v>498</v>
      </c>
      <c r="B26" s="710" t="s">
        <v>1285</v>
      </c>
      <c r="C26" s="710" t="s">
        <v>1366</v>
      </c>
      <c r="D26" s="589" t="s">
        <v>1367</v>
      </c>
    </row>
    <row r="27" spans="1:4" s="584" customFormat="1" ht="15.75" thickBot="1">
      <c r="A27" s="709" t="s">
        <v>497</v>
      </c>
      <c r="B27" s="710" t="s">
        <v>1286</v>
      </c>
      <c r="C27" s="710" t="s">
        <v>1350</v>
      </c>
      <c r="D27" s="590" t="s">
        <v>1351</v>
      </c>
    </row>
    <row r="28" spans="1:4" s="584" customFormat="1">
      <c r="A28" s="732" t="s">
        <v>462</v>
      </c>
      <c r="B28" s="733" t="s">
        <v>1287</v>
      </c>
      <c r="C28" s="731" t="s">
        <v>1368</v>
      </c>
      <c r="D28" s="587" t="s">
        <v>1362</v>
      </c>
    </row>
    <row r="29" spans="1:4" s="584" customFormat="1">
      <c r="A29" s="732" t="s">
        <v>461</v>
      </c>
      <c r="B29" s="733" t="s">
        <v>1288</v>
      </c>
      <c r="C29" s="733" t="s">
        <v>1350</v>
      </c>
      <c r="D29" s="588" t="s">
        <v>1351</v>
      </c>
    </row>
    <row r="30" spans="1:4" s="584" customFormat="1">
      <c r="A30" s="709" t="s">
        <v>460</v>
      </c>
      <c r="B30" s="710" t="s">
        <v>1289</v>
      </c>
      <c r="C30" s="710" t="s">
        <v>1369</v>
      </c>
      <c r="D30" s="589" t="s">
        <v>1367</v>
      </c>
    </row>
    <row r="31" spans="1:4" s="584" customFormat="1" ht="15.75" thickBot="1">
      <c r="A31" s="713" t="s">
        <v>459</v>
      </c>
      <c r="B31" s="714" t="s">
        <v>1290</v>
      </c>
      <c r="C31" s="714" t="s">
        <v>1350</v>
      </c>
      <c r="D31" s="586" t="s">
        <v>1351</v>
      </c>
    </row>
    <row r="32" spans="1:4" s="584" customFormat="1">
      <c r="A32" s="730" t="s">
        <v>465</v>
      </c>
      <c r="B32" s="731" t="s">
        <v>1291</v>
      </c>
      <c r="C32" s="731" t="s">
        <v>1370</v>
      </c>
      <c r="D32" s="587" t="s">
        <v>1362</v>
      </c>
    </row>
    <row r="33" spans="1:4" s="584" customFormat="1">
      <c r="A33" s="732" t="s">
        <v>524</v>
      </c>
      <c r="B33" s="733" t="s">
        <v>1292</v>
      </c>
      <c r="C33" s="733" t="s">
        <v>1350</v>
      </c>
      <c r="D33" s="588" t="s">
        <v>1351</v>
      </c>
    </row>
    <row r="34" spans="1:4" s="584" customFormat="1">
      <c r="A34" s="709" t="s">
        <v>472</v>
      </c>
      <c r="B34" s="710" t="s">
        <v>1293</v>
      </c>
      <c r="C34" s="710" t="s">
        <v>1371</v>
      </c>
      <c r="D34" s="589" t="s">
        <v>1372</v>
      </c>
    </row>
    <row r="35" spans="1:4" s="584" customFormat="1">
      <c r="A35" s="709" t="s">
        <v>523</v>
      </c>
      <c r="B35" s="710" t="s">
        <v>1294</v>
      </c>
      <c r="C35" s="710" t="s">
        <v>1350</v>
      </c>
      <c r="D35" s="590" t="s">
        <v>1351</v>
      </c>
    </row>
    <row r="36" spans="1:4" s="584" customFormat="1">
      <c r="A36" s="732" t="s">
        <v>477</v>
      </c>
      <c r="B36" s="733" t="s">
        <v>1295</v>
      </c>
      <c r="C36" s="733" t="s">
        <v>1370</v>
      </c>
      <c r="D36" s="591" t="s">
        <v>1362</v>
      </c>
    </row>
    <row r="37" spans="1:4" s="584" customFormat="1">
      <c r="A37" s="732" t="s">
        <v>488</v>
      </c>
      <c r="B37" s="733" t="s">
        <v>1296</v>
      </c>
      <c r="C37" s="733" t="s">
        <v>1350</v>
      </c>
      <c r="D37" s="588" t="s">
        <v>1351</v>
      </c>
    </row>
    <row r="38" spans="1:4" s="584" customFormat="1">
      <c r="A38" s="709" t="s">
        <v>480</v>
      </c>
      <c r="B38" s="710" t="s">
        <v>1297</v>
      </c>
      <c r="C38" s="710" t="s">
        <v>1371</v>
      </c>
      <c r="D38" s="589" t="s">
        <v>1372</v>
      </c>
    </row>
    <row r="39" spans="1:4" s="584" customFormat="1" ht="15.75" thickBot="1">
      <c r="A39" s="728" t="s">
        <v>487</v>
      </c>
      <c r="B39" s="729" t="s">
        <v>1298</v>
      </c>
      <c r="C39" s="729" t="s">
        <v>1350</v>
      </c>
      <c r="D39" s="592" t="s">
        <v>1351</v>
      </c>
    </row>
    <row r="40" spans="1:4" s="584" customFormat="1">
      <c r="A40" s="730" t="s">
        <v>489</v>
      </c>
      <c r="B40" s="731" t="s">
        <v>1299</v>
      </c>
      <c r="C40" s="731" t="s">
        <v>1373</v>
      </c>
      <c r="D40" s="587" t="s">
        <v>1374</v>
      </c>
    </row>
    <row r="41" spans="1:4" s="584" customFormat="1">
      <c r="A41" s="732" t="s">
        <v>494</v>
      </c>
      <c r="B41" s="733" t="s">
        <v>1300</v>
      </c>
      <c r="C41" s="733" t="s">
        <v>1350</v>
      </c>
      <c r="D41" s="588" t="s">
        <v>1351</v>
      </c>
    </row>
    <row r="42" spans="1:4" s="584" customFormat="1">
      <c r="A42" s="709" t="s">
        <v>490</v>
      </c>
      <c r="B42" s="710" t="s">
        <v>1301</v>
      </c>
      <c r="C42" s="710" t="s">
        <v>1375</v>
      </c>
      <c r="D42" s="591" t="s">
        <v>1374</v>
      </c>
    </row>
    <row r="43" spans="1:4" s="584" customFormat="1" ht="15.75" thickBot="1">
      <c r="A43" s="728" t="s">
        <v>493</v>
      </c>
      <c r="B43" s="729" t="s">
        <v>1302</v>
      </c>
      <c r="C43" s="729" t="s">
        <v>1350</v>
      </c>
      <c r="D43" s="592" t="s">
        <v>1351</v>
      </c>
    </row>
    <row r="44" spans="1:4" s="584" customFormat="1">
      <c r="A44" s="730" t="s">
        <v>520</v>
      </c>
      <c r="B44" s="731" t="s">
        <v>1303</v>
      </c>
      <c r="C44" s="731" t="s">
        <v>1376</v>
      </c>
      <c r="D44" s="593" t="s">
        <v>1351</v>
      </c>
    </row>
    <row r="45" spans="1:4" s="584" customFormat="1">
      <c r="A45" s="732" t="s">
        <v>519</v>
      </c>
      <c r="B45" s="733" t="s">
        <v>1304</v>
      </c>
      <c r="C45" s="733" t="s">
        <v>1350</v>
      </c>
      <c r="D45" s="588" t="s">
        <v>1351</v>
      </c>
    </row>
    <row r="46" spans="1:4" s="584" customFormat="1">
      <c r="A46" s="709" t="s">
        <v>518</v>
      </c>
      <c r="B46" s="710" t="s">
        <v>1305</v>
      </c>
      <c r="C46" s="710" t="s">
        <v>1377</v>
      </c>
      <c r="D46" s="590" t="s">
        <v>1351</v>
      </c>
    </row>
    <row r="47" spans="1:4" s="584" customFormat="1">
      <c r="A47" s="709" t="s">
        <v>517</v>
      </c>
      <c r="B47" s="710" t="s">
        <v>1306</v>
      </c>
      <c r="C47" s="710" t="s">
        <v>1350</v>
      </c>
      <c r="D47" s="590" t="s">
        <v>1351</v>
      </c>
    </row>
    <row r="48" spans="1:4" s="584" customFormat="1">
      <c r="A48" s="732" t="s">
        <v>484</v>
      </c>
      <c r="B48" s="733" t="s">
        <v>1307</v>
      </c>
      <c r="C48" s="733" t="s">
        <v>1378</v>
      </c>
      <c r="D48" s="734" t="s">
        <v>1351</v>
      </c>
    </row>
    <row r="49" spans="1:4" s="584" customFormat="1">
      <c r="A49" s="732" t="s">
        <v>483</v>
      </c>
      <c r="B49" s="733" t="s">
        <v>1308</v>
      </c>
      <c r="C49" s="733" t="s">
        <v>1350</v>
      </c>
      <c r="D49" s="588" t="s">
        <v>1351</v>
      </c>
    </row>
    <row r="50" spans="1:4" s="584" customFormat="1">
      <c r="A50" s="709" t="s">
        <v>482</v>
      </c>
      <c r="B50" s="710" t="s">
        <v>1309</v>
      </c>
      <c r="C50" s="710" t="s">
        <v>1376</v>
      </c>
      <c r="D50" s="735" t="s">
        <v>1351</v>
      </c>
    </row>
    <row r="51" spans="1:4" s="584" customFormat="1" ht="15.75" thickBot="1">
      <c r="A51" s="713" t="s">
        <v>481</v>
      </c>
      <c r="B51" s="714" t="s">
        <v>1310</v>
      </c>
      <c r="C51" s="714" t="s">
        <v>1350</v>
      </c>
      <c r="D51" s="586" t="s">
        <v>1351</v>
      </c>
    </row>
    <row r="52" spans="1:4" s="584" customFormat="1">
      <c r="A52" s="706" t="s">
        <v>448</v>
      </c>
      <c r="B52" s="707" t="s">
        <v>1311</v>
      </c>
      <c r="C52" s="707" t="s">
        <v>1379</v>
      </c>
      <c r="D52" s="735" t="s">
        <v>1380</v>
      </c>
    </row>
    <row r="53" spans="1:4" s="584" customFormat="1">
      <c r="A53" s="709" t="s">
        <v>447</v>
      </c>
      <c r="B53" s="710" t="s">
        <v>1312</v>
      </c>
      <c r="C53" s="710" t="s">
        <v>1350</v>
      </c>
      <c r="D53" s="590" t="s">
        <v>1351</v>
      </c>
    </row>
    <row r="54" spans="1:4" s="584" customFormat="1">
      <c r="A54" s="709" t="s">
        <v>450</v>
      </c>
      <c r="B54" s="710" t="s">
        <v>1313</v>
      </c>
      <c r="C54" s="710" t="s">
        <v>1381</v>
      </c>
      <c r="D54" s="735" t="s">
        <v>1380</v>
      </c>
    </row>
    <row r="55" spans="1:4" s="584" customFormat="1" ht="15.75" thickBot="1">
      <c r="A55" s="713" t="s">
        <v>449</v>
      </c>
      <c r="B55" s="714" t="s">
        <v>1314</v>
      </c>
      <c r="C55" s="714" t="s">
        <v>1350</v>
      </c>
      <c r="D55" s="586" t="s">
        <v>1351</v>
      </c>
    </row>
    <row r="56" spans="1:4" s="584" customFormat="1">
      <c r="A56" s="730" t="s">
        <v>509</v>
      </c>
      <c r="B56" s="731" t="s">
        <v>1315</v>
      </c>
      <c r="C56" s="731" t="s">
        <v>1382</v>
      </c>
      <c r="D56" s="587" t="s">
        <v>1383</v>
      </c>
    </row>
    <row r="57" spans="1:4" s="584" customFormat="1">
      <c r="A57" s="732" t="s">
        <v>514</v>
      </c>
      <c r="B57" s="733" t="s">
        <v>1316</v>
      </c>
      <c r="C57" s="733" t="s">
        <v>1350</v>
      </c>
      <c r="D57" s="588" t="s">
        <v>1351</v>
      </c>
    </row>
    <row r="58" spans="1:4" s="584" customFormat="1">
      <c r="A58" s="709" t="s">
        <v>511</v>
      </c>
      <c r="B58" s="710" t="s">
        <v>1317</v>
      </c>
      <c r="C58" s="710" t="s">
        <v>1384</v>
      </c>
      <c r="D58" s="589" t="s">
        <v>1383</v>
      </c>
    </row>
    <row r="59" spans="1:4" s="584" customFormat="1">
      <c r="A59" s="709" t="s">
        <v>510</v>
      </c>
      <c r="B59" s="710" t="s">
        <v>1318</v>
      </c>
      <c r="C59" s="710" t="s">
        <v>1350</v>
      </c>
      <c r="D59" s="590" t="s">
        <v>1351</v>
      </c>
    </row>
    <row r="60" spans="1:4" s="584" customFormat="1">
      <c r="A60" s="732" t="s">
        <v>476</v>
      </c>
      <c r="B60" s="733" t="s">
        <v>1319</v>
      </c>
      <c r="C60" s="733" t="s">
        <v>1385</v>
      </c>
      <c r="D60" s="591" t="s">
        <v>1383</v>
      </c>
    </row>
    <row r="61" spans="1:4" s="584" customFormat="1">
      <c r="A61" s="732" t="s">
        <v>475</v>
      </c>
      <c r="B61" s="733" t="s">
        <v>1320</v>
      </c>
      <c r="C61" s="733" t="s">
        <v>1350</v>
      </c>
      <c r="D61" s="588" t="s">
        <v>1351</v>
      </c>
    </row>
    <row r="62" spans="1:4" s="584" customFormat="1">
      <c r="A62" s="709" t="s">
        <v>474</v>
      </c>
      <c r="B62" s="710" t="s">
        <v>1321</v>
      </c>
      <c r="C62" s="710" t="s">
        <v>1386</v>
      </c>
      <c r="D62" s="589" t="s">
        <v>1383</v>
      </c>
    </row>
    <row r="63" spans="1:4" s="584" customFormat="1" ht="15.75" thickBot="1">
      <c r="A63" s="713" t="s">
        <v>473</v>
      </c>
      <c r="B63" s="714" t="s">
        <v>1322</v>
      </c>
      <c r="C63" s="714" t="s">
        <v>1350</v>
      </c>
      <c r="D63" s="586" t="s">
        <v>1351</v>
      </c>
    </row>
    <row r="64" spans="1:4" s="584" customFormat="1" ht="30">
      <c r="A64" s="730" t="s">
        <v>506</v>
      </c>
      <c r="B64" s="731" t="s">
        <v>1323</v>
      </c>
      <c r="C64" s="736" t="s">
        <v>1387</v>
      </c>
      <c r="D64" s="587" t="s">
        <v>1383</v>
      </c>
    </row>
    <row r="65" spans="1:4" s="584" customFormat="1">
      <c r="A65" s="732" t="s">
        <v>505</v>
      </c>
      <c r="B65" s="733" t="s">
        <v>1324</v>
      </c>
      <c r="C65" s="733" t="s">
        <v>1350</v>
      </c>
      <c r="D65" s="588" t="s">
        <v>1351</v>
      </c>
    </row>
    <row r="66" spans="1:4" s="584" customFormat="1" ht="30">
      <c r="A66" s="709" t="s">
        <v>504</v>
      </c>
      <c r="B66" s="710" t="s">
        <v>1325</v>
      </c>
      <c r="C66" s="711" t="s">
        <v>1388</v>
      </c>
      <c r="D66" s="589" t="s">
        <v>1383</v>
      </c>
    </row>
    <row r="67" spans="1:4" s="584" customFormat="1">
      <c r="A67" s="709" t="s">
        <v>503</v>
      </c>
      <c r="B67" s="710" t="s">
        <v>1326</v>
      </c>
      <c r="C67" s="710" t="s">
        <v>1350</v>
      </c>
      <c r="D67" s="590" t="s">
        <v>1351</v>
      </c>
    </row>
    <row r="68" spans="1:4" s="584" customFormat="1" ht="30">
      <c r="A68" s="732" t="s">
        <v>469</v>
      </c>
      <c r="B68" s="733" t="s">
        <v>1327</v>
      </c>
      <c r="C68" s="737" t="s">
        <v>1389</v>
      </c>
      <c r="D68" s="591" t="s">
        <v>1383</v>
      </c>
    </row>
    <row r="69" spans="1:4" s="584" customFormat="1">
      <c r="A69" s="732" t="s">
        <v>468</v>
      </c>
      <c r="B69" s="733" t="s">
        <v>1328</v>
      </c>
      <c r="C69" s="733" t="s">
        <v>1350</v>
      </c>
      <c r="D69" s="588" t="s">
        <v>1351</v>
      </c>
    </row>
    <row r="70" spans="1:4" s="584" customFormat="1" ht="30">
      <c r="A70" s="709" t="s">
        <v>467</v>
      </c>
      <c r="B70" s="710" t="s">
        <v>1329</v>
      </c>
      <c r="C70" s="711" t="s">
        <v>1390</v>
      </c>
      <c r="D70" s="589" t="s">
        <v>1383</v>
      </c>
    </row>
    <row r="71" spans="1:4" s="584" customFormat="1">
      <c r="A71" s="728" t="s">
        <v>466</v>
      </c>
      <c r="B71" s="729" t="s">
        <v>1330</v>
      </c>
      <c r="C71" s="729" t="s">
        <v>1350</v>
      </c>
      <c r="D71" s="592" t="s">
        <v>1351</v>
      </c>
    </row>
    <row r="72" spans="1:4" s="882" customFormat="1">
      <c r="A72" s="884" t="s">
        <v>311</v>
      </c>
      <c r="B72" s="885" t="s">
        <v>1260</v>
      </c>
      <c r="C72" s="885" t="s">
        <v>1391</v>
      </c>
      <c r="D72" s="886" t="s">
        <v>1392</v>
      </c>
    </row>
    <row r="73" spans="1:4" s="882" customFormat="1" ht="15.75" thickBot="1">
      <c r="A73" s="887" t="s">
        <v>312</v>
      </c>
      <c r="B73" s="888" t="s">
        <v>1259</v>
      </c>
      <c r="C73" s="888" t="s">
        <v>1393</v>
      </c>
      <c r="D73" s="889" t="s">
        <v>1394</v>
      </c>
    </row>
    <row r="74" spans="1:4">
      <c r="A74" s="224" t="s">
        <v>964</v>
      </c>
      <c r="B74" s="224" t="s">
        <v>1254</v>
      </c>
      <c r="C74" s="891" t="s">
        <v>2010</v>
      </c>
      <c r="D74" s="892" t="s">
        <v>45</v>
      </c>
    </row>
    <row r="75" spans="1:4">
      <c r="A75" s="870" t="s">
        <v>969</v>
      </c>
      <c r="B75" s="870" t="s">
        <v>979</v>
      </c>
      <c r="C75" s="890" t="s">
        <v>2011</v>
      </c>
      <c r="D75" s="718" t="s">
        <v>1351</v>
      </c>
    </row>
    <row r="76" spans="1:4" s="882" customFormat="1">
      <c r="A76" s="883" t="s">
        <v>970</v>
      </c>
      <c r="B76" s="883" t="s">
        <v>1253</v>
      </c>
      <c r="C76" s="885" t="s">
        <v>2013</v>
      </c>
      <c r="D76" s="881" t="s">
        <v>45</v>
      </c>
    </row>
    <row r="77" spans="1:4" s="882" customFormat="1">
      <c r="A77" s="883" t="s">
        <v>968</v>
      </c>
      <c r="B77" s="883" t="s">
        <v>984</v>
      </c>
      <c r="C77" s="885" t="s">
        <v>2012</v>
      </c>
      <c r="D77" s="893" t="s">
        <v>1351</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A271" zoomScale="80" zoomScaleNormal="80" zoomScaleSheetLayoutView="104" workbookViewId="0">
      <selection activeCell="D297" sqref="D297"/>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1395</v>
      </c>
      <c r="B1" s="65" t="s">
        <v>1396</v>
      </c>
      <c r="C1" s="65" t="s">
        <v>1397</v>
      </c>
      <c r="D1" s="145" t="s">
        <v>1398</v>
      </c>
      <c r="F1" s="578" t="s">
        <v>1399</v>
      </c>
      <c r="G1" s="1261" t="s">
        <v>1400</v>
      </c>
      <c r="H1" s="1262"/>
      <c r="I1" s="577" t="s">
        <v>1401</v>
      </c>
      <c r="J1" s="577" t="s">
        <v>1401</v>
      </c>
      <c r="K1" s="577"/>
    </row>
    <row r="2" spans="1:11" ht="15.75" thickBot="1">
      <c r="A2" s="73" t="str" cm="1">
        <f t="array" ref="A2:A285">_xlfn._xlws.FILTER(_xlfn.UNIQUE(I3:I462),ISTEXT(_xlfn.UNIQUE(I3:I462)))</f>
        <v>Agriculture</v>
      </c>
      <c r="B2" s="441" t="str">
        <f>IFERROR(VLOOKUP(A2,'Compartments_Kawecki&amp;Nowack19'!A:C,2,FALSE), IFERROR(VLOOKUP(A2,Compartments_Added!A:C,2,FALSE), "Not found"))</f>
        <v>Flow</v>
      </c>
      <c r="C2" s="441"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65">_xlfn.UNIQUE(_xlfn._xlws.FILTER('Transfer coefficients'!A:A,'Transfer coefficients'!A:A &lt;&gt; ""))</f>
        <v>From</v>
      </c>
      <c r="H2" s="32" t="str" cm="1">
        <f t="array" ref="H2:H273">_xlfn.UNIQUE(_xlfn._xlws.FILTER('Transfer coefficients'!B:B,'Transfer coefficients'!B:B &lt;&gt; ""))</f>
        <v>To</v>
      </c>
      <c r="I2" s="32" t="s">
        <v>955</v>
      </c>
      <c r="J2" t="s">
        <v>1402</v>
      </c>
      <c r="K2" s="32"/>
    </row>
    <row r="3" spans="1:11" ht="15.75" thickBot="1">
      <c r="A3" s="74" t="str">
        <v>Domestic primary plastic production</v>
      </c>
      <c r="B3" s="335" t="str">
        <f>IFERROR(VLOOKUP(A3,'Compartments_Kawecki&amp;Nowack19'!A:C,2,FALSE), IFERROR(VLOOKUP(A3,Compartments_Added!A:C,2,FALSE), "Not found"))</f>
        <v>Flow</v>
      </c>
      <c r="C3" s="335"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7" t="str">
        <v>Agriculture</v>
      </c>
      <c r="H3" s="437" t="str">
        <v>Agricultural greenhouse films (discarded)</v>
      </c>
      <c r="I3" s="433" t="str" cm="1">
        <f t="array" ref="I3:I288">_xlfn.UNIQUE(J3:J650)</f>
        <v>Agriculture</v>
      </c>
      <c r="J3" t="str" cm="1">
        <f t="array" ref="J3:J626">_xlfn.VSTACK(F3:F30,G3:G300,H3:H300)</f>
        <v>Agriculture</v>
      </c>
    </row>
    <row r="4" spans="1:11" ht="15.75" thickBot="1">
      <c r="A4" s="74" t="str">
        <v>Household textiles (product sector)</v>
      </c>
      <c r="B4" s="335" t="str">
        <f>IFERROR(VLOOKUP(A4,'Compartments_Kawecki&amp;Nowack19'!A:C,2,FALSE), IFERROR(VLOOKUP(A4,Compartments_Added!A:C,2,FALSE), "Not found"))</f>
        <v>Flow</v>
      </c>
      <c r="C4" s="335"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6" t="str">
        <v>Packaging</v>
      </c>
      <c r="H4" s="313" t="str">
        <v>Agricultural greenhouse films (in use)</v>
      </c>
      <c r="I4" s="501" t="str">
        <v>Domestic primary plastic production</v>
      </c>
      <c r="J4" t="str">
        <v>Domestic primary plastic production</v>
      </c>
    </row>
    <row r="5" spans="1:11" ht="15.75" thickBot="1">
      <c r="A5" s="74" t="str">
        <v>Import of primary plastics</v>
      </c>
      <c r="B5" s="335" t="str">
        <f>IFERROR(VLOOKUP(A5,'Compartments_Kawecki&amp;Nowack19'!A:C,2,FALSE), IFERROR(VLOOKUP(A5,Compartments_Added!A:C,2,FALSE), "Not found"))</f>
        <v>Flow</v>
      </c>
      <c r="C5" s="335"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6" t="str">
        <v>Agricultural waste collection</v>
      </c>
      <c r="H5" s="313" t="str">
        <v>Agricultural mulching films</v>
      </c>
      <c r="I5" s="501" t="str">
        <v>Household textiles (product sector)</v>
      </c>
      <c r="J5" t="str">
        <v>Household textiles (product sector)</v>
      </c>
    </row>
    <row r="6" spans="1:11" ht="15.75" thickBot="1">
      <c r="A6" s="74" t="str">
        <v>Intentionally produced microparticles</v>
      </c>
      <c r="B6" s="335" t="str">
        <f>IFERROR(VLOOKUP(A6,'Compartments_Kawecki&amp;Nowack19'!A:C,2,FALSE), IFERROR(VLOOKUP(A6,Compartments_Added!A:C,2,FALSE), "Not found"))</f>
        <v>Flow</v>
      </c>
      <c r="C6" s="335"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6" t="str">
        <v>Agricultural waste collection (micro)</v>
      </c>
      <c r="H6" s="313" t="str">
        <v>Agricultural other</v>
      </c>
      <c r="I6" s="501" t="str">
        <v>Import of primary plastics</v>
      </c>
      <c r="J6" t="str">
        <v>Import of primary plastics</v>
      </c>
    </row>
    <row r="7" spans="1:11" ht="15.75" thickBot="1">
      <c r="A7" s="74" t="str">
        <v>Packaging</v>
      </c>
      <c r="B7" s="335" t="str">
        <f>IFERROR(VLOOKUP(A7,'Compartments_Kawecki&amp;Nowack19'!A:C,2,FALSE), IFERROR(VLOOKUP(A7,Compartments_Added!A:C,2,FALSE), "Not found"))</f>
        <v>Flow</v>
      </c>
      <c r="C7" s="335"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6" t="str">
        <v>Agricultural packaging bottles</v>
      </c>
      <c r="H7" s="313" t="str">
        <v>Agricultural packaging bottles</v>
      </c>
      <c r="I7" s="501" t="str">
        <v>Intentionally produced microparticles</v>
      </c>
      <c r="J7" t="str">
        <v>Intentionally produced microparticles</v>
      </c>
    </row>
    <row r="8" spans="1:11" ht="15.75" thickBot="1">
      <c r="A8" s="74" t="str">
        <v>Paint</v>
      </c>
      <c r="B8" s="335" t="str">
        <f>IFERROR(VLOOKUP(A8,'Compartments_Kawecki&amp;Nowack19'!A:C,2,FALSE), IFERROR(VLOOKUP(A8,Compartments_Added!A:C,2,FALSE), "Not found"))</f>
        <v>Flow</v>
      </c>
      <c r="C8" s="335"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6" t="str">
        <v>Agricultural packaging films</v>
      </c>
      <c r="H8" s="313" t="str">
        <v>Agricultural packaging films</v>
      </c>
      <c r="I8" s="501" t="str">
        <v>Packaging</v>
      </c>
      <c r="J8" t="str">
        <v>Packaging</v>
      </c>
    </row>
    <row r="9" spans="1:11" ht="15.75" thickBot="1">
      <c r="A9" s="74" t="str">
        <v>Technical textiles</v>
      </c>
      <c r="B9" s="335" t="str">
        <f>IFERROR(VLOOKUP(A9,'Compartments_Kawecki&amp;Nowack19'!A:C,2,FALSE), IFERROR(VLOOKUP(A9,Compartments_Added!A:C,2,FALSE), "Not found"))</f>
        <v>Flow</v>
      </c>
      <c r="C9" s="335"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6" t="str">
        <v>Compost (macro)</v>
      </c>
      <c r="H9" s="313" t="str">
        <v>Agricultural pipes (discarded)</v>
      </c>
      <c r="I9" s="501" t="str">
        <v>Paint</v>
      </c>
      <c r="J9" t="str">
        <v>Paint</v>
      </c>
    </row>
    <row r="10" spans="1:11" ht="15.75" thickBot="1">
      <c r="A10" s="74" t="str">
        <v>Tyre wear</v>
      </c>
      <c r="B10" s="335" t="str">
        <f>IFERROR(VLOOKUP(A10,'Compartments_Kawecki&amp;Nowack19'!A:C,2,FALSE), IFERROR(VLOOKUP(A10,Compartments_Added!A:C,2,FALSE), "Not found"))</f>
        <v>Flow</v>
      </c>
      <c r="C10" s="335"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6" t="str">
        <v>Agrotextiles</v>
      </c>
      <c r="H10" s="313" t="str">
        <v>Agricultural pipes (in use)</v>
      </c>
      <c r="I10" s="501" t="str">
        <v>Technical textiles</v>
      </c>
      <c r="J10" t="str">
        <v>Technical textiles</v>
      </c>
    </row>
    <row r="11" spans="1:11" ht="15.75" thickBot="1">
      <c r="A11" s="74" t="str">
        <v>Import of clothing (EU)</v>
      </c>
      <c r="B11" s="335" t="str">
        <f>IFERROR(VLOOKUP(A11,'Compartments_Kawecki&amp;Nowack19'!A:C,2,FALSE), IFERROR(VLOOKUP(A11,Compartments_Added!A:C,2,FALSE), "Not found"))</f>
        <v>Flow</v>
      </c>
      <c r="C11" s="335" t="str">
        <f>IFERROR(VLOOKUP(A11,'Compartments_Kawecki&amp;Nowack19'!A:C,3,FALSE), IFERROR(VLOOKUP(A11,Compartments_Added!A:C,3,FALSE), "Not found"))</f>
        <v>ImportClothingEU</v>
      </c>
      <c r="D11" s="95" t="str">
        <f>IFERROR(IF(VLOOKUP(A11,'Compartments_Kawecki&amp;Nowack19'!A:C,1,FALSE)=A11, "Kawecki","what?"),"Added/changed")</f>
        <v>Added/changed</v>
      </c>
      <c r="F11" s="324" t="str">
        <v>Tyre wear</v>
      </c>
      <c r="G11" s="496" t="str">
        <v>Agricultural mulching films</v>
      </c>
      <c r="H11" s="313" t="str">
        <v>Agricultural plastic recycling</v>
      </c>
      <c r="I11" s="501" t="str">
        <v>Tyre wear</v>
      </c>
      <c r="J11" t="str">
        <v>Tyre wear</v>
      </c>
    </row>
    <row r="12" spans="1:11" ht="15.75" thickBot="1">
      <c r="A12" s="74" t="str">
        <v>Import of clothing (Global)</v>
      </c>
      <c r="B12" s="335" t="str">
        <f>IFERROR(VLOOKUP(A12,'Compartments_Kawecki&amp;Nowack19'!A:C,2,FALSE), IFERROR(VLOOKUP(A12,Compartments_Added!A:C,2,FALSE), "Not found"))</f>
        <v>Flow</v>
      </c>
      <c r="C12" s="335"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6" t="str">
        <v>Agricultural other</v>
      </c>
      <c r="H12" s="313" t="str">
        <v>Incineration</v>
      </c>
      <c r="I12" s="501" t="str">
        <v>Import of clothing (EU)</v>
      </c>
      <c r="J12" t="str">
        <v>Import of clothing (EU)</v>
      </c>
    </row>
    <row r="13" spans="1:11" ht="15.75" thickBot="1">
      <c r="A13" s="74" t="str">
        <v>Agricultural waste collection</v>
      </c>
      <c r="B13" s="335" t="str">
        <f>IFERROR(VLOOKUP(A13,'Compartments_Kawecki&amp;Nowack19'!A:C,2,FALSE), IFERROR(VLOOKUP(A13,Compartments_Added!A:C,2,FALSE), "Not found"))</f>
        <v>Flow</v>
      </c>
      <c r="C13" s="335" t="str">
        <f>IFERROR(VLOOKUP(A13,'Compartments_Kawecki&amp;Nowack19'!A:C,3,FALSE), IFERROR(VLOOKUP(A13,Compartments_Added!A:C,3,FALSE), "Not found"))</f>
        <v>AgricultureCollection</v>
      </c>
      <c r="D13" s="95" t="str">
        <f>IFERROR(IF(VLOOKUP(A13,'Compartments_Kawecki&amp;Nowack19'!A:C,1,FALSE)=A13, "Kawecki","what?"),"Added/changed")</f>
        <v>Kawecki</v>
      </c>
      <c r="F13" s="75" t="str">
        <v>Import of clothing (Global)</v>
      </c>
      <c r="G13" s="496" t="str">
        <v>Agricultural pipes (in use)</v>
      </c>
      <c r="H13" s="313" t="str">
        <v>Landfill</v>
      </c>
      <c r="I13" s="501" t="str">
        <v>Import of clothing (Global)</v>
      </c>
      <c r="J13" t="str">
        <v>Import of clothing (Global)</v>
      </c>
    </row>
    <row r="14" spans="1:11" ht="15.75" thickBot="1">
      <c r="A14" s="74" t="str">
        <v>Agricultural waste collection (micro)</v>
      </c>
      <c r="B14" s="335" t="str">
        <f>IFERROR(VLOOKUP(A14,'Compartments_Kawecki&amp;Nowack19'!A:C,2,FALSE), IFERROR(VLOOKUP(A14,Compartments_Added!A:C,2,FALSE), "Not found"))</f>
        <v>Flow</v>
      </c>
      <c r="C14" s="335" t="str">
        <f>IFERROR(VLOOKUP(A14,'Compartments_Kawecki&amp;Nowack19'!A:C,3,FALSE), IFERROR(VLOOKUP(A14,Compartments_Added!A:C,3,FALSE), "Not found"))</f>
        <v>AgriculturalWasteCollectionMicro</v>
      </c>
      <c r="D14" s="95" t="str">
        <f>IFERROR(IF(VLOOKUP(A14,'Compartments_Kawecki&amp;Nowack19'!A:C,1,FALSE)=A14, "Kawecki","what?"),"Added/changed")</f>
        <v>Added/changed</v>
      </c>
      <c r="F14" s="17"/>
      <c r="G14" s="496" t="str">
        <v>Agricultural greenhouse films (in use)</v>
      </c>
      <c r="H14" s="313" t="str">
        <v>Residential soil (macro)</v>
      </c>
      <c r="I14" s="501">
        <v>0</v>
      </c>
      <c r="J14">
        <v>0</v>
      </c>
    </row>
    <row r="15" spans="1:11" ht="15.75" thickBot="1">
      <c r="A15" s="74" t="str">
        <v>Agricultural packaging bottles</v>
      </c>
      <c r="B15" s="335" t="str">
        <f>IFERROR(VLOOKUP(A15,'Compartments_Kawecki&amp;Nowack19'!A:C,2,FALSE), IFERROR(VLOOKUP(A15,Compartments_Added!A:C,2,FALSE), "Not found"))</f>
        <v>Stock</v>
      </c>
      <c r="C15" s="335" t="str">
        <f>IFERROR(VLOOKUP(A15,'Compartments_Kawecki&amp;Nowack19'!A:C,3,FALSE), IFERROR(VLOOKUP(A15,Compartments_Added!A:C,3,FALSE), "Not found"))</f>
        <v>AgriculturalPackagingBottles</v>
      </c>
      <c r="D15" s="95" t="str">
        <f>IFERROR(IF(VLOOKUP(A15,'Compartments_Kawecki&amp;Nowack19'!A:C,1,FALSE)=A15, "Kawecki","what?"),"Added/changed")</f>
        <v>Kawecki</v>
      </c>
      <c r="F15" s="17"/>
      <c r="G15" s="496" t="str">
        <v>Compost (micro)</v>
      </c>
      <c r="H15" s="313" t="str">
        <v>Agricultural soil (macro)</v>
      </c>
      <c r="I15" s="501" t="str">
        <v>Agricultural waste collection</v>
      </c>
      <c r="J15">
        <v>0</v>
      </c>
    </row>
    <row r="16" spans="1:11" ht="15.75" thickBot="1">
      <c r="A16" s="74" t="str">
        <v>Agricultural packaging films</v>
      </c>
      <c r="B16" s="335" t="str">
        <f>IFERROR(VLOOKUP(A16,'Compartments_Kawecki&amp;Nowack19'!A:C,2,FALSE), IFERROR(VLOOKUP(A16,Compartments_Added!A:C,2,FALSE), "Not found"))</f>
        <v>Stock</v>
      </c>
      <c r="C16" s="335" t="str">
        <f>IFERROR(VLOOKUP(A16,'Compartments_Kawecki&amp;Nowack19'!A:C,3,FALSE), IFERROR(VLOOKUP(A16,Compartments_Added!A:C,3,FALSE), "Not found"))</f>
        <v>AgriculturalPackagingFilms</v>
      </c>
      <c r="D16" s="95" t="str">
        <f>IFERROR(IF(VLOOKUP(A16,'Compartments_Kawecki&amp;Nowack19'!A:C,1,FALSE)=A16, "Kawecki","what?"),"Added/changed")</f>
        <v>Kawecki</v>
      </c>
      <c r="F16" s="17"/>
      <c r="G16" s="496" t="str">
        <v>Controlled release fertilizer</v>
      </c>
      <c r="H16" s="313" t="str">
        <v>Agrotextiles (discarded)</v>
      </c>
      <c r="I16" s="501" t="str">
        <v>Agricultural waste collection (micro)</v>
      </c>
      <c r="J16">
        <v>0</v>
      </c>
    </row>
    <row r="17" spans="1:10" ht="15.75" thickBot="1">
      <c r="A17" s="74" t="str">
        <v>Compost (macro)</v>
      </c>
      <c r="B17" s="335" t="str">
        <f>IFERROR(VLOOKUP(A17,'Compartments_Kawecki&amp;Nowack19'!A:C,2,FALSE), IFERROR(VLOOKUP(A17,Compartments_Added!A:C,2,FALSE), "Not found"))</f>
        <v>Flow</v>
      </c>
      <c r="C17" s="335" t="str">
        <f>IFERROR(VLOOKUP(A17,'Compartments_Kawecki&amp;Nowack19'!A:C,3,FALSE), IFERROR(VLOOKUP(A17,Compartments_Added!A:C,3,FALSE), "Not found"))</f>
        <v>CompostMacro</v>
      </c>
      <c r="D17" s="95" t="str">
        <f>IFERROR(IF(VLOOKUP(A17,'Compartments_Kawecki&amp;Nowack19'!A:C,1,FALSE)=A17, "Kawecki","what?"),"Added/changed")</f>
        <v>Kawecki</v>
      </c>
      <c r="F17" s="17"/>
      <c r="G17" s="496" t="str">
        <v>Fertilizer additives</v>
      </c>
      <c r="H17" s="313" t="str">
        <v>Agricultural soil (micro)</v>
      </c>
      <c r="I17" s="501" t="str">
        <v>Agricultural packaging bottles</v>
      </c>
      <c r="J17">
        <v>0</v>
      </c>
    </row>
    <row r="18" spans="1:10" ht="15.75" thickBot="1">
      <c r="A18" s="74" t="str">
        <v>Agrotextiles</v>
      </c>
      <c r="B18" s="335" t="str">
        <f>IFERROR(VLOOKUP(A18,'Compartments_Kawecki&amp;Nowack19'!A:C,2,FALSE), IFERROR(VLOOKUP(A18,Compartments_Added!A:C,2,FALSE), "Not found"))</f>
        <v>Flow</v>
      </c>
      <c r="C18" s="335" t="str">
        <f>IFERROR(VLOOKUP(A18,'Compartments_Kawecki&amp;Nowack19'!A:C,3,FALSE), IFERROR(VLOOKUP(A18,Compartments_Added!A:C,3,FALSE), "Not found"))</f>
        <v>Agrotextiles</v>
      </c>
      <c r="D18" s="95" t="str">
        <f>IFERROR(IF(VLOOKUP(A18,'Compartments_Kawecki&amp;Nowack19'!A:C,1,FALSE)=A18, "Kawecki","what?"),"Added/changed")</f>
        <v>Kawecki</v>
      </c>
      <c r="F18" s="17"/>
      <c r="G18" s="496" t="str">
        <v>Plant protection products</v>
      </c>
      <c r="H18" s="313" t="str">
        <v>Agrotextiles (in use)</v>
      </c>
      <c r="I18" s="501" t="str">
        <v>Agricultural packaging films</v>
      </c>
      <c r="J18">
        <v>0</v>
      </c>
    </row>
    <row r="19" spans="1:10" ht="15.75" thickBot="1">
      <c r="A19" s="74" t="str">
        <v>Agricultural mulching films</v>
      </c>
      <c r="B19" s="335" t="str">
        <f>IFERROR(VLOOKUP(A19,'Compartments_Kawecki&amp;Nowack19'!A:C,2,FALSE), IFERROR(VLOOKUP(A19,Compartments_Added!A:C,2,FALSE), "Not found"))</f>
        <v>Flow</v>
      </c>
      <c r="C19" s="335" t="str">
        <f>IFERROR(VLOOKUP(A19,'Compartments_Kawecki&amp;Nowack19'!A:C,3,FALSE), IFERROR(VLOOKUP(A19,Compartments_Added!A:C,3,FALSE), "Not found"))</f>
        <v>AgriMulching</v>
      </c>
      <c r="D19" s="95" t="str">
        <f>IFERROR(IF(VLOOKUP(A19,'Compartments_Kawecki&amp;Nowack19'!A:C,1,FALSE)=A19, "Kawecki","what?"),"Added/changed")</f>
        <v>Added/changed</v>
      </c>
      <c r="F19" s="17"/>
      <c r="G19" s="496" t="str">
        <v>Seed coating</v>
      </c>
      <c r="H19" s="313" t="str">
        <v>Agricultural waste collection</v>
      </c>
      <c r="I19" s="501" t="str">
        <v>Compost (macro)</v>
      </c>
      <c r="J19">
        <v>0</v>
      </c>
    </row>
    <row r="20" spans="1:10" ht="15.75" thickBot="1">
      <c r="A20" s="74" t="str">
        <v>Agricultural other</v>
      </c>
      <c r="B20" s="335" t="str">
        <f>IFERROR(VLOOKUP(A20,'Compartments_Kawecki&amp;Nowack19'!A:C,2,FALSE), IFERROR(VLOOKUP(A20,Compartments_Added!A:C,2,FALSE), "Not found"))</f>
        <v>Flow</v>
      </c>
      <c r="C20" s="335" t="str">
        <f>IFERROR(VLOOKUP(A20,'Compartments_Kawecki&amp;Nowack19'!A:C,3,FALSE), IFERROR(VLOOKUP(A20,Compartments_Added!A:C,3,FALSE), "Not found"))</f>
        <v>AgriculturalOther</v>
      </c>
      <c r="D20" s="95" t="str">
        <f>IFERROR(IF(VLOOKUP(A20,'Compartments_Kawecki&amp;Nowack19'!A:C,1,FALSE)=A20, "Kawecki","what?"),"Added/changed")</f>
        <v>Kawecki</v>
      </c>
      <c r="F20" s="17"/>
      <c r="G20" s="496" t="str">
        <v>Agricultural pipes (discarded)</v>
      </c>
      <c r="H20" s="313" t="str">
        <v>Agricultural waste collection (micro)</v>
      </c>
      <c r="I20" s="501" t="str">
        <v>Agrotextiles</v>
      </c>
      <c r="J20">
        <v>0</v>
      </c>
    </row>
    <row r="21" spans="1:10" ht="15.75" thickBot="1">
      <c r="A21" s="74" t="str">
        <v>Agricultural pipes (in use)</v>
      </c>
      <c r="B21" s="335" t="str">
        <f>IFERROR(VLOOKUP(A21,'Compartments_Kawecki&amp;Nowack19'!A:C,2,FALSE), IFERROR(VLOOKUP(A21,Compartments_Added!A:C,2,FALSE), "Not found"))</f>
        <v>Stock</v>
      </c>
      <c r="C21" s="335" t="str">
        <f>IFERROR(VLOOKUP(A21,'Compartments_Kawecki&amp;Nowack19'!A:C,3,FALSE), IFERROR(VLOOKUP(A21,Compartments_Added!A:C,3,FALSE), "Not found"))</f>
        <v>AgriculturalPipesIU</v>
      </c>
      <c r="D21" s="95" t="str">
        <f>IFERROR(IF(VLOOKUP(A21,'Compartments_Kawecki&amp;Nowack19'!A:C,1,FALSE)=A21, "Kawecki","what?"),"Added/changed")</f>
        <v>Added/changed</v>
      </c>
      <c r="F21" s="17"/>
      <c r="G21" s="496" t="str">
        <v>Agricultural greenhouse films (discarded)</v>
      </c>
      <c r="H21" s="313" t="str">
        <v>Collected organic waste</v>
      </c>
      <c r="I21" s="501" t="str">
        <v>Agricultural mulching films</v>
      </c>
      <c r="J21">
        <v>0</v>
      </c>
    </row>
    <row r="22" spans="1:10" ht="15.75" thickBot="1">
      <c r="A22" s="74" t="str">
        <v>Agricultural greenhouse films (in use)</v>
      </c>
      <c r="B22" s="335" t="str">
        <f>IFERROR(VLOOKUP(A22,'Compartments_Kawecki&amp;Nowack19'!A:C,2,FALSE), IFERROR(VLOOKUP(A22,Compartments_Added!A:C,2,FALSE), "Not found"))</f>
        <v>Stock</v>
      </c>
      <c r="C22" s="335" t="str">
        <f>IFERROR(VLOOKUP(A22,'Compartments_Kawecki&amp;Nowack19'!A:C,3,FALSE), IFERROR(VLOOKUP(A22,Compartments_Added!A:C,3,FALSE), "Not found"))</f>
        <v>AgriculturalFilmsIU</v>
      </c>
      <c r="D22" s="95" t="str">
        <f>IFERROR(IF(VLOOKUP(A22,'Compartments_Kawecki&amp;Nowack19'!A:C,1,FALSE)=A22, "Kawecki","what?"),"Added/changed")</f>
        <v>Added/changed</v>
      </c>
      <c r="F22" s="17"/>
      <c r="G22" s="496" t="str">
        <v>Agrotextiles (discarded)</v>
      </c>
      <c r="H22" s="313" t="str">
        <v>Dumping</v>
      </c>
      <c r="I22" s="501" t="str">
        <v>Agricultural other</v>
      </c>
      <c r="J22">
        <v>0</v>
      </c>
    </row>
    <row r="23" spans="1:10" ht="15.75" thickBot="1">
      <c r="A23" s="74" t="str">
        <v>Compost (micro)</v>
      </c>
      <c r="B23" s="335" t="str">
        <f>IFERROR(VLOOKUP(A23,'Compartments_Kawecki&amp;Nowack19'!A:C,2,FALSE), IFERROR(VLOOKUP(A23,Compartments_Added!A:C,2,FALSE), "Not found"))</f>
        <v>Flow</v>
      </c>
      <c r="C23" s="335" t="str">
        <f>IFERROR(VLOOKUP(A23,'Compartments_Kawecki&amp;Nowack19'!A:C,3,FALSE), IFERROR(VLOOKUP(A23,Compartments_Added!A:C,3,FALSE), "Not found"))</f>
        <v>CompostMicro</v>
      </c>
      <c r="D23" s="95" t="str">
        <f>IFERROR(IF(VLOOKUP(A23,'Compartments_Kawecki&amp;Nowack19'!A:C,1,FALSE)=A23, "Kawecki","what?"),"Added/changed")</f>
        <v>Kawecki</v>
      </c>
      <c r="F23" s="17"/>
      <c r="G23" s="496" t="str">
        <v>Agrotextiles (in use)</v>
      </c>
      <c r="H23" s="313" t="str">
        <v>Building textiles (discarded)</v>
      </c>
      <c r="I23" s="501" t="str">
        <v>Agricultural pipes (in use)</v>
      </c>
      <c r="J23">
        <v>0</v>
      </c>
    </row>
    <row r="24" spans="1:10" ht="15.75" thickBot="1">
      <c r="A24" s="74" t="str">
        <v>Controlled release fertilizer</v>
      </c>
      <c r="B24" s="335" t="str">
        <f>IFERROR(VLOOKUP(A24,'Compartments_Kawecki&amp;Nowack19'!A:C,2,FALSE), IFERROR(VLOOKUP(A24,Compartments_Added!A:C,2,FALSE), "Not found"))</f>
        <v>Flow</v>
      </c>
      <c r="C24" s="335" t="str">
        <f>IFERROR(VLOOKUP(A24,'Compartments_Kawecki&amp;Nowack19'!A:C,3,FALSE), IFERROR(VLOOKUP(A24,Compartments_Added!A:C,3,FALSE), "Not found"))</f>
        <v>ControlledFertilizer</v>
      </c>
      <c r="D24" s="95" t="str">
        <f>IFERROR(IF(VLOOKUP(A24,'Compartments_Kawecki&amp;Nowack19'!A:C,1,FALSE)=A24, "Kawecki","what?"),"Added/changed")</f>
        <v>Added/changed</v>
      </c>
      <c r="F24" s="17"/>
      <c r="G24" s="496" t="str">
        <v>Building textiles</v>
      </c>
      <c r="H24" s="313" t="str">
        <v>Building textiles (in use)</v>
      </c>
      <c r="I24" s="501" t="str">
        <v>Agricultural greenhouse films (in use)</v>
      </c>
      <c r="J24">
        <v>0</v>
      </c>
    </row>
    <row r="25" spans="1:10" ht="15.75" thickBot="1">
      <c r="A25" s="74" t="str">
        <v>Fertilizer additives</v>
      </c>
      <c r="B25" s="335" t="str">
        <f>IFERROR(VLOOKUP(A25,'Compartments_Kawecki&amp;Nowack19'!A:C,2,FALSE), IFERROR(VLOOKUP(A25,Compartments_Added!A:C,2,FALSE), "Not found"))</f>
        <v>Flow</v>
      </c>
      <c r="C25" s="335" t="str">
        <f>IFERROR(VLOOKUP(A25,'Compartments_Kawecki&amp;Nowack19'!A:C,3,FALSE), IFERROR(VLOOKUP(A25,Compartments_Added!A:C,3,FALSE), "Not found"))</f>
        <v>FertilizerAdditive</v>
      </c>
      <c r="D25" s="95" t="str">
        <f>IFERROR(IF(VLOOKUP(A25,'Compartments_Kawecki&amp;Nowack19'!A:C,1,FALSE)=A25, "Kawecki","what?"),"Added/changed")</f>
        <v>Added/changed</v>
      </c>
      <c r="F25" s="17"/>
      <c r="G25" s="496" t="str">
        <v>Building textiles (discarded)</v>
      </c>
      <c r="H25" s="313" t="str">
        <v>Construction and demolition incinerable waste collection</v>
      </c>
      <c r="I25" s="501" t="str">
        <v>Compost (micro)</v>
      </c>
      <c r="J25">
        <v>0</v>
      </c>
    </row>
    <row r="26" spans="1:10" ht="15.75" thickBot="1">
      <c r="A26" s="362" t="str">
        <v>Plant protection products</v>
      </c>
      <c r="B26" s="335" t="str">
        <f>IFERROR(VLOOKUP(A26,'Compartments_Kawecki&amp;Nowack19'!A:C,2,FALSE), IFERROR(VLOOKUP(A26,Compartments_Added!A:C,2,FALSE), "Not found"))</f>
        <v>Flow</v>
      </c>
      <c r="C26" s="609" t="str">
        <f>IFERROR(VLOOKUP(A26,'Compartments_Kawecki&amp;Nowack19'!A:C,3,FALSE), IFERROR(VLOOKUP(A26,Compartments_Added!A:C,3,FALSE), "Not found"))</f>
        <v>PlantProtection</v>
      </c>
      <c r="D26" s="95" t="str">
        <f>IFERROR(IF(VLOOKUP(A26,'Compartments_Kawecki&amp;Nowack19'!A:C,1,FALSE)=A26, "Kawecki","what?"),"Added/changed")</f>
        <v>Added/changed</v>
      </c>
      <c r="F26" s="17"/>
      <c r="G26" s="496" t="str">
        <v>Building textiles (in use)</v>
      </c>
      <c r="H26" s="313" t="str">
        <v>Building packaging films</v>
      </c>
      <c r="I26" s="501" t="str">
        <v>Controlled release fertilizer</v>
      </c>
      <c r="J26">
        <v>0</v>
      </c>
    </row>
    <row r="27" spans="1:10" ht="15.75" thickBot="1">
      <c r="A27" s="362" t="str">
        <v>Seed coating</v>
      </c>
      <c r="B27" s="335" t="str">
        <f>IFERROR(VLOOKUP(A27,'Compartments_Kawecki&amp;Nowack19'!A:C,2,FALSE), IFERROR(VLOOKUP(A27,Compartments_Added!A:C,2,FALSE), "Not found"))</f>
        <v>Flow</v>
      </c>
      <c r="C27" s="609" t="str">
        <f>IFERROR(VLOOKUP(A27,'Compartments_Kawecki&amp;Nowack19'!A:C,3,FALSE), IFERROR(VLOOKUP(A27,Compartments_Added!A:C,3,FALSE), "Not found"))</f>
        <v>SeedCoating</v>
      </c>
      <c r="D27" s="95" t="str">
        <f>IFERROR(IF(VLOOKUP(A27,'Compartments_Kawecki&amp;Nowack19'!A:C,1,FALSE)=A27, "Kawecki","what?"),"Added/changed")</f>
        <v>Added/changed</v>
      </c>
      <c r="F27" s="17"/>
      <c r="G27" s="496" t="str">
        <v>ELV textiles collection</v>
      </c>
      <c r="H27" s="313" t="str">
        <v>Geotextiles (discarded)</v>
      </c>
      <c r="I27" s="501" t="str">
        <v>Fertilizer additives</v>
      </c>
      <c r="J27">
        <v>0</v>
      </c>
    </row>
    <row r="28" spans="1:10" ht="15.75" thickBot="1">
      <c r="A28" s="362" t="str">
        <v>Agricultural pipes (discarded)</v>
      </c>
      <c r="B28" s="335" t="str">
        <f>IFERROR(VLOOKUP(A28,'Compartments_Kawecki&amp;Nowack19'!A:C,2,FALSE), IFERROR(VLOOKUP(A28,Compartments_Added!A:C,2,FALSE), "Not found"))</f>
        <v>Stock</v>
      </c>
      <c r="C28" s="335" t="str">
        <f>IFERROR(VLOOKUP(A28,'Compartments_Kawecki&amp;Nowack19'!A:C,3,FALSE), IFERROR(VLOOKUP(A28,Compartments_Added!A:C,3,FALSE), "Not found"))</f>
        <v>AgriculturalPipesDis</v>
      </c>
      <c r="D28" s="95" t="str">
        <f>IFERROR(IF(VLOOKUP(A28,'Compartments_Kawecki&amp;Nowack19'!A:C,1,FALSE)=A28, "Kawecki","what?"),"Added/changed")</f>
        <v>Added/changed</v>
      </c>
      <c r="F28" s="17"/>
      <c r="G28" s="496" t="str">
        <v>Geotextiles</v>
      </c>
      <c r="H28" s="313" t="str">
        <v>Geotextiles (in use)</v>
      </c>
      <c r="I28" s="501" t="str">
        <v>Plant protection products</v>
      </c>
      <c r="J28">
        <v>0</v>
      </c>
    </row>
    <row r="29" spans="1:10" ht="15.75" thickBot="1">
      <c r="A29" s="74" t="str">
        <v>Agricultural greenhouse films (discarded)</v>
      </c>
      <c r="B29" s="335" t="str">
        <f>IFERROR(VLOOKUP(A29,'Compartments_Kawecki&amp;Nowack19'!A:C,2,FALSE), IFERROR(VLOOKUP(A29,Compartments_Added!A:C,2,FALSE), "Not found"))</f>
        <v>Stock</v>
      </c>
      <c r="C29" s="335" t="str">
        <f>IFERROR(VLOOKUP(A29,'Compartments_Kawecki&amp;Nowack19'!A:C,3,FALSE), IFERROR(VLOOKUP(A29,Compartments_Added!A:C,3,FALSE), "Not found"))</f>
        <v>AgriculturalFilmsDis</v>
      </c>
      <c r="D29" s="95" t="str">
        <f>IFERROR(IF(VLOOKUP(A29,'Compartments_Kawecki&amp;Nowack19'!A:C,1,FALSE)=A29, "Kawecki","what?"),"Added/changed")</f>
        <v>Added/changed</v>
      </c>
      <c r="F29" s="17"/>
      <c r="G29" s="496" t="str">
        <v>Geotextiles (discarded)</v>
      </c>
      <c r="H29" s="313" t="str">
        <v>Sub-surface soil (micro)</v>
      </c>
      <c r="I29" s="501" t="str">
        <v>Seed coating</v>
      </c>
      <c r="J29">
        <v>0</v>
      </c>
    </row>
    <row r="30" spans="1:10" ht="15.75" thickBot="1">
      <c r="A30" s="74" t="str">
        <v>Agrotextiles (discarded)</v>
      </c>
      <c r="B30" s="335" t="str">
        <f>IFERROR(VLOOKUP(A30,'Compartments_Kawecki&amp;Nowack19'!A:C,2,FALSE), IFERROR(VLOOKUP(A30,Compartments_Added!A:C,2,FALSE), "Not found"))</f>
        <v>Stock</v>
      </c>
      <c r="C30" s="335" t="str">
        <f>IFERROR(VLOOKUP(A30,'Compartments_Kawecki&amp;Nowack19'!A:C,3,FALSE), IFERROR(VLOOKUP(A30,Compartments_Added!A:C,3,FALSE), "Not found"))</f>
        <v>AgrotextilesDis</v>
      </c>
      <c r="D30" s="95" t="str">
        <f>IFERROR(IF(VLOOKUP(A30,'Compartments_Kawecki&amp;Nowack19'!A:C,1,FALSE)=A30, "Kawecki","what?"),"Added/changed")</f>
        <v>Added/changed</v>
      </c>
      <c r="F30" s="17"/>
      <c r="G30" s="496" t="str">
        <v>Geotextiles (in use)</v>
      </c>
      <c r="H30" s="313" t="str">
        <v>Home textiles (discarded)</v>
      </c>
      <c r="I30" s="501" t="str">
        <v>Agricultural pipes (discarded)</v>
      </c>
      <c r="J30">
        <v>0</v>
      </c>
    </row>
    <row r="31" spans="1:10" ht="15.75" thickBot="1">
      <c r="A31" s="74" t="str">
        <v>Agrotextiles (in use)</v>
      </c>
      <c r="B31" s="335" t="str">
        <f>IFERROR(VLOOKUP(A31,'Compartments_Kawecki&amp;Nowack19'!A:C,2,FALSE), IFERROR(VLOOKUP(A31,Compartments_Added!A:C,2,FALSE), "Not found"))</f>
        <v>Stock</v>
      </c>
      <c r="C31" s="335" t="str">
        <f>IFERROR(VLOOKUP(A31,'Compartments_Kawecki&amp;Nowack19'!A:C,3,FALSE), IFERROR(VLOOKUP(A31,Compartments_Added!A:C,3,FALSE), "Not found"))</f>
        <v>AgrotextilesIU</v>
      </c>
      <c r="D31" s="95" t="str">
        <f>IFERROR(IF(VLOOKUP(A31,'Compartments_Kawecki&amp;Nowack19'!A:C,1,FALSE)=A31, "Kawecki","what?"),"Added/changed")</f>
        <v>Added/changed</v>
      </c>
      <c r="F31" s="17"/>
      <c r="G31" s="496" t="str">
        <v>Home textiles</v>
      </c>
      <c r="H31" s="313" t="str">
        <v>Home textiles (in use)</v>
      </c>
      <c r="I31" s="501" t="str">
        <v>Agricultural greenhouse films (discarded)</v>
      </c>
      <c r="J31" t="str">
        <v>Agriculture</v>
      </c>
    </row>
    <row r="32" spans="1:10" ht="15.75" thickBot="1">
      <c r="A32" s="74" t="str">
        <v>Building textiles</v>
      </c>
      <c r="B32" s="335" t="str">
        <f>IFERROR(VLOOKUP(A32,'Compartments_Kawecki&amp;Nowack19'!A:C,2,FALSE), IFERROR(VLOOKUP(A32,Compartments_Added!A:C,2,FALSE), "Not found"))</f>
        <v>Flow</v>
      </c>
      <c r="C32" s="335" t="str">
        <f>IFERROR(VLOOKUP(A32,'Compartments_Kawecki&amp;Nowack19'!A:C,3,FALSE), IFERROR(VLOOKUP(A32,Compartments_Added!A:C,3,FALSE), "Not found"))</f>
        <v>BuildingTextiles</v>
      </c>
      <c r="D32" s="95" t="str">
        <f>IFERROR(IF(VLOOKUP(A32,'Compartments_Kawecki&amp;Nowack19'!A:C,1,FALSE)=A32, "Kawecki","what?"),"Added/changed")</f>
        <v>Kawecki</v>
      </c>
      <c r="F32" s="17"/>
      <c r="G32" s="496" t="str">
        <v>Consumer bags</v>
      </c>
      <c r="H32" s="313" t="str">
        <v>Collected organic waste (larger than 1 mm)</v>
      </c>
      <c r="I32" s="501" t="str">
        <v>Agrotextiles (discarded)</v>
      </c>
      <c r="J32" t="str">
        <v>Packaging</v>
      </c>
    </row>
    <row r="33" spans="1:10" ht="15.75" thickBot="1">
      <c r="A33" s="74" t="str">
        <v>Building textiles (discarded)</v>
      </c>
      <c r="B33" s="335" t="str">
        <f>IFERROR(VLOOKUP(A33,'Compartments_Kawecki&amp;Nowack19'!A:C,2,FALSE), IFERROR(VLOOKUP(A33,Compartments_Added!A:C,2,FALSE), "Not found"))</f>
        <v>Stock</v>
      </c>
      <c r="C33" s="335" t="str">
        <f>IFERROR(VLOOKUP(A33,'Compartments_Kawecki&amp;Nowack19'!A:C,3,FALSE), IFERROR(VLOOKUP(A33,Compartments_Added!A:C,3,FALSE), "Not found"))</f>
        <v>BuildingTextilesDis</v>
      </c>
      <c r="D33" s="95" t="str">
        <f>IFERROR(IF(VLOOKUP(A33,'Compartments_Kawecki&amp;Nowack19'!A:C,1,FALSE)=A33, "Kawecki","what?"),"Added/changed")</f>
        <v>Added/changed</v>
      </c>
      <c r="F33" s="17"/>
      <c r="G33" s="496" t="str">
        <v>Consumer bottles</v>
      </c>
      <c r="H33" s="313" t="str">
        <v>Collected organic waste (smaller than 1 mm)</v>
      </c>
      <c r="I33" s="501" t="str">
        <v>Agrotextiles (in use)</v>
      </c>
      <c r="J33" t="str">
        <v>Agricultural waste collection</v>
      </c>
    </row>
    <row r="34" spans="1:10" ht="15.75" thickBot="1">
      <c r="A34" s="74" t="str">
        <v>Building textiles (in use)</v>
      </c>
      <c r="B34" s="335" t="str">
        <f>IFERROR(VLOOKUP(A34,'Compartments_Kawecki&amp;Nowack19'!A:C,2,FALSE), IFERROR(VLOOKUP(A34,Compartments_Added!A:C,2,FALSE), "Not found"))</f>
        <v>Stock</v>
      </c>
      <c r="C34" s="335" t="str">
        <f>IFERROR(VLOOKUP(A34,'Compartments_Kawecki&amp;Nowack19'!A:C,3,FALSE), IFERROR(VLOOKUP(A34,Compartments_Added!A:C,3,FALSE), "Not found"))</f>
        <v>BuildingTextilesIU</v>
      </c>
      <c r="D34" s="95" t="str">
        <f>IFERROR(IF(VLOOKUP(A34,'Compartments_Kawecki&amp;Nowack19'!A:C,1,FALSE)=A34, "Kawecki","what?"),"Added/changed")</f>
        <v>Added/changed</v>
      </c>
      <c r="F34" s="17"/>
      <c r="G34" s="496" t="str">
        <v>Consumer films</v>
      </c>
      <c r="H34" s="313" t="str">
        <v>Combined sewer overflow (macro)</v>
      </c>
      <c r="I34" s="501" t="str">
        <v>Building textiles</v>
      </c>
      <c r="J34" t="str">
        <v>Agricultural waste collection (micro)</v>
      </c>
    </row>
    <row r="35" spans="1:10" ht="15.75" thickBot="1">
      <c r="A35" s="74" t="str">
        <v>ELV textiles collection</v>
      </c>
      <c r="B35" s="335" t="str">
        <f>IFERROR(VLOOKUP(A35,'Compartments_Kawecki&amp;Nowack19'!A:C,2,FALSE), IFERROR(VLOOKUP(A35,Compartments_Added!A:C,2,FALSE), "Not found"))</f>
        <v>Flow</v>
      </c>
      <c r="C35" s="335" t="str">
        <f>IFERROR(VLOOKUP(A35,'Compartments_Kawecki&amp;Nowack19'!A:C,3,FALSE), IFERROR(VLOOKUP(A35,Compartments_Added!A:C,3,FALSE), "Not found"))</f>
        <v>ELVTextilesCollection</v>
      </c>
      <c r="D35" s="95" t="str">
        <f>IFERROR(IF(VLOOKUP(A35,'Compartments_Kawecki&amp;Nowack19'!A:C,1,FALSE)=A35, "Kawecki","what?"),"Added/changed")</f>
        <v>Kawecki</v>
      </c>
      <c r="F35" s="17"/>
      <c r="G35" s="496" t="str">
        <v>Other consumer packaging</v>
      </c>
      <c r="H35" s="313" t="str">
        <v>Combined sewer overflow (micro)</v>
      </c>
      <c r="I35" s="501" t="str">
        <v>Building textiles (discarded)</v>
      </c>
      <c r="J35" t="str">
        <v>Agricultural packaging bottles</v>
      </c>
    </row>
    <row r="36" spans="1:10" ht="15.75" thickBot="1">
      <c r="A36" s="74" t="str">
        <v>Geotextiles</v>
      </c>
      <c r="B36" s="335" t="str">
        <f>IFERROR(VLOOKUP(A36,'Compartments_Kawecki&amp;Nowack19'!A:C,2,FALSE), IFERROR(VLOOKUP(A36,Compartments_Added!A:C,2,FALSE), "Not found"))</f>
        <v>Flow</v>
      </c>
      <c r="C36" s="335" t="str">
        <f>IFERROR(VLOOKUP(A36,'Compartments_Kawecki&amp;Nowack19'!A:C,3,FALSE), IFERROR(VLOOKUP(A36,Compartments_Added!A:C,3,FALSE), "Not found"))</f>
        <v>Geotextiles</v>
      </c>
      <c r="D36" s="95" t="str">
        <f>IFERROR(IF(VLOOKUP(A36,'Compartments_Kawecki&amp;Nowack19'!A:C,1,FALSE)=A36, "Kawecki","what?"),"Added/changed")</f>
        <v>Kawecki</v>
      </c>
      <c r="F36" s="17"/>
      <c r="G36" s="496" t="str">
        <v>Collected organic waste</v>
      </c>
      <c r="H36" s="313" t="str">
        <v>Compost (macro)</v>
      </c>
      <c r="I36" s="501" t="str">
        <v>Building textiles (in use)</v>
      </c>
      <c r="J36" t="str">
        <v>Agricultural packaging films</v>
      </c>
    </row>
    <row r="37" spans="1:10" ht="15.75" thickBot="1">
      <c r="A37" s="74" t="str">
        <v>Geotextiles (discarded)</v>
      </c>
      <c r="B37" s="335" t="str">
        <f>IFERROR(VLOOKUP(A37,'Compartments_Kawecki&amp;Nowack19'!A:C,2,FALSE), IFERROR(VLOOKUP(A37,Compartments_Added!A:C,2,FALSE), "Not found"))</f>
        <v>Stock</v>
      </c>
      <c r="C37" s="335" t="str">
        <f>IFERROR(VLOOKUP(A37,'Compartments_Kawecki&amp;Nowack19'!A:C,3,FALSE), IFERROR(VLOOKUP(A37,Compartments_Added!A:C,3,FALSE), "Not found"))</f>
        <v>GeotextilesDis</v>
      </c>
      <c r="D37" s="95" t="str">
        <f>IFERROR(IF(VLOOKUP(A37,'Compartments_Kawecki&amp;Nowack19'!A:C,1,FALSE)=A37, "Kawecki","what?"),"Added/changed")</f>
        <v>Added/changed</v>
      </c>
      <c r="F37" s="17"/>
      <c r="G37" s="496" t="str">
        <v>Wastewater treatment plant (macro)</v>
      </c>
      <c r="H37" s="313" t="str">
        <v>Compost (micro)</v>
      </c>
      <c r="I37" s="501" t="str">
        <v>ELV textiles collection</v>
      </c>
      <c r="J37" t="str">
        <v>Compost (macro)</v>
      </c>
    </row>
    <row r="38" spans="1:10" ht="15.75" thickBot="1">
      <c r="A38" s="74" t="str">
        <v>Geotextiles (in use)</v>
      </c>
      <c r="B38" s="335" t="str">
        <f>IFERROR(VLOOKUP(A38,'Compartments_Kawecki&amp;Nowack19'!A:C,2,FALSE), IFERROR(VLOOKUP(A38,Compartments_Added!A:C,2,FALSE), "Not found"))</f>
        <v>Stock</v>
      </c>
      <c r="C38" s="335" t="str">
        <f>IFERROR(VLOOKUP(A38,'Compartments_Kawecki&amp;Nowack19'!A:C,3,FALSE), IFERROR(VLOOKUP(A38,Compartments_Added!A:C,3,FALSE), "Not found"))</f>
        <v>GeotextilesIU</v>
      </c>
      <c r="D38" s="95" t="str">
        <f>IFERROR(IF(VLOOKUP(A38,'Compartments_Kawecki&amp;Nowack19'!A:C,1,FALSE)=A38, "Kawecki","what?"),"Added/changed")</f>
        <v>Added/changed</v>
      </c>
      <c r="F38" s="17"/>
      <c r="G38" s="496" t="str">
        <v>Wastewater treatment plant (micro)</v>
      </c>
      <c r="H38" s="313" t="str">
        <v>Compost size separation (fictional process)</v>
      </c>
      <c r="I38" s="501" t="str">
        <v>Geotextiles</v>
      </c>
      <c r="J38" t="str">
        <v>Agrotextiles</v>
      </c>
    </row>
    <row r="39" spans="1:10" ht="15.75" thickBot="1">
      <c r="A39" s="74" t="str">
        <v>Home textiles</v>
      </c>
      <c r="B39" s="335" t="str">
        <f>IFERROR(VLOOKUP(A39,'Compartments_Kawecki&amp;Nowack19'!A:C,2,FALSE), IFERROR(VLOOKUP(A39,Compartments_Added!A:C,2,FALSE), "Not found"))</f>
        <v>Flow</v>
      </c>
      <c r="C39" s="335" t="str">
        <f>IFERROR(VLOOKUP(A39,'Compartments_Kawecki&amp;Nowack19'!A:C,3,FALSE), IFERROR(VLOOKUP(A39,Compartments_Added!A:C,3,FALSE), "Not found"))</f>
        <v>HomeTextiles</v>
      </c>
      <c r="D39" s="95" t="str">
        <f>IFERROR(IF(VLOOKUP(A39,'Compartments_Kawecki&amp;Nowack19'!A:C,1,FALSE)=A39, "Kawecki","what?"),"Added/changed")</f>
        <v>Added/changed</v>
      </c>
      <c r="F39" s="17"/>
      <c r="G39" s="496" t="str">
        <v>Compost size separation (fictional process)</v>
      </c>
      <c r="H39" s="313" t="str">
        <v>Mixed waste collection</v>
      </c>
      <c r="I39" s="501" t="str">
        <v>Geotextiles (discarded)</v>
      </c>
      <c r="J39" t="str">
        <v>Agricultural mulching films</v>
      </c>
    </row>
    <row r="40" spans="1:10" ht="15.75" thickBot="1">
      <c r="A40" s="74" t="str">
        <v>Consumer bags</v>
      </c>
      <c r="B40" s="335" t="str">
        <f>IFERROR(VLOOKUP(A40,'Compartments_Kawecki&amp;Nowack19'!A:C,2,FALSE), IFERROR(VLOOKUP(A40,Compartments_Added!A:C,2,FALSE), "Not found"))</f>
        <v>Stock</v>
      </c>
      <c r="C40" s="335" t="str">
        <f>IFERROR(VLOOKUP(A40,'Compartments_Kawecki&amp;Nowack19'!A:C,3,FALSE), IFERROR(VLOOKUP(A40,Compartments_Added!A:C,3,FALSE), "Not found"))</f>
        <v>ConsumerBags</v>
      </c>
      <c r="D40" s="95" t="str">
        <f>IFERROR(IF(VLOOKUP(A40,'Compartments_Kawecki&amp;Nowack19'!A:C,1,FALSE)=A40, "Kawecki","what?"),"Added/changed")</f>
        <v>Kawecki</v>
      </c>
      <c r="F40" s="17"/>
      <c r="G40" s="496" t="str">
        <v>Collected organic waste (smaller than 1 mm)</v>
      </c>
      <c r="H40" s="313" t="str">
        <v>Consumer bags</v>
      </c>
      <c r="I40" s="501" t="str">
        <v>Geotextiles (in use)</v>
      </c>
      <c r="J40" t="str">
        <v>Agricultural other</v>
      </c>
    </row>
    <row r="41" spans="1:10" ht="15.75" thickBot="1">
      <c r="A41" s="74" t="str">
        <v>Consumer bottles</v>
      </c>
      <c r="B41" s="335" t="str">
        <f>IFERROR(VLOOKUP(A41,'Compartments_Kawecki&amp;Nowack19'!A:C,2,FALSE), IFERROR(VLOOKUP(A41,Compartments_Added!A:C,2,FALSE), "Not found"))</f>
        <v>Stock</v>
      </c>
      <c r="C41" s="335" t="str">
        <f>IFERROR(VLOOKUP(A41,'Compartments_Kawecki&amp;Nowack19'!A:C,3,FALSE), IFERROR(VLOOKUP(A41,Compartments_Added!A:C,3,FALSE), "Not found"))</f>
        <v>ConsumerBottles</v>
      </c>
      <c r="D41" s="95" t="str">
        <f>IFERROR(IF(VLOOKUP(A41,'Compartments_Kawecki&amp;Nowack19'!A:C,1,FALSE)=A41, "Kawecki","what?"),"Added/changed")</f>
        <v>Kawecki</v>
      </c>
      <c r="F41" s="17"/>
      <c r="G41" s="496" t="str">
        <v>Collected organic waste (larger than 1 mm)</v>
      </c>
      <c r="H41" s="313" t="str">
        <v>Consumer bottles</v>
      </c>
      <c r="I41" s="501" t="str">
        <v>Home textiles</v>
      </c>
      <c r="J41" t="str">
        <v>Agricultural pipes (in use)</v>
      </c>
    </row>
    <row r="42" spans="1:10" ht="15.75" thickBot="1">
      <c r="A42" s="74" t="str">
        <v>Consumer films</v>
      </c>
      <c r="B42" s="335" t="str">
        <f>IFERROR(VLOOKUP(A42,'Compartments_Kawecki&amp;Nowack19'!A:C,2,FALSE), IFERROR(VLOOKUP(A42,Compartments_Added!A:C,2,FALSE), "Not found"))</f>
        <v>Stock</v>
      </c>
      <c r="C42" s="335" t="str">
        <f>IFERROR(VLOOKUP(A42,'Compartments_Kawecki&amp;Nowack19'!A:C,3,FALSE), IFERROR(VLOOKUP(A42,Compartments_Added!A:C,3,FALSE), "Not found"))</f>
        <v>ConsumerFilms</v>
      </c>
      <c r="D42" s="95" t="str">
        <f>IFERROR(IF(VLOOKUP(A42,'Compartments_Kawecki&amp;Nowack19'!A:C,1,FALSE)=A42, "Kawecki","what?"),"Added/changed")</f>
        <v>Kawecki</v>
      </c>
      <c r="F42" s="17"/>
      <c r="G42" s="496" t="str">
        <v>Home textiles (discarded)</v>
      </c>
      <c r="H42" s="313" t="str">
        <v>Consumer films</v>
      </c>
      <c r="I42" s="501" t="str">
        <v>Consumer bags</v>
      </c>
      <c r="J42" t="str">
        <v>Agricultural greenhouse films (in use)</v>
      </c>
    </row>
    <row r="43" spans="1:10" ht="15.75" thickBot="1">
      <c r="A43" s="74" t="str">
        <v>Other consumer packaging</v>
      </c>
      <c r="B43" s="335" t="str">
        <f>IFERROR(VLOOKUP(A43,'Compartments_Kawecki&amp;Nowack19'!A:C,2,FALSE), IFERROR(VLOOKUP(A43,Compartments_Added!A:C,2,FALSE), "Not found"))</f>
        <v>Stock</v>
      </c>
      <c r="C43" s="335" t="str">
        <f>IFERROR(VLOOKUP(A43,'Compartments_Kawecki&amp;Nowack19'!A:C,3,FALSE), IFERROR(VLOOKUP(A43,Compartments_Added!A:C,3,FALSE), "Not found"))</f>
        <v>ConsumerOther</v>
      </c>
      <c r="D43" s="95" t="str">
        <f>IFERROR(IF(VLOOKUP(A43,'Compartments_Kawecki&amp;Nowack19'!A:C,1,FALSE)=A43, "Kawecki","what?"),"Added/changed")</f>
        <v>Kawecki</v>
      </c>
      <c r="F43" s="17"/>
      <c r="G43" s="496" t="str">
        <v>Building packaging films</v>
      </c>
      <c r="H43" s="313" t="str">
        <v>Controlled release fertilizer</v>
      </c>
      <c r="I43" s="501" t="str">
        <v>Consumer bottles</v>
      </c>
      <c r="J43" t="str">
        <v>Compost (micro)</v>
      </c>
    </row>
    <row r="44" spans="1:10" ht="15.75" thickBot="1">
      <c r="A44" s="74" t="str">
        <v>Collected organic waste</v>
      </c>
      <c r="B44" s="335" t="str">
        <f>IFERROR(VLOOKUP(A44,'Compartments_Kawecki&amp;Nowack19'!A:C,2,FALSE), IFERROR(VLOOKUP(A44,Compartments_Added!A:C,2,FALSE), "Not found"))</f>
        <v>Flow</v>
      </c>
      <c r="C44" s="335"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496" t="str">
        <v>Intentionally produced microparticles</v>
      </c>
      <c r="H44" s="313" t="str">
        <v>Detergents and maintenance products</v>
      </c>
      <c r="I44" s="501" t="str">
        <v>Consumer films</v>
      </c>
      <c r="J44" t="str">
        <v>Controlled release fertilizer</v>
      </c>
    </row>
    <row r="45" spans="1:10" ht="15.75" thickBot="1">
      <c r="A45" s="74" t="str">
        <v>Wastewater treatment plant (macro)</v>
      </c>
      <c r="B45" s="335" t="str">
        <f>IFERROR(VLOOKUP(A45,'Compartments_Kawecki&amp;Nowack19'!A:C,2,FALSE), IFERROR(VLOOKUP(A45,Compartments_Added!A:C,2,FALSE), "Not found"))</f>
        <v>Flow</v>
      </c>
      <c r="C45" s="335" t="str">
        <f>IFERROR(VLOOKUP(A45,'Compartments_Kawecki&amp;Nowack19'!A:C,3,FALSE), IFERROR(VLOOKUP(A45,Compartments_Added!A:C,3,FALSE), "Not found"))</f>
        <v>WWTPMacro</v>
      </c>
      <c r="D45" s="95" t="str">
        <f>IFERROR(IF(VLOOKUP(A45,'Compartments_Kawecki&amp;Nowack19'!A:C,1,FALSE)=A45, "Kawecki","what?"),"Added/changed")</f>
        <v>Kawecki</v>
      </c>
      <c r="F45" s="17"/>
      <c r="G45" s="496" t="str">
        <v>Home textiles (in use)</v>
      </c>
      <c r="H45" s="313" t="str">
        <v>Indoor air (micro)</v>
      </c>
      <c r="I45" s="501" t="str">
        <v>Other consumer packaging</v>
      </c>
      <c r="J45" t="str">
        <v>Fertilizer additives</v>
      </c>
    </row>
    <row r="46" spans="1:10" ht="15.75" thickBot="1">
      <c r="A46" s="74" t="str">
        <v>Wastewater treatment plant (micro)</v>
      </c>
      <c r="B46" s="335" t="str">
        <f>IFERROR(VLOOKUP(A46,'Compartments_Kawecki&amp;Nowack19'!A:C,2,FALSE), IFERROR(VLOOKUP(A46,Compartments_Added!A:C,2,FALSE), "Not found"))</f>
        <v>Flow</v>
      </c>
      <c r="C46" s="335" t="str">
        <f>IFERROR(VLOOKUP(A46,'Compartments_Kawecki&amp;Nowack19'!A:C,3,FALSE), IFERROR(VLOOKUP(A46,Compartments_Added!A:C,3,FALSE), "Not found"))</f>
        <v>WWTPMicro</v>
      </c>
      <c r="D46" s="95" t="str">
        <f>IFERROR(IF(VLOOKUP(A46,'Compartments_Kawecki&amp;Nowack19'!A:C,1,FALSE)=A46, "Kawecki","what?"),"Added/changed")</f>
        <v>Kawecki</v>
      </c>
      <c r="F46" s="17"/>
      <c r="G46" s="496" t="str">
        <v>Household textiles (product sector)</v>
      </c>
      <c r="H46" s="313" t="str">
        <v>Outdoor air (micro)</v>
      </c>
      <c r="I46" s="501" t="str">
        <v>Collected organic waste</v>
      </c>
      <c r="J46" t="str">
        <v>Plant protection products</v>
      </c>
    </row>
    <row r="47" spans="1:10" ht="15.75" thickBot="1">
      <c r="A47" s="74" t="str">
        <v>Compost size separation (fictional process)</v>
      </c>
      <c r="B47" s="335" t="str">
        <f>IFERROR(VLOOKUP(A47,'Compartments_Kawecki&amp;Nowack19'!A:C,2,FALSE), IFERROR(VLOOKUP(A47,Compartments_Added!A:C,2,FALSE), "Not found"))</f>
        <v>Flow</v>
      </c>
      <c r="C47" s="335" t="str">
        <f>IFERROR(VLOOKUP(A47,'Compartments_Kawecki&amp;Nowack19'!A:C,3,FALSE), IFERROR(VLOOKUP(A47,Compartments_Added!A:C,3,FALSE), "Not found"))</f>
        <v>CompostingSizeSep</v>
      </c>
      <c r="D47" s="95" t="str">
        <f>IFERROR(IF(VLOOKUP(A47,'Compartments_Kawecki&amp;Nowack19'!A:C,1,FALSE)=A47, "Kawecki","what?"),"Added/changed")</f>
        <v>Kawecki</v>
      </c>
      <c r="F47" s="17"/>
      <c r="G47" s="496" t="str">
        <v>Disposable cleaning cloths</v>
      </c>
      <c r="H47" s="313" t="str">
        <v>Wastewater (micro)</v>
      </c>
      <c r="I47" s="501" t="str">
        <v>Wastewater treatment plant (macro)</v>
      </c>
      <c r="J47" t="str">
        <v>Seed coating</v>
      </c>
    </row>
    <row r="48" spans="1:10" ht="15.75" thickBot="1">
      <c r="A48" s="74" t="str">
        <v>Collected organic waste (smaller than 1 mm)</v>
      </c>
      <c r="B48" s="335" t="str">
        <f>IFERROR(VLOOKUP(A48,'Compartments_Kawecki&amp;Nowack19'!A:C,2,FALSE), IFERROR(VLOOKUP(A48,Compartments_Added!A:C,2,FALSE), "Not found"))</f>
        <v>Flow</v>
      </c>
      <c r="C48" s="335"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496" t="str">
        <v>Non-consumer bags</v>
      </c>
      <c r="H48" s="313" t="str">
        <v>Disposable cleaning cloths</v>
      </c>
      <c r="I48" s="501" t="str">
        <v>Wastewater treatment plant (micro)</v>
      </c>
      <c r="J48" t="str">
        <v>Agricultural pipes (discarded)</v>
      </c>
    </row>
    <row r="49" spans="1:10" ht="15.75" thickBot="1">
      <c r="A49" s="74" t="str">
        <v>Collected organic waste (larger than 1 mm)</v>
      </c>
      <c r="B49" s="335" t="str">
        <f>IFERROR(VLOOKUP(A49,'Compartments_Kawecki&amp;Nowack19'!A:C,2,FALSE), IFERROR(VLOOKUP(A49,Compartments_Added!A:C,2,FALSE), "Not found"))</f>
        <v>Flow</v>
      </c>
      <c r="C49" s="335"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496" t="str">
        <v>Other non-consumer films</v>
      </c>
      <c r="H49" s="313" t="str">
        <v>Home textiles</v>
      </c>
      <c r="I49" s="501" t="str">
        <v>Compost size separation (fictional process)</v>
      </c>
      <c r="J49" t="str">
        <v>Agricultural greenhouse films (discarded)</v>
      </c>
    </row>
    <row r="50" spans="1:10" ht="15.75" thickBot="1">
      <c r="A50" s="74" t="str">
        <v>Home textiles (discarded)</v>
      </c>
      <c r="B50" s="335" t="str">
        <f>IFERROR(VLOOKUP(A50,'Compartments_Kawecki&amp;Nowack19'!A:C,2,FALSE), IFERROR(VLOOKUP(A50,Compartments_Added!A:C,2,FALSE), "Not found"))</f>
        <v>Stock</v>
      </c>
      <c r="C50" s="335" t="str">
        <f>IFERROR(VLOOKUP(A50,'Compartments_Kawecki&amp;Nowack19'!A:C,3,FALSE), IFERROR(VLOOKUP(A50,Compartments_Added!A:C,3,FALSE), "Not found"))</f>
        <v>HomeTextilesDis</v>
      </c>
      <c r="D50" s="95" t="str">
        <f>IFERROR(IF(VLOOKUP(A50,'Compartments_Kawecki&amp;Nowack19'!A:C,1,FALSE)=A50, "Kawecki","what?"),"Added/changed")</f>
        <v>Added/changed</v>
      </c>
      <c r="F50" s="17"/>
      <c r="G50" s="496" t="str">
        <v>Other non-consumer packaging</v>
      </c>
      <c r="H50" s="313" t="str">
        <v>Elimination</v>
      </c>
      <c r="I50" s="501" t="str">
        <v>Collected organic waste (smaller than 1 mm)</v>
      </c>
      <c r="J50" t="str">
        <v>Agrotextiles (discarded)</v>
      </c>
    </row>
    <row r="51" spans="1:10" ht="15.75" thickBot="1">
      <c r="A51" s="362" t="str">
        <v>Building packaging films</v>
      </c>
      <c r="B51" s="335" t="str">
        <f>IFERROR(VLOOKUP(A51,'Compartments_Kawecki&amp;Nowack19'!A:C,2,FALSE), IFERROR(VLOOKUP(A51,Compartments_Added!A:C,2,FALSE), "Not found"))</f>
        <v>Flow</v>
      </c>
      <c r="C51" s="335"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496" t="str">
        <v>Other technical textiles</v>
      </c>
      <c r="H51" s="313" t="str">
        <v>Export</v>
      </c>
      <c r="I51" s="501" t="str">
        <v>Collected organic waste (larger than 1 mm)</v>
      </c>
      <c r="J51" t="str">
        <v>Agrotextiles (in use)</v>
      </c>
    </row>
    <row r="52" spans="1:10" ht="15.75" thickBot="1">
      <c r="A52" s="74" t="str">
        <v>Home textiles (in use)</v>
      </c>
      <c r="B52" s="335" t="str">
        <f>IFERROR(VLOOKUP(A52,'Compartments_Kawecki&amp;Nowack19'!A:C,2,FALSE), IFERROR(VLOOKUP(A52,Compartments_Added!A:C,2,FALSE), "Not found"))</f>
        <v>Stock</v>
      </c>
      <c r="C52" s="335" t="str">
        <f>IFERROR(VLOOKUP(A52,'Compartments_Kawecki&amp;Nowack19'!A:C,3,FALSE), IFERROR(VLOOKUP(A52,Compartments_Added!A:C,3,FALSE), "Not found"))</f>
        <v>HomeTextilesIU</v>
      </c>
      <c r="D52" s="95" t="str">
        <f>IFERROR(IF(VLOOKUP(A52,'Compartments_Kawecki&amp;Nowack19'!A:C,1,FALSE)=A52, "Kawecki","what?"),"Added/changed")</f>
        <v>Added/changed</v>
      </c>
      <c r="F52" s="17"/>
      <c r="G52" s="496" t="str">
        <v>Panty liners</v>
      </c>
      <c r="H52" s="313" t="str">
        <v>Secondary material reuse</v>
      </c>
      <c r="I52" s="501" t="str">
        <v>Home textiles (discarded)</v>
      </c>
      <c r="J52" t="str">
        <v>Building textiles</v>
      </c>
    </row>
    <row r="53" spans="1:10" ht="15.75" thickBot="1">
      <c r="A53" s="74" t="str">
        <v>Disposable cleaning cloths</v>
      </c>
      <c r="B53" s="335" t="str">
        <f>IFERROR(VLOOKUP(A53,'Compartments_Kawecki&amp;Nowack19'!A:C,2,FALSE), IFERROR(VLOOKUP(A53,Compartments_Added!A:C,2,FALSE), "Not found"))</f>
        <v>Flow</v>
      </c>
      <c r="C53" s="335" t="str">
        <f>IFERROR(VLOOKUP(A53,'Compartments_Kawecki&amp;Nowack19'!A:C,3,FALSE), IFERROR(VLOOKUP(A53,Compartments_Added!A:C,3,FALSE), "Not found"))</f>
        <v>DisposCleanCloths</v>
      </c>
      <c r="D53" s="95" t="str">
        <f>IFERROR(IF(VLOOKUP(A53,'Compartments_Kawecki&amp;Nowack19'!A:C,1,FALSE)=A53, "Kawecki","what?"),"Added/changed")</f>
        <v>Kawecki</v>
      </c>
      <c r="F53" s="17"/>
      <c r="G53" s="496" t="str">
        <v>Sanitary pads</v>
      </c>
      <c r="H53" s="313" t="str">
        <v>Residential soil (micro)</v>
      </c>
      <c r="I53" s="501" t="str">
        <v>Building packaging films</v>
      </c>
      <c r="J53" t="str">
        <v>Building textiles (discarded)</v>
      </c>
    </row>
    <row r="54" spans="1:10" ht="15.75" thickBot="1">
      <c r="A54" s="74" t="str">
        <v>Non-consumer bags</v>
      </c>
      <c r="B54" s="335" t="str">
        <f>IFERROR(VLOOKUP(A54,'Compartments_Kawecki&amp;Nowack19'!A:C,2,FALSE), IFERROR(VLOOKUP(A54,Compartments_Added!A:C,2,FALSE), "Not found"))</f>
        <v>Stock</v>
      </c>
      <c r="C54" s="335" t="str">
        <f>IFERROR(VLOOKUP(A54,'Compartments_Kawecki&amp;Nowack19'!A:C,3,FALSE), IFERROR(VLOOKUP(A54,Compartments_Added!A:C,3,FALSE), "Not found"))</f>
        <v>NonConsumerBags</v>
      </c>
      <c r="D54" s="95" t="str">
        <f>IFERROR(IF(VLOOKUP(A54,'Compartments_Kawecki&amp;Nowack19'!A:C,1,FALSE)=A54, "Kawecki","what?"),"Added/changed")</f>
        <v>Kawecki</v>
      </c>
      <c r="F54" s="17"/>
      <c r="G54" s="496" t="str">
        <v>Tampons</v>
      </c>
      <c r="H54" s="313" t="str">
        <v>Industrial stormwater (micro)</v>
      </c>
      <c r="I54" s="501" t="str">
        <v>Home textiles (in use)</v>
      </c>
      <c r="J54" t="str">
        <v>Building textiles (in use)</v>
      </c>
    </row>
    <row r="55" spans="1:10" ht="15.75" thickBot="1">
      <c r="A55" s="74" t="str">
        <v>Other non-consumer films</v>
      </c>
      <c r="B55" s="335" t="str">
        <f>IFERROR(VLOOKUP(A55,'Compartments_Kawecki&amp;Nowack19'!A:C,2,FALSE), IFERROR(VLOOKUP(A55,Compartments_Added!A:C,2,FALSE), "Not found"))</f>
        <v>Stock</v>
      </c>
      <c r="C55" s="335" t="str">
        <f>IFERROR(VLOOKUP(A55,'Compartments_Kawecki&amp;Nowack19'!A:C,3,FALSE), IFERROR(VLOOKUP(A55,Compartments_Added!A:C,3,FALSE), "Not found"))</f>
        <v>OtherNonConsumerFilms</v>
      </c>
      <c r="D55" s="95" t="str">
        <f>IFERROR(IF(VLOOKUP(A55,'Compartments_Kawecki&amp;Nowack19'!A:C,1,FALSE)=A55, "Kawecki","what?"),"Added/changed")</f>
        <v>Kawecki</v>
      </c>
      <c r="F55" s="17"/>
      <c r="G55" s="496" t="str">
        <v>Technical home textiles (discarded)</v>
      </c>
      <c r="H55" s="313" t="str">
        <v>Transport of primary plastics</v>
      </c>
      <c r="I55" s="501" t="str">
        <v>Disposable cleaning cloths</v>
      </c>
      <c r="J55" t="str">
        <v>ELV textiles collection</v>
      </c>
    </row>
    <row r="56" spans="1:10" ht="15.75" thickBot="1">
      <c r="A56" s="74" t="str">
        <v>Other non-consumer packaging</v>
      </c>
      <c r="B56" s="335" t="str">
        <f>IFERROR(VLOOKUP(A56,'Compartments_Kawecki&amp;Nowack19'!A:C,2,FALSE), IFERROR(VLOOKUP(A56,Compartments_Added!A:C,2,FALSE), "Not found"))</f>
        <v>Stock</v>
      </c>
      <c r="C56" s="335" t="str">
        <f>IFERROR(VLOOKUP(A56,'Compartments_Kawecki&amp;Nowack19'!A:C,3,FALSE), IFERROR(VLOOKUP(A56,Compartments_Added!A:C,3,FALSE), "Not found"))</f>
        <v>NonConsumerOther</v>
      </c>
      <c r="D56" s="95" t="str">
        <f>IFERROR(IF(VLOOKUP(A56,'Compartments_Kawecki&amp;Nowack19'!A:C,1,FALSE)=A56, "Kawecki","what?"),"Added/changed")</f>
        <v>Kawecki</v>
      </c>
      <c r="F56" s="17"/>
      <c r="G56" s="496" t="str">
        <v>Incineration</v>
      </c>
      <c r="H56" s="313" t="str">
        <v>Surface water (micro)</v>
      </c>
      <c r="I56" s="501" t="str">
        <v>Non-consumer bags</v>
      </c>
      <c r="J56" t="str">
        <v>Geotextiles</v>
      </c>
    </row>
    <row r="57" spans="1:10" ht="15.75" thickBot="1">
      <c r="A57" s="74" t="str">
        <v>Other technical textiles</v>
      </c>
      <c r="B57" s="335" t="str">
        <f>IFERROR(VLOOKUP(A57,'Compartments_Kawecki&amp;Nowack19'!A:C,2,FALSE), IFERROR(VLOOKUP(A57,Compartments_Added!A:C,2,FALSE), "Not found"))</f>
        <v>Stock</v>
      </c>
      <c r="C57" s="335" t="str">
        <f>IFERROR(VLOOKUP(A57,'Compartments_Kawecki&amp;Nowack19'!A:C,3,FALSE), IFERROR(VLOOKUP(A57,Compartments_Added!A:C,3,FALSE), "Not found"))</f>
        <v>OtherTechnicalTextiles</v>
      </c>
      <c r="D57" s="95" t="str">
        <f>IFERROR(IF(VLOOKUP(A57,'Compartments_Kawecki&amp;Nowack19'!A:C,1,FALSE)=A57, "Kawecki","what?"),"Added/changed")</f>
        <v>Kawecki</v>
      </c>
      <c r="F57" s="17"/>
      <c r="G57" s="496" t="str">
        <v>Packaging collection</v>
      </c>
      <c r="H57" s="313" t="str">
        <v>Wastewater treatment plant (micro)</v>
      </c>
      <c r="I57" s="501" t="str">
        <v>Other non-consumer films</v>
      </c>
      <c r="J57" t="str">
        <v>Geotextiles (discarded)</v>
      </c>
    </row>
    <row r="58" spans="1:10" ht="15.75" thickBot="1">
      <c r="A58" s="74" t="str">
        <v>Panty liners</v>
      </c>
      <c r="B58" s="335" t="str">
        <f>IFERROR(VLOOKUP(A58,'Compartments_Kawecki&amp;Nowack19'!A:C,2,FALSE), IFERROR(VLOOKUP(A58,Compartments_Added!A:C,2,FALSE), "Not found"))</f>
        <v>Flow</v>
      </c>
      <c r="C58" s="335" t="str">
        <f>IFERROR(VLOOKUP(A58,'Compartments_Kawecki&amp;Nowack19'!A:C,3,FALSE), IFERROR(VLOOKUP(A58,Compartments_Added!A:C,3,FALSE), "Not found"))</f>
        <v>PantyLiners</v>
      </c>
      <c r="D58" s="95" t="str">
        <f>IFERROR(IF(VLOOKUP(A58,'Compartments_Kawecki&amp;Nowack19'!A:C,1,FALSE)=A58, "Kawecki","what?"),"Added/changed")</f>
        <v>Kawecki</v>
      </c>
      <c r="F58" s="17"/>
      <c r="G58" s="496" t="str">
        <v>Agricultural plastic recycling</v>
      </c>
      <c r="H58" s="313" t="str">
        <v>Plastic products</v>
      </c>
      <c r="I58" s="501" t="str">
        <v>Other non-consumer packaging</v>
      </c>
      <c r="J58" t="str">
        <v>Geotextiles (in use)</v>
      </c>
    </row>
    <row r="59" spans="1:10" ht="15.75" thickBot="1">
      <c r="A59" s="74" t="str">
        <v>Sanitary pads</v>
      </c>
      <c r="B59" s="335" t="str">
        <f>IFERROR(VLOOKUP(A59,'Compartments_Kawecki&amp;Nowack19'!A:C,2,FALSE), IFERROR(VLOOKUP(A59,Compartments_Added!A:C,2,FALSE), "Not found"))</f>
        <v>Flow</v>
      </c>
      <c r="C59" s="335" t="str">
        <f>IFERROR(VLOOKUP(A59,'Compartments_Kawecki&amp;Nowack19'!A:C,3,FALSE), IFERROR(VLOOKUP(A59,Compartments_Added!A:C,3,FALSE), "Not found"))</f>
        <v>SanitaryPads</v>
      </c>
      <c r="D59" s="95" t="str">
        <f>IFERROR(IF(VLOOKUP(A59,'Compartments_Kawecki&amp;Nowack19'!A:C,1,FALSE)=A59, "Kawecki","what?"),"Added/changed")</f>
        <v>Added/changed</v>
      </c>
      <c r="F59" s="17"/>
      <c r="G59" s="496" t="str">
        <v>Domestic primary plastic production</v>
      </c>
      <c r="H59" s="313" t="str">
        <v>Surface water (macro)</v>
      </c>
      <c r="I59" s="501" t="str">
        <v>Other technical textiles</v>
      </c>
      <c r="J59" t="str">
        <v>Home textiles</v>
      </c>
    </row>
    <row r="60" spans="1:10" ht="15.75" thickBot="1">
      <c r="A60" s="74" t="str">
        <v>Tampons</v>
      </c>
      <c r="B60" s="335" t="str">
        <f>IFERROR(VLOOKUP(A60,'Compartments_Kawecki&amp;Nowack19'!A:C,2,FALSE), IFERROR(VLOOKUP(A60,Compartments_Added!A:C,2,FALSE), "Not found"))</f>
        <v>Flow</v>
      </c>
      <c r="C60" s="335" t="str">
        <f>IFERROR(VLOOKUP(A60,'Compartments_Kawecki&amp;Nowack19'!A:C,3,FALSE), IFERROR(VLOOKUP(A60,Compartments_Added!A:C,3,FALSE), "Not found"))</f>
        <v>Tampons</v>
      </c>
      <c r="D60" s="95" t="str">
        <f>IFERROR(IF(VLOOKUP(A60,'Compartments_Kawecki&amp;Nowack19'!A:C,1,FALSE)=A60, "Kawecki","what?"),"Added/changed")</f>
        <v>Kawecki</v>
      </c>
      <c r="F60" s="17"/>
      <c r="G60" s="496" t="str">
        <v>Import of primary plastics</v>
      </c>
      <c r="H60" s="313" t="str">
        <v>Wastewater treatment plant (macro)</v>
      </c>
      <c r="I60" s="501" t="str">
        <v>Panty liners</v>
      </c>
      <c r="J60" t="str">
        <v>Consumer bags</v>
      </c>
    </row>
    <row r="61" spans="1:10" ht="15.75" thickBot="1">
      <c r="A61" s="74" t="str">
        <v>Technical home textiles (discarded)</v>
      </c>
      <c r="B61" s="335" t="str">
        <f>IFERROR(VLOOKUP(A61,'Compartments_Kawecki&amp;Nowack19'!A:C,2,FALSE), IFERROR(VLOOKUP(A61,Compartments_Added!A:C,2,FALSE), "Not found"))</f>
        <v>Stock</v>
      </c>
      <c r="C61" s="335" t="str">
        <f>IFERROR(VLOOKUP(A61,'Compartments_Kawecki&amp;Nowack19'!A:C,3,FALSE), IFERROR(VLOOKUP(A61,Compartments_Added!A:C,3,FALSE), "Not found"))</f>
        <v>TechHomeTextilesDis</v>
      </c>
      <c r="D61" s="95" t="str">
        <f>IFERROR(IF(VLOOKUP(A61,'Compartments_Kawecki&amp;Nowack19'!A:C,1,FALSE)=A61, "Kawecki","what?"),"Added/changed")</f>
        <v>Added/changed</v>
      </c>
      <c r="F61" s="17"/>
      <c r="G61" s="496" t="str">
        <v>Industrial stormwater (micro)</v>
      </c>
      <c r="H61" s="313" t="str">
        <v>Export of primary plastics</v>
      </c>
      <c r="I61" s="501" t="str">
        <v>Sanitary pads</v>
      </c>
      <c r="J61" t="str">
        <v>Consumer bottles</v>
      </c>
    </row>
    <row r="62" spans="1:10" ht="15.75" thickBot="1">
      <c r="A62" s="74" t="str">
        <v>Incineration</v>
      </c>
      <c r="B62" s="335" t="str">
        <f>IFERROR(VLOOKUP(A62,'Compartments_Kawecki&amp;Nowack19'!A:C,2,FALSE), IFERROR(VLOOKUP(A62,Compartments_Added!A:C,2,FALSE), "Not found"))</f>
        <v>Flow</v>
      </c>
      <c r="C62" s="335" t="str">
        <f>IFERROR(VLOOKUP(A62,'Compartments_Kawecki&amp;Nowack19'!A:C,3,FALSE), IFERROR(VLOOKUP(A62,Compartments_Added!A:C,3,FALSE), "Not found"))</f>
        <v>Incineration</v>
      </c>
      <c r="D62" s="95" t="str">
        <f>IFERROR(IF(VLOOKUP(A62,'Compartments_Kawecki&amp;Nowack19'!A:C,1,FALSE)=A62, "Kawecki","what?"),"Added/changed")</f>
        <v>Kawecki</v>
      </c>
      <c r="F62" s="17"/>
      <c r="G62" s="496" t="str">
        <v>Pellet conversion</v>
      </c>
      <c r="H62" s="313" t="str">
        <v>Fertilizer additives</v>
      </c>
      <c r="I62" s="501" t="str">
        <v>Tampons</v>
      </c>
      <c r="J62" t="str">
        <v>Consumer films</v>
      </c>
    </row>
    <row r="63" spans="1:10" ht="15.75" thickBot="1">
      <c r="A63" s="74" t="str">
        <v>Packaging collection</v>
      </c>
      <c r="B63" s="335" t="str">
        <f>IFERROR(VLOOKUP(A63,'Compartments_Kawecki&amp;Nowack19'!A:C,2,FALSE), IFERROR(VLOOKUP(A63,Compartments_Added!A:C,2,FALSE), "Not found"))</f>
        <v>Flow</v>
      </c>
      <c r="C63" s="335" t="str">
        <f>IFERROR(VLOOKUP(A63,'Compartments_Kawecki&amp;Nowack19'!A:C,3,FALSE), IFERROR(VLOOKUP(A63,Compartments_Added!A:C,3,FALSE), "Not found"))</f>
        <v>PackagingCollection</v>
      </c>
      <c r="D63" s="95" t="str">
        <f>IFERROR(IF(VLOOKUP(A63,'Compartments_Kawecki&amp;Nowack19'!A:C,1,FALSE)=A63, "Kawecki","what?"),"Added/changed")</f>
        <v>Kawecki</v>
      </c>
      <c r="F63" s="17"/>
      <c r="G63" s="496" t="str">
        <v>Stormwater (macro)</v>
      </c>
      <c r="H63" s="313" t="str">
        <v>Food additives</v>
      </c>
      <c r="I63" s="501" t="str">
        <v>Technical home textiles (discarded)</v>
      </c>
      <c r="J63" t="str">
        <v>Other consumer packaging</v>
      </c>
    </row>
    <row r="64" spans="1:10" ht="15.75" thickBot="1">
      <c r="A64" s="74" t="str">
        <v>Agricultural plastic recycling</v>
      </c>
      <c r="B64" s="335" t="str">
        <f>IFERROR(VLOOKUP(A64,'Compartments_Kawecki&amp;Nowack19'!A:C,2,FALSE), IFERROR(VLOOKUP(A64,Compartments_Added!A:C,2,FALSE), "Not found"))</f>
        <v>Flow</v>
      </c>
      <c r="C64" s="335" t="str">
        <f>IFERROR(VLOOKUP(A64,'Compartments_Kawecki&amp;Nowack19'!A:C,3,FALSE), IFERROR(VLOOKUP(A64,Compartments_Added!A:C,3,FALSE), "Not found"))</f>
        <v>AgricultureRecycling</v>
      </c>
      <c r="D64" s="95" t="str">
        <f>IFERROR(IF(VLOOKUP(A64,'Compartments_Kawecki&amp;Nowack19'!A:C,1,FALSE)=A64, "Kawecki","what?"),"Added/changed")</f>
        <v>Kawecki</v>
      </c>
      <c r="F64" s="17"/>
      <c r="G64" s="496" t="str">
        <v>Stormwater (micro)</v>
      </c>
      <c r="H64" s="313" t="str">
        <v>Panty liners</v>
      </c>
      <c r="I64" s="501" t="str">
        <v>Incineration</v>
      </c>
      <c r="J64" t="str">
        <v>Collected organic waste</v>
      </c>
    </row>
    <row r="65" spans="1:10" ht="15.75" thickBot="1">
      <c r="A65" s="74" t="str">
        <v>Industrial stormwater (micro)</v>
      </c>
      <c r="B65" s="335" t="str">
        <f>IFERROR(VLOOKUP(A65,'Compartments_Kawecki&amp;Nowack19'!A:C,2,FALSE), IFERROR(VLOOKUP(A65,Compartments_Added!A:C,2,FALSE), "Not found"))</f>
        <v>Sink</v>
      </c>
      <c r="C65" s="335" t="str">
        <f>IFERROR(VLOOKUP(A65,'Compartments_Kawecki&amp;Nowack19'!A:C,3,FALSE), IFERROR(VLOOKUP(A65,Compartments_Added!A:C,3,FALSE), "Not found"))</f>
        <v>IndustrialStormwaterMicro</v>
      </c>
      <c r="D65" s="95" t="str">
        <f>IFERROR(IF(VLOOKUP(A65,'Compartments_Kawecki&amp;Nowack19'!A:C,1,FALSE)=A65, "Kawecki","what?"),"Added/changed")</f>
        <v>Added/changed</v>
      </c>
      <c r="F65" s="17"/>
      <c r="G65" s="496" t="str">
        <v>Transport of primary plastics</v>
      </c>
      <c r="H65" s="313" t="str">
        <v>Highway DAB</v>
      </c>
      <c r="I65" s="501" t="str">
        <v>Packaging collection</v>
      </c>
      <c r="J65" t="str">
        <v>Wastewater treatment plant (macro)</v>
      </c>
    </row>
    <row r="66" spans="1:10" ht="15.75" thickBot="1">
      <c r="A66" s="74" t="str">
        <v>Pellet conversion</v>
      </c>
      <c r="B66" s="335" t="str">
        <f>IFERROR(VLOOKUP(A66,'Compartments_Kawecki&amp;Nowack19'!A:C,2,FALSE), IFERROR(VLOOKUP(A66,Compartments_Added!A:C,2,FALSE), "Not found"))</f>
        <v>Flow</v>
      </c>
      <c r="C66" s="335" t="str">
        <f>IFERROR(VLOOKUP(A66,'Compartments_Kawecki&amp;Nowack19'!A:C,3,FALSE), IFERROR(VLOOKUP(A66,Compartments_Added!A:C,3,FALSE), "Not found"))</f>
        <v>PelletConversio</v>
      </c>
      <c r="D66" s="95" t="str">
        <f>IFERROR(IF(VLOOKUP(A66,'Compartments_Kawecki&amp;Nowack19'!A:C,1,FALSE)=A66, "Kawecki","what?"),"Added/changed")</f>
        <v>Added/changed</v>
      </c>
      <c r="F66" s="17"/>
      <c r="G66" s="496" t="str">
        <v>Highway</v>
      </c>
      <c r="H66" s="313" t="str">
        <v>Highway ZOAB</v>
      </c>
      <c r="I66" s="501" t="str">
        <v>Agricultural plastic recycling</v>
      </c>
      <c r="J66" t="str">
        <v>Wastewater treatment plant (micro)</v>
      </c>
    </row>
    <row r="67" spans="1:10" ht="15.75" thickBot="1">
      <c r="A67" s="74" t="str">
        <v>Stormwater (macro)</v>
      </c>
      <c r="B67" s="335" t="str">
        <f>IFERROR(VLOOKUP(A67,'Compartments_Kawecki&amp;Nowack19'!A:C,2,FALSE), IFERROR(VLOOKUP(A67,Compartments_Added!A:C,2,FALSE), "Not found"))</f>
        <v>Flow</v>
      </c>
      <c r="C67" s="335" t="str">
        <f>IFERROR(VLOOKUP(A67,'Compartments_Kawecki&amp;Nowack19'!A:C,3,FALSE), IFERROR(VLOOKUP(A67,Compartments_Added!A:C,3,FALSE), "Not found"))</f>
        <v>StormWaterMacro</v>
      </c>
      <c r="D67" s="95" t="str">
        <f>IFERROR(IF(VLOOKUP(A67,'Compartments_Kawecki&amp;Nowack19'!A:C,1,FALSE)=A67, "Kawecki","what?"),"Added/changed")</f>
        <v>Kawecki</v>
      </c>
      <c r="F67" s="17"/>
      <c r="G67" s="496" t="str">
        <v>Highway DAB</v>
      </c>
      <c r="H67" s="313" t="str">
        <v>Highway DAB non cleaned</v>
      </c>
      <c r="I67" s="501" t="str">
        <v>Industrial stormwater (micro)</v>
      </c>
      <c r="J67" t="str">
        <v>Compost size separation (fictional process)</v>
      </c>
    </row>
    <row r="68" spans="1:10" ht="15.75" thickBot="1">
      <c r="A68" s="74" t="str">
        <v>Stormwater (micro)</v>
      </c>
      <c r="B68" s="335" t="str">
        <f>IFERROR(VLOOKUP(A68,'Compartments_Kawecki&amp;Nowack19'!A:C,2,FALSE), IFERROR(VLOOKUP(A68,Compartments_Added!A:C,2,FALSE), "Not found"))</f>
        <v>Flow</v>
      </c>
      <c r="C68" s="335" t="str">
        <f>IFERROR(VLOOKUP(A68,'Compartments_Kawecki&amp;Nowack19'!A:C,3,FALSE), IFERROR(VLOOKUP(A68,Compartments_Added!A:C,3,FALSE), "Not found"))</f>
        <v>StormWaterMicro</v>
      </c>
      <c r="D68" s="95" t="str">
        <f>IFERROR(IF(VLOOKUP(A68,'Compartments_Kawecki&amp;Nowack19'!A:C,1,FALSE)=A68, "Kawecki","what?"),"Added/changed")</f>
        <v>Kawecki</v>
      </c>
      <c r="F68" s="17"/>
      <c r="G68" s="496" t="str">
        <v>Combined sewer overflow (macro)</v>
      </c>
      <c r="H68" s="313" t="str">
        <v>Sanitary pads</v>
      </c>
      <c r="I68" s="501" t="str">
        <v>Pellet conversion</v>
      </c>
      <c r="J68" t="str">
        <v>Collected organic waste (smaller than 1 mm)</v>
      </c>
    </row>
    <row r="69" spans="1:10" ht="15.75" thickBot="1">
      <c r="A69" s="74" t="str">
        <v>Transport of primary plastics</v>
      </c>
      <c r="B69" s="335" t="str">
        <f>IFERROR(VLOOKUP(A69,'Compartments_Kawecki&amp;Nowack19'!A:C,2,FALSE), IFERROR(VLOOKUP(A69,Compartments_Added!A:C,2,FALSE), "Not found"))</f>
        <v>Flow</v>
      </c>
      <c r="C69" s="335" t="str">
        <f>IFERROR(VLOOKUP(A69,'Compartments_Kawecki&amp;Nowack19'!A:C,3,FALSE), IFERROR(VLOOKUP(A69,Compartments_Added!A:C,3,FALSE), "Not found"))</f>
        <v>PelletTransport</v>
      </c>
      <c r="D69" s="95" t="str">
        <f>IFERROR(IF(VLOOKUP(A69,'Compartments_Kawecki&amp;Nowack19'!A:C,1,FALSE)=A69, "Kawecki","what?"),"Added/changed")</f>
        <v>Added/changed</v>
      </c>
      <c r="F69" s="17"/>
      <c r="G69" s="496" t="str">
        <v>Packaging recycling</v>
      </c>
      <c r="H69" s="313" t="str">
        <v>Tampons</v>
      </c>
      <c r="I69" s="501" t="str">
        <v>Stormwater (macro)</v>
      </c>
      <c r="J69" t="str">
        <v>Collected organic waste (larger than 1 mm)</v>
      </c>
    </row>
    <row r="70" spans="1:10" ht="15.75" thickBot="1">
      <c r="A70" s="74" t="str">
        <v>Highway</v>
      </c>
      <c r="B70" s="335" t="str">
        <f>IFERROR(VLOOKUP(A70,'Compartments_Kawecki&amp;Nowack19'!A:C,2,FALSE), IFERROR(VLOOKUP(A70,Compartments_Added!A:C,2,FALSE), "Not found"))</f>
        <v>Flow</v>
      </c>
      <c r="C70" s="335" t="str">
        <f>IFERROR(VLOOKUP(A70,'Compartments_Kawecki&amp;Nowack19'!A:C,3,FALSE), IFERROR(VLOOKUP(A70,Compartments_Added!A:C,3,FALSE), "Not found"))</f>
        <v>Highway</v>
      </c>
      <c r="D70" s="95" t="str">
        <f>IFERROR(IF(VLOOKUP(A70,'Compartments_Kawecki&amp;Nowack19'!A:C,1,FALSE)=A70, "Kawecki","what?"),"Added/changed")</f>
        <v>Added/changed</v>
      </c>
      <c r="F70" s="17"/>
      <c r="G70" s="496" t="str">
        <v>Sludge (macro)</v>
      </c>
      <c r="H70" s="313" t="str">
        <v>Road cleaning</v>
      </c>
      <c r="I70" s="501" t="str">
        <v>Stormwater (micro)</v>
      </c>
      <c r="J70" t="str">
        <v>Home textiles (discarded)</v>
      </c>
    </row>
    <row r="71" spans="1:10" ht="15.75" thickBot="1">
      <c r="A71" s="74" t="str">
        <v>Highway DAB</v>
      </c>
      <c r="B71" s="335" t="str">
        <f>IFERROR(VLOOKUP(A71,'Compartments_Kawecki&amp;Nowack19'!A:C,2,FALSE), IFERROR(VLOOKUP(A71,Compartments_Added!A:C,2,FALSE), "Not found"))</f>
        <v>Flow</v>
      </c>
      <c r="C71" s="335" t="str">
        <f>IFERROR(VLOOKUP(A71,'Compartments_Kawecki&amp;Nowack19'!A:C,3,FALSE), IFERROR(VLOOKUP(A71,Compartments_Added!A:C,3,FALSE), "Not found"))</f>
        <v>HighwayDAB</v>
      </c>
      <c r="D71" s="95" t="str">
        <f>IFERROR(IF(VLOOKUP(A71,'Compartments_Kawecki&amp;Nowack19'!A:C,1,FALSE)=A71, "Kawecki","what?"),"Added/changed")</f>
        <v>Added/changed</v>
      </c>
      <c r="F71" s="17"/>
      <c r="G71" s="496" t="str">
        <v>Sludge (micro)</v>
      </c>
      <c r="H71" s="313" t="str">
        <v>Indoor floors (micro)</v>
      </c>
      <c r="I71" s="501" t="str">
        <v>Transport of primary plastics</v>
      </c>
      <c r="J71" t="str">
        <v>Building packaging films</v>
      </c>
    </row>
    <row r="72" spans="1:10" ht="15.75" thickBot="1">
      <c r="A72" s="74" t="str">
        <v>Combined sewer overflow (macro)</v>
      </c>
      <c r="B72" s="335" t="str">
        <f>IFERROR(VLOOKUP(A72,'Compartments_Kawecki&amp;Nowack19'!A:C,2,FALSE), IFERROR(VLOOKUP(A72,Compartments_Added!A:C,2,FALSE), "Not found"))</f>
        <v>Flow</v>
      </c>
      <c r="C72" s="335" t="str">
        <f>IFERROR(VLOOKUP(A72,'Compartments_Kawecki&amp;Nowack19'!A:C,3,FALSE), IFERROR(VLOOKUP(A72,Compartments_Added!A:C,3,FALSE), "Not found"))</f>
        <v>CSOMacro</v>
      </c>
      <c r="D72" s="95" t="str">
        <f>IFERROR(IF(VLOOKUP(A72,'Compartments_Kawecki&amp;Nowack19'!A:C,1,FALSE)=A72, "Kawecki","what?"),"Added/changed")</f>
        <v>Kawecki</v>
      </c>
      <c r="F72" s="17"/>
      <c r="G72" s="496" t="str">
        <v>Tertiary water treatment (macro)</v>
      </c>
      <c r="H72" s="313" t="str">
        <v>Infill material sports fields</v>
      </c>
      <c r="I72" s="501" t="str">
        <v>Highway</v>
      </c>
      <c r="J72" t="str">
        <v>Intentionally produced microparticles</v>
      </c>
    </row>
    <row r="73" spans="1:10" ht="15.75" thickBot="1">
      <c r="A73" s="74" t="str">
        <v>Packaging recycling</v>
      </c>
      <c r="B73" s="335" t="str">
        <f>IFERROR(VLOOKUP(A73,'Compartments_Kawecki&amp;Nowack19'!A:C,2,FALSE), IFERROR(VLOOKUP(A73,Compartments_Added!A:C,2,FALSE), "Not found"))</f>
        <v>Flow</v>
      </c>
      <c r="C73" s="335" t="str">
        <f>IFERROR(VLOOKUP(A73,'Compartments_Kawecki&amp;Nowack19'!A:C,3,FALSE), IFERROR(VLOOKUP(A73,Compartments_Added!A:C,3,FALSE), "Not found"))</f>
        <v>PackagingRecycling</v>
      </c>
      <c r="D73" s="95" t="str">
        <f>IFERROR(IF(VLOOKUP(A73,'Compartments_Kawecki&amp;Nowack19'!A:C,1,FALSE)=A73, "Kawecki","what?"),"Added/changed")</f>
        <v>Kawecki</v>
      </c>
      <c r="F73" s="17"/>
      <c r="G73" s="496" t="str">
        <v>Construction and demolition incinerable waste collection</v>
      </c>
      <c r="H73" s="313" t="str">
        <v>Infill material sports fields (discarded)</v>
      </c>
      <c r="I73" s="501" t="str">
        <v>Highway DAB</v>
      </c>
      <c r="J73" t="str">
        <v>Home textiles (in use)</v>
      </c>
    </row>
    <row r="74" spans="1:10" ht="15.75" thickBot="1">
      <c r="A74" s="74" t="str">
        <v>Sludge (macro)</v>
      </c>
      <c r="B74" s="335" t="str">
        <f>IFERROR(VLOOKUP(A74,'Compartments_Kawecki&amp;Nowack19'!A:C,2,FALSE), IFERROR(VLOOKUP(A74,Compartments_Added!A:C,2,FALSE), "Not found"))</f>
        <v>Flow</v>
      </c>
      <c r="C74" s="335" t="str">
        <f>IFERROR(VLOOKUP(A74,'Compartments_Kawecki&amp;Nowack19'!A:C,3,FALSE), IFERROR(VLOOKUP(A74,Compartments_Added!A:C,3,FALSE), "Not found"))</f>
        <v>SludgeMacro</v>
      </c>
      <c r="D74" s="95" t="str">
        <f>IFERROR(IF(VLOOKUP(A74,'Compartments_Kawecki&amp;Nowack19'!A:C,1,FALSE)=A74, "Kawecki","what?"),"Added/changed")</f>
        <v>Kawecki</v>
      </c>
      <c r="F74" s="17"/>
      <c r="G74" s="496" t="str">
        <v>Indoor air (micro)</v>
      </c>
      <c r="H74" s="313" t="str">
        <v>Infill material sports fields (in use)</v>
      </c>
      <c r="I74" s="501" t="str">
        <v>Combined sewer overflow (macro)</v>
      </c>
      <c r="J74" t="str">
        <v>Household textiles (product sector)</v>
      </c>
    </row>
    <row r="75" spans="1:10" ht="15.75" thickBot="1">
      <c r="A75" s="74" t="str">
        <v>Sludge (micro)</v>
      </c>
      <c r="B75" s="335" t="str">
        <f>IFERROR(VLOOKUP(A75,'Compartments_Kawecki&amp;Nowack19'!A:C,2,FALSE), IFERROR(VLOOKUP(A75,Compartments_Added!A:C,2,FALSE), "Not found"))</f>
        <v>Flow</v>
      </c>
      <c r="C75" s="335" t="str">
        <f>IFERROR(VLOOKUP(A75,'Compartments_Kawecki&amp;Nowack19'!A:C,3,FALSE), IFERROR(VLOOKUP(A75,Compartments_Added!A:C,3,FALSE), "Not found"))</f>
        <v>SludgeMicro</v>
      </c>
      <c r="D75" s="95" t="str">
        <f>IFERROR(IF(VLOOKUP(A75,'Compartments_Kawecki&amp;Nowack19'!A:C,1,FALSE)=A75, "Kawecki","what?"),"Added/changed")</f>
        <v>Kawecki</v>
      </c>
      <c r="F75" s="17"/>
      <c r="G75" s="496" t="str">
        <v>Infill material sports fields</v>
      </c>
      <c r="H75" s="313" t="str">
        <v>Invitro diagnostic devices</v>
      </c>
      <c r="I75" s="501" t="str">
        <v>Packaging recycling</v>
      </c>
      <c r="J75" t="str">
        <v>Disposable cleaning cloths</v>
      </c>
    </row>
    <row r="76" spans="1:10" ht="15.75" thickBot="1">
      <c r="A76" s="74" t="str">
        <v>Tertiary water treatment (macro)</v>
      </c>
      <c r="B76" s="335" t="str">
        <f>IFERROR(VLOOKUP(A76,'Compartments_Kawecki&amp;Nowack19'!A:C,2,FALSE), IFERROR(VLOOKUP(A76,Compartments_Added!A:C,2,FALSE), "Not found"))</f>
        <v>Flow</v>
      </c>
      <c r="C76" s="335" t="str">
        <f>IFERROR(VLOOKUP(A76,'Compartments_Kawecki&amp;Nowack19'!A:C,3,FALSE), IFERROR(VLOOKUP(A76,Compartments_Added!A:C,3,FALSE), "Not found"))</f>
        <v>WWTTertiaryMacro</v>
      </c>
      <c r="D76" s="95" t="str">
        <f>IFERROR(IF(VLOOKUP(A76,'Compartments_Kawecki&amp;Nowack19'!A:C,1,FALSE)=A76, "Kawecki","what?"),"Added/changed")</f>
        <v>Kawecki</v>
      </c>
      <c r="F76" s="17"/>
      <c r="G76" s="496" t="str">
        <v>Mixed waste collection</v>
      </c>
      <c r="H76" s="313" t="str">
        <v>Litter on road sides</v>
      </c>
      <c r="I76" s="501" t="str">
        <v>Sludge (macro)</v>
      </c>
      <c r="J76" t="str">
        <v>Non-consumer bags</v>
      </c>
    </row>
    <row r="77" spans="1:10" ht="15.75" thickBot="1">
      <c r="A77" s="74" t="str">
        <v>Construction and demolition incinerable waste collection</v>
      </c>
      <c r="B77" s="335" t="str">
        <f>IFERROR(VLOOKUP(A77,'Compartments_Kawecki&amp;Nowack19'!A:C,2,FALSE), IFERROR(VLOOKUP(A77,Compartments_Added!A:C,2,FALSE), "Not found"))</f>
        <v>Flow</v>
      </c>
      <c r="C77" s="335" t="str">
        <f>IFERROR(VLOOKUP(A77,'Compartments_Kawecki&amp;Nowack19'!A:C,3,FALSE), IFERROR(VLOOKUP(A77,Compartments_Added!A:C,3,FALSE), "Not found"))</f>
        <v>CDIncinerableCollection</v>
      </c>
      <c r="D77" s="95" t="str">
        <f>IFERROR(IF(VLOOKUP(A77,'Compartments_Kawecki&amp;Nowack19'!A:C,1,FALSE)=A77, "Kawecki","what?"),"Added/changed")</f>
        <v>Kawecki</v>
      </c>
      <c r="F77" s="17"/>
      <c r="G77" s="496" t="str">
        <v>Dumping</v>
      </c>
      <c r="H77" s="313" t="str">
        <v>Litter in natural environments</v>
      </c>
      <c r="I77" s="501" t="str">
        <v>Sludge (micro)</v>
      </c>
      <c r="J77" t="str">
        <v>Other non-consumer films</v>
      </c>
    </row>
    <row r="78" spans="1:10" ht="15.75" thickBot="1">
      <c r="A78" s="74" t="str">
        <v>Indoor air (micro)</v>
      </c>
      <c r="B78" s="335" t="str">
        <f>IFERROR(VLOOKUP(A78,'Compartments_Kawecki&amp;Nowack19'!A:C,2,FALSE), IFERROR(VLOOKUP(A78,Compartments_Added!A:C,2,FALSE), "Not found"))</f>
        <v>Flow</v>
      </c>
      <c r="C78" s="335" t="str">
        <f>IFERROR(VLOOKUP(A78,'Compartments_Kawecki&amp;Nowack19'!A:C,3,FALSE), IFERROR(VLOOKUP(A78,Compartments_Added!A:C,3,FALSE), "Not found"))</f>
        <v>IndoorAirMicro</v>
      </c>
      <c r="D78" s="95" t="str">
        <f>IFERROR(IF(VLOOKUP(A78,'Compartments_Kawecki&amp;Nowack19'!A:C,1,FALSE)=A78, "Kawecki","what?"),"Added/changed")</f>
        <v>Kawecki</v>
      </c>
      <c r="F78" s="17"/>
      <c r="G78" s="496" t="str">
        <v>On-the-go consumption (nature)</v>
      </c>
      <c r="H78" s="313" t="str">
        <v>Litter in residential environments</v>
      </c>
      <c r="I78" s="501" t="str">
        <v>Tertiary water treatment (macro)</v>
      </c>
      <c r="J78" t="str">
        <v>Other non-consumer packaging</v>
      </c>
    </row>
    <row r="79" spans="1:10" ht="15.75" thickBot="1">
      <c r="A79" s="74" t="str">
        <v>Infill material sports fields</v>
      </c>
      <c r="B79" s="335" t="str">
        <f>IFERROR(VLOOKUP(A79,'Compartments_Kawecki&amp;Nowack19'!A:C,2,FALSE), IFERROR(VLOOKUP(A79,Compartments_Added!A:C,2,FALSE), "Not found"))</f>
        <v>Flow</v>
      </c>
      <c r="C79" s="335" t="str">
        <f>IFERROR(VLOOKUP(A79,'Compartments_Kawecki&amp;Nowack19'!A:C,3,FALSE), IFERROR(VLOOKUP(A79,Compartments_Added!A:C,3,FALSE), "Not found"))</f>
        <v>InfillSportsField</v>
      </c>
      <c r="D79" s="95" t="str">
        <f>IFERROR(IF(VLOOKUP(A79,'Compartments_Kawecki&amp;Nowack19'!A:C,1,FALSE)=A79, "Kawecki","what?"),"Added/changed")</f>
        <v>Added/changed</v>
      </c>
      <c r="F79" s="17"/>
      <c r="G79" s="496" t="str">
        <v>On-the-go consumption (residential)</v>
      </c>
      <c r="H79" s="313" t="str">
        <v>Wet wipes</v>
      </c>
      <c r="I79" s="501" t="str">
        <v>Construction and demolition incinerable waste collection</v>
      </c>
      <c r="J79" t="str">
        <v>Other technical textiles</v>
      </c>
    </row>
    <row r="80" spans="1:10" ht="15.75" thickBot="1">
      <c r="A80" s="74" t="str">
        <v>Mixed waste collection</v>
      </c>
      <c r="B80" s="335" t="str">
        <f>IFERROR(VLOOKUP(A80,'Compartments_Kawecki&amp;Nowack19'!A:C,2,FALSE), IFERROR(VLOOKUP(A80,Compartments_Added!A:C,2,FALSE), "Not found"))</f>
        <v>Flow</v>
      </c>
      <c r="C80" s="335" t="str">
        <f>IFERROR(VLOOKUP(A80,'Compartments_Kawecki&amp;Nowack19'!A:C,3,FALSE), IFERROR(VLOOKUP(A80,Compartments_Added!A:C,3,FALSE), "Not found"))</f>
        <v>MixedCollection</v>
      </c>
      <c r="D80" s="95" t="str">
        <f>IFERROR(IF(VLOOKUP(A80,'Compartments_Kawecki&amp;Nowack19'!A:C,1,FALSE)=A80, "Kawecki","what?"),"Added/changed")</f>
        <v>Kawecki</v>
      </c>
      <c r="F80" s="17"/>
      <c r="G80" s="496" t="str">
        <v>Mixed waste collection (micro)</v>
      </c>
      <c r="H80" s="313" t="str">
        <v>Medicine diffusion limitation (slow release)</v>
      </c>
      <c r="I80" s="501" t="str">
        <v>Indoor air (micro)</v>
      </c>
      <c r="J80" t="str">
        <v>Panty liners</v>
      </c>
    </row>
    <row r="81" spans="1:10" ht="15.75" thickBot="1">
      <c r="A81" s="74" t="str">
        <v>Dumping</v>
      </c>
      <c r="B81" s="335" t="str">
        <f>IFERROR(VLOOKUP(A81,'Compartments_Kawecki&amp;Nowack19'!A:C,2,FALSE), IFERROR(VLOOKUP(A81,Compartments_Added!A:C,2,FALSE), "Not found"))</f>
        <v>Flow</v>
      </c>
      <c r="C81" s="335" t="str">
        <f>IFERROR(VLOOKUP(A81,'Compartments_Kawecki&amp;Nowack19'!A:C,3,FALSE), IFERROR(VLOOKUP(A81,Compartments_Added!A:C,3,FALSE), "Not found"))</f>
        <v>Dumping</v>
      </c>
      <c r="D81" s="95" t="str">
        <f>IFERROR(IF(VLOOKUP(A81,'Compartments_Kawecki&amp;Nowack19'!A:C,1,FALSE)=A81, "Kawecki","what?"),"Added/changed")</f>
        <v>Kawecki</v>
      </c>
      <c r="F81" s="17"/>
      <c r="G81" s="496" t="str">
        <v>On-the-go consumption (transport)</v>
      </c>
      <c r="H81" s="313" t="str">
        <v>Natural soil (macro)</v>
      </c>
      <c r="I81" s="501" t="str">
        <v>Infill material sports fields</v>
      </c>
      <c r="J81" t="str">
        <v>Sanitary pads</v>
      </c>
    </row>
    <row r="82" spans="1:10" ht="15.75" thickBot="1">
      <c r="A82" s="74" t="str">
        <v>On-the-go consumption (nature)</v>
      </c>
      <c r="B82" s="335" t="str">
        <f>IFERROR(VLOOKUP(A82,'Compartments_Kawecki&amp;Nowack19'!A:C,2,FALSE), IFERROR(VLOOKUP(A82,Compartments_Added!A:C,2,FALSE), "Not found"))</f>
        <v>Flow</v>
      </c>
      <c r="C82" s="335" t="str">
        <f>IFERROR(VLOOKUP(A82,'Compartments_Kawecki&amp;Nowack19'!A:C,3,FALSE), IFERROR(VLOOKUP(A82,Compartments_Added!A:C,3,FALSE), "Not found"))</f>
        <v>OnTheGoRural</v>
      </c>
      <c r="D82" s="95" t="str">
        <f>IFERROR(IF(VLOOKUP(A82,'Compartments_Kawecki&amp;Nowack19'!A:C,1,FALSE)=A82, "Kawecki","what?"),"Added/changed")</f>
        <v>Kawecki</v>
      </c>
      <c r="F82" s="17"/>
      <c r="G82" s="496" t="str">
        <v>Litter in natural environments</v>
      </c>
      <c r="H82" s="313" t="str">
        <v>ELV textiles collection</v>
      </c>
      <c r="I82" s="501" t="str">
        <v>Mixed waste collection</v>
      </c>
      <c r="J82" t="str">
        <v>Tampons</v>
      </c>
    </row>
    <row r="83" spans="1:10" ht="15.75" thickBot="1">
      <c r="A83" s="74" t="str">
        <v>On-the-go consumption (residential)</v>
      </c>
      <c r="B83" s="335" t="str">
        <f>IFERROR(VLOOKUP(A83,'Compartments_Kawecki&amp;Nowack19'!A:C,2,FALSE), IFERROR(VLOOKUP(A83,Compartments_Added!A:C,2,FALSE), "Not found"))</f>
        <v>Flow</v>
      </c>
      <c r="C83" s="335" t="str">
        <f>IFERROR(VLOOKUP(A83,'Compartments_Kawecki&amp;Nowack19'!A:C,3,FALSE), IFERROR(VLOOKUP(A83,Compartments_Added!A:C,3,FALSE), "Not found"))</f>
        <v>OnTheGoUrban</v>
      </c>
      <c r="D83" s="95" t="str">
        <f>IFERROR(IF(VLOOKUP(A83,'Compartments_Kawecki&amp;Nowack19'!A:C,1,FALSE)=A83, "Kawecki","what?"),"Added/changed")</f>
        <v>Kawecki</v>
      </c>
      <c r="F83" s="17"/>
      <c r="G83" s="496" t="str">
        <v>Indoor floors (micro)</v>
      </c>
      <c r="H83" s="313" t="str">
        <v>Mixed waste collection (micro)</v>
      </c>
      <c r="I83" s="501" t="str">
        <v>Dumping</v>
      </c>
      <c r="J83" t="str">
        <v>Technical home textiles (discarded)</v>
      </c>
    </row>
    <row r="84" spans="1:10" ht="15.75" thickBot="1">
      <c r="A84" s="74" t="str">
        <v>Mixed waste collection (micro)</v>
      </c>
      <c r="B84" s="335" t="str">
        <f>IFERROR(VLOOKUP(A84,'Compartments_Kawecki&amp;Nowack19'!A:C,2,FALSE), IFERROR(VLOOKUP(A84,Compartments_Added!A:C,2,FALSE), "Not found"))</f>
        <v>Flow</v>
      </c>
      <c r="C84" s="335" t="str">
        <f>IFERROR(VLOOKUP(A84,'Compartments_Kawecki&amp;Nowack19'!A:C,3,FALSE), IFERROR(VLOOKUP(A84,Compartments_Added!A:C,3,FALSE), "Not found"))</f>
        <v>MixedCollectionMicro</v>
      </c>
      <c r="D84" s="95" t="str">
        <f>IFERROR(IF(VLOOKUP(A84,'Compartments_Kawecki&amp;Nowack19'!A:C,1,FALSE)=A84, "Kawecki","what?"),"Added/changed")</f>
        <v>Added/changed</v>
      </c>
      <c r="F84" s="17"/>
      <c r="G84" s="496" t="str">
        <v>Litter in residential environments</v>
      </c>
      <c r="H84" s="313" t="str">
        <v>Technical home textiles (discarded)</v>
      </c>
      <c r="I84" s="501" t="str">
        <v>On-the-go consumption (nature)</v>
      </c>
      <c r="J84" t="str">
        <v>Incineration</v>
      </c>
    </row>
    <row r="85" spans="1:10" ht="15.75" thickBot="1">
      <c r="A85" s="74" t="str">
        <v>On-the-go consumption (transport)</v>
      </c>
      <c r="B85" s="335" t="str">
        <f>IFERROR(VLOOKUP(A85,'Compartments_Kawecki&amp;Nowack19'!A:C,2,FALSE), IFERROR(VLOOKUP(A85,Compartments_Added!A:C,2,FALSE), "Not found"))</f>
        <v>Flow</v>
      </c>
      <c r="C85" s="335" t="str">
        <f>IFERROR(VLOOKUP(A85,'Compartments_Kawecki&amp;Nowack19'!A:C,3,FALSE), IFERROR(VLOOKUP(A85,Compartments_Added!A:C,3,FALSE), "Not found"))</f>
        <v>OnTheGoTransport</v>
      </c>
      <c r="D85" s="95" t="str">
        <f>IFERROR(IF(VLOOKUP(A85,'Compartments_Kawecki&amp;Nowack19'!A:C,1,FALSE)=A85, "Kawecki","what?"),"Added/changed")</f>
        <v>Kawecki</v>
      </c>
      <c r="F85" s="17"/>
      <c r="G85" s="496" t="str">
        <v>Medical textiles</v>
      </c>
      <c r="H85" s="313" t="str">
        <v>Technical home textiles (in use)</v>
      </c>
      <c r="I85" s="501" t="str">
        <v>On-the-go consumption (residential)</v>
      </c>
      <c r="J85" t="str">
        <v>Packaging collection</v>
      </c>
    </row>
    <row r="86" spans="1:10" ht="15.75" thickBot="1">
      <c r="A86" s="74" t="str">
        <v>Litter in natural environments</v>
      </c>
      <c r="B86" s="335" t="str">
        <f>IFERROR(VLOOKUP(A86,'Compartments_Kawecki&amp;Nowack19'!A:C,2,FALSE), IFERROR(VLOOKUP(A86,Compartments_Added!A:C,2,FALSE), "Not found"))</f>
        <v>Flow</v>
      </c>
      <c r="C86" s="335" t="str">
        <f>IFERROR(VLOOKUP(A86,'Compartments_Kawecki&amp;Nowack19'!A:C,3,FALSE), IFERROR(VLOOKUP(A86,Compartments_Added!A:C,3,FALSE), "Not found"))</f>
        <v>RuralLitter</v>
      </c>
      <c r="D86" s="95" t="str">
        <f>IFERROR(IF(VLOOKUP(A86,'Compartments_Kawecki&amp;Nowack19'!A:C,1,FALSE)=A86, "Kawecki","what?"),"Added/changed")</f>
        <v>Kawecki</v>
      </c>
      <c r="F86" s="17"/>
      <c r="G86" s="496" t="str">
        <v>Mobility textiles</v>
      </c>
      <c r="H86" s="313" t="str">
        <v>Agrotextiles</v>
      </c>
      <c r="I86" s="501" t="str">
        <v>Mixed waste collection (micro)</v>
      </c>
      <c r="J86" t="str">
        <v>Agricultural plastic recycling</v>
      </c>
    </row>
    <row r="87" spans="1:10" ht="15.75" thickBot="1">
      <c r="A87" s="74" t="str">
        <v>Indoor floors (micro)</v>
      </c>
      <c r="B87" s="335" t="str">
        <f>IFERROR(VLOOKUP(A87,'Compartments_Kawecki&amp;Nowack19'!A:C,2,FALSE), IFERROR(VLOOKUP(A87,Compartments_Added!A:C,2,FALSE), "Not found"))</f>
        <v>Flow</v>
      </c>
      <c r="C87" s="335" t="str">
        <f>IFERROR(VLOOKUP(A87,'Compartments_Kawecki&amp;Nowack19'!A:C,3,FALSE), IFERROR(VLOOKUP(A87,Compartments_Added!A:C,3,FALSE), "Not found"))</f>
        <v>FloorCleaning</v>
      </c>
      <c r="D87" s="95" t="str">
        <f>IFERROR(IF(VLOOKUP(A87,'Compartments_Kawecki&amp;Nowack19'!A:C,1,FALSE)=A87, "Kawecki","what?"),"Added/changed")</f>
        <v>Kawecki</v>
      </c>
      <c r="F87" s="17"/>
      <c r="G87" s="496" t="str">
        <v>Textile coating (discarded)</v>
      </c>
      <c r="H87" s="313" t="str">
        <v>Natural soil (micro)</v>
      </c>
      <c r="I87" s="501" t="str">
        <v>On-the-go consumption (transport)</v>
      </c>
      <c r="J87" t="str">
        <v>Domestic primary plastic production</v>
      </c>
    </row>
    <row r="88" spans="1:10" ht="15.75" thickBot="1">
      <c r="A88" s="74" t="str">
        <v>Litter in residential environments</v>
      </c>
      <c r="B88" s="335" t="str">
        <f>IFERROR(VLOOKUP(A88,'Compartments_Kawecki&amp;Nowack19'!A:C,2,FALSE), IFERROR(VLOOKUP(A88,Compartments_Added!A:C,2,FALSE), "Not found"))</f>
        <v>Flow</v>
      </c>
      <c r="C88" s="335" t="str">
        <f>IFERROR(VLOOKUP(A88,'Compartments_Kawecki&amp;Nowack19'!A:C,3,FALSE), IFERROR(VLOOKUP(A88,Compartments_Added!A:C,3,FALSE), "Not found"))</f>
        <v>UrbanLitter</v>
      </c>
      <c r="D88" s="95" t="str">
        <f>IFERROR(IF(VLOOKUP(A88,'Compartments_Kawecki&amp;Nowack19'!A:C,1,FALSE)=A88, "Kawecki","what?"),"Added/changed")</f>
        <v>Kawecki</v>
      </c>
      <c r="F88" s="17"/>
      <c r="G88" s="496" t="str">
        <v>Wet wipes</v>
      </c>
      <c r="H88" s="313" t="str">
        <v>Non-consumer bags</v>
      </c>
      <c r="I88" s="501" t="str">
        <v>Litter in natural environments</v>
      </c>
      <c r="J88" t="str">
        <v>Import of primary plastics</v>
      </c>
    </row>
    <row r="89" spans="1:10" ht="15.75" thickBot="1">
      <c r="A89" s="74" t="str">
        <v>Medical textiles</v>
      </c>
      <c r="B89" s="335" t="str">
        <f>IFERROR(VLOOKUP(A89,'Compartments_Kawecki&amp;Nowack19'!A:C,2,FALSE), IFERROR(VLOOKUP(A89,Compartments_Added!A:C,2,FALSE), "Not found"))</f>
        <v>Stock</v>
      </c>
      <c r="C89" s="335" t="str">
        <f>IFERROR(VLOOKUP(A89,'Compartments_Kawecki&amp;Nowack19'!A:C,3,FALSE), IFERROR(VLOOKUP(A89,Compartments_Added!A:C,3,FALSE), "Not found"))</f>
        <v>MedicalTextiles</v>
      </c>
      <c r="D89" s="95" t="str">
        <f>IFERROR(IF(VLOOKUP(A89,'Compartments_Kawecki&amp;Nowack19'!A:C,1,FALSE)=A89, "Kawecki","what?"),"Added/changed")</f>
        <v>Added/changed</v>
      </c>
      <c r="F89" s="17"/>
      <c r="G89" s="496" t="str">
        <v>Detergents and maintenance products</v>
      </c>
      <c r="H89" s="313" t="str">
        <v>Offshore oil &amp; gas applications</v>
      </c>
      <c r="I89" s="501" t="str">
        <v>Indoor floors (micro)</v>
      </c>
      <c r="J89" t="str">
        <v>Industrial stormwater (micro)</v>
      </c>
    </row>
    <row r="90" spans="1:10" ht="15.75" thickBot="1">
      <c r="A90" s="74" t="str">
        <v>Mobility textiles</v>
      </c>
      <c r="B90" s="335" t="str">
        <f>IFERROR(VLOOKUP(A90,'Compartments_Kawecki&amp;Nowack19'!A:C,2,FALSE), IFERROR(VLOOKUP(A90,Compartments_Added!A:C,2,FALSE), "Not found"))</f>
        <v>Stock</v>
      </c>
      <c r="C90" s="335" t="str">
        <f>IFERROR(VLOOKUP(A90,'Compartments_Kawecki&amp;Nowack19'!A:C,3,FALSE), IFERROR(VLOOKUP(A90,Compartments_Added!A:C,3,FALSE), "Not found"))</f>
        <v>MobilityTextiles</v>
      </c>
      <c r="D90" s="95" t="str">
        <f>IFERROR(IF(VLOOKUP(A90,'Compartments_Kawecki&amp;Nowack19'!A:C,1,FALSE)=A90, "Kawecki","what?"),"Added/changed")</f>
        <v>Kawecki</v>
      </c>
      <c r="F90" s="17"/>
      <c r="G90" s="496" t="str">
        <v>Infill material sports fields (in use)</v>
      </c>
      <c r="H90" s="313" t="str">
        <v>On-site sewage facility (macro)</v>
      </c>
      <c r="I90" s="501" t="str">
        <v>Litter in residential environments</v>
      </c>
      <c r="J90" t="str">
        <v>Pellet conversion</v>
      </c>
    </row>
    <row r="91" spans="1:10" ht="15.75" thickBot="1">
      <c r="A91" s="74" t="str">
        <v>Textile coating (discarded)</v>
      </c>
      <c r="B91" s="335" t="str">
        <f>IFERROR(VLOOKUP(A91,'Compartments_Kawecki&amp;Nowack19'!A:C,2,FALSE), IFERROR(VLOOKUP(A91,Compartments_Added!A:C,2,FALSE), "Not found"))</f>
        <v>Stock</v>
      </c>
      <c r="C91" s="335" t="str">
        <f>IFERROR(VLOOKUP(A91,'Compartments_Kawecki&amp;Nowack19'!A:C,3,FALSE), IFERROR(VLOOKUP(A91,Compartments_Added!A:C,3,FALSE), "Not found"))</f>
        <v>TextileCoatingDis</v>
      </c>
      <c r="D91" s="95" t="str">
        <f>IFERROR(IF(VLOOKUP(A91,'Compartments_Kawecki&amp;Nowack19'!A:C,1,FALSE)=A91, "Kawecki","what?"),"Added/changed")</f>
        <v>Added/changed</v>
      </c>
      <c r="F91" s="17"/>
      <c r="G91" s="496" t="str">
        <v>Infill material sports fields (discarded)</v>
      </c>
      <c r="H91" s="313" t="str">
        <v>On-site sewage facility (micro)</v>
      </c>
      <c r="I91" s="501" t="str">
        <v>Medical textiles</v>
      </c>
      <c r="J91" t="str">
        <v>Stormwater (macro)</v>
      </c>
    </row>
    <row r="92" spans="1:10" ht="15.75" thickBot="1">
      <c r="A92" s="74" t="str">
        <v>Wet wipes</v>
      </c>
      <c r="B92" s="335" t="str">
        <f>IFERROR(VLOOKUP(A92,'Compartments_Kawecki&amp;Nowack19'!A:C,2,FALSE), IFERROR(VLOOKUP(A92,Compartments_Added!A:C,2,FALSE), "Not found"))</f>
        <v>Flow</v>
      </c>
      <c r="C92" s="335" t="str">
        <f>IFERROR(VLOOKUP(A92,'Compartments_Kawecki&amp;Nowack19'!A:C,3,FALSE), IFERROR(VLOOKUP(A92,Compartments_Added!A:C,3,FALSE), "Not found"))</f>
        <v>WetWipes</v>
      </c>
      <c r="D92" s="95" t="str">
        <f>IFERROR(IF(VLOOKUP(A92,'Compartments_Kawecki&amp;Nowack19'!A:C,1,FALSE)=A92, "Kawecki","what?"),"Added/changed")</f>
        <v>Kawecki</v>
      </c>
      <c r="F92" s="17"/>
      <c r="G92" s="496" t="str">
        <v>Food additives</v>
      </c>
      <c r="H92" s="313" t="str">
        <v>On-the-go consumption</v>
      </c>
      <c r="I92" s="501" t="str">
        <v>Mobility textiles</v>
      </c>
      <c r="J92" t="str">
        <v>Stormwater (micro)</v>
      </c>
    </row>
    <row r="93" spans="1:10" ht="15.75" thickBot="1">
      <c r="A93" s="74" t="str">
        <v>Detergents and maintenance products</v>
      </c>
      <c r="B93" s="335" t="str">
        <f>IFERROR(VLOOKUP(A93,'Compartments_Kawecki&amp;Nowack19'!A:C,2,FALSE), IFERROR(VLOOKUP(A93,Compartments_Added!A:C,2,FALSE), "Not found"))</f>
        <v>Flow</v>
      </c>
      <c r="C93" s="335" t="str">
        <f>IFERROR(VLOOKUP(A93,'Compartments_Kawecki&amp;Nowack19'!A:C,3,FALSE), IFERROR(VLOOKUP(A93,Compartments_Added!A:C,3,FALSE), "Not found"))</f>
        <v>Detergents</v>
      </c>
      <c r="D93" s="95" t="str">
        <f>IFERROR(IF(VLOOKUP(A93,'Compartments_Kawecki&amp;Nowack19'!A:C,1,FALSE)=A93, "Kawecki","what?"),"Added/changed")</f>
        <v>Added/changed</v>
      </c>
      <c r="F93" s="17"/>
      <c r="G93" s="496" t="str">
        <v>Invitro diagnostic devices</v>
      </c>
      <c r="H93" s="313" t="str">
        <v>On-the-go consumption (nature)</v>
      </c>
      <c r="I93" s="501" t="str">
        <v>Textile coating (discarded)</v>
      </c>
      <c r="J93" t="str">
        <v>Transport of primary plastics</v>
      </c>
    </row>
    <row r="94" spans="1:10" ht="15.75" thickBot="1">
      <c r="A94" s="74" t="str">
        <v>Infill material sports fields (in use)</v>
      </c>
      <c r="B94" s="335" t="str">
        <f>IFERROR(VLOOKUP(A94,'Compartments_Kawecki&amp;Nowack19'!A:C,2,FALSE), IFERROR(VLOOKUP(A94,Compartments_Added!A:C,2,FALSE), "Not found"))</f>
        <v>Stock</v>
      </c>
      <c r="C94" s="335" t="str">
        <f>IFERROR(VLOOKUP(A94,'Compartments_Kawecki&amp;Nowack19'!A:C,3,FALSE), IFERROR(VLOOKUP(A94,Compartments_Added!A:C,3,FALSE), "Not found"))</f>
        <v>InfillSportsFieldU</v>
      </c>
      <c r="D94" s="95" t="str">
        <f>IFERROR(IF(VLOOKUP(A94,'Compartments_Kawecki&amp;Nowack19'!A:C,1,FALSE)=A94, "Kawecki","what?"),"Added/changed")</f>
        <v>Added/changed</v>
      </c>
      <c r="F94" s="17"/>
      <c r="G94" s="496" t="str">
        <v>Medicine diffusion limitation (slow release)</v>
      </c>
      <c r="H94" s="313" t="str">
        <v>On-the-go consumption (residential)</v>
      </c>
      <c r="I94" s="501" t="str">
        <v>Wet wipes</v>
      </c>
      <c r="J94" t="str">
        <v>Highway</v>
      </c>
    </row>
    <row r="95" spans="1:10" ht="15.75" thickBot="1">
      <c r="A95" s="74" t="str">
        <v>Infill material sports fields (discarded)</v>
      </c>
      <c r="B95" s="335" t="str">
        <f>IFERROR(VLOOKUP(A95,'Compartments_Kawecki&amp;Nowack19'!A:C,2,FALSE), IFERROR(VLOOKUP(A95,Compartments_Added!A:C,2,FALSE), "Not found"))</f>
        <v>Stock</v>
      </c>
      <c r="C95" s="335" t="str">
        <f>IFERROR(VLOOKUP(A95,'Compartments_Kawecki&amp;Nowack19'!A:C,3,FALSE), IFERROR(VLOOKUP(A95,Compartments_Added!A:C,3,FALSE), "Not found"))</f>
        <v>InfillSportsFieldDis</v>
      </c>
      <c r="D95" s="95" t="str">
        <f>IFERROR(IF(VLOOKUP(A95,'Compartments_Kawecki&amp;Nowack19'!A:C,1,FALSE)=A95, "Kawecki","what?"),"Added/changed")</f>
        <v>Added/changed</v>
      </c>
      <c r="F95" s="17"/>
      <c r="G95" s="496" t="str">
        <v>PCCP</v>
      </c>
      <c r="H95" s="313" t="str">
        <v>On-the-go consumption (transport)</v>
      </c>
      <c r="I95" s="501" t="str">
        <v>Detergents and maintenance products</v>
      </c>
      <c r="J95" t="str">
        <v>Highway DAB</v>
      </c>
    </row>
    <row r="96" spans="1:10" ht="15.75" thickBot="1">
      <c r="A96" s="74" t="str">
        <v>Food additives</v>
      </c>
      <c r="B96" s="335" t="str">
        <f>IFERROR(VLOOKUP(A96,'Compartments_Kawecki&amp;Nowack19'!A:C,2,FALSE), IFERROR(VLOOKUP(A96,Compartments_Added!A:C,2,FALSE), "Not found"))</f>
        <v>Flow</v>
      </c>
      <c r="C96" s="335" t="str">
        <f>IFERROR(VLOOKUP(A96,'Compartments_Kawecki&amp;Nowack19'!A:C,3,FALSE), IFERROR(VLOOKUP(A96,Compartments_Added!A:C,3,FALSE), "Not found"))</f>
        <v>FoodAdditive</v>
      </c>
      <c r="D96" s="95" t="str">
        <f>IFERROR(IF(VLOOKUP(A96,'Compartments_Kawecki&amp;Nowack19'!A:C,1,FALSE)=A96, "Kawecki","what?"),"Added/changed")</f>
        <v>Added/changed</v>
      </c>
      <c r="F96" s="17"/>
      <c r="G96" s="496" t="str">
        <v>Technical home textiles</v>
      </c>
      <c r="H96" s="313" t="str">
        <v>Other consumer packaging</v>
      </c>
      <c r="I96" s="501" t="str">
        <v>Infill material sports fields (in use)</v>
      </c>
      <c r="J96" t="str">
        <v>Combined sewer overflow (macro)</v>
      </c>
    </row>
    <row r="97" spans="1:10" ht="15.75" thickBot="1">
      <c r="A97" s="74" t="str">
        <v>Invitro diagnostic devices</v>
      </c>
      <c r="B97" s="335" t="str">
        <f>IFERROR(VLOOKUP(A97,'Compartments_Kawecki&amp;Nowack19'!A:C,2,FALSE), IFERROR(VLOOKUP(A97,Compartments_Added!A:C,2,FALSE), "Not found"))</f>
        <v>Flow</v>
      </c>
      <c r="C97" s="335" t="str">
        <f>IFERROR(VLOOKUP(A97,'Compartments_Kawecki&amp;Nowack19'!A:C,3,FALSE), IFERROR(VLOOKUP(A97,Compartments_Added!A:C,3,FALSE), "Not found"))</f>
        <v>IVD</v>
      </c>
      <c r="D97" s="95" t="str">
        <f>IFERROR(IF(VLOOKUP(A97,'Compartments_Kawecki&amp;Nowack19'!A:C,1,FALSE)=A97, "Kawecki","what?"),"Added/changed")</f>
        <v>Added/changed</v>
      </c>
      <c r="F97" s="17"/>
      <c r="G97" s="496" t="str">
        <v>Technical home textiles (in use)</v>
      </c>
      <c r="H97" s="313" t="str">
        <v>Other non-consumer films</v>
      </c>
      <c r="I97" s="501" t="str">
        <v>Infill material sports fields (discarded)</v>
      </c>
      <c r="J97" t="str">
        <v>Packaging recycling</v>
      </c>
    </row>
    <row r="98" spans="1:10" ht="15.75" thickBot="1">
      <c r="A98" s="74" t="str">
        <v>Medicine diffusion limitation (slow release)</v>
      </c>
      <c r="B98" s="335" t="str">
        <f>IFERROR(VLOOKUP(A98,'Compartments_Kawecki&amp;Nowack19'!A:C,2,FALSE), IFERROR(VLOOKUP(A98,Compartments_Added!A:C,2,FALSE), "Not found"))</f>
        <v>Flow</v>
      </c>
      <c r="C98" s="335" t="str">
        <f>IFERROR(VLOOKUP(A98,'Compartments_Kawecki&amp;Nowack19'!A:C,3,FALSE), IFERROR(VLOOKUP(A98,Compartments_Added!A:C,3,FALSE), "Not found"))</f>
        <v>MedicineDiff</v>
      </c>
      <c r="D98" s="95" t="str">
        <f>IFERROR(IF(VLOOKUP(A98,'Compartments_Kawecki&amp;Nowack19'!A:C,1,FALSE)=A98, "Kawecki","what?"),"Added/changed")</f>
        <v>Added/changed</v>
      </c>
      <c r="F98" s="17"/>
      <c r="G98" s="496" t="str">
        <v>Technical textiles</v>
      </c>
      <c r="H98" s="313" t="str">
        <v>Other non-consumer packaging</v>
      </c>
      <c r="I98" s="501" t="str">
        <v>Food additives</v>
      </c>
      <c r="J98" t="str">
        <v>Sludge (macro)</v>
      </c>
    </row>
    <row r="99" spans="1:10" ht="15.75" thickBot="1">
      <c r="A99" s="74" t="str">
        <v>PCCP</v>
      </c>
      <c r="B99" s="335" t="str">
        <f>IFERROR(VLOOKUP(A99,'Compartments_Kawecki&amp;Nowack19'!A:C,2,FALSE), IFERROR(VLOOKUP(A99,Compartments_Added!A:C,2,FALSE), "Not found"))</f>
        <v>Flow</v>
      </c>
      <c r="C99" s="335" t="str">
        <f>IFERROR(VLOOKUP(A99,'Compartments_Kawecki&amp;Nowack19'!A:C,3,FALSE), IFERROR(VLOOKUP(A99,Compartments_Added!A:C,3,FALSE), "Not found"))</f>
        <v>PCCP</v>
      </c>
      <c r="D99" s="95" t="str">
        <f>IFERROR(IF(VLOOKUP(A99,'Compartments_Kawecki&amp;Nowack19'!A:C,1,FALSE)=A99, "Kawecki","what?"),"Added/changed")</f>
        <v>Kawecki</v>
      </c>
      <c r="F99" s="17"/>
      <c r="G99" s="496" t="str">
        <v>Textile coating (in use)</v>
      </c>
      <c r="H99" s="313" t="str">
        <v>Building textiles</v>
      </c>
      <c r="I99" s="501" t="str">
        <v>Invitro diagnostic devices</v>
      </c>
      <c r="J99" t="str">
        <v>Sludge (micro)</v>
      </c>
    </row>
    <row r="100" spans="1:10" ht="15.75" thickBot="1">
      <c r="A100" s="74" t="str">
        <v>Technical home textiles</v>
      </c>
      <c r="B100" s="335" t="str">
        <f>IFERROR(VLOOKUP(A100,'Compartments_Kawecki&amp;Nowack19'!A:C,2,FALSE), IFERROR(VLOOKUP(A100,Compartments_Added!A:C,2,FALSE), "Not found"))</f>
        <v>Flow</v>
      </c>
      <c r="C100" s="335" t="str">
        <f>IFERROR(VLOOKUP(A100,'Compartments_Kawecki&amp;Nowack19'!A:C,3,FALSE), IFERROR(VLOOKUP(A100,Compartments_Added!A:C,3,FALSE), "Not found"))</f>
        <v>TechHomeTextiles</v>
      </c>
      <c r="D100" s="95" t="str">
        <f>IFERROR(IF(VLOOKUP(A100,'Compartments_Kawecki&amp;Nowack19'!A:C,1,FALSE)=A100, "Kawecki","what?"),"Added/changed")</f>
        <v>Added/changed</v>
      </c>
      <c r="F100" s="17"/>
      <c r="G100" s="496" t="str">
        <v>Wastewater (macro)</v>
      </c>
      <c r="H100" s="313" t="str">
        <v>Road side soil (micro)</v>
      </c>
      <c r="I100" s="501" t="str">
        <v>Medicine diffusion limitation (slow release)</v>
      </c>
      <c r="J100" t="str">
        <v>Tertiary water treatment (macro)</v>
      </c>
    </row>
    <row r="101" spans="1:10" ht="15.75" thickBot="1">
      <c r="A101" s="74" t="str">
        <v>Technical home textiles (in use)</v>
      </c>
      <c r="B101" s="335" t="str">
        <f>IFERROR(VLOOKUP(A101,'Compartments_Kawecki&amp;Nowack19'!A:C,2,FALSE), IFERROR(VLOOKUP(A101,Compartments_Added!A:C,2,FALSE), "Not found"))</f>
        <v>Stock</v>
      </c>
      <c r="C101" s="335" t="str">
        <f>IFERROR(VLOOKUP(A101,'Compartments_Kawecki&amp;Nowack19'!A:C,3,FALSE), IFERROR(VLOOKUP(A101,Compartments_Added!A:C,3,FALSE), "Not found"))</f>
        <v>TechHomeTextilesIU</v>
      </c>
      <c r="D101" s="95" t="str">
        <f>IFERROR(IF(VLOOKUP(A101,'Compartments_Kawecki&amp;Nowack19'!A:C,1,FALSE)=A101, "Kawecki","what?"),"Added/changed")</f>
        <v>Added/changed</v>
      </c>
      <c r="F101" s="17"/>
      <c r="G101" s="496" t="str">
        <v>Wastewater (micro)</v>
      </c>
      <c r="H101" s="313" t="str">
        <v>Highway ZOAB non cleaned</v>
      </c>
      <c r="I101" s="501" t="str">
        <v>PCCP</v>
      </c>
      <c r="J101" t="str">
        <v>Construction and demolition incinerable waste collection</v>
      </c>
    </row>
    <row r="102" spans="1:10" ht="15.75" thickBot="1">
      <c r="A102" s="74" t="str">
        <v>Textile coating (in use)</v>
      </c>
      <c r="B102" s="335" t="str">
        <f>IFERROR(VLOOKUP(A102,'Compartments_Kawecki&amp;Nowack19'!A:C,2,FALSE), IFERROR(VLOOKUP(A102,Compartments_Added!A:C,2,FALSE), "Not found"))</f>
        <v>Stock</v>
      </c>
      <c r="C102" s="335" t="str">
        <f>IFERROR(VLOOKUP(A102,'Compartments_Kawecki&amp;Nowack19'!A:C,3,FALSE), IFERROR(VLOOKUP(A102,Compartments_Added!A:C,3,FALSE), "Not found"))</f>
        <v>TextileCoatingIU</v>
      </c>
      <c r="D102" s="95" t="str">
        <f>IFERROR(IF(VLOOKUP(A102,'Compartments_Kawecki&amp;Nowack19'!A:C,1,FALSE)=A102, "Kawecki","what?"),"Added/changed")</f>
        <v>Added/changed</v>
      </c>
      <c r="F102" s="17"/>
      <c r="G102" s="496" t="str">
        <v>On-the-go consumption</v>
      </c>
      <c r="H102" s="313" t="str">
        <v>Packaging collection</v>
      </c>
      <c r="I102" s="501" t="str">
        <v>Technical home textiles</v>
      </c>
      <c r="J102" t="str">
        <v>Indoor air (micro)</v>
      </c>
    </row>
    <row r="103" spans="1:10" ht="15.75" thickBot="1">
      <c r="A103" s="74" t="str">
        <v>Wastewater (macro)</v>
      </c>
      <c r="B103" s="335" t="str">
        <f>IFERROR(VLOOKUP(A103,'Compartments_Kawecki&amp;Nowack19'!A:C,2,FALSE), IFERROR(VLOOKUP(A103,Compartments_Added!A:C,2,FALSE), "Not found"))</f>
        <v>Flow</v>
      </c>
      <c r="C103" s="335" t="str">
        <f>IFERROR(VLOOKUP(A103,'Compartments_Kawecki&amp;Nowack19'!A:C,3,FALSE), IFERROR(VLOOKUP(A103,Compartments_Added!A:C,3,FALSE), "Not found"))</f>
        <v>WasteWaterMacro</v>
      </c>
      <c r="D103" s="95" t="str">
        <f>IFERROR(IF(VLOOKUP(A103,'Compartments_Kawecki&amp;Nowack19'!A:C,1,FALSE)=A103, "Kawecki","what?"),"Added/changed")</f>
        <v>Kawecki</v>
      </c>
      <c r="F103" s="17"/>
      <c r="G103" s="496" t="str">
        <v>Highway DAB non cleaned</v>
      </c>
      <c r="H103" s="313" t="str">
        <v>Packaging recycling</v>
      </c>
      <c r="I103" s="501" t="str">
        <v>Technical home textiles (in use)</v>
      </c>
      <c r="J103" t="str">
        <v>Infill material sports fields</v>
      </c>
    </row>
    <row r="104" spans="1:10" ht="15.75" thickBot="1">
      <c r="A104" s="74" t="str">
        <v>Wastewater (micro)</v>
      </c>
      <c r="B104" s="335" t="str">
        <f>IFERROR(VLOOKUP(A104,'Compartments_Kawecki&amp;Nowack19'!A:C,2,FALSE), IFERROR(VLOOKUP(A104,Compartments_Added!A:C,2,FALSE), "Not found"))</f>
        <v>Flow</v>
      </c>
      <c r="C104" s="335" t="str">
        <f>IFERROR(VLOOKUP(A104,'Compartments_Kawecki&amp;Nowack19'!A:C,3,FALSE), IFERROR(VLOOKUP(A104,Compartments_Added!A:C,3,FALSE), "Not found"))</f>
        <v>WasteWaterMicro</v>
      </c>
      <c r="D104" s="95" t="str">
        <f>IFERROR(IF(VLOOKUP(A104,'Compartments_Kawecki&amp;Nowack19'!A:C,1,FALSE)=A104, "Kawecki","what?"),"Added/changed")</f>
        <v>Kawecki</v>
      </c>
      <c r="F104" s="17"/>
      <c r="G104" s="496" t="str">
        <v>Highway ZOAB</v>
      </c>
      <c r="H104" s="313" t="str">
        <v>Geotextiles</v>
      </c>
      <c r="I104" s="501" t="str">
        <v>Textile coating (in use)</v>
      </c>
      <c r="J104" t="str">
        <v>Mixed waste collection</v>
      </c>
    </row>
    <row r="105" spans="1:10" ht="15.75" thickBot="1">
      <c r="A105" s="74" t="str">
        <v>On-the-go consumption</v>
      </c>
      <c r="B105" s="335" t="str">
        <f>IFERROR(VLOOKUP(A105,'Compartments_Kawecki&amp;Nowack19'!A:C,2,FALSE), IFERROR(VLOOKUP(A105,Compartments_Added!A:C,2,FALSE), "Not found"))</f>
        <v>Flow</v>
      </c>
      <c r="C105" s="335" t="str">
        <f>IFERROR(VLOOKUP(A105,'Compartments_Kawecki&amp;Nowack19'!A:C,3,FALSE), IFERROR(VLOOKUP(A105,Compartments_Added!A:C,3,FALSE), "Not found"))</f>
        <v>OnTheGo</v>
      </c>
      <c r="D105" s="95" t="str">
        <f>IFERROR(IF(VLOOKUP(A105,'Compartments_Kawecki&amp;Nowack19'!A:C,1,FALSE)=A105, "Kawecki","what?"),"Added/changed")</f>
        <v>Kawecki</v>
      </c>
      <c r="F105" s="17"/>
      <c r="G105" s="496" t="str">
        <v>Highway ZOAB non cleaned</v>
      </c>
      <c r="H105" s="313" t="str">
        <v>PCCP</v>
      </c>
      <c r="I105" s="501" t="str">
        <v>Wastewater (macro)</v>
      </c>
      <c r="J105" t="str">
        <v>Dumping</v>
      </c>
    </row>
    <row r="106" spans="1:10" ht="15.75" thickBot="1">
      <c r="A106" s="74" t="str">
        <v>Highway DAB non cleaned</v>
      </c>
      <c r="B106" s="335" t="str">
        <f>IFERROR(VLOOKUP(A106,'Compartments_Kawecki&amp;Nowack19'!A:C,2,FALSE), IFERROR(VLOOKUP(A106,Compartments_Added!A:C,2,FALSE), "Not found"))</f>
        <v>Flow</v>
      </c>
      <c r="C106" s="335" t="str">
        <f>IFERROR(VLOOKUP(A106,'Compartments_Kawecki&amp;Nowack19'!A:C,3,FALSE), IFERROR(VLOOKUP(A106,Compartments_Added!A:C,3,FALSE), "Not found"))</f>
        <v>HighwayDABnc</v>
      </c>
      <c r="D106" s="95" t="str">
        <f>IFERROR(IF(VLOOKUP(A106,'Compartments_Kawecki&amp;Nowack19'!A:C,1,FALSE)=A106, "Kawecki","what?"),"Added/changed")</f>
        <v>Added/changed</v>
      </c>
      <c r="F106" s="17"/>
      <c r="G106" s="496" t="str">
        <v>Road cleaning</v>
      </c>
      <c r="H106" s="313" t="str">
        <v>Plant protection products</v>
      </c>
      <c r="I106" s="501" t="str">
        <v>Wastewater (micro)</v>
      </c>
      <c r="J106" t="str">
        <v>On-the-go consumption (nature)</v>
      </c>
    </row>
    <row r="107" spans="1:10" ht="15.75" thickBot="1">
      <c r="A107" s="74" t="str">
        <v>Highway ZOAB</v>
      </c>
      <c r="B107" s="335" t="str">
        <f>IFERROR(VLOOKUP(A107,'Compartments_Kawecki&amp;Nowack19'!A:C,2,FALSE), IFERROR(VLOOKUP(A107,Compartments_Added!A:C,2,FALSE), "Not found"))</f>
        <v>Flow</v>
      </c>
      <c r="C107" s="335" t="str">
        <f>IFERROR(VLOOKUP(A107,'Compartments_Kawecki&amp;Nowack19'!A:C,3,FALSE), IFERROR(VLOOKUP(A107,Compartments_Added!A:C,3,FALSE), "Not found"))</f>
        <v>HighwayZOAB</v>
      </c>
      <c r="D107" s="95" t="str">
        <f>IFERROR(IF(VLOOKUP(A107,'Compartments_Kawecki&amp;Nowack19'!A:C,1,FALSE)=A107, "Kawecki","what?"),"Added/changed")</f>
        <v>Added/changed</v>
      </c>
      <c r="F107" s="17"/>
      <c r="G107" s="496" t="str">
        <v>Road runoff</v>
      </c>
      <c r="H107" s="313" t="str">
        <v>Primary water treatment (macro)</v>
      </c>
      <c r="I107" s="501" t="str">
        <v>On-the-go consumption</v>
      </c>
      <c r="J107" t="str">
        <v>On-the-go consumption (residential)</v>
      </c>
    </row>
    <row r="108" spans="1:10" ht="15.75" thickBot="1">
      <c r="A108" s="74" t="str">
        <v>Highway ZOAB non cleaned</v>
      </c>
      <c r="B108" s="335" t="str">
        <f>IFERROR(VLOOKUP(A108,'Compartments_Kawecki&amp;Nowack19'!A:C,2,FALSE), IFERROR(VLOOKUP(A108,Compartments_Added!A:C,2,FALSE), "Not found"))</f>
        <v>Flow</v>
      </c>
      <c r="C108" s="335" t="str">
        <f>IFERROR(VLOOKUP(A108,'Compartments_Kawecki&amp;Nowack19'!A:C,3,FALSE), IFERROR(VLOOKUP(A108,Compartments_Added!A:C,3,FALSE), "Not found"))</f>
        <v>HighwayZOABnc</v>
      </c>
      <c r="D108" s="95" t="str">
        <f>IFERROR(IF(VLOOKUP(A108,'Compartments_Kawecki&amp;Nowack19'!A:C,1,FALSE)=A108, "Kawecki","what?"),"Added/changed")</f>
        <v>Added/changed</v>
      </c>
      <c r="F108" s="17"/>
      <c r="G108" s="496" t="str">
        <v>Rural roads</v>
      </c>
      <c r="H108" s="313" t="str">
        <v>Primary water treatment (micro)</v>
      </c>
      <c r="I108" s="501" t="str">
        <v>Highway DAB non cleaned</v>
      </c>
      <c r="J108" t="str">
        <v>Mixed waste collection (micro)</v>
      </c>
    </row>
    <row r="109" spans="1:10" ht="15.75" thickBot="1">
      <c r="A109" s="74" t="str">
        <v>Road cleaning</v>
      </c>
      <c r="B109" s="335" t="str">
        <f>IFERROR(VLOOKUP(A109,'Compartments_Kawecki&amp;Nowack19'!A:C,2,FALSE), IFERROR(VLOOKUP(A109,Compartments_Added!A:C,2,FALSE), "Not found"))</f>
        <v>Flow</v>
      </c>
      <c r="C109" s="335" t="str">
        <f>IFERROR(VLOOKUP(A109,'Compartments_Kawecki&amp;Nowack19'!A:C,3,FALSE), IFERROR(VLOOKUP(A109,Compartments_Added!A:C,3,FALSE), "Not found"))</f>
        <v>RoadCleaning</v>
      </c>
      <c r="D109" s="95" t="str">
        <f>IFERROR(IF(VLOOKUP(A109,'Compartments_Kawecki&amp;Nowack19'!A:C,1,FALSE)=A109, "Kawecki","what?"),"Added/changed")</f>
        <v>Added/changed</v>
      </c>
      <c r="F109" s="17"/>
      <c r="G109" s="496" t="str">
        <v>Tyre wear</v>
      </c>
      <c r="H109" s="313" t="str">
        <v>Stormwater (macro)</v>
      </c>
      <c r="I109" s="501" t="str">
        <v>Highway ZOAB</v>
      </c>
      <c r="J109" t="str">
        <v>On-the-go consumption (transport)</v>
      </c>
    </row>
    <row r="110" spans="1:10" ht="15.75" thickBot="1">
      <c r="A110" s="74" t="str">
        <v>Road runoff</v>
      </c>
      <c r="B110" s="335" t="str">
        <f>IFERROR(VLOOKUP(A110,'Compartments_Kawecki&amp;Nowack19'!A:C,2,FALSE), IFERROR(VLOOKUP(A110,Compartments_Added!A:C,2,FALSE), "Not found"))</f>
        <v>Flow</v>
      </c>
      <c r="C110" s="335" t="str">
        <f>IFERROR(VLOOKUP(A110,'Compartments_Kawecki&amp;Nowack19'!A:C,3,FALSE), IFERROR(VLOOKUP(A110,Compartments_Added!A:C,3,FALSE), "Not found"))</f>
        <v>RoadRunoff</v>
      </c>
      <c r="D110" s="95" t="str">
        <f>IFERROR(IF(VLOOKUP(A110,'Compartments_Kawecki&amp;Nowack19'!A:C,1,FALSE)=A110, "Kawecki","what?"),"Added/changed")</f>
        <v>Added/changed</v>
      </c>
      <c r="F110" s="17"/>
      <c r="G110" s="496" t="str">
        <v>Primary water treatment (macro)</v>
      </c>
      <c r="H110" s="313" t="str">
        <v>Stormwater (micro)</v>
      </c>
      <c r="I110" s="501" t="str">
        <v>Highway ZOAB non cleaned</v>
      </c>
      <c r="J110" t="str">
        <v>Litter in natural environments</v>
      </c>
    </row>
    <row r="111" spans="1:10" ht="15.75" thickBot="1">
      <c r="A111" s="74" t="str">
        <v>Rural roads</v>
      </c>
      <c r="B111" s="335" t="str">
        <f>IFERROR(VLOOKUP(A111,'Compartments_Kawecki&amp;Nowack19'!A:C,2,FALSE), IFERROR(VLOOKUP(A111,Compartments_Added!A:C,2,FALSE), "Not found"))</f>
        <v>Flow</v>
      </c>
      <c r="C111" s="335" t="str">
        <f>IFERROR(VLOOKUP(A111,'Compartments_Kawecki&amp;Nowack19'!A:C,3,FALSE), IFERROR(VLOOKUP(A111,Compartments_Added!A:C,3,FALSE), "Not found"))</f>
        <v>RuralRoads</v>
      </c>
      <c r="D111" s="95" t="str">
        <f>IFERROR(IF(VLOOKUP(A111,'Compartments_Kawecki&amp;Nowack19'!A:C,1,FALSE)=A111, "Kawecki","what?"),"Added/changed")</f>
        <v>Added/changed</v>
      </c>
      <c r="F111" s="17"/>
      <c r="G111" s="496" t="str">
        <v>On-site sewage facility (macro)</v>
      </c>
      <c r="H111" s="313" t="str">
        <v>Highway</v>
      </c>
      <c r="I111" s="501" t="str">
        <v>Road cleaning</v>
      </c>
      <c r="J111" t="str">
        <v>Indoor floors (micro)</v>
      </c>
    </row>
    <row r="112" spans="1:10" ht="15.75" thickBot="1">
      <c r="A112" s="74" t="str">
        <v>Primary water treatment (macro)</v>
      </c>
      <c r="B112" s="335" t="str">
        <f>IFERROR(VLOOKUP(A112,'Compartments_Kawecki&amp;Nowack19'!A:C,2,FALSE), IFERROR(VLOOKUP(A112,Compartments_Added!A:C,2,FALSE), "Not found"))</f>
        <v>Flow</v>
      </c>
      <c r="C112" s="335" t="str">
        <f>IFERROR(VLOOKUP(A112,'Compartments_Kawecki&amp;Nowack19'!A:C,3,FALSE), IFERROR(VLOOKUP(A112,Compartments_Added!A:C,3,FALSE), "Not found"))</f>
        <v>WWTPrimaryMacro</v>
      </c>
      <c r="D112" s="95" t="str">
        <f>IFERROR(IF(VLOOKUP(A112,'Compartments_Kawecki&amp;Nowack19'!A:C,1,FALSE)=A112, "Kawecki","what?"),"Added/changed")</f>
        <v>Kawecki</v>
      </c>
      <c r="F112" s="17"/>
      <c r="G112" s="496" t="str">
        <v>Secondary water treatment (macro)</v>
      </c>
      <c r="H112" s="313" t="str">
        <v>Rural roads</v>
      </c>
      <c r="I112" s="501" t="str">
        <v>Road runoff</v>
      </c>
      <c r="J112" t="str">
        <v>Litter in residential environments</v>
      </c>
    </row>
    <row r="113" spans="1:10" ht="15.75" thickBot="1">
      <c r="A113" s="74" t="str">
        <v>On-site sewage facility (macro)</v>
      </c>
      <c r="B113" s="335" t="str">
        <f>IFERROR(VLOOKUP(A113,'Compartments_Kawecki&amp;Nowack19'!A:C,2,FALSE), IFERROR(VLOOKUP(A113,Compartments_Added!A:C,2,FALSE), "Not found"))</f>
        <v>Flow</v>
      </c>
      <c r="C113" s="335" t="str">
        <f>IFERROR(VLOOKUP(A113,'Compartments_Kawecki&amp;Nowack19'!A:C,3,FALSE), IFERROR(VLOOKUP(A113,Compartments_Added!A:C,3,FALSE), "Not found"))</f>
        <v>OSSFMacro</v>
      </c>
      <c r="D113" s="95" t="str">
        <f>IFERROR(IF(VLOOKUP(A113,'Compartments_Kawecki&amp;Nowack19'!A:C,1,FALSE)=A113, "Kawecki","what?"),"Added/changed")</f>
        <v>Kawecki</v>
      </c>
      <c r="F113" s="17"/>
      <c r="G113" s="496" t="str">
        <v>On-site sewage facility (micro)</v>
      </c>
      <c r="H113" s="313" t="str">
        <v>Urban roads</v>
      </c>
      <c r="I113" s="501" t="str">
        <v>Rural roads</v>
      </c>
      <c r="J113" t="str">
        <v>Medical textiles</v>
      </c>
    </row>
    <row r="114" spans="1:10" ht="15.75" thickBot="1">
      <c r="A114" s="74" t="str">
        <v>Secondary water treatment (macro)</v>
      </c>
      <c r="B114" s="335" t="str">
        <f>IFERROR(VLOOKUP(A114,'Compartments_Kawecki&amp;Nowack19'!A:C,2,FALSE), IFERROR(VLOOKUP(A114,Compartments_Added!A:C,2,FALSE), "Not found"))</f>
        <v>Flow</v>
      </c>
      <c r="C114" s="335" t="str">
        <f>IFERROR(VLOOKUP(A114,'Compartments_Kawecki&amp;Nowack19'!A:C,3,FALSE), IFERROR(VLOOKUP(A114,Compartments_Added!A:C,3,FALSE), "Not found"))</f>
        <v>WWTSecondaryMacro</v>
      </c>
      <c r="D114" s="95" t="str">
        <f>IFERROR(IF(VLOOKUP(A114,'Compartments_Kawecki&amp;Nowack19'!A:C,1,FALSE)=A114, "Kawecki","what?"),"Added/changed")</f>
        <v>Kawecki</v>
      </c>
      <c r="F114" s="17"/>
      <c r="G114" s="496" t="str">
        <v>Litter on road sides</v>
      </c>
      <c r="H114" s="313" t="str">
        <v>Medical textiles</v>
      </c>
      <c r="I114" s="501" t="str">
        <v>Primary water treatment (macro)</v>
      </c>
      <c r="J114" t="str">
        <v>Mobility textiles</v>
      </c>
    </row>
    <row r="115" spans="1:10" ht="15.75" thickBot="1">
      <c r="A115" s="74" t="str">
        <v>On-site sewage facility (micro)</v>
      </c>
      <c r="B115" s="335" t="str">
        <f>IFERROR(VLOOKUP(A115,'Compartments_Kawecki&amp;Nowack19'!A:C,2,FALSE), IFERROR(VLOOKUP(A115,Compartments_Added!A:C,2,FALSE), "Not found"))</f>
        <v>Flow</v>
      </c>
      <c r="C115" s="335" t="str">
        <f>IFERROR(VLOOKUP(A115,'Compartments_Kawecki&amp;Nowack19'!A:C,3,FALSE), IFERROR(VLOOKUP(A115,Compartments_Added!A:C,3,FALSE), "Not found"))</f>
        <v>OSSFMicro</v>
      </c>
      <c r="D115" s="95" t="str">
        <f>IFERROR(IF(VLOOKUP(A115,'Compartments_Kawecki&amp;Nowack19'!A:C,1,FALSE)=A115, "Kawecki","what?"),"Added/changed")</f>
        <v>Kawecki</v>
      </c>
      <c r="F115" s="17"/>
      <c r="G115" s="496" t="str">
        <v>Combined sewer overflow (micro)</v>
      </c>
      <c r="H115" s="313" t="str">
        <v>Secondary water treatment (macro)</v>
      </c>
      <c r="I115" s="501" t="str">
        <v>On-site sewage facility (macro)</v>
      </c>
      <c r="J115" t="str">
        <v>Textile coating (discarded)</v>
      </c>
    </row>
    <row r="116" spans="1:10" ht="15.75" thickBot="1">
      <c r="A116" s="74" t="str">
        <v>Litter on road sides</v>
      </c>
      <c r="B116" s="335" t="str">
        <f>IFERROR(VLOOKUP(A116,'Compartments_Kawecki&amp;Nowack19'!A:C,2,FALSE), IFERROR(VLOOKUP(A116,Compartments_Added!A:C,2,FALSE), "Not found"))</f>
        <v>Flow</v>
      </c>
      <c r="C116" s="335" t="str">
        <f>IFERROR(VLOOKUP(A116,'Compartments_Kawecki&amp;Nowack19'!A:C,3,FALSE), IFERROR(VLOOKUP(A116,Compartments_Added!A:C,3,FALSE), "Not found"))</f>
        <v>RoadSideLitter</v>
      </c>
      <c r="D116" s="95" t="str">
        <f>IFERROR(IF(VLOOKUP(A116,'Compartments_Kawecki&amp;Nowack19'!A:C,1,FALSE)=A116, "Kawecki","what?"),"Added/changed")</f>
        <v>Kawecki</v>
      </c>
      <c r="F116" s="17"/>
      <c r="G116" s="496" t="str">
        <v>Urban roads</v>
      </c>
      <c r="H116" s="313" t="str">
        <v>Seed coating</v>
      </c>
      <c r="I116" s="501" t="str">
        <v>Secondary water treatment (macro)</v>
      </c>
      <c r="J116" t="str">
        <v>Wet wipes</v>
      </c>
    </row>
    <row r="117" spans="1:10" ht="15.75" thickBot="1">
      <c r="A117" s="74" t="str">
        <v>Combined sewer overflow (micro)</v>
      </c>
      <c r="B117" s="335" t="str">
        <f>IFERROR(VLOOKUP(A117,'Compartments_Kawecki&amp;Nowack19'!A:C,2,FALSE), IFERROR(VLOOKUP(A117,Compartments_Added!A:C,2,FALSE), "Not found"))</f>
        <v>Flow</v>
      </c>
      <c r="C117" s="335" t="str">
        <f>IFERROR(VLOOKUP(A117,'Compartments_Kawecki&amp;Nowack19'!A:C,3,FALSE), IFERROR(VLOOKUP(A117,Compartments_Added!A:C,3,FALSE), "Not found"))</f>
        <v>CSOMicro</v>
      </c>
      <c r="D117" s="95" t="str">
        <f>IFERROR(IF(VLOOKUP(A117,'Compartments_Kawecki&amp;Nowack19'!A:C,1,FALSE)=A117, "Kawecki","what?"),"Added/changed")</f>
        <v>Kawecki</v>
      </c>
      <c r="F117" s="17"/>
      <c r="G117" s="496" t="str">
        <v>Offshore oil &amp; gas applications</v>
      </c>
      <c r="H117" s="313" t="str">
        <v>Sludge (macro)</v>
      </c>
      <c r="I117" s="501" t="str">
        <v>On-site sewage facility (micro)</v>
      </c>
      <c r="J117" t="str">
        <v>Detergents and maintenance products</v>
      </c>
    </row>
    <row r="118" spans="1:10" ht="15.75" thickBot="1">
      <c r="A118" s="74" t="str">
        <v>Urban roads</v>
      </c>
      <c r="B118" s="335" t="str">
        <f>IFERROR(VLOOKUP(A118,'Compartments_Kawecki&amp;Nowack19'!A:C,2,FALSE), IFERROR(VLOOKUP(A118,Compartments_Added!A:C,2,FALSE), "Not found"))</f>
        <v>Flow</v>
      </c>
      <c r="C118" s="335" t="str">
        <f>IFERROR(VLOOKUP(A118,'Compartments_Kawecki&amp;Nowack19'!A:C,3,FALSE), IFERROR(VLOOKUP(A118,Compartments_Added!A:C,3,FALSE), "Not found"))</f>
        <v>UrbanRoads</v>
      </c>
      <c r="D118" s="95" t="str">
        <f>IFERROR(IF(VLOOKUP(A118,'Compartments_Kawecki&amp;Nowack19'!A:C,1,FALSE)=A118, "Kawecki","what?"),"Added/changed")</f>
        <v>Added/changed</v>
      </c>
      <c r="F118" s="17"/>
      <c r="G118" s="496" t="str">
        <v>Textile coating</v>
      </c>
      <c r="H118" s="313" t="str">
        <v>Sludge (micro)</v>
      </c>
      <c r="I118" s="501" t="str">
        <v>Litter on road sides</v>
      </c>
      <c r="J118" t="str">
        <v>Infill material sports fields (in use)</v>
      </c>
    </row>
    <row r="119" spans="1:10" ht="15.75" thickBot="1">
      <c r="A119" s="74" t="str">
        <v>Offshore oil &amp; gas applications</v>
      </c>
      <c r="B119" s="335" t="str">
        <f>IFERROR(VLOOKUP(A119,'Compartments_Kawecki&amp;Nowack19'!A:C,2,FALSE), IFERROR(VLOOKUP(A119,Compartments_Added!A:C,2,FALSE), "Not found"))</f>
        <v>Flow</v>
      </c>
      <c r="C119" s="335" t="str">
        <f>IFERROR(VLOOKUP(A119,'Compartments_Kawecki&amp;Nowack19'!A:C,3,FALSE), IFERROR(VLOOKUP(A119,Compartments_Added!A:C,3,FALSE), "Not found"))</f>
        <v>OilGasApplications</v>
      </c>
      <c r="D119" s="95" t="str">
        <f>IFERROR(IF(VLOOKUP(A119,'Compartments_Kawecki&amp;Nowack19'!A:C,1,FALSE)=A119, "Kawecki","what?"),"Added/changed")</f>
        <v>Added/changed</v>
      </c>
      <c r="F119" s="17"/>
      <c r="G119" s="496" t="str">
        <v>Textile recycling</v>
      </c>
      <c r="H119" s="313" t="str">
        <v>Road side soil (macro)</v>
      </c>
      <c r="I119" s="501" t="str">
        <v>Combined sewer overflow (micro)</v>
      </c>
      <c r="J119" t="str">
        <v>Infill material sports fields (discarded)</v>
      </c>
    </row>
    <row r="120" spans="1:10" ht="15.75" thickBot="1">
      <c r="A120" s="74" t="str">
        <v>Textile coating</v>
      </c>
      <c r="B120" s="335" t="str">
        <f>IFERROR(VLOOKUP(A120,'Compartments_Kawecki&amp;Nowack19'!A:C,2,FALSE), IFERROR(VLOOKUP(A120,Compartments_Added!A:C,2,FALSE), "Not found"))</f>
        <v>Flow</v>
      </c>
      <c r="C120" s="335" t="str">
        <f>IFERROR(VLOOKUP(A120,'Compartments_Kawecki&amp;Nowack19'!A:C,3,FALSE), IFERROR(VLOOKUP(A120,Compartments_Added!A:C,3,FALSE), "Not found"))</f>
        <v>TextileCoating</v>
      </c>
      <c r="D120" s="95" t="str">
        <f>IFERROR(IF(VLOOKUP(A120,'Compartments_Kawecki&amp;Nowack19'!A:C,1,FALSE)=A120, "Kawecki","what?"),"Added/changed")</f>
        <v>Added/changed</v>
      </c>
      <c r="F120" s="17"/>
      <c r="G120" s="496" t="str">
        <v>Pellet losses transport land</v>
      </c>
      <c r="H120" s="313" t="str">
        <v>Road runoff</v>
      </c>
      <c r="I120" s="501" t="str">
        <v>Urban roads</v>
      </c>
      <c r="J120" t="str">
        <v>Food additives</v>
      </c>
    </row>
    <row r="121" spans="1:10" ht="15.75" thickBot="1">
      <c r="A121" s="74" t="str">
        <v>Textile recycling</v>
      </c>
      <c r="B121" s="335" t="str">
        <f>IFERROR(VLOOKUP(A121,'Compartments_Kawecki&amp;Nowack19'!A:C,2,FALSE), IFERROR(VLOOKUP(A121,Compartments_Added!A:C,2,FALSE), "Not found"))</f>
        <v>Flow</v>
      </c>
      <c r="C121" s="335" t="str">
        <f>IFERROR(VLOOKUP(A121,'Compartments_Kawecki&amp;Nowack19'!A:C,3,FALSE), IFERROR(VLOOKUP(A121,Compartments_Added!A:C,3,FALSE), "Not found"))</f>
        <v>TextileRecycling</v>
      </c>
      <c r="D121" s="95" t="str">
        <f>IFERROR(IF(VLOOKUP(A121,'Compartments_Kawecki&amp;Nowack19'!A:C,1,FALSE)=A121, "Kawecki","what?"),"Added/changed")</f>
        <v>Added/changed</v>
      </c>
      <c r="F121" s="17"/>
      <c r="G121" s="496" t="str">
        <v>Pellet losses industrial plants</v>
      </c>
      <c r="H121" s="313" t="str">
        <v>Mobility textiles</v>
      </c>
      <c r="I121" s="501" t="str">
        <v>Offshore oil &amp; gas applications</v>
      </c>
      <c r="J121" t="str">
        <v>Invitro diagnostic devices</v>
      </c>
    </row>
    <row r="122" spans="1:10" ht="15.75" thickBot="1">
      <c r="A122" s="74" t="str">
        <v>Pellet losses transport land</v>
      </c>
      <c r="B122" s="335" t="str">
        <f>IFERROR(VLOOKUP(A122,'Compartments_Kawecki&amp;Nowack19'!A:C,2,FALSE), IFERROR(VLOOKUP(A122,Compartments_Added!A:C,2,FALSE), "Not found"))</f>
        <v>Flow</v>
      </c>
      <c r="C122" s="335" t="str">
        <f>IFERROR(VLOOKUP(A122,'Compartments_Kawecki&amp;Nowack19'!A:C,3,FALSE), IFERROR(VLOOKUP(A122,Compartments_Added!A:C,3,FALSE), "Not found"))</f>
        <v>PelletTransportLossesL</v>
      </c>
      <c r="D122" s="95" t="str">
        <f>IFERROR(IF(VLOOKUP(A122,'Compartments_Kawecki&amp;Nowack19'!A:C,1,FALSE)=A122, "Kawecki","what?"),"Added/changed")</f>
        <v>Added/changed</v>
      </c>
      <c r="F122" s="17"/>
      <c r="G122" s="496" t="str">
        <v>Paint</v>
      </c>
      <c r="H122" s="313" t="str">
        <v>Other technical textiles</v>
      </c>
      <c r="I122" s="501" t="str">
        <v>Textile coating</v>
      </c>
      <c r="J122" t="str">
        <v>Medicine diffusion limitation (slow release)</v>
      </c>
    </row>
    <row r="123" spans="1:10" ht="15.75" thickBot="1">
      <c r="A123" s="74" t="str">
        <v>Pellet losses industrial plants</v>
      </c>
      <c r="B123" s="335" t="str">
        <f>IFERROR(VLOOKUP(A123,'Compartments_Kawecki&amp;Nowack19'!A:C,2,FALSE), IFERROR(VLOOKUP(A123,Compartments_Added!A:C,2,FALSE), "Not found"))</f>
        <v>Flow</v>
      </c>
      <c r="C123" s="335" t="str">
        <f>IFERROR(VLOOKUP(A123,'Compartments_Kawecki&amp;Nowack19'!A:C,3,FALSE), IFERROR(VLOOKUP(A123,Compartments_Added!A:C,3,FALSE), "Not found"))</f>
        <v>PelletLossIndustrial</v>
      </c>
      <c r="D123" s="95" t="str">
        <f>IFERROR(IF(VLOOKUP(A123,'Compartments_Kawecki&amp;Nowack19'!A:C,1,FALSE)=A123, "Kawecki","what?"),"Added/changed")</f>
        <v>Added/changed</v>
      </c>
      <c r="F123" s="17"/>
      <c r="G123" s="496" t="str">
        <v>Ship paint (prof)</v>
      </c>
      <c r="H123" s="313" t="str">
        <v>Tertiary water treatment (macro)</v>
      </c>
      <c r="I123" s="501" t="str">
        <v>Textile recycling</v>
      </c>
      <c r="J123" t="str">
        <v>PCCP</v>
      </c>
    </row>
    <row r="124" spans="1:10" ht="15.75" thickBot="1">
      <c r="A124" s="74" t="str">
        <v>Ship paint (prof)</v>
      </c>
      <c r="B124" s="335" t="str">
        <f>IFERROR(VLOOKUP(A124,'Compartments_Kawecki&amp;Nowack19'!A:C,2,FALSE), IFERROR(VLOOKUP(A124,Compartments_Added!A:C,2,FALSE), "Not found"))</f>
        <v>Flow</v>
      </c>
      <c r="C124" s="335" t="str">
        <f>IFERROR(VLOOKUP(A124,'Compartments_Kawecki&amp;Nowack19'!A:C,3,FALSE), IFERROR(VLOOKUP(A124,Compartments_Added!A:C,3,FALSE), "Not found"))</f>
        <v>ShipProf</v>
      </c>
      <c r="D124" s="95" t="str">
        <f>IFERROR(IF(VLOOKUP(A124,'Compartments_Kawecki&amp;Nowack19'!A:C,1,FALSE)=A124, "Kawecki","what?"),"Added/changed")</f>
        <v>Added/changed</v>
      </c>
      <c r="F124" s="17"/>
      <c r="G124" s="496" t="str">
        <v>Ship paint (prof) (in use)</v>
      </c>
      <c r="H124" s="313" t="str">
        <v>Technical home textiles</v>
      </c>
      <c r="I124" s="501" t="str">
        <v>Pellet losses transport land</v>
      </c>
      <c r="J124" t="str">
        <v>Technical home textiles</v>
      </c>
    </row>
    <row r="125" spans="1:10" ht="15.75" thickBot="1">
      <c r="A125" s="74" t="str">
        <v>Ship paint (prof) (in use)</v>
      </c>
      <c r="B125" s="335" t="str">
        <f>IFERROR(VLOOKUP(A125,'Compartments_Kawecki&amp;Nowack19'!A:C,2,FALSE), IFERROR(VLOOKUP(A125,Compartments_Added!A:C,2,FALSE), "Not found"))</f>
        <v>Stock</v>
      </c>
      <c r="C125" s="335" t="str">
        <f>IFERROR(VLOOKUP(A125,'Compartments_Kawecki&amp;Nowack19'!A:C,3,FALSE), IFERROR(VLOOKUP(A125,Compartments_Added!A:C,3,FALSE), "Not found"))</f>
        <v>ShipProfIU</v>
      </c>
      <c r="D125" s="95" t="str">
        <f>IFERROR(IF(VLOOKUP(A125,'Compartments_Kawecki&amp;Nowack19'!A:C,1,FALSE)=A125, "Kawecki","what?"),"Added/changed")</f>
        <v>Added/changed</v>
      </c>
      <c r="F125" s="17"/>
      <c r="G125" s="496" t="str">
        <v>Ship paint (recr)</v>
      </c>
      <c r="H125" s="313" t="str">
        <v>Textile coating (discarded)</v>
      </c>
      <c r="I125" s="501" t="str">
        <v>Pellet losses industrial plants</v>
      </c>
      <c r="J125" t="str">
        <v>Technical home textiles (in use)</v>
      </c>
    </row>
    <row r="126" spans="1:10" ht="15.75" thickBot="1">
      <c r="A126" s="74" t="str">
        <v>Ship paint (recr)</v>
      </c>
      <c r="B126" s="335" t="str">
        <f>IFERROR(VLOOKUP(A126,'Compartments_Kawecki&amp;Nowack19'!A:C,2,FALSE), IFERROR(VLOOKUP(A126,Compartments_Added!A:C,2,FALSE), "Not found"))</f>
        <v>Flow</v>
      </c>
      <c r="C126" s="335" t="str">
        <f>IFERROR(VLOOKUP(A126,'Compartments_Kawecki&amp;Nowack19'!A:C,3,FALSE), IFERROR(VLOOKUP(A126,Compartments_Added!A:C,3,FALSE), "Not found"))</f>
        <v>ShipDiy</v>
      </c>
      <c r="D126" s="95" t="str">
        <f>IFERROR(IF(VLOOKUP(A126,'Compartments_Kawecki&amp;Nowack19'!A:C,1,FALSE)=A126, "Kawecki","what?"),"Added/changed")</f>
        <v>Added/changed</v>
      </c>
      <c r="F126" s="17"/>
      <c r="G126" s="496" t="str">
        <v>Ship paint (recr) (in use)</v>
      </c>
      <c r="H126" s="313" t="str">
        <v>Textile coating (in use)</v>
      </c>
      <c r="I126" s="501" t="str">
        <v>Ship paint (prof)</v>
      </c>
      <c r="J126" t="str">
        <v>Technical textiles</v>
      </c>
    </row>
    <row r="127" spans="1:10" ht="15.75" thickBot="1">
      <c r="A127" s="74" t="str">
        <v>Ship paint (recr) (in use)</v>
      </c>
      <c r="B127" s="335" t="str">
        <f>IFERROR(VLOOKUP(A127,'Compartments_Kawecki&amp;Nowack19'!A:C,2,FALSE), IFERROR(VLOOKUP(A127,Compartments_Added!A:C,2,FALSE), "Not found"))</f>
        <v>Stock</v>
      </c>
      <c r="C127" s="335" t="str">
        <f>IFERROR(VLOOKUP(A127,'Compartments_Kawecki&amp;Nowack19'!A:C,3,FALSE), IFERROR(VLOOKUP(A127,Compartments_Added!A:C,3,FALSE), "Not found"))</f>
        <v>ShipDiyIU</v>
      </c>
      <c r="D127" s="95" t="str">
        <f>IFERROR(IF(VLOOKUP(A127,'Compartments_Kawecki&amp;Nowack19'!A:C,1,FALSE)=A127, "Kawecki","what?"),"Added/changed")</f>
        <v>Added/changed</v>
      </c>
      <c r="F127" s="17"/>
      <c r="G127" s="496" t="str">
        <v>Ship paint (prof) (discarded)</v>
      </c>
      <c r="H127" s="313" t="str">
        <v>Wastewater (macro)</v>
      </c>
      <c r="I127" s="501" t="str">
        <v>Ship paint (prof) (in use)</v>
      </c>
      <c r="J127" t="str">
        <v>Textile coating (in use)</v>
      </c>
    </row>
    <row r="128" spans="1:10" ht="15.75" thickBot="1">
      <c r="A128" s="74" t="str">
        <v>Ship paint (prof) (discarded)</v>
      </c>
      <c r="B128" s="335" t="str">
        <f>IFERROR(VLOOKUP(A128,'Compartments_Kawecki&amp;Nowack19'!A:C,2,FALSE), IFERROR(VLOOKUP(A128,Compartments_Added!A:C,2,FALSE), "Not found"))</f>
        <v>Stock</v>
      </c>
      <c r="C128" s="335" t="str">
        <f>IFERROR(VLOOKUP(A128,'Compartments_Kawecki&amp;Nowack19'!A:C,3,FALSE), IFERROR(VLOOKUP(A128,Compartments_Added!A:C,3,FALSE), "Not found"))</f>
        <v>ShipProfDis</v>
      </c>
      <c r="D128" s="95" t="str">
        <f>IFERROR(IF(VLOOKUP(A128,'Compartments_Kawecki&amp;Nowack19'!A:C,1,FALSE)=A128, "Kawecki","what?"),"Added/changed")</f>
        <v>Added/changed</v>
      </c>
      <c r="F128" s="17"/>
      <c r="G128" s="496" t="str">
        <v>Ship paint (recr) (discarded)</v>
      </c>
      <c r="H128" s="313" t="str">
        <v>Pellet conversion</v>
      </c>
      <c r="I128" s="501" t="str">
        <v>Ship paint (recr)</v>
      </c>
      <c r="J128" t="str">
        <v>Wastewater (macro)</v>
      </c>
    </row>
    <row r="129" spans="1:10" ht="15.75" thickBot="1">
      <c r="A129" s="74" t="str">
        <v>Ship paint (recr) (discarded)</v>
      </c>
      <c r="B129" s="335" t="str">
        <f>IFERROR(VLOOKUP(A129,'Compartments_Kawecki&amp;Nowack19'!A:C,2,FALSE), IFERROR(VLOOKUP(A129,Compartments_Added!A:C,2,FALSE), "Not found"))</f>
        <v>Stock</v>
      </c>
      <c r="C129" s="335" t="str">
        <f>IFERROR(VLOOKUP(A129,'Compartments_Kawecki&amp;Nowack19'!A:C,3,FALSE), IFERROR(VLOOKUP(A129,Compartments_Added!A:C,3,FALSE), "Not found"))</f>
        <v>ShipDiyDis</v>
      </c>
      <c r="D129" s="95" t="str">
        <f>IFERROR(IF(VLOOKUP(A129,'Compartments_Kawecki&amp;Nowack19'!A:C,1,FALSE)=A129, "Kawecki","what?"),"Added/changed")</f>
        <v>Added/changed</v>
      </c>
      <c r="F129" s="17"/>
      <c r="G129" s="496" t="str">
        <v>Concrete paint (prof)</v>
      </c>
      <c r="H129" s="313" t="str">
        <v>Textile coating</v>
      </c>
      <c r="I129" s="501" t="str">
        <v>Ship paint (recr) (in use)</v>
      </c>
      <c r="J129" t="str">
        <v>Wastewater (micro)</v>
      </c>
    </row>
    <row r="130" spans="1:10" ht="15.75" thickBot="1">
      <c r="A130" s="74" t="str">
        <v>Concrete paint (prof)</v>
      </c>
      <c r="B130" s="335" t="str">
        <f>IFERROR(VLOOKUP(A130,'Compartments_Kawecki&amp;Nowack19'!A:C,2,FALSE), IFERROR(VLOOKUP(A130,Compartments_Added!A:C,2,FALSE), "Not found"))</f>
        <v>Flow</v>
      </c>
      <c r="C130" s="335" t="str">
        <f>IFERROR(VLOOKUP(A130,'Compartments_Kawecki&amp;Nowack19'!A:C,3,FALSE), IFERROR(VLOOKUP(A130,Compartments_Added!A:C,3,FALSE), "Not found"))</f>
        <v>ConcreteProf</v>
      </c>
      <c r="D130" s="95" t="str">
        <f>IFERROR(IF(VLOOKUP(A130,'Compartments_Kawecki&amp;Nowack19'!A:C,1,FALSE)=A130, "Kawecki","what?"),"Added/changed")</f>
        <v>Added/changed</v>
      </c>
      <c r="F130" s="17"/>
      <c r="G130" s="496" t="str">
        <v>Concrete paint (prof) outdoor</v>
      </c>
      <c r="H130" s="313" t="str">
        <v>Pellet losses transport land</v>
      </c>
      <c r="I130" s="501" t="str">
        <v>Ship paint (prof) (discarded)</v>
      </c>
      <c r="J130" t="str">
        <v>On-the-go consumption</v>
      </c>
    </row>
    <row r="131" spans="1:10" ht="15.75" thickBot="1">
      <c r="A131" s="74" t="str">
        <v>Concrete paint (prof) outdoor</v>
      </c>
      <c r="B131" s="335" t="str">
        <f>IFERROR(VLOOKUP(A131,'Compartments_Kawecki&amp;Nowack19'!A:C,2,FALSE), IFERROR(VLOOKUP(A131,Compartments_Added!A:C,2,FALSE), "Not found"))</f>
        <v>Flow</v>
      </c>
      <c r="C131" s="335" t="str">
        <f>IFERROR(VLOOKUP(A131,'Compartments_Kawecki&amp;Nowack19'!A:C,3,FALSE), IFERROR(VLOOKUP(A131,Compartments_Added!A:C,3,FALSE), "Not found"))</f>
        <v>ConcreteProfOut</v>
      </c>
      <c r="D131" s="95" t="str">
        <f>IFERROR(IF(VLOOKUP(A131,'Compartments_Kawecki&amp;Nowack19'!A:C,1,FALSE)=A131, "Kawecki","what?"),"Added/changed")</f>
        <v>Added/changed</v>
      </c>
      <c r="F131" s="17"/>
      <c r="G131" s="496" t="str">
        <v>Concrete paint (prof) outdoor (in use)</v>
      </c>
      <c r="H131" s="313" t="str">
        <v>Sea water (micro)</v>
      </c>
      <c r="I131" s="501" t="str">
        <v>Ship paint (recr) (discarded)</v>
      </c>
      <c r="J131" t="str">
        <v>Highway DAB non cleaned</v>
      </c>
    </row>
    <row r="132" spans="1:10" ht="15.75" thickBot="1">
      <c r="A132" s="74" t="str">
        <v>Concrete paint (prof) outdoor (in use)</v>
      </c>
      <c r="B132" s="335" t="str">
        <f>IFERROR(VLOOKUP(A132,'Compartments_Kawecki&amp;Nowack19'!A:C,2,FALSE), IFERROR(VLOOKUP(A132,Compartments_Added!A:C,2,FALSE), "Not found"))</f>
        <v>Stock</v>
      </c>
      <c r="C132" s="335" t="str">
        <f>IFERROR(VLOOKUP(A132,'Compartments_Kawecki&amp;Nowack19'!A:C,3,FALSE), IFERROR(VLOOKUP(A132,Compartments_Added!A:C,3,FALSE), "Not found"))</f>
        <v>ConcreteProfOutIU</v>
      </c>
      <c r="D132" s="95" t="str">
        <f>IFERROR(IF(VLOOKUP(A132,'Compartments_Kawecki&amp;Nowack19'!A:C,1,FALSE)=A132, "Kawecki","what?"),"Added/changed")</f>
        <v>Added/changed</v>
      </c>
      <c r="F132" s="17"/>
      <c r="G132" s="496" t="str">
        <v>Concrete paint (prof) indoor</v>
      </c>
      <c r="H132" s="313" t="str">
        <v>Pellet losses industrial plants</v>
      </c>
      <c r="I132" s="501" t="str">
        <v>Concrete paint (prof)</v>
      </c>
      <c r="J132" t="str">
        <v>Highway ZOAB</v>
      </c>
    </row>
    <row r="133" spans="1:10" ht="15.75" thickBot="1">
      <c r="A133" s="74" t="str">
        <v>Concrete paint (prof) indoor</v>
      </c>
      <c r="B133" s="335" t="str">
        <f>IFERROR(VLOOKUP(A133,'Compartments_Kawecki&amp;Nowack19'!A:C,2,FALSE), IFERROR(VLOOKUP(A133,Compartments_Added!A:C,2,FALSE), "Not found"))</f>
        <v>Flow</v>
      </c>
      <c r="C133" s="335" t="str">
        <f>IFERROR(VLOOKUP(A133,'Compartments_Kawecki&amp;Nowack19'!A:C,3,FALSE), IFERROR(VLOOKUP(A133,Compartments_Added!A:C,3,FALSE), "Not found"))</f>
        <v>ConcreteProfIn</v>
      </c>
      <c r="D133" s="95" t="str">
        <f>IFERROR(IF(VLOOKUP(A133,'Compartments_Kawecki&amp;Nowack19'!A:C,1,FALSE)=A133, "Kawecki","what?"),"Added/changed")</f>
        <v>Added/changed</v>
      </c>
      <c r="F133" s="17"/>
      <c r="G133" s="496" t="str">
        <v>Concrete paint (prof) indoor (in use)</v>
      </c>
      <c r="H133" s="313" t="str">
        <v>Concrete paint (prof)</v>
      </c>
      <c r="I133" s="501" t="str">
        <v>Concrete paint (prof) outdoor</v>
      </c>
      <c r="J133" t="str">
        <v>Highway ZOAB non cleaned</v>
      </c>
    </row>
    <row r="134" spans="1:10" ht="15.75" thickBot="1">
      <c r="A134" s="74" t="str">
        <v>Concrete paint (prof) indoor (in use)</v>
      </c>
      <c r="B134" s="335" t="str">
        <f>IFERROR(VLOOKUP(A134,'Compartments_Kawecki&amp;Nowack19'!A:C,2,FALSE), IFERROR(VLOOKUP(A134,Compartments_Added!A:C,2,FALSE), "Not found"))</f>
        <v>Stock</v>
      </c>
      <c r="C134" s="335" t="str">
        <f>IFERROR(VLOOKUP(A134,'Compartments_Kawecki&amp;Nowack19'!A:C,3,FALSE), IFERROR(VLOOKUP(A134,Compartments_Added!A:C,3,FALSE), "Not found"))</f>
        <v>ConcreteProfInIU</v>
      </c>
      <c r="D134" s="95" t="str">
        <f>IFERROR(IF(VLOOKUP(A134,'Compartments_Kawecki&amp;Nowack19'!A:C,1,FALSE)=A134, "Kawecki","what?"),"Added/changed")</f>
        <v>Added/changed</v>
      </c>
      <c r="F134" s="17"/>
      <c r="G134" s="496" t="str">
        <v>Concrete paint (prof) outdoor (discarded)</v>
      </c>
      <c r="H134" s="313" t="str">
        <v>Lacquer (prof)</v>
      </c>
      <c r="I134" s="501" t="str">
        <v>Concrete paint (prof) outdoor (in use)</v>
      </c>
      <c r="J134" t="str">
        <v>Road cleaning</v>
      </c>
    </row>
    <row r="135" spans="1:10" ht="15.75" thickBot="1">
      <c r="A135" s="74" t="str">
        <v>Concrete paint (prof) outdoor (discarded)</v>
      </c>
      <c r="B135" s="335" t="str">
        <f>IFERROR(VLOOKUP(A135,'Compartments_Kawecki&amp;Nowack19'!A:C,2,FALSE), IFERROR(VLOOKUP(A135,Compartments_Added!A:C,2,FALSE), "Not found"))</f>
        <v>Stock</v>
      </c>
      <c r="C135" s="335" t="str">
        <f>IFERROR(VLOOKUP(A135,'Compartments_Kawecki&amp;Nowack19'!A:C,3,FALSE), IFERROR(VLOOKUP(A135,Compartments_Added!A:C,3,FALSE), "Not found"))</f>
        <v>ConcreteProfOutDis</v>
      </c>
      <c r="D135" s="95" t="str">
        <f>IFERROR(IF(VLOOKUP(A135,'Compartments_Kawecki&amp;Nowack19'!A:C,1,FALSE)=A135, "Kawecki","what?"),"Added/changed")</f>
        <v>Added/changed</v>
      </c>
      <c r="F135" s="17"/>
      <c r="G135" s="496" t="str">
        <v>Concrete paint (prof) indoor (discarded)</v>
      </c>
      <c r="H135" s="313" t="str">
        <v>Wood stain (prof)</v>
      </c>
      <c r="I135" s="501" t="str">
        <v>Concrete paint (prof) indoor</v>
      </c>
      <c r="J135" t="str">
        <v>Road runoff</v>
      </c>
    </row>
    <row r="136" spans="1:10" ht="15.75" thickBot="1">
      <c r="A136" s="74" t="str">
        <v>Concrete paint (prof) indoor (discarded)</v>
      </c>
      <c r="B136" s="335" t="str">
        <f>IFERROR(VLOOKUP(A136,'Compartments_Kawecki&amp;Nowack19'!A:C,2,FALSE), IFERROR(VLOOKUP(A136,Compartments_Added!A:C,2,FALSE), "Not found"))</f>
        <v>Stock</v>
      </c>
      <c r="C136" s="335" t="str">
        <f>IFERROR(VLOOKUP(A136,'Compartments_Kawecki&amp;Nowack19'!A:C,3,FALSE), IFERROR(VLOOKUP(A136,Compartments_Added!A:C,3,FALSE), "Not found"))</f>
        <v>ConcreteProfInDis</v>
      </c>
      <c r="D136" s="95" t="str">
        <f>IFERROR(IF(VLOOKUP(A136,'Compartments_Kawecki&amp;Nowack19'!A:C,1,FALSE)=A136, "Kawecki","what?"),"Added/changed")</f>
        <v>Added/changed</v>
      </c>
      <c r="F136" s="17"/>
      <c r="G136" s="496" t="str">
        <v>Lacquer (prof)</v>
      </c>
      <c r="H136" s="313" t="str">
        <v>Wall paint (prof)</v>
      </c>
      <c r="I136" s="501" t="str">
        <v>Concrete paint (prof) indoor (in use)</v>
      </c>
      <c r="J136" t="str">
        <v>Rural roads</v>
      </c>
    </row>
    <row r="137" spans="1:10" ht="15.75" thickBot="1">
      <c r="A137" s="74" t="str">
        <v>Lacquer (prof)</v>
      </c>
      <c r="B137" s="335" t="str">
        <f>IFERROR(VLOOKUP(A137,'Compartments_Kawecki&amp;Nowack19'!A:C,2,FALSE), IFERROR(VLOOKUP(A137,Compartments_Added!A:C,2,FALSE), "Not found"))</f>
        <v>Flow</v>
      </c>
      <c r="C137" s="335" t="str">
        <f>IFERROR(VLOOKUP(A137,'Compartments_Kawecki&amp;Nowack19'!A:C,3,FALSE), IFERROR(VLOOKUP(A137,Compartments_Added!A:C,3,FALSE), "Not found"))</f>
        <v>LacquerProf</v>
      </c>
      <c r="D137" s="95" t="str">
        <f>IFERROR(IF(VLOOKUP(A137,'Compartments_Kawecki&amp;Nowack19'!A:C,1,FALSE)=A137, "Kawecki","what?"),"Added/changed")</f>
        <v>Added/changed</v>
      </c>
      <c r="F137" s="17"/>
      <c r="G137" s="496" t="str">
        <v>Lacquer (prof) outdoor</v>
      </c>
      <c r="H137" s="313" t="str">
        <v>Plaster (prof)</v>
      </c>
      <c r="I137" s="501" t="str">
        <v>Concrete paint (prof) outdoor (discarded)</v>
      </c>
      <c r="J137" t="str">
        <v>Tyre wear</v>
      </c>
    </row>
    <row r="138" spans="1:10" ht="15.75" thickBot="1">
      <c r="A138" s="74" t="str">
        <v>Lacquer (prof) outdoor</v>
      </c>
      <c r="B138" s="335" t="str">
        <f>IFERROR(VLOOKUP(A138,'Compartments_Kawecki&amp;Nowack19'!A:C,2,FALSE), IFERROR(VLOOKUP(A138,Compartments_Added!A:C,2,FALSE), "Not found"))</f>
        <v>Flow</v>
      </c>
      <c r="C138" s="335" t="str">
        <f>IFERROR(VLOOKUP(A138,'Compartments_Kawecki&amp;Nowack19'!A:C,3,FALSE), IFERROR(VLOOKUP(A138,Compartments_Added!A:C,3,FALSE), "Not found"))</f>
        <v>LacquerProfOut</v>
      </c>
      <c r="D138" s="95" t="str">
        <f>IFERROR(IF(VLOOKUP(A138,'Compartments_Kawecki&amp;Nowack19'!A:C,1,FALSE)=A138, "Kawecki","what?"),"Added/changed")</f>
        <v>Added/changed</v>
      </c>
      <c r="F138" s="17"/>
      <c r="G138" s="496" t="str">
        <v>Lacquer (prof) outdoor (in use)</v>
      </c>
      <c r="H138" s="313" t="str">
        <v>Other paint uses (prof)</v>
      </c>
      <c r="I138" s="501" t="str">
        <v>Concrete paint (prof) indoor (discarded)</v>
      </c>
      <c r="J138" t="str">
        <v>Primary water treatment (macro)</v>
      </c>
    </row>
    <row r="139" spans="1:10" ht="15.75" thickBot="1">
      <c r="A139" s="74" t="str">
        <v>Lacquer (prof) outdoor (in use)</v>
      </c>
      <c r="B139" s="335" t="str">
        <f>IFERROR(VLOOKUP(A139,'Compartments_Kawecki&amp;Nowack19'!A:C,2,FALSE), IFERROR(VLOOKUP(A139,Compartments_Added!A:C,2,FALSE), "Not found"))</f>
        <v>Stock</v>
      </c>
      <c r="C139" s="335" t="str">
        <f>IFERROR(VLOOKUP(A139,'Compartments_Kawecki&amp;Nowack19'!A:C,3,FALSE), IFERROR(VLOOKUP(A139,Compartments_Added!A:C,3,FALSE), "Not found"))</f>
        <v>LacquerProfOutIU</v>
      </c>
      <c r="D139" s="95" t="str">
        <f>IFERROR(IF(VLOOKUP(A139,'Compartments_Kawecki&amp;Nowack19'!A:C,1,FALSE)=A139, "Kawecki","what?"),"Added/changed")</f>
        <v>Added/changed</v>
      </c>
      <c r="F139" s="17"/>
      <c r="G139" s="496" t="str">
        <v>Lacquer (prof) indoor</v>
      </c>
      <c r="H139" s="313" t="str">
        <v>Paints used in pre-made wooden products</v>
      </c>
      <c r="I139" s="501" t="str">
        <v>Lacquer (prof)</v>
      </c>
      <c r="J139" t="str">
        <v>On-site sewage facility (macro)</v>
      </c>
    </row>
    <row r="140" spans="1:10" ht="15.75" thickBot="1">
      <c r="A140" s="74" t="str">
        <v>Lacquer (prof) indoor</v>
      </c>
      <c r="B140" s="335" t="str">
        <f>IFERROR(VLOOKUP(A140,'Compartments_Kawecki&amp;Nowack19'!A:C,2,FALSE), IFERROR(VLOOKUP(A140,Compartments_Added!A:C,2,FALSE), "Not found"))</f>
        <v>Flow</v>
      </c>
      <c r="C140" s="335" t="str">
        <f>IFERROR(VLOOKUP(A140,'Compartments_Kawecki&amp;Nowack19'!A:C,3,FALSE), IFERROR(VLOOKUP(A140,Compartments_Added!A:C,3,FALSE), "Not found"))</f>
        <v>LacquerProfIn</v>
      </c>
      <c r="D140" s="95" t="str">
        <f>IFERROR(IF(VLOOKUP(A140,'Compartments_Kawecki&amp;Nowack19'!A:C,1,FALSE)=A140, "Kawecki","what?"),"Added/changed")</f>
        <v>Added/changed</v>
      </c>
      <c r="F140" s="17"/>
      <c r="G140" s="496" t="str">
        <v>Lacquer (prof) indoor (in use)</v>
      </c>
      <c r="H140" s="313" t="str">
        <v>Lacquer (DIY)</v>
      </c>
      <c r="I140" s="501" t="str">
        <v>Lacquer (prof) outdoor</v>
      </c>
      <c r="J140" t="str">
        <v>Secondary water treatment (macro)</v>
      </c>
    </row>
    <row r="141" spans="1:10" ht="15.75" thickBot="1">
      <c r="A141" s="74" t="str">
        <v>Lacquer (prof) indoor (in use)</v>
      </c>
      <c r="B141" s="335" t="str">
        <f>IFERROR(VLOOKUP(A141,'Compartments_Kawecki&amp;Nowack19'!A:C,2,FALSE), IFERROR(VLOOKUP(A141,Compartments_Added!A:C,2,FALSE), "Not found"))</f>
        <v>Stock</v>
      </c>
      <c r="C141" s="335" t="str">
        <f>IFERROR(VLOOKUP(A141,'Compartments_Kawecki&amp;Nowack19'!A:C,3,FALSE), IFERROR(VLOOKUP(A141,Compartments_Added!A:C,3,FALSE), "Not found"))</f>
        <v>LacquerProfInIU</v>
      </c>
      <c r="D141" s="95" t="str">
        <f>IFERROR(IF(VLOOKUP(A141,'Compartments_Kawecki&amp;Nowack19'!A:C,1,FALSE)=A141, "Kawecki","what?"),"Added/changed")</f>
        <v>Added/changed</v>
      </c>
      <c r="F141" s="17"/>
      <c r="G141" s="496" t="str">
        <v>Lacquer (prof) outdoor (discarded)</v>
      </c>
      <c r="H141" s="313" t="str">
        <v>Wood stain (DIY)</v>
      </c>
      <c r="I141" s="501" t="str">
        <v>Lacquer (prof) outdoor (in use)</v>
      </c>
      <c r="J141" t="str">
        <v>On-site sewage facility (micro)</v>
      </c>
    </row>
    <row r="142" spans="1:10" ht="15.75" thickBot="1">
      <c r="A142" s="74" t="str">
        <v>Lacquer (prof) outdoor (discarded)</v>
      </c>
      <c r="B142" s="335" t="str">
        <f>IFERROR(VLOOKUP(A142,'Compartments_Kawecki&amp;Nowack19'!A:C,2,FALSE), IFERROR(VLOOKUP(A142,Compartments_Added!A:C,2,FALSE), "Not found"))</f>
        <v>Stock</v>
      </c>
      <c r="C142" s="335" t="str">
        <f>IFERROR(VLOOKUP(A142,'Compartments_Kawecki&amp;Nowack19'!A:C,3,FALSE), IFERROR(VLOOKUP(A142,Compartments_Added!A:C,3,FALSE), "Not found"))</f>
        <v>LacquerProfOutDis</v>
      </c>
      <c r="D142" s="95" t="str">
        <f>IFERROR(IF(VLOOKUP(A142,'Compartments_Kawecki&amp;Nowack19'!A:C,1,FALSE)=A142, "Kawecki","what?"),"Added/changed")</f>
        <v>Added/changed</v>
      </c>
      <c r="F142" s="17"/>
      <c r="G142" s="496" t="str">
        <v>Lacquer (prof) indoor (discarded)</v>
      </c>
      <c r="H142" s="313" t="str">
        <v>Wall paint (DIY)</v>
      </c>
      <c r="I142" s="501" t="str">
        <v>Lacquer (prof) indoor</v>
      </c>
      <c r="J142" t="str">
        <v>Litter on road sides</v>
      </c>
    </row>
    <row r="143" spans="1:10" ht="15.75" thickBot="1">
      <c r="A143" s="74" t="str">
        <v>Lacquer (prof) indoor (discarded)</v>
      </c>
      <c r="B143" s="335" t="str">
        <f>IFERROR(VLOOKUP(A143,'Compartments_Kawecki&amp;Nowack19'!A:C,2,FALSE), IFERROR(VLOOKUP(A143,Compartments_Added!A:C,2,FALSE), "Not found"))</f>
        <v>Stock</v>
      </c>
      <c r="C143" s="335" t="str">
        <f>IFERROR(VLOOKUP(A143,'Compartments_Kawecki&amp;Nowack19'!A:C,3,FALSE), IFERROR(VLOOKUP(A143,Compartments_Added!A:C,3,FALSE), "Not found"))</f>
        <v>LacquerProfInDis</v>
      </c>
      <c r="D143" s="95" t="str">
        <f>IFERROR(IF(VLOOKUP(A143,'Compartments_Kawecki&amp;Nowack19'!A:C,1,FALSE)=A143, "Kawecki","what?"),"Added/changed")</f>
        <v>Added/changed</v>
      </c>
      <c r="F143" s="17"/>
      <c r="G143" s="496" t="str">
        <v>Wood stain (prof)</v>
      </c>
      <c r="H143" s="313" t="str">
        <v>Plaster (DIY)</v>
      </c>
      <c r="I143" s="501" t="str">
        <v>Lacquer (prof) indoor (in use)</v>
      </c>
      <c r="J143" t="str">
        <v>Combined sewer overflow (micro)</v>
      </c>
    </row>
    <row r="144" spans="1:10" ht="15.75" thickBot="1">
      <c r="A144" s="74" t="str">
        <v>Wood stain (prof)</v>
      </c>
      <c r="B144" s="335" t="str">
        <f>IFERROR(VLOOKUP(A144,'Compartments_Kawecki&amp;Nowack19'!A:C,2,FALSE), IFERROR(VLOOKUP(A144,Compartments_Added!A:C,2,FALSE), "Not found"))</f>
        <v>Flow</v>
      </c>
      <c r="C144" s="335" t="str">
        <f>IFERROR(VLOOKUP(A144,'Compartments_Kawecki&amp;Nowack19'!A:C,3,FALSE), IFERROR(VLOOKUP(A144,Compartments_Added!A:C,3,FALSE), "Not found"))</f>
        <v>WoodProf</v>
      </c>
      <c r="D144" s="95" t="str">
        <f>IFERROR(IF(VLOOKUP(A144,'Compartments_Kawecki&amp;Nowack19'!A:C,1,FALSE)=A144, "Kawecki","what?"),"Added/changed")</f>
        <v>Added/changed</v>
      </c>
      <c r="F144" s="17"/>
      <c r="G144" s="496" t="str">
        <v>Wood stain (prof) outdoor</v>
      </c>
      <c r="H144" s="313" t="str">
        <v>Other paint uses (DIY)</v>
      </c>
      <c r="I144" s="501" t="str">
        <v>Lacquer (prof) outdoor (discarded)</v>
      </c>
      <c r="J144" t="str">
        <v>Urban roads</v>
      </c>
    </row>
    <row r="145" spans="1:10" ht="15.75" thickBot="1">
      <c r="A145" s="74" t="str">
        <v>Wood stain (prof) outdoor</v>
      </c>
      <c r="B145" s="335" t="str">
        <f>IFERROR(VLOOKUP(A145,'Compartments_Kawecki&amp;Nowack19'!A:C,2,FALSE), IFERROR(VLOOKUP(A145,Compartments_Added!A:C,2,FALSE), "Not found"))</f>
        <v>Flow</v>
      </c>
      <c r="C145" s="335" t="str">
        <f>IFERROR(VLOOKUP(A145,'Compartments_Kawecki&amp;Nowack19'!A:C,3,FALSE), IFERROR(VLOOKUP(A145,Compartments_Added!A:C,3,FALSE), "Not found"))</f>
        <v>WoodProfOut</v>
      </c>
      <c r="D145" s="95" t="str">
        <f>IFERROR(IF(VLOOKUP(A145,'Compartments_Kawecki&amp;Nowack19'!A:C,1,FALSE)=A145, "Kawecki","what?"),"Added/changed")</f>
        <v>Added/changed</v>
      </c>
      <c r="F145" s="17"/>
      <c r="G145" s="496" t="str">
        <v>Wood stain (prof) outdoor (in use)</v>
      </c>
      <c r="H145" s="313" t="str">
        <v>Ship paint (prof)</v>
      </c>
      <c r="I145" s="501" t="str">
        <v>Lacquer (prof) indoor (discarded)</v>
      </c>
      <c r="J145" t="str">
        <v>Offshore oil &amp; gas applications</v>
      </c>
    </row>
    <row r="146" spans="1:10" ht="15.75" thickBot="1">
      <c r="A146" s="74" t="str">
        <v>Wood stain (prof) outdoor (in use)</v>
      </c>
      <c r="B146" s="335" t="str">
        <f>IFERROR(VLOOKUP(A146,'Compartments_Kawecki&amp;Nowack19'!A:C,2,FALSE), IFERROR(VLOOKUP(A146,Compartments_Added!A:C,2,FALSE), "Not found"))</f>
        <v>Stock</v>
      </c>
      <c r="C146" s="335" t="str">
        <f>IFERROR(VLOOKUP(A146,'Compartments_Kawecki&amp;Nowack19'!A:C,3,FALSE), IFERROR(VLOOKUP(A146,Compartments_Added!A:C,3,FALSE), "Not found"))</f>
        <v>WoodStainProfOutIU</v>
      </c>
      <c r="D146" s="95" t="str">
        <f>IFERROR(IF(VLOOKUP(A146,'Compartments_Kawecki&amp;Nowack19'!A:C,1,FALSE)=A146, "Kawecki","what?"),"Added/changed")</f>
        <v>Added/changed</v>
      </c>
      <c r="F146" s="17"/>
      <c r="G146" s="496" t="str">
        <v>Wood stain (prof) indoor</v>
      </c>
      <c r="H146" s="313" t="str">
        <v>Ship paint (recr)</v>
      </c>
      <c r="I146" s="501" t="str">
        <v>Wood stain (prof)</v>
      </c>
      <c r="J146" t="str">
        <v>Textile coating</v>
      </c>
    </row>
    <row r="147" spans="1:10" ht="15.75" thickBot="1">
      <c r="A147" s="74" t="str">
        <v>Wood stain (prof) indoor</v>
      </c>
      <c r="B147" s="335" t="str">
        <f>IFERROR(VLOOKUP(A147,'Compartments_Kawecki&amp;Nowack19'!A:C,2,FALSE), IFERROR(VLOOKUP(A147,Compartments_Added!A:C,2,FALSE), "Not found"))</f>
        <v>Flow</v>
      </c>
      <c r="C147" s="335" t="str">
        <f>IFERROR(VLOOKUP(A147,'Compartments_Kawecki&amp;Nowack19'!A:C,3,FALSE), IFERROR(VLOOKUP(A147,Compartments_Added!A:C,3,FALSE), "Not found"))</f>
        <v>WoodProfIn</v>
      </c>
      <c r="D147" s="95" t="str">
        <f>IFERROR(IF(VLOOKUP(A147,'Compartments_Kawecki&amp;Nowack19'!A:C,1,FALSE)=A147, "Kawecki","what?"),"Added/changed")</f>
        <v>Added/changed</v>
      </c>
      <c r="F147" s="17"/>
      <c r="G147" s="496" t="str">
        <v>Wood stain (prof) indoor (in use)</v>
      </c>
      <c r="H147" s="313" t="str">
        <v>Ship paint (prof) (in use)</v>
      </c>
      <c r="I147" s="501" t="str">
        <v>Wood stain (prof) outdoor</v>
      </c>
      <c r="J147" t="str">
        <v>Textile recycling</v>
      </c>
    </row>
    <row r="148" spans="1:10" ht="15.75" thickBot="1">
      <c r="A148" s="74" t="str">
        <v>Wood stain (prof) indoor (in use)</v>
      </c>
      <c r="B148" s="335" t="str">
        <f>IFERROR(VLOOKUP(A148,'Compartments_Kawecki&amp;Nowack19'!A:C,2,FALSE), IFERROR(VLOOKUP(A148,Compartments_Added!A:C,2,FALSE), "Not found"))</f>
        <v>Stock</v>
      </c>
      <c r="C148" s="335" t="str">
        <f>IFERROR(VLOOKUP(A148,'Compartments_Kawecki&amp;Nowack19'!A:C,3,FALSE), IFERROR(VLOOKUP(A148,Compartments_Added!A:C,3,FALSE), "Not found"))</f>
        <v>WoodStainProfInIU</v>
      </c>
      <c r="D148" s="95" t="str">
        <f>IFERROR(IF(VLOOKUP(A148,'Compartments_Kawecki&amp;Nowack19'!A:C,1,FALSE)=A148, "Kawecki","what?"),"Added/changed")</f>
        <v>Added/changed</v>
      </c>
      <c r="F148" s="17"/>
      <c r="G148" s="496" t="str">
        <v>Wood stain (prof) outdoor (discarded)</v>
      </c>
      <c r="H148" s="313" t="str">
        <v>Ship paint (prof) (discarded)</v>
      </c>
      <c r="I148" s="501" t="str">
        <v>Wood stain (prof) outdoor (in use)</v>
      </c>
      <c r="J148" t="str">
        <v>Pellet losses transport land</v>
      </c>
    </row>
    <row r="149" spans="1:10" ht="15.75" thickBot="1">
      <c r="A149" s="74" t="str">
        <v>Wood stain (prof) outdoor (discarded)</v>
      </c>
      <c r="B149" s="335" t="str">
        <f>IFERROR(VLOOKUP(A149,'Compartments_Kawecki&amp;Nowack19'!A:C,2,FALSE), IFERROR(VLOOKUP(A149,Compartments_Added!A:C,2,FALSE), "Not found"))</f>
        <v>Stock</v>
      </c>
      <c r="C149" s="335" t="str">
        <f>IFERROR(VLOOKUP(A149,'Compartments_Kawecki&amp;Nowack19'!A:C,3,FALSE), IFERROR(VLOOKUP(A149,Compartments_Added!A:C,3,FALSE), "Not found"))</f>
        <v>WoodStainProfOutDis</v>
      </c>
      <c r="D149" s="95" t="str">
        <f>IFERROR(IF(VLOOKUP(A149,'Compartments_Kawecki&amp;Nowack19'!A:C,1,FALSE)=A149, "Kawecki","what?"),"Added/changed")</f>
        <v>Added/changed</v>
      </c>
      <c r="F149" s="17"/>
      <c r="G149" s="496" t="str">
        <v>Wood stain (prof) indoor (discarded)</v>
      </c>
      <c r="H149" s="313" t="str">
        <v>Ship paint (recr) (in use)</v>
      </c>
      <c r="I149" s="501" t="str">
        <v>Wood stain (prof) indoor</v>
      </c>
      <c r="J149" t="str">
        <v>Pellet losses industrial plants</v>
      </c>
    </row>
    <row r="150" spans="1:10" ht="15.75" thickBot="1">
      <c r="A150" s="74" t="str">
        <v>Wood stain (prof) indoor (discarded)</v>
      </c>
      <c r="B150" s="335" t="str">
        <f>IFERROR(VLOOKUP(A150,'Compartments_Kawecki&amp;Nowack19'!A:C,2,FALSE), IFERROR(VLOOKUP(A150,Compartments_Added!A:C,2,FALSE), "Not found"))</f>
        <v>Stock</v>
      </c>
      <c r="C150" s="335" t="str">
        <f>IFERROR(VLOOKUP(A150,'Compartments_Kawecki&amp;Nowack19'!A:C,3,FALSE), IFERROR(VLOOKUP(A150,Compartments_Added!A:C,3,FALSE), "Not found"))</f>
        <v>WoodStainProfInDis</v>
      </c>
      <c r="D150" s="95" t="str">
        <f>IFERROR(IF(VLOOKUP(A150,'Compartments_Kawecki&amp;Nowack19'!A:C,1,FALSE)=A150, "Kawecki","what?"),"Added/changed")</f>
        <v>Added/changed</v>
      </c>
      <c r="F150" s="17"/>
      <c r="G150" s="496" t="str">
        <v>Wall paint (prof)</v>
      </c>
      <c r="H150" s="313" t="str">
        <v>Ship paint (recr) (discarded)</v>
      </c>
      <c r="I150" s="501" t="str">
        <v>Wood stain (prof) indoor (in use)</v>
      </c>
      <c r="J150" t="str">
        <v>Paint</v>
      </c>
    </row>
    <row r="151" spans="1:10" ht="15.75" thickBot="1">
      <c r="A151" s="74" t="str">
        <v>Wall paint (prof)</v>
      </c>
      <c r="B151" s="335" t="str">
        <f>IFERROR(VLOOKUP(A151,'Compartments_Kawecki&amp;Nowack19'!A:C,2,FALSE), IFERROR(VLOOKUP(A151,Compartments_Added!A:C,2,FALSE), "Not found"))</f>
        <v>Flow</v>
      </c>
      <c r="C151" s="335" t="str">
        <f>IFERROR(VLOOKUP(A151,'Compartments_Kawecki&amp;Nowack19'!A:C,3,FALSE), IFERROR(VLOOKUP(A151,Compartments_Added!A:C,3,FALSE), "Not found"))</f>
        <v>WallProf</v>
      </c>
      <c r="D151" s="95" t="str">
        <f>IFERROR(IF(VLOOKUP(A151,'Compartments_Kawecki&amp;Nowack19'!A:C,1,FALSE)=A151, "Kawecki","what?"),"Added/changed")</f>
        <v>Added/changed</v>
      </c>
      <c r="F151" s="17"/>
      <c r="G151" s="496" t="str">
        <v>Wall paint (prof) outdoor</v>
      </c>
      <c r="H151" s="313" t="str">
        <v>Concrete paint (prof) outdoor</v>
      </c>
      <c r="I151" s="501" t="str">
        <v>Wood stain (prof) outdoor (discarded)</v>
      </c>
      <c r="J151" t="str">
        <v>Ship paint (prof)</v>
      </c>
    </row>
    <row r="152" spans="1:10" ht="15.75" thickBot="1">
      <c r="A152" s="74" t="str">
        <v>Wall paint (prof) outdoor</v>
      </c>
      <c r="B152" s="335" t="str">
        <f>IFERROR(VLOOKUP(A152,'Compartments_Kawecki&amp;Nowack19'!A:C,2,FALSE), IFERROR(VLOOKUP(A152,Compartments_Added!A:C,2,FALSE), "Not found"))</f>
        <v>Flow</v>
      </c>
      <c r="C152" s="335" t="str">
        <f>IFERROR(VLOOKUP(A152,'Compartments_Kawecki&amp;Nowack19'!A:C,3,FALSE), IFERROR(VLOOKUP(A152,Compartments_Added!A:C,3,FALSE), "Not found"))</f>
        <v>WallProfOut</v>
      </c>
      <c r="D152" s="95" t="str">
        <f>IFERROR(IF(VLOOKUP(A152,'Compartments_Kawecki&amp;Nowack19'!A:C,1,FALSE)=A152, "Kawecki","what?"),"Added/changed")</f>
        <v>Added/changed</v>
      </c>
      <c r="F152" s="17"/>
      <c r="G152" s="496" t="str">
        <v>Wall paint (prof) outdoor (in use)</v>
      </c>
      <c r="H152" s="313" t="str">
        <v>Concrete paint (prof) indoor</v>
      </c>
      <c r="I152" s="501" t="str">
        <v>Wood stain (prof) indoor (discarded)</v>
      </c>
      <c r="J152" t="str">
        <v>Ship paint (prof) (in use)</v>
      </c>
    </row>
    <row r="153" spans="1:10" ht="15.75" thickBot="1">
      <c r="A153" s="74" t="str">
        <v>Wall paint (prof) outdoor (in use)</v>
      </c>
      <c r="B153" s="335" t="str">
        <f>IFERROR(VLOOKUP(A153,'Compartments_Kawecki&amp;Nowack19'!A:C,2,FALSE), IFERROR(VLOOKUP(A153,Compartments_Added!A:C,2,FALSE), "Not found"))</f>
        <v>Stock</v>
      </c>
      <c r="C153" s="335" t="str">
        <f>IFERROR(VLOOKUP(A153,'Compartments_Kawecki&amp;Nowack19'!A:C,3,FALSE), IFERROR(VLOOKUP(A153,Compartments_Added!A:C,3,FALSE), "Not found"))</f>
        <v>WallPaintProfOutIU</v>
      </c>
      <c r="D153" s="95" t="str">
        <f>IFERROR(IF(VLOOKUP(A153,'Compartments_Kawecki&amp;Nowack19'!A:C,1,FALSE)=A153, "Kawecki","what?"),"Added/changed")</f>
        <v>Added/changed</v>
      </c>
      <c r="F153" s="17"/>
      <c r="G153" s="496" t="str">
        <v>Wall paint (prof) indoor</v>
      </c>
      <c r="H153" s="313" t="str">
        <v>Concrete paint (prof) outdoor (in use)</v>
      </c>
      <c r="I153" s="501" t="str">
        <v>Wall paint (prof)</v>
      </c>
      <c r="J153" t="str">
        <v>Ship paint (recr)</v>
      </c>
    </row>
    <row r="154" spans="1:10" ht="15.75" thickBot="1">
      <c r="A154" s="74" t="str">
        <v>Wall paint (prof) indoor</v>
      </c>
      <c r="B154" s="335" t="str">
        <f>IFERROR(VLOOKUP(A154,'Compartments_Kawecki&amp;Nowack19'!A:C,2,FALSE), IFERROR(VLOOKUP(A154,Compartments_Added!A:C,2,FALSE), "Not found"))</f>
        <v>Flow</v>
      </c>
      <c r="C154" s="335" t="str">
        <f>IFERROR(VLOOKUP(A154,'Compartments_Kawecki&amp;Nowack19'!A:C,3,FALSE), IFERROR(VLOOKUP(A154,Compartments_Added!A:C,3,FALSE), "Not found"))</f>
        <v>WallProfIn</v>
      </c>
      <c r="D154" s="95" t="str">
        <f>IFERROR(IF(VLOOKUP(A154,'Compartments_Kawecki&amp;Nowack19'!A:C,1,FALSE)=A154, "Kawecki","what?"),"Added/changed")</f>
        <v>Added/changed</v>
      </c>
      <c r="F154" s="17"/>
      <c r="G154" s="496" t="str">
        <v>Wall paint (prof) indoor (in use)</v>
      </c>
      <c r="H154" s="313" t="str">
        <v>Concrete paint (prof) outdoor (discarded)</v>
      </c>
      <c r="I154" s="501" t="str">
        <v>Wall paint (prof) outdoor</v>
      </c>
      <c r="J154" t="str">
        <v>Ship paint (recr) (in use)</v>
      </c>
    </row>
    <row r="155" spans="1:10" ht="15.75" thickBot="1">
      <c r="A155" s="74" t="str">
        <v>Wall paint (prof) indoor (in use)</v>
      </c>
      <c r="B155" s="335" t="str">
        <f>IFERROR(VLOOKUP(A155,'Compartments_Kawecki&amp;Nowack19'!A:C,2,FALSE), IFERROR(VLOOKUP(A155,Compartments_Added!A:C,2,FALSE), "Not found"))</f>
        <v>Stock</v>
      </c>
      <c r="C155" s="335" t="str">
        <f>IFERROR(VLOOKUP(A155,'Compartments_Kawecki&amp;Nowack19'!A:C,3,FALSE), IFERROR(VLOOKUP(A155,Compartments_Added!A:C,3,FALSE), "Not found"))</f>
        <v>WallPaintProfInIU</v>
      </c>
      <c r="D155" s="95" t="str">
        <f>IFERROR(IF(VLOOKUP(A155,'Compartments_Kawecki&amp;Nowack19'!A:C,1,FALSE)=A155, "Kawecki","what?"),"Added/changed")</f>
        <v>Added/changed</v>
      </c>
      <c r="F155" s="17"/>
      <c r="G155" s="496" t="str">
        <v>Wall paint (prof) outdoor (discarded)</v>
      </c>
      <c r="H155" s="313" t="str">
        <v>Concrete paint (prof) indoor (in use)</v>
      </c>
      <c r="I155" s="501" t="str">
        <v>Wall paint (prof) outdoor (in use)</v>
      </c>
      <c r="J155" t="str">
        <v>Ship paint (prof) (discarded)</v>
      </c>
    </row>
    <row r="156" spans="1:10" ht="15.75" thickBot="1">
      <c r="A156" s="74" t="str">
        <v>Wall paint (prof) outdoor (discarded)</v>
      </c>
      <c r="B156" s="335" t="str">
        <f>IFERROR(VLOOKUP(A156,'Compartments_Kawecki&amp;Nowack19'!A:C,2,FALSE), IFERROR(VLOOKUP(A156,Compartments_Added!A:C,2,FALSE), "Not found"))</f>
        <v>Stock</v>
      </c>
      <c r="C156" s="335" t="str">
        <f>IFERROR(VLOOKUP(A156,'Compartments_Kawecki&amp;Nowack19'!A:C,3,FALSE), IFERROR(VLOOKUP(A156,Compartments_Added!A:C,3,FALSE), "Not found"))</f>
        <v>WallPaintProfOutDis</v>
      </c>
      <c r="D156" s="95" t="str">
        <f>IFERROR(IF(VLOOKUP(A156,'Compartments_Kawecki&amp;Nowack19'!A:C,1,FALSE)=A156, "Kawecki","what?"),"Added/changed")</f>
        <v>Added/changed</v>
      </c>
      <c r="F156" s="17"/>
      <c r="G156" s="496" t="str">
        <v>Wall paint (prof) indoor (discarded)</v>
      </c>
      <c r="H156" s="313" t="str">
        <v>Concrete paint (prof) indoor (discarded)</v>
      </c>
      <c r="I156" s="501" t="str">
        <v>Wall paint (prof) indoor</v>
      </c>
      <c r="J156" t="str">
        <v>Ship paint (recr) (discarded)</v>
      </c>
    </row>
    <row r="157" spans="1:10" ht="15.75" thickBot="1">
      <c r="A157" s="74" t="str">
        <v>Wall paint (prof) indoor (discarded)</v>
      </c>
      <c r="B157" s="335" t="str">
        <f>IFERROR(VLOOKUP(A157,'Compartments_Kawecki&amp;Nowack19'!A:C,2,FALSE), IFERROR(VLOOKUP(A157,Compartments_Added!A:C,2,FALSE), "Not found"))</f>
        <v>Stock</v>
      </c>
      <c r="C157" s="335" t="str">
        <f>IFERROR(VLOOKUP(A157,'Compartments_Kawecki&amp;Nowack19'!A:C,3,FALSE), IFERROR(VLOOKUP(A157,Compartments_Added!A:C,3,FALSE), "Not found"))</f>
        <v>WallPaintProfInDis</v>
      </c>
      <c r="D157" s="95" t="str">
        <f>IFERROR(IF(VLOOKUP(A157,'Compartments_Kawecki&amp;Nowack19'!A:C,1,FALSE)=A157, "Kawecki","what?"),"Added/changed")</f>
        <v>Added/changed</v>
      </c>
      <c r="F157" s="17"/>
      <c r="G157" s="496" t="str">
        <v>Plaster (prof)</v>
      </c>
      <c r="H157" s="313" t="str">
        <v>Lacquer (prof) outdoor</v>
      </c>
      <c r="I157" s="501" t="str">
        <v>Wall paint (prof) indoor (in use)</v>
      </c>
      <c r="J157" t="str">
        <v>Concrete paint (prof)</v>
      </c>
    </row>
    <row r="158" spans="1:10" ht="15.75" thickBot="1">
      <c r="A158" s="74" t="str">
        <v>Plaster (prof)</v>
      </c>
      <c r="B158" s="335" t="str">
        <f>IFERROR(VLOOKUP(A158,'Compartments_Kawecki&amp;Nowack19'!A:C,2,FALSE), IFERROR(VLOOKUP(A158,Compartments_Added!A:C,2,FALSE), "Not found"))</f>
        <v>Flow</v>
      </c>
      <c r="C158" s="335" t="str">
        <f>IFERROR(VLOOKUP(A158,'Compartments_Kawecki&amp;Nowack19'!A:C,3,FALSE), IFERROR(VLOOKUP(A158,Compartments_Added!A:C,3,FALSE), "Not found"))</f>
        <v>PlasterProf</v>
      </c>
      <c r="D158" s="95" t="str">
        <f>IFERROR(IF(VLOOKUP(A158,'Compartments_Kawecki&amp;Nowack19'!A:C,1,FALSE)=A158, "Kawecki","what?"),"Added/changed")</f>
        <v>Added/changed</v>
      </c>
      <c r="F158" s="17"/>
      <c r="G158" s="496" t="str">
        <v>Plaster (prof) outdoor</v>
      </c>
      <c r="H158" s="313" t="str">
        <v>Lacquer (prof) indoor</v>
      </c>
      <c r="I158" s="501" t="str">
        <v>Wall paint (prof) outdoor (discarded)</v>
      </c>
      <c r="J158" t="str">
        <v>Concrete paint (prof) outdoor</v>
      </c>
    </row>
    <row r="159" spans="1:10" ht="15.75" thickBot="1">
      <c r="A159" s="74" t="str">
        <v>Plaster (prof) outdoor</v>
      </c>
      <c r="B159" s="335" t="str">
        <f>IFERROR(VLOOKUP(A159,'Compartments_Kawecki&amp;Nowack19'!A:C,2,FALSE), IFERROR(VLOOKUP(A159,Compartments_Added!A:C,2,FALSE), "Not found"))</f>
        <v>Flow</v>
      </c>
      <c r="C159" s="335" t="str">
        <f>IFERROR(VLOOKUP(A159,'Compartments_Kawecki&amp;Nowack19'!A:C,3,FALSE), IFERROR(VLOOKUP(A159,Compartments_Added!A:C,3,FALSE), "Not found"))</f>
        <v>PlasterProfOut</v>
      </c>
      <c r="D159" s="95" t="str">
        <f>IFERROR(IF(VLOOKUP(A159,'Compartments_Kawecki&amp;Nowack19'!A:C,1,FALSE)=A159, "Kawecki","what?"),"Added/changed")</f>
        <v>Added/changed</v>
      </c>
      <c r="F159" s="17"/>
      <c r="G159" s="496" t="str">
        <v>Plaster (prof) outdoor (in use)</v>
      </c>
      <c r="H159" s="313" t="str">
        <v>Lacquer (prof) outdoor (in use)</v>
      </c>
      <c r="I159" s="501" t="str">
        <v>Wall paint (prof) indoor (discarded)</v>
      </c>
      <c r="J159" t="str">
        <v>Concrete paint (prof) outdoor (in use)</v>
      </c>
    </row>
    <row r="160" spans="1:10" ht="15.75" thickBot="1">
      <c r="A160" s="74" t="str">
        <v>Plaster (prof) outdoor (in use)</v>
      </c>
      <c r="B160" s="335" t="str">
        <f>IFERROR(VLOOKUP(A160,'Compartments_Kawecki&amp;Nowack19'!A:C,2,FALSE), IFERROR(VLOOKUP(A160,Compartments_Added!A:C,2,FALSE), "Not found"))</f>
        <v>Stock</v>
      </c>
      <c r="C160" s="335" t="str">
        <f>IFERROR(VLOOKUP(A160,'Compartments_Kawecki&amp;Nowack19'!A:C,3,FALSE), IFERROR(VLOOKUP(A160,Compartments_Added!A:C,3,FALSE), "Not found"))</f>
        <v>PlasterProfOutIU</v>
      </c>
      <c r="D160" s="95" t="str">
        <f>IFERROR(IF(VLOOKUP(A160,'Compartments_Kawecki&amp;Nowack19'!A:C,1,FALSE)=A160, "Kawecki","what?"),"Added/changed")</f>
        <v>Added/changed</v>
      </c>
      <c r="F160" s="17"/>
      <c r="G160" s="496" t="str">
        <v>Plaster (prof) indoor</v>
      </c>
      <c r="H160" s="313" t="str">
        <v>Lacquer (prof) outdoor (discarded)</v>
      </c>
      <c r="I160" s="501" t="str">
        <v>Plaster (prof)</v>
      </c>
      <c r="J160" t="str">
        <v>Concrete paint (prof) indoor</v>
      </c>
    </row>
    <row r="161" spans="1:10" ht="15.75" thickBot="1">
      <c r="A161" s="74" t="str">
        <v>Plaster (prof) indoor</v>
      </c>
      <c r="B161" s="335" t="str">
        <f>IFERROR(VLOOKUP(A161,'Compartments_Kawecki&amp;Nowack19'!A:C,2,FALSE), IFERROR(VLOOKUP(A161,Compartments_Added!A:C,2,FALSE), "Not found"))</f>
        <v>Flow</v>
      </c>
      <c r="C161" s="335" t="str">
        <f>IFERROR(VLOOKUP(A161,'Compartments_Kawecki&amp;Nowack19'!A:C,3,FALSE), IFERROR(VLOOKUP(A161,Compartments_Added!A:C,3,FALSE), "Not found"))</f>
        <v>PlasterProfIn</v>
      </c>
      <c r="D161" s="95" t="str">
        <f>IFERROR(IF(VLOOKUP(A161,'Compartments_Kawecki&amp;Nowack19'!A:C,1,FALSE)=A161, "Kawecki","what?"),"Added/changed")</f>
        <v>Added/changed</v>
      </c>
      <c r="F161" s="17"/>
      <c r="G161" s="496" t="str">
        <v>Plaster (prof) indoor (in use)</v>
      </c>
      <c r="H161" s="313" t="str">
        <v>Lacquer (prof) indoor (in use)</v>
      </c>
      <c r="I161" s="501" t="str">
        <v>Plaster (prof) outdoor</v>
      </c>
      <c r="J161" t="str">
        <v>Concrete paint (prof) indoor (in use)</v>
      </c>
    </row>
    <row r="162" spans="1:10" ht="15.75" thickBot="1">
      <c r="A162" s="74" t="str">
        <v>Plaster (prof) indoor (in use)</v>
      </c>
      <c r="B162" s="335" t="str">
        <f>IFERROR(VLOOKUP(A162,'Compartments_Kawecki&amp;Nowack19'!A:C,2,FALSE), IFERROR(VLOOKUP(A162,Compartments_Added!A:C,2,FALSE), "Not found"))</f>
        <v>Stock</v>
      </c>
      <c r="C162" s="335" t="str">
        <f>IFERROR(VLOOKUP(A162,'Compartments_Kawecki&amp;Nowack19'!A:C,3,FALSE), IFERROR(VLOOKUP(A162,Compartments_Added!A:C,3,FALSE), "Not found"))</f>
        <v>PlasterProfInIU</v>
      </c>
      <c r="D162" s="95" t="str">
        <f>IFERROR(IF(VLOOKUP(A162,'Compartments_Kawecki&amp;Nowack19'!A:C,1,FALSE)=A162, "Kawecki","what?"),"Added/changed")</f>
        <v>Added/changed</v>
      </c>
      <c r="F162" s="17"/>
      <c r="G162" s="496" t="str">
        <v>Plaster (prof) outdoor (discarded)</v>
      </c>
      <c r="H162" s="313" t="str">
        <v>Lacquer (prof) indoor (discarded)</v>
      </c>
      <c r="I162" s="501" t="str">
        <v>Plaster (prof) outdoor (in use)</v>
      </c>
      <c r="J162" t="str">
        <v>Concrete paint (prof) outdoor (discarded)</v>
      </c>
    </row>
    <row r="163" spans="1:10" ht="15.75" thickBot="1">
      <c r="A163" s="74" t="str">
        <v>Plaster (prof) outdoor (discarded)</v>
      </c>
      <c r="B163" s="335" t="str">
        <f>IFERROR(VLOOKUP(A163,'Compartments_Kawecki&amp;Nowack19'!A:C,2,FALSE), IFERROR(VLOOKUP(A163,Compartments_Added!A:C,2,FALSE), "Not found"))</f>
        <v>Stock</v>
      </c>
      <c r="C163" s="335" t="str">
        <f>IFERROR(VLOOKUP(A163,'Compartments_Kawecki&amp;Nowack19'!A:C,3,FALSE), IFERROR(VLOOKUP(A163,Compartments_Added!A:C,3,FALSE), "Not found"))</f>
        <v>PlasterProfOutDis</v>
      </c>
      <c r="D163" s="95" t="str">
        <f>IFERROR(IF(VLOOKUP(A163,'Compartments_Kawecki&amp;Nowack19'!A:C,1,FALSE)=A163, "Kawecki","what?"),"Added/changed")</f>
        <v>Added/changed</v>
      </c>
      <c r="F163" s="17"/>
      <c r="G163" s="496" t="str">
        <v>Plaster (prof) indoor (discarded)</v>
      </c>
      <c r="H163" s="313" t="str">
        <v>Wood stain (prof) outdoor</v>
      </c>
      <c r="I163" s="501" t="str">
        <v>Plaster (prof) indoor</v>
      </c>
      <c r="J163" t="str">
        <v>Concrete paint (prof) indoor (discarded)</v>
      </c>
    </row>
    <row r="164" spans="1:10" ht="15.75" thickBot="1">
      <c r="A164" s="74" t="str">
        <v>Plaster (prof) indoor (discarded)</v>
      </c>
      <c r="B164" s="335" t="str">
        <f>IFERROR(VLOOKUP(A164,'Compartments_Kawecki&amp;Nowack19'!A:C,2,FALSE), IFERROR(VLOOKUP(A164,Compartments_Added!A:C,2,FALSE), "Not found"))</f>
        <v>Stock</v>
      </c>
      <c r="C164" s="335" t="str">
        <f>IFERROR(VLOOKUP(A164,'Compartments_Kawecki&amp;Nowack19'!A:C,3,FALSE), IFERROR(VLOOKUP(A164,Compartments_Added!A:C,3,FALSE), "Not found"))</f>
        <v>PlasterProfInDis</v>
      </c>
      <c r="D164" s="95" t="str">
        <f>IFERROR(IF(VLOOKUP(A164,'Compartments_Kawecki&amp;Nowack19'!A:C,1,FALSE)=A164, "Kawecki","what?"),"Added/changed")</f>
        <v>Added/changed</v>
      </c>
      <c r="F164" s="17"/>
      <c r="G164" s="496" t="str">
        <v>Other paint uses (prof)</v>
      </c>
      <c r="H164" s="313" t="str">
        <v>Wood stain (prof) indoor</v>
      </c>
      <c r="I164" s="501" t="str">
        <v>Plaster (prof) indoor (in use)</v>
      </c>
      <c r="J164" t="str">
        <v>Lacquer (prof)</v>
      </c>
    </row>
    <row r="165" spans="1:10" ht="15.75" thickBot="1">
      <c r="A165" s="74" t="str">
        <v>Other paint uses (prof)</v>
      </c>
      <c r="B165" s="335" t="str">
        <f>IFERROR(VLOOKUP(A165,'Compartments_Kawecki&amp;Nowack19'!A:C,2,FALSE), IFERROR(VLOOKUP(A165,Compartments_Added!A:C,2,FALSE), "Not found"))</f>
        <v>Flow</v>
      </c>
      <c r="C165" s="335" t="str">
        <f>IFERROR(VLOOKUP(A165,'Compartments_Kawecki&amp;Nowack19'!A:C,3,FALSE), IFERROR(VLOOKUP(A165,Compartments_Added!A:C,3,FALSE), "Not found"))</f>
        <v>OtherPaintUses</v>
      </c>
      <c r="D165" s="95" t="str">
        <f>IFERROR(IF(VLOOKUP(A165,'Compartments_Kawecki&amp;Nowack19'!A:C,1,FALSE)=A165, "Kawecki","what?"),"Added/changed")</f>
        <v>Added/changed</v>
      </c>
      <c r="F165" s="17"/>
      <c r="G165" s="496" t="str">
        <v>Other paint uses (prof) outdoor</v>
      </c>
      <c r="H165" s="313" t="str">
        <v>Wood stain (prof) outdoor (in use)</v>
      </c>
      <c r="I165" s="501" t="str">
        <v>Plaster (prof) outdoor (discarded)</v>
      </c>
      <c r="J165" t="str">
        <v>Lacquer (prof) outdoor</v>
      </c>
    </row>
    <row r="166" spans="1:10" ht="15.75" thickBot="1">
      <c r="A166" s="74" t="str">
        <v>Other paint uses (prof) outdoor</v>
      </c>
      <c r="B166" s="335" t="str">
        <f>IFERROR(VLOOKUP(A166,'Compartments_Kawecki&amp;Nowack19'!A:C,2,FALSE), IFERROR(VLOOKUP(A166,Compartments_Added!A:C,2,FALSE), "Not found"))</f>
        <v>Flow</v>
      </c>
      <c r="C166" s="335" t="str">
        <f>IFERROR(VLOOKUP(A166,'Compartments_Kawecki&amp;Nowack19'!A:C,3,FALSE), IFERROR(VLOOKUP(A166,Compartments_Added!A:C,3,FALSE), "Not found"))</f>
        <v>OtherPaintUsesProfOut</v>
      </c>
      <c r="D166" s="95" t="str">
        <f>IFERROR(IF(VLOOKUP(A166,'Compartments_Kawecki&amp;Nowack19'!A:C,1,FALSE)=A166, "Kawecki","what?"),"Added/changed")</f>
        <v>Added/changed</v>
      </c>
      <c r="F166" s="17"/>
      <c r="G166" s="496" t="str">
        <v>Other paint uses (prof) outdoor (in use)</v>
      </c>
      <c r="H166" s="313" t="str">
        <v>Wood stain (prof) outdoor (discarded)</v>
      </c>
      <c r="I166" s="501" t="str">
        <v>Plaster (prof) indoor (discarded)</v>
      </c>
      <c r="J166" t="str">
        <v>Lacquer (prof) outdoor (in use)</v>
      </c>
    </row>
    <row r="167" spans="1:10" ht="15.75" thickBot="1">
      <c r="A167" s="74" t="str">
        <v>Other paint uses (prof) outdoor (in use)</v>
      </c>
      <c r="B167" s="335" t="str">
        <f>IFERROR(VLOOKUP(A167,'Compartments_Kawecki&amp;Nowack19'!A:C,2,FALSE), IFERROR(VLOOKUP(A167,Compartments_Added!A:C,2,FALSE), "Not found"))</f>
        <v>Stock</v>
      </c>
      <c r="C167" s="335" t="str">
        <f>IFERROR(VLOOKUP(A167,'Compartments_Kawecki&amp;Nowack19'!A:C,3,FALSE), IFERROR(VLOOKUP(A167,Compartments_Added!A:C,3,FALSE), "Not found"))</f>
        <v>OtherPaintUsesProfOutIU</v>
      </c>
      <c r="D167" s="95" t="str">
        <f>IFERROR(IF(VLOOKUP(A167,'Compartments_Kawecki&amp;Nowack19'!A:C,1,FALSE)=A167, "Kawecki","what?"),"Added/changed")</f>
        <v>Added/changed</v>
      </c>
      <c r="F167" s="17"/>
      <c r="G167" s="496" t="str">
        <v>Other paint uses (prof) indoor</v>
      </c>
      <c r="H167" s="313" t="str">
        <v>Wood stain (prof) indoor (in use)</v>
      </c>
      <c r="I167" s="501" t="str">
        <v>Other paint uses (prof)</v>
      </c>
      <c r="J167" t="str">
        <v>Lacquer (prof) indoor</v>
      </c>
    </row>
    <row r="168" spans="1:10" ht="15.75" thickBot="1">
      <c r="A168" s="74" t="str">
        <v>Other paint uses (prof) indoor</v>
      </c>
      <c r="B168" s="335" t="str">
        <f>IFERROR(VLOOKUP(A168,'Compartments_Kawecki&amp;Nowack19'!A:C,2,FALSE), IFERROR(VLOOKUP(A168,Compartments_Added!A:C,2,FALSE), "Not found"))</f>
        <v>Flow</v>
      </c>
      <c r="C168" s="335" t="str">
        <f>IFERROR(VLOOKUP(A168,'Compartments_Kawecki&amp;Nowack19'!A:C,3,FALSE), IFERROR(VLOOKUP(A168,Compartments_Added!A:C,3,FALSE), "Not found"))</f>
        <v>OtherPaintUsesProfIn</v>
      </c>
      <c r="D168" s="95" t="str">
        <f>IFERROR(IF(VLOOKUP(A168,'Compartments_Kawecki&amp;Nowack19'!A:C,1,FALSE)=A168, "Kawecki","what?"),"Added/changed")</f>
        <v>Added/changed</v>
      </c>
      <c r="F168" s="17"/>
      <c r="G168" s="496" t="str">
        <v>Other paint uses (prof) indoor (in use)</v>
      </c>
      <c r="H168" s="313" t="str">
        <v>Wood stain (prof) indoor (discarded)</v>
      </c>
      <c r="I168" s="501" t="str">
        <v>Other paint uses (prof) outdoor</v>
      </c>
      <c r="J168" t="str">
        <v>Lacquer (prof) indoor (in use)</v>
      </c>
    </row>
    <row r="169" spans="1:10" ht="15.75" thickBot="1">
      <c r="A169" s="74" t="str">
        <v>Other paint uses (prof) indoor (in use)</v>
      </c>
      <c r="B169" s="335" t="str">
        <f>IFERROR(VLOOKUP(A169,'Compartments_Kawecki&amp;Nowack19'!A:C,2,FALSE), IFERROR(VLOOKUP(A169,Compartments_Added!A:C,2,FALSE), "Not found"))</f>
        <v>Stock</v>
      </c>
      <c r="C169" s="335" t="str">
        <f>IFERROR(VLOOKUP(A169,'Compartments_Kawecki&amp;Nowack19'!A:C,3,FALSE), IFERROR(VLOOKUP(A169,Compartments_Added!A:C,3,FALSE), "Not found"))</f>
        <v>OtherPaintUsesProfInIU</v>
      </c>
      <c r="D169" s="95" t="str">
        <f>IFERROR(IF(VLOOKUP(A169,'Compartments_Kawecki&amp;Nowack19'!A:C,1,FALSE)=A169, "Kawecki","what?"),"Added/changed")</f>
        <v>Added/changed</v>
      </c>
      <c r="F169" s="17"/>
      <c r="G169" s="496" t="str">
        <v>Other paint uses (prof) outdoor (discarded)</v>
      </c>
      <c r="H169" s="313" t="str">
        <v>Wall paint (prof) outdoor</v>
      </c>
      <c r="I169" s="501" t="str">
        <v>Other paint uses (prof) outdoor (in use)</v>
      </c>
      <c r="J169" t="str">
        <v>Lacquer (prof) outdoor (discarded)</v>
      </c>
    </row>
    <row r="170" spans="1:10" ht="15.75" thickBot="1">
      <c r="A170" s="74" t="str">
        <v>Other paint uses (prof) outdoor (discarded)</v>
      </c>
      <c r="B170" s="335" t="str">
        <f>IFERROR(VLOOKUP(A170,'Compartments_Kawecki&amp;Nowack19'!A:C,2,FALSE), IFERROR(VLOOKUP(A170,Compartments_Added!A:C,2,FALSE), "Not found"))</f>
        <v>Stock</v>
      </c>
      <c r="C170" s="335" t="str">
        <f>IFERROR(VLOOKUP(A170,'Compartments_Kawecki&amp;Nowack19'!A:C,3,FALSE), IFERROR(VLOOKUP(A170,Compartments_Added!A:C,3,FALSE), "Not found"))</f>
        <v>OtherPaintUsesProfOutDis</v>
      </c>
      <c r="D170" s="95" t="str">
        <f>IFERROR(IF(VLOOKUP(A170,'Compartments_Kawecki&amp;Nowack19'!A:C,1,FALSE)=A170, "Kawecki","what?"),"Added/changed")</f>
        <v>Added/changed</v>
      </c>
      <c r="F170" s="17"/>
      <c r="G170" s="496" t="str">
        <v>Other paint uses (prof) indoor (discarded)</v>
      </c>
      <c r="H170" s="313" t="str">
        <v>Wall paint (prof) indoor</v>
      </c>
      <c r="I170" s="501" t="str">
        <v>Other paint uses (prof) indoor</v>
      </c>
      <c r="J170" t="str">
        <v>Lacquer (prof) indoor (discarded)</v>
      </c>
    </row>
    <row r="171" spans="1:10" ht="15.75" thickBot="1">
      <c r="A171" s="74" t="str">
        <v>Other paint uses (prof) indoor (discarded)</v>
      </c>
      <c r="B171" s="335" t="str">
        <f>IFERROR(VLOOKUP(A171,'Compartments_Kawecki&amp;Nowack19'!A:C,2,FALSE), IFERROR(VLOOKUP(A171,Compartments_Added!A:C,2,FALSE), "Not found"))</f>
        <v>Stock</v>
      </c>
      <c r="C171" s="335" t="str">
        <f>IFERROR(VLOOKUP(A171,'Compartments_Kawecki&amp;Nowack19'!A:C,3,FALSE), IFERROR(VLOOKUP(A171,Compartments_Added!A:C,3,FALSE), "Not found"))</f>
        <v>OtherPaintUsesProfInDis</v>
      </c>
      <c r="D171" s="95" t="str">
        <f>IFERROR(IF(VLOOKUP(A171,'Compartments_Kawecki&amp;Nowack19'!A:C,1,FALSE)=A171, "Kawecki","what?"),"Added/changed")</f>
        <v>Added/changed</v>
      </c>
      <c r="F171" s="17"/>
      <c r="G171" s="496" t="str">
        <v>Paints used in pre-made wooden products</v>
      </c>
      <c r="H171" s="313" t="str">
        <v>Wall paint (prof) outdoor (in use)</v>
      </c>
      <c r="I171" s="501" t="str">
        <v>Other paint uses (prof) indoor (in use)</v>
      </c>
      <c r="J171" t="str">
        <v>Wood stain (prof)</v>
      </c>
    </row>
    <row r="172" spans="1:10" ht="15.75" thickBot="1">
      <c r="A172" s="74" t="str">
        <v>Paints used in pre-made wooden products</v>
      </c>
      <c r="B172" s="335" t="str">
        <f>IFERROR(VLOOKUP(A172,'Compartments_Kawecki&amp;Nowack19'!A:C,2,FALSE), IFERROR(VLOOKUP(A172,Compartments_Added!A:C,2,FALSE), "Not found"))</f>
        <v>Flow</v>
      </c>
      <c r="C172" s="335" t="str">
        <f>IFERROR(VLOOKUP(A172,'Compartments_Kawecki&amp;Nowack19'!A:C,3,FALSE), IFERROR(VLOOKUP(A172,Compartments_Added!A:C,3,FALSE), "Not found"))</f>
        <v>PaintsPreMadeWood</v>
      </c>
      <c r="D172" s="95" t="str">
        <f>IFERROR(IF(VLOOKUP(A172,'Compartments_Kawecki&amp;Nowack19'!A:C,1,FALSE)=A172, "Kawecki","what?"),"Added/changed")</f>
        <v>Added/changed</v>
      </c>
      <c r="F172" s="17"/>
      <c r="G172" s="496" t="str">
        <v>Paints used in pre-made wooden products outdoor</v>
      </c>
      <c r="H172" s="313" t="str">
        <v>Wall paint (prof) outdoor (discarded)</v>
      </c>
      <c r="I172" s="501" t="str">
        <v>Other paint uses (prof) outdoor (discarded)</v>
      </c>
      <c r="J172" t="str">
        <v>Wood stain (prof) outdoor</v>
      </c>
    </row>
    <row r="173" spans="1:10" ht="15.75" thickBot="1">
      <c r="A173" s="74" t="str">
        <v>Paints used in pre-made wooden products outdoor</v>
      </c>
      <c r="B173" s="335" t="str">
        <f>IFERROR(VLOOKUP(A173,'Compartments_Kawecki&amp;Nowack19'!A:C,2,FALSE), IFERROR(VLOOKUP(A173,Compartments_Added!A:C,2,FALSE), "Not found"))</f>
        <v>Flow</v>
      </c>
      <c r="C173" s="335" t="str">
        <f>IFERROR(VLOOKUP(A173,'Compartments_Kawecki&amp;Nowack19'!A:C,3,FALSE), IFERROR(VLOOKUP(A173,Compartments_Added!A:C,3,FALSE), "Not found"))</f>
        <v>PaintsPreMadeWoodOut</v>
      </c>
      <c r="D173" s="95" t="str">
        <f>IFERROR(IF(VLOOKUP(A173,'Compartments_Kawecki&amp;Nowack19'!A:C,1,FALSE)=A173, "Kawecki","what?"),"Added/changed")</f>
        <v>Added/changed</v>
      </c>
      <c r="F173" s="17"/>
      <c r="G173" s="496" t="str">
        <v>Paints used in pre-made wooden products outdoor (in use)</v>
      </c>
      <c r="H173" s="313" t="str">
        <v>Wall paint (prof) indoor (in use)</v>
      </c>
      <c r="I173" s="501" t="str">
        <v>Other paint uses (prof) indoor (discarded)</v>
      </c>
      <c r="J173" t="str">
        <v>Wood stain (prof) outdoor (in use)</v>
      </c>
    </row>
    <row r="174" spans="1:10" ht="15.75" thickBot="1">
      <c r="A174" s="74" t="str">
        <v>Paints used in pre-made wooden products outdoor (in use)</v>
      </c>
      <c r="B174" s="335" t="str">
        <f>IFERROR(VLOOKUP(A174,'Compartments_Kawecki&amp;Nowack19'!A:C,2,FALSE), IFERROR(VLOOKUP(A174,Compartments_Added!A:C,2,FALSE), "Not found"))</f>
        <v>Stock</v>
      </c>
      <c r="C174" s="335" t="str">
        <f>IFERROR(VLOOKUP(A174,'Compartments_Kawecki&amp;Nowack19'!A:C,3,FALSE), IFERROR(VLOOKUP(A174,Compartments_Added!A:C,3,FALSE), "Not found"))</f>
        <v>PaintsPreMadeWoodOutIU</v>
      </c>
      <c r="D174" s="95" t="str">
        <f>IFERROR(IF(VLOOKUP(A174,'Compartments_Kawecki&amp;Nowack19'!A:C,1,FALSE)=A174, "Kawecki","what?"),"Added/changed")</f>
        <v>Added/changed</v>
      </c>
      <c r="F174" s="17"/>
      <c r="G174" s="496" t="str">
        <v>Paints used in pre-made wooden products indoor</v>
      </c>
      <c r="H174" s="313" t="str">
        <v>Wall paint (prof) indoor (discarded)</v>
      </c>
      <c r="I174" s="501" t="str">
        <v>Paints used in pre-made wooden products</v>
      </c>
      <c r="J174" t="str">
        <v>Wood stain (prof) indoor</v>
      </c>
    </row>
    <row r="175" spans="1:10" ht="15.75" thickBot="1">
      <c r="A175" s="74" t="str">
        <v>Paints used in pre-made wooden products indoor</v>
      </c>
      <c r="B175" s="335" t="str">
        <f>IFERROR(VLOOKUP(A175,'Compartments_Kawecki&amp;Nowack19'!A:C,2,FALSE), IFERROR(VLOOKUP(A175,Compartments_Added!A:C,2,FALSE), "Not found"))</f>
        <v>Flow</v>
      </c>
      <c r="C175" s="335" t="str">
        <f>IFERROR(VLOOKUP(A175,'Compartments_Kawecki&amp;Nowack19'!A:C,3,FALSE), IFERROR(VLOOKUP(A175,Compartments_Added!A:C,3,FALSE), "Not found"))</f>
        <v>PaintsPreMadeWoodIn</v>
      </c>
      <c r="D175" s="95" t="str">
        <f>IFERROR(IF(VLOOKUP(A175,'Compartments_Kawecki&amp;Nowack19'!A:C,1,FALSE)=A175, "Kawecki","what?"),"Added/changed")</f>
        <v>Added/changed</v>
      </c>
      <c r="F175" s="17"/>
      <c r="G175" s="496" t="str">
        <v>Paints used in pre-made wooden products indoor (in use)</v>
      </c>
      <c r="H175" s="313" t="str">
        <v>Plaster (prof) outdoor</v>
      </c>
      <c r="I175" s="501" t="str">
        <v>Paints used in pre-made wooden products outdoor</v>
      </c>
      <c r="J175" t="str">
        <v>Wood stain (prof) indoor (in use)</v>
      </c>
    </row>
    <row r="176" spans="1:10" ht="15.75" thickBot="1">
      <c r="A176" s="74" t="str">
        <v>Paints used in pre-made wooden products indoor (in use)</v>
      </c>
      <c r="B176" s="335" t="str">
        <f>IFERROR(VLOOKUP(A176,'Compartments_Kawecki&amp;Nowack19'!A:C,2,FALSE), IFERROR(VLOOKUP(A176,Compartments_Added!A:C,2,FALSE), "Not found"))</f>
        <v>Stock</v>
      </c>
      <c r="C176" s="335" t="str">
        <f>IFERROR(VLOOKUP(A176,'Compartments_Kawecki&amp;Nowack19'!A:C,3,FALSE), IFERROR(VLOOKUP(A176,Compartments_Added!A:C,3,FALSE), "Not found"))</f>
        <v>PaintsPreMadeWoodInIU</v>
      </c>
      <c r="D176" s="95" t="str">
        <f>IFERROR(IF(VLOOKUP(A176,'Compartments_Kawecki&amp;Nowack19'!A:C,1,FALSE)=A176, "Kawecki","what?"),"Added/changed")</f>
        <v>Added/changed</v>
      </c>
      <c r="F176" s="17"/>
      <c r="G176" s="496" t="str">
        <v>Paints used in pre-made wooden products outdoor (discarded)</v>
      </c>
      <c r="H176" s="313" t="str">
        <v>Plaster (prof) indoor</v>
      </c>
      <c r="I176" s="501" t="str">
        <v>Paints used in pre-made wooden products outdoor (in use)</v>
      </c>
      <c r="J176" t="str">
        <v>Wood stain (prof) outdoor (discarded)</v>
      </c>
    </row>
    <row r="177" spans="1:10" ht="15.75" thickBot="1">
      <c r="A177" s="74" t="str">
        <v>Paints used in pre-made wooden products outdoor (discarded)</v>
      </c>
      <c r="B177" s="335" t="str">
        <f>IFERROR(VLOOKUP(A177,'Compartments_Kawecki&amp;Nowack19'!A:C,2,FALSE), IFERROR(VLOOKUP(A177,Compartments_Added!A:C,2,FALSE), "Not found"))</f>
        <v>Stock</v>
      </c>
      <c r="C177" s="335" t="str">
        <f>IFERROR(VLOOKUP(A177,'Compartments_Kawecki&amp;Nowack19'!A:C,3,FALSE), IFERROR(VLOOKUP(A177,Compartments_Added!A:C,3,FALSE), "Not found"))</f>
        <v>PaintsPreMadeWoodOutDis</v>
      </c>
      <c r="D177" s="95" t="str">
        <f>IFERROR(IF(VLOOKUP(A177,'Compartments_Kawecki&amp;Nowack19'!A:C,1,FALSE)=A177, "Kawecki","what?"),"Added/changed")</f>
        <v>Added/changed</v>
      </c>
      <c r="F177" s="17"/>
      <c r="G177" s="496" t="str">
        <v>Paints used in pre-made wooden products indoor (discarded)</v>
      </c>
      <c r="H177" s="313" t="str">
        <v>Plaster (prof) outdoor (in use)</v>
      </c>
      <c r="I177" s="501" t="str">
        <v>Paints used in pre-made wooden products indoor</v>
      </c>
      <c r="J177" t="str">
        <v>Wood stain (prof) indoor (discarded)</v>
      </c>
    </row>
    <row r="178" spans="1:10" ht="15.75" thickBot="1">
      <c r="A178" s="74" t="str">
        <v>Paints used in pre-made wooden products indoor (discarded)</v>
      </c>
      <c r="B178" s="335" t="str">
        <f>IFERROR(VLOOKUP(A178,'Compartments_Kawecki&amp;Nowack19'!A:C,2,FALSE), IFERROR(VLOOKUP(A178,Compartments_Added!A:C,2,FALSE), "Not found"))</f>
        <v>Stock</v>
      </c>
      <c r="C178" s="335" t="str">
        <f>IFERROR(VLOOKUP(A178,'Compartments_Kawecki&amp;Nowack19'!A:C,3,FALSE), IFERROR(VLOOKUP(A178,Compartments_Added!A:C,3,FALSE), "Not found"))</f>
        <v>PaintsPreMadeWoodInDis</v>
      </c>
      <c r="D178" s="95" t="str">
        <f>IFERROR(IF(VLOOKUP(A178,'Compartments_Kawecki&amp;Nowack19'!A:C,1,FALSE)=A178, "Kawecki","what?"),"Added/changed")</f>
        <v>Added/changed</v>
      </c>
      <c r="F178" s="17"/>
      <c r="G178" s="496" t="str">
        <v>Lacquer (DIY)</v>
      </c>
      <c r="H178" s="313" t="str">
        <v>Plaster (prof) outdoor (discarded)</v>
      </c>
      <c r="I178" s="501" t="str">
        <v>Paints used in pre-made wooden products indoor (in use)</v>
      </c>
      <c r="J178" t="str">
        <v>Wall paint (prof)</v>
      </c>
    </row>
    <row r="179" spans="1:10" ht="15.75" thickBot="1">
      <c r="A179" s="74" t="str">
        <v>Lacquer (DIY)</v>
      </c>
      <c r="B179" s="335" t="str">
        <f>IFERROR(VLOOKUP(A179,'Compartments_Kawecki&amp;Nowack19'!A:C,2,FALSE), IFERROR(VLOOKUP(A179,Compartments_Added!A:C,2,FALSE), "Not found"))</f>
        <v>Flow</v>
      </c>
      <c r="C179" s="335" t="str">
        <f>IFERROR(VLOOKUP(A179,'Compartments_Kawecki&amp;Nowack19'!A:C,3,FALSE), IFERROR(VLOOKUP(A179,Compartments_Added!A:C,3,FALSE), "Not found"))</f>
        <v>LacquerDiy</v>
      </c>
      <c r="D179" s="95" t="str">
        <f>IFERROR(IF(VLOOKUP(A179,'Compartments_Kawecki&amp;Nowack19'!A:C,1,FALSE)=A179, "Kawecki","what?"),"Added/changed")</f>
        <v>Added/changed</v>
      </c>
      <c r="F179" s="17"/>
      <c r="G179" s="496" t="str">
        <v>Lacquer (DIY) outdoor</v>
      </c>
      <c r="H179" s="313" t="str">
        <v>Plaster (prof) indoor (in use)</v>
      </c>
      <c r="I179" s="501" t="str">
        <v>Paints used in pre-made wooden products outdoor (discarded)</v>
      </c>
      <c r="J179" t="str">
        <v>Wall paint (prof) outdoor</v>
      </c>
    </row>
    <row r="180" spans="1:10" ht="15.75" thickBot="1">
      <c r="A180" s="74" t="str">
        <v>Lacquer (DIY) outdoor</v>
      </c>
      <c r="B180" s="335" t="str">
        <f>IFERROR(VLOOKUP(A180,'Compartments_Kawecki&amp;Nowack19'!A:C,2,FALSE), IFERROR(VLOOKUP(A180,Compartments_Added!A:C,2,FALSE), "Not found"))</f>
        <v>Flow</v>
      </c>
      <c r="C180" s="335" t="str">
        <f>IFERROR(VLOOKUP(A180,'Compartments_Kawecki&amp;Nowack19'!A:C,3,FALSE), IFERROR(VLOOKUP(A180,Compartments_Added!A:C,3,FALSE), "Not found"))</f>
        <v>LacquerDiyOut</v>
      </c>
      <c r="D180" s="95" t="str">
        <f>IFERROR(IF(VLOOKUP(A180,'Compartments_Kawecki&amp;Nowack19'!A:C,1,FALSE)=A180, "Kawecki","what?"),"Added/changed")</f>
        <v>Added/changed</v>
      </c>
      <c r="F180" s="17"/>
      <c r="G180" s="496" t="str">
        <v>Lacquer (DIY) outdoor (in use)</v>
      </c>
      <c r="H180" s="313" t="str">
        <v>Plaster (prof) indoor (discarded)</v>
      </c>
      <c r="I180" s="501" t="str">
        <v>Paints used in pre-made wooden products indoor (discarded)</v>
      </c>
      <c r="J180" t="str">
        <v>Wall paint (prof) outdoor (in use)</v>
      </c>
    </row>
    <row r="181" spans="1:10" ht="15.75" thickBot="1">
      <c r="A181" s="74" t="str">
        <v>Lacquer (DIY) outdoor (in use)</v>
      </c>
      <c r="B181" s="335" t="str">
        <f>IFERROR(VLOOKUP(A181,'Compartments_Kawecki&amp;Nowack19'!A:C,2,FALSE), IFERROR(VLOOKUP(A181,Compartments_Added!A:C,2,FALSE), "Not found"))</f>
        <v>Stock</v>
      </c>
      <c r="C181" s="335" t="str">
        <f>IFERROR(VLOOKUP(A181,'Compartments_Kawecki&amp;Nowack19'!A:C,3,FALSE), IFERROR(VLOOKUP(A181,Compartments_Added!A:C,3,FALSE), "Not found"))</f>
        <v>LacquerDiyOutIU</v>
      </c>
      <c r="D181" s="95" t="str">
        <f>IFERROR(IF(VLOOKUP(A181,'Compartments_Kawecki&amp;Nowack19'!A:C,1,FALSE)=A181, "Kawecki","what?"),"Added/changed")</f>
        <v>Added/changed</v>
      </c>
      <c r="F181" s="17"/>
      <c r="G181" s="496" t="str">
        <v>Lacquer (DIY) indoor</v>
      </c>
      <c r="H181" s="313" t="str">
        <v>Other paint uses (prof) outdoor</v>
      </c>
      <c r="I181" s="501" t="str">
        <v>Lacquer (DIY)</v>
      </c>
      <c r="J181" t="str">
        <v>Wall paint (prof) indoor</v>
      </c>
    </row>
    <row r="182" spans="1:10" ht="15.75" thickBot="1">
      <c r="A182" s="74" t="str">
        <v>Lacquer (DIY) indoor</v>
      </c>
      <c r="B182" s="335" t="str">
        <f>IFERROR(VLOOKUP(A182,'Compartments_Kawecki&amp;Nowack19'!A:C,2,FALSE), IFERROR(VLOOKUP(A182,Compartments_Added!A:C,2,FALSE), "Not found"))</f>
        <v>Flow</v>
      </c>
      <c r="C182" s="335" t="str">
        <f>IFERROR(VLOOKUP(A182,'Compartments_Kawecki&amp;Nowack19'!A:C,3,FALSE), IFERROR(VLOOKUP(A182,Compartments_Added!A:C,3,FALSE), "Not found"))</f>
        <v>LacquerDiyIn</v>
      </c>
      <c r="D182" s="95" t="str">
        <f>IFERROR(IF(VLOOKUP(A182,'Compartments_Kawecki&amp;Nowack19'!A:C,1,FALSE)=A182, "Kawecki","what?"),"Added/changed")</f>
        <v>Added/changed</v>
      </c>
      <c r="F182" s="17"/>
      <c r="G182" s="496" t="str">
        <v>Lacquer (DIY) indoor (in use)</v>
      </c>
      <c r="H182" s="313" t="str">
        <v>Other paint uses (prof) indoor</v>
      </c>
      <c r="I182" s="501" t="str">
        <v>Lacquer (DIY) outdoor</v>
      </c>
      <c r="J182" t="str">
        <v>Wall paint (prof) indoor (in use)</v>
      </c>
    </row>
    <row r="183" spans="1:10" ht="15.75" thickBot="1">
      <c r="A183" s="74" t="str">
        <v>Lacquer (DIY) indoor (in use)</v>
      </c>
      <c r="B183" s="335" t="str">
        <f>IFERROR(VLOOKUP(A183,'Compartments_Kawecki&amp;Nowack19'!A:C,2,FALSE), IFERROR(VLOOKUP(A183,Compartments_Added!A:C,2,FALSE), "Not found"))</f>
        <v>Stock</v>
      </c>
      <c r="C183" s="335" t="str">
        <f>IFERROR(VLOOKUP(A183,'Compartments_Kawecki&amp;Nowack19'!A:C,3,FALSE), IFERROR(VLOOKUP(A183,Compartments_Added!A:C,3,FALSE), "Not found"))</f>
        <v>LacquerDiyInIU</v>
      </c>
      <c r="D183" s="95" t="str">
        <f>IFERROR(IF(VLOOKUP(A183,'Compartments_Kawecki&amp;Nowack19'!A:C,1,FALSE)=A183, "Kawecki","what?"),"Added/changed")</f>
        <v>Added/changed</v>
      </c>
      <c r="F183" s="17"/>
      <c r="G183" s="496" t="str">
        <v>Lacquer (DIY) outdoor (discarded)</v>
      </c>
      <c r="H183" s="313" t="str">
        <v>Other paint uses (prof) outdoor (in use)</v>
      </c>
      <c r="I183" s="501" t="str">
        <v>Lacquer (DIY) outdoor (in use)</v>
      </c>
      <c r="J183" t="str">
        <v>Wall paint (prof) outdoor (discarded)</v>
      </c>
    </row>
    <row r="184" spans="1:10" ht="15.75" thickBot="1">
      <c r="A184" s="74" t="str">
        <v>Lacquer (DIY) outdoor (discarded)</v>
      </c>
      <c r="B184" s="335" t="str">
        <f>IFERROR(VLOOKUP(A184,'Compartments_Kawecki&amp;Nowack19'!A:C,2,FALSE), IFERROR(VLOOKUP(A184,Compartments_Added!A:C,2,FALSE), "Not found"))</f>
        <v>Stock</v>
      </c>
      <c r="C184" s="335" t="str">
        <f>IFERROR(VLOOKUP(A184,'Compartments_Kawecki&amp;Nowack19'!A:C,3,FALSE), IFERROR(VLOOKUP(A184,Compartments_Added!A:C,3,FALSE), "Not found"))</f>
        <v>LacquerDiyOutDis</v>
      </c>
      <c r="D184" s="95" t="str">
        <f>IFERROR(IF(VLOOKUP(A184,'Compartments_Kawecki&amp;Nowack19'!A:C,1,FALSE)=A184, "Kawecki","what?"),"Added/changed")</f>
        <v>Added/changed</v>
      </c>
      <c r="F184" s="17"/>
      <c r="G184" s="496" t="str">
        <v>Lacquer (DIY) indoor (discarded)</v>
      </c>
      <c r="H184" s="313" t="str">
        <v>Other paint uses (prof) outdoor (discarded)</v>
      </c>
      <c r="I184" s="501" t="str">
        <v>Lacquer (DIY) indoor</v>
      </c>
      <c r="J184" t="str">
        <v>Wall paint (prof) indoor (discarded)</v>
      </c>
    </row>
    <row r="185" spans="1:10" ht="15.75" thickBot="1">
      <c r="A185" s="74" t="str">
        <v>Lacquer (DIY) indoor (discarded)</v>
      </c>
      <c r="B185" s="335" t="str">
        <f>IFERROR(VLOOKUP(A185,'Compartments_Kawecki&amp;Nowack19'!A:C,2,FALSE), IFERROR(VLOOKUP(A185,Compartments_Added!A:C,2,FALSE), "Not found"))</f>
        <v>Stock</v>
      </c>
      <c r="C185" s="335" t="str">
        <f>IFERROR(VLOOKUP(A185,'Compartments_Kawecki&amp;Nowack19'!A:C,3,FALSE), IFERROR(VLOOKUP(A185,Compartments_Added!A:C,3,FALSE), "Not found"))</f>
        <v>LacquerDiyInDis</v>
      </c>
      <c r="D185" s="95" t="str">
        <f>IFERROR(IF(VLOOKUP(A185,'Compartments_Kawecki&amp;Nowack19'!A:C,1,FALSE)=A185, "Kawecki","what?"),"Added/changed")</f>
        <v>Added/changed</v>
      </c>
      <c r="F185" s="17"/>
      <c r="G185" s="496" t="str">
        <v>Wood stain (DIY)</v>
      </c>
      <c r="H185" s="313" t="str">
        <v>Other paint uses (prof) indoor (in use)</v>
      </c>
      <c r="I185" s="501" t="str">
        <v>Lacquer (DIY) indoor (in use)</v>
      </c>
      <c r="J185" t="str">
        <v>Plaster (prof)</v>
      </c>
    </row>
    <row r="186" spans="1:10" ht="15.75" thickBot="1">
      <c r="A186" s="74" t="str">
        <v>Wood stain (DIY)</v>
      </c>
      <c r="B186" s="335" t="str">
        <f>IFERROR(VLOOKUP(A186,'Compartments_Kawecki&amp;Nowack19'!A:C,2,FALSE), IFERROR(VLOOKUP(A186,Compartments_Added!A:C,2,FALSE), "Not found"))</f>
        <v>Flow</v>
      </c>
      <c r="C186" s="335" t="str">
        <f>IFERROR(VLOOKUP(A186,'Compartments_Kawecki&amp;Nowack19'!A:C,3,FALSE), IFERROR(VLOOKUP(A186,Compartments_Added!A:C,3,FALSE), "Not found"))</f>
        <v>WoodDiy</v>
      </c>
      <c r="D186" s="95" t="str">
        <f>IFERROR(IF(VLOOKUP(A186,'Compartments_Kawecki&amp;Nowack19'!A:C,1,FALSE)=A186, "Kawecki","what?"),"Added/changed")</f>
        <v>Added/changed</v>
      </c>
      <c r="F186" s="17"/>
      <c r="G186" s="496" t="str">
        <v>Wood stain (DIY) outdoor</v>
      </c>
      <c r="H186" s="313" t="str">
        <v>Other paint uses (prof) indoor (discarded)</v>
      </c>
      <c r="I186" s="501" t="str">
        <v>Lacquer (DIY) outdoor (discarded)</v>
      </c>
      <c r="J186" t="str">
        <v>Plaster (prof) outdoor</v>
      </c>
    </row>
    <row r="187" spans="1:10" ht="15.75" thickBot="1">
      <c r="A187" s="74" t="str">
        <v>Wood stain (DIY) outdoor</v>
      </c>
      <c r="B187" s="335" t="str">
        <f>IFERROR(VLOOKUP(A187,'Compartments_Kawecki&amp;Nowack19'!A:C,2,FALSE), IFERROR(VLOOKUP(A187,Compartments_Added!A:C,2,FALSE), "Not found"))</f>
        <v>Flow</v>
      </c>
      <c r="C187" s="335" t="str">
        <f>IFERROR(VLOOKUP(A187,'Compartments_Kawecki&amp;Nowack19'!A:C,3,FALSE), IFERROR(VLOOKUP(A187,Compartments_Added!A:C,3,FALSE), "Not found"))</f>
        <v>WoodDiyOut</v>
      </c>
      <c r="D187" s="95" t="str">
        <f>IFERROR(IF(VLOOKUP(A187,'Compartments_Kawecki&amp;Nowack19'!A:C,1,FALSE)=A187, "Kawecki","what?"),"Added/changed")</f>
        <v>Added/changed</v>
      </c>
      <c r="F187" s="17"/>
      <c r="G187" s="496" t="str">
        <v>Wood stain (DIY) outdoor (in use)</v>
      </c>
      <c r="H187" s="313" t="str">
        <v>Paints used in pre-made wooden products outdoor</v>
      </c>
      <c r="I187" s="501" t="str">
        <v>Lacquer (DIY) indoor (discarded)</v>
      </c>
      <c r="J187" t="str">
        <v>Plaster (prof) outdoor (in use)</v>
      </c>
    </row>
    <row r="188" spans="1:10" ht="15.75" thickBot="1">
      <c r="A188" s="74" t="str">
        <v>Wood stain (DIY) outdoor (in use)</v>
      </c>
      <c r="B188" s="335" t="str">
        <f>IFERROR(VLOOKUP(A188,'Compartments_Kawecki&amp;Nowack19'!A:C,2,FALSE), IFERROR(VLOOKUP(A188,Compartments_Added!A:C,2,FALSE), "Not found"))</f>
        <v>Stock</v>
      </c>
      <c r="C188" s="335" t="str">
        <f>IFERROR(VLOOKUP(A188,'Compartments_Kawecki&amp;Nowack19'!A:C,3,FALSE), IFERROR(VLOOKUP(A188,Compartments_Added!A:C,3,FALSE), "Not found"))</f>
        <v>WoodStainDiyOutIU</v>
      </c>
      <c r="D188" s="95" t="str">
        <f>IFERROR(IF(VLOOKUP(A188,'Compartments_Kawecki&amp;Nowack19'!A:C,1,FALSE)=A188, "Kawecki","what?"),"Added/changed")</f>
        <v>Added/changed</v>
      </c>
      <c r="F188" s="17"/>
      <c r="G188" s="496" t="str">
        <v>Wood stain (DIY) indoor</v>
      </c>
      <c r="H188" s="313" t="str">
        <v>Paints used in pre-made wooden products indoor</v>
      </c>
      <c r="I188" s="501" t="str">
        <v>Wood stain (DIY)</v>
      </c>
      <c r="J188" t="str">
        <v>Plaster (prof) indoor</v>
      </c>
    </row>
    <row r="189" spans="1:10" ht="15.75" thickBot="1">
      <c r="A189" s="74" t="str">
        <v>Wood stain (DIY) indoor</v>
      </c>
      <c r="B189" s="335" t="str">
        <f>IFERROR(VLOOKUP(A189,'Compartments_Kawecki&amp;Nowack19'!A:C,2,FALSE), IFERROR(VLOOKUP(A189,Compartments_Added!A:C,2,FALSE), "Not found"))</f>
        <v>Flow</v>
      </c>
      <c r="C189" s="335" t="str">
        <f>IFERROR(VLOOKUP(A189,'Compartments_Kawecki&amp;Nowack19'!A:C,3,FALSE), IFERROR(VLOOKUP(A189,Compartments_Added!A:C,3,FALSE), "Not found"))</f>
        <v>WoodDiyIn</v>
      </c>
      <c r="D189" s="95" t="str">
        <f>IFERROR(IF(VLOOKUP(A189,'Compartments_Kawecki&amp;Nowack19'!A:C,1,FALSE)=A189, "Kawecki","what?"),"Added/changed")</f>
        <v>Added/changed</v>
      </c>
      <c r="G189" s="496" t="str">
        <v>Wood stain (DIY) indoor (in use)</v>
      </c>
      <c r="H189" s="313" t="str">
        <v>Paints used in pre-made wooden products outdoor (in use)</v>
      </c>
      <c r="I189" s="501" t="str">
        <v>Wood stain (DIY) outdoor</v>
      </c>
      <c r="J189" t="str">
        <v>Plaster (prof) indoor (in use)</v>
      </c>
    </row>
    <row r="190" spans="1:10" ht="15.75" thickBot="1">
      <c r="A190" s="74" t="str">
        <v>Wood stain (DIY) indoor (in use)</v>
      </c>
      <c r="B190" s="335" t="str">
        <f>IFERROR(VLOOKUP(A190,'Compartments_Kawecki&amp;Nowack19'!A:C,2,FALSE), IFERROR(VLOOKUP(A190,Compartments_Added!A:C,2,FALSE), "Not found"))</f>
        <v>Stock</v>
      </c>
      <c r="C190" s="335" t="str">
        <f>IFERROR(VLOOKUP(A190,'Compartments_Kawecki&amp;Nowack19'!A:C,3,FALSE), IFERROR(VLOOKUP(A190,Compartments_Added!A:C,3,FALSE), "Not found"))</f>
        <v>WoodStainDiyInIU</v>
      </c>
      <c r="D190" s="95" t="str">
        <f>IFERROR(IF(VLOOKUP(A190,'Compartments_Kawecki&amp;Nowack19'!A:C,1,FALSE)=A190, "Kawecki","what?"),"Added/changed")</f>
        <v>Added/changed</v>
      </c>
      <c r="G190" s="496" t="str">
        <v>Wood stain (DIY) outdoor (discarded)</v>
      </c>
      <c r="H190" s="313" t="str">
        <v>Paints used in pre-made wooden products outdoor (discarded)</v>
      </c>
      <c r="I190" s="501" t="str">
        <v>Wood stain (DIY) outdoor (in use)</v>
      </c>
      <c r="J190" t="str">
        <v>Plaster (prof) outdoor (discarded)</v>
      </c>
    </row>
    <row r="191" spans="1:10" ht="15.75" thickBot="1">
      <c r="A191" s="74" t="str">
        <v>Wood stain (DIY) outdoor (discarded)</v>
      </c>
      <c r="B191" s="335" t="str">
        <f>IFERROR(VLOOKUP(A191,'Compartments_Kawecki&amp;Nowack19'!A:C,2,FALSE), IFERROR(VLOOKUP(A191,Compartments_Added!A:C,2,FALSE), "Not found"))</f>
        <v>Stock</v>
      </c>
      <c r="C191" s="335" t="str">
        <f>IFERROR(VLOOKUP(A191,'Compartments_Kawecki&amp;Nowack19'!A:C,3,FALSE), IFERROR(VLOOKUP(A191,Compartments_Added!A:C,3,FALSE), "Not found"))</f>
        <v>WoodStainDiyOutDis</v>
      </c>
      <c r="D191" s="95" t="str">
        <f>IFERROR(IF(VLOOKUP(A191,'Compartments_Kawecki&amp;Nowack19'!A:C,1,FALSE)=A191, "Kawecki","what?"),"Added/changed")</f>
        <v>Added/changed</v>
      </c>
      <c r="G191" s="496" t="str">
        <v>Wood stain (DIY) indoor (discarded)</v>
      </c>
      <c r="H191" s="313" t="str">
        <v>Paints used in pre-made wooden products indoor (in use)</v>
      </c>
      <c r="I191" s="501" t="str">
        <v>Wood stain (DIY) indoor</v>
      </c>
      <c r="J191" t="str">
        <v>Plaster (prof) indoor (discarded)</v>
      </c>
    </row>
    <row r="192" spans="1:10" ht="15.75" thickBot="1">
      <c r="A192" s="74" t="str">
        <v>Wood stain (DIY) indoor (discarded)</v>
      </c>
      <c r="B192" s="335" t="str">
        <f>IFERROR(VLOOKUP(A192,'Compartments_Kawecki&amp;Nowack19'!A:C,2,FALSE), IFERROR(VLOOKUP(A192,Compartments_Added!A:C,2,FALSE), "Not found"))</f>
        <v>Stock</v>
      </c>
      <c r="C192" s="335" t="str">
        <f>IFERROR(VLOOKUP(A192,'Compartments_Kawecki&amp;Nowack19'!A:C,3,FALSE), IFERROR(VLOOKUP(A192,Compartments_Added!A:C,3,FALSE), "Not found"))</f>
        <v>WoodStainDiyInDis</v>
      </c>
      <c r="D192" s="95" t="str">
        <f>IFERROR(IF(VLOOKUP(A192,'Compartments_Kawecki&amp;Nowack19'!A:C,1,FALSE)=A192, "Kawecki","what?"),"Added/changed")</f>
        <v>Added/changed</v>
      </c>
      <c r="G192" s="496" t="str">
        <v>Wall paint (DIY)</v>
      </c>
      <c r="H192" s="313" t="str">
        <v>Paints used in pre-made wooden products indoor (discarded)</v>
      </c>
      <c r="I192" s="501" t="str">
        <v>Wood stain (DIY) indoor (in use)</v>
      </c>
      <c r="J192" t="str">
        <v>Other paint uses (prof)</v>
      </c>
    </row>
    <row r="193" spans="1:10" ht="15.75" thickBot="1">
      <c r="A193" s="74" t="str">
        <v>Wall paint (DIY)</v>
      </c>
      <c r="B193" s="335" t="str">
        <f>IFERROR(VLOOKUP(A193,'Compartments_Kawecki&amp;Nowack19'!A:C,2,FALSE), IFERROR(VLOOKUP(A193,Compartments_Added!A:C,2,FALSE), "Not found"))</f>
        <v>Flow</v>
      </c>
      <c r="C193" s="335" t="str">
        <f>IFERROR(VLOOKUP(A193,'Compartments_Kawecki&amp;Nowack19'!A:C,3,FALSE), IFERROR(VLOOKUP(A193,Compartments_Added!A:C,3,FALSE), "Not found"))</f>
        <v>WallDiy</v>
      </c>
      <c r="D193" s="95" t="str">
        <f>IFERROR(IF(VLOOKUP(A193,'Compartments_Kawecki&amp;Nowack19'!A:C,1,FALSE)=A193, "Kawecki","what?"),"Added/changed")</f>
        <v>Added/changed</v>
      </c>
      <c r="G193" s="496" t="str">
        <v>Wall paint (DIY) outdoor</v>
      </c>
      <c r="H193" s="313" t="str">
        <v>Lacquer (DIY) outdoor</v>
      </c>
      <c r="I193" s="501" t="str">
        <v>Wood stain (DIY) outdoor (discarded)</v>
      </c>
      <c r="J193" t="str">
        <v>Other paint uses (prof) outdoor</v>
      </c>
    </row>
    <row r="194" spans="1:10" ht="15.75" thickBot="1">
      <c r="A194" s="74" t="str">
        <v>Wall paint (DIY) outdoor</v>
      </c>
      <c r="B194" s="335" t="str">
        <f>IFERROR(VLOOKUP(A194,'Compartments_Kawecki&amp;Nowack19'!A:C,2,FALSE), IFERROR(VLOOKUP(A194,Compartments_Added!A:C,2,FALSE), "Not found"))</f>
        <v>Flow</v>
      </c>
      <c r="C194" s="335" t="str">
        <f>IFERROR(VLOOKUP(A194,'Compartments_Kawecki&amp;Nowack19'!A:C,3,FALSE), IFERROR(VLOOKUP(A194,Compartments_Added!A:C,3,FALSE), "Not found"))</f>
        <v>WallDiyOut</v>
      </c>
      <c r="D194" s="95" t="str">
        <f>IFERROR(IF(VLOOKUP(A194,'Compartments_Kawecki&amp;Nowack19'!A:C,1,FALSE)=A194, "Kawecki","what?"),"Added/changed")</f>
        <v>Added/changed</v>
      </c>
      <c r="G194" s="496" t="str">
        <v>Wall paint (DIY) outdoor (in use)</v>
      </c>
      <c r="H194" s="313" t="str">
        <v>Lacquer (DIY) indoor</v>
      </c>
      <c r="I194" s="501" t="str">
        <v>Wood stain (DIY) indoor (discarded)</v>
      </c>
      <c r="J194" t="str">
        <v>Other paint uses (prof) outdoor (in use)</v>
      </c>
    </row>
    <row r="195" spans="1:10" ht="15.75" thickBot="1">
      <c r="A195" s="74" t="str">
        <v>Wall paint (DIY) outdoor (in use)</v>
      </c>
      <c r="B195" s="335" t="str">
        <f>IFERROR(VLOOKUP(A195,'Compartments_Kawecki&amp;Nowack19'!A:C,2,FALSE), IFERROR(VLOOKUP(A195,Compartments_Added!A:C,2,FALSE), "Not found"))</f>
        <v>Stock</v>
      </c>
      <c r="C195" s="335" t="str">
        <f>IFERROR(VLOOKUP(A195,'Compartments_Kawecki&amp;Nowack19'!A:C,3,FALSE), IFERROR(VLOOKUP(A195,Compartments_Added!A:C,3,FALSE), "Not found"))</f>
        <v>WallPaintDiyOutIU</v>
      </c>
      <c r="D195" s="95" t="str">
        <f>IFERROR(IF(VLOOKUP(A195,'Compartments_Kawecki&amp;Nowack19'!A:C,1,FALSE)=A195, "Kawecki","what?"),"Added/changed")</f>
        <v>Added/changed</v>
      </c>
      <c r="G195" s="496" t="str">
        <v>Wall paint (DIY) indoor</v>
      </c>
      <c r="H195" s="313" t="str">
        <v>Lacquer (DIY) outdoor (in use)</v>
      </c>
      <c r="I195" s="501" t="str">
        <v>Wall paint (DIY)</v>
      </c>
      <c r="J195" t="str">
        <v>Other paint uses (prof) indoor</v>
      </c>
    </row>
    <row r="196" spans="1:10" ht="15.75" thickBot="1">
      <c r="A196" s="74" t="str">
        <v>Wall paint (DIY) indoor</v>
      </c>
      <c r="B196" s="335" t="str">
        <f>IFERROR(VLOOKUP(A196,'Compartments_Kawecki&amp;Nowack19'!A:C,2,FALSE), IFERROR(VLOOKUP(A196,Compartments_Added!A:C,2,FALSE), "Not found"))</f>
        <v>Flow</v>
      </c>
      <c r="C196" s="335" t="str">
        <f>IFERROR(VLOOKUP(A196,'Compartments_Kawecki&amp;Nowack19'!A:C,3,FALSE), IFERROR(VLOOKUP(A196,Compartments_Added!A:C,3,FALSE), "Not found"))</f>
        <v>WallDiyIn</v>
      </c>
      <c r="D196" s="95" t="str">
        <f>IFERROR(IF(VLOOKUP(A196,'Compartments_Kawecki&amp;Nowack19'!A:C,1,FALSE)=A196, "Kawecki","what?"),"Added/changed")</f>
        <v>Added/changed</v>
      </c>
      <c r="G196" s="496" t="str">
        <v>Wall paint (DIY) indoor applied</v>
      </c>
      <c r="H196" s="313" t="str">
        <v>Lacquer (DIY) outdoor (discarded)</v>
      </c>
      <c r="I196" s="501" t="str">
        <v>Wall paint (DIY) outdoor</v>
      </c>
      <c r="J196" t="str">
        <v>Other paint uses (prof) indoor (in use)</v>
      </c>
    </row>
    <row r="197" spans="1:10" ht="15.75" thickBot="1">
      <c r="A197" s="74" t="str">
        <v>Wall paint (DIY) indoor applied</v>
      </c>
      <c r="B197" s="335" t="str">
        <f>IFERROR(VLOOKUP(A197,'Compartments_Kawecki&amp;Nowack19'!A:C,2,FALSE), IFERROR(VLOOKUP(A197,Compartments_Added!A:C,2,FALSE), "Not found"))</f>
        <v>Flow</v>
      </c>
      <c r="C197" s="335" t="str">
        <f>IFERROR(VLOOKUP(A197,'Compartments_Kawecki&amp;Nowack19'!A:C,3,FALSE), IFERROR(VLOOKUP(A197,Compartments_Added!A:C,3,FALSE), "Not found"))</f>
        <v>WallApplDiy</v>
      </c>
      <c r="D197" s="95" t="str">
        <f>IFERROR(IF(VLOOKUP(A197,'Compartments_Kawecki&amp;Nowack19'!A:C,1,FALSE)=A197, "Kawecki","what?"),"Added/changed")</f>
        <v>Added/changed</v>
      </c>
      <c r="G197" s="496" t="str">
        <v>Wall paint (DIY) indoor applied (in use)</v>
      </c>
      <c r="H197" s="313" t="str">
        <v>Lacquer (DIY) indoor (in use)</v>
      </c>
      <c r="I197" s="501" t="str">
        <v>Wall paint (DIY) outdoor (in use)</v>
      </c>
      <c r="J197" t="str">
        <v>Other paint uses (prof) outdoor (discarded)</v>
      </c>
    </row>
    <row r="198" spans="1:10" ht="15.75" thickBot="1">
      <c r="A198" s="74" t="str">
        <v>Wall paint (DIY) indoor applied (in use)</v>
      </c>
      <c r="B198" s="335" t="str">
        <f>IFERROR(VLOOKUP(A198,'Compartments_Kawecki&amp;Nowack19'!A:C,2,FALSE), IFERROR(VLOOKUP(A198,Compartments_Added!A:C,2,FALSE), "Not found"))</f>
        <v>Stock</v>
      </c>
      <c r="C198" s="335" t="str">
        <f>IFERROR(VLOOKUP(A198,'Compartments_Kawecki&amp;Nowack19'!A:C,3,FALSE), IFERROR(VLOOKUP(A198,Compartments_Added!A:C,3,FALSE), "Not found"))</f>
        <v>WallPaintDiyIndoorAppliedIU</v>
      </c>
      <c r="D198" s="95" t="str">
        <f>IFERROR(IF(VLOOKUP(A198,'Compartments_Kawecki&amp;Nowack19'!A:C,1,FALSE)=A198, "Kawecki","what?"),"Added/changed")</f>
        <v>Added/changed</v>
      </c>
      <c r="G198" s="496" t="str">
        <v>Wall paint (DIY) indoor on brush</v>
      </c>
      <c r="H198" s="313" t="str">
        <v>Lacquer (DIY) indoor (discarded)</v>
      </c>
      <c r="I198" s="501" t="str">
        <v>Wall paint (DIY) indoor</v>
      </c>
      <c r="J198" t="str">
        <v>Other paint uses (prof) indoor (discarded)</v>
      </c>
    </row>
    <row r="199" spans="1:10" ht="15.75" thickBot="1">
      <c r="A199" s="74" t="str">
        <v>Wall paint (DIY) indoor on brush</v>
      </c>
      <c r="B199" s="335" t="str">
        <f>IFERROR(VLOOKUP(A199,'Compartments_Kawecki&amp;Nowack19'!A:C,2,FALSE), IFERROR(VLOOKUP(A199,Compartments_Added!A:C,2,FALSE), "Not found"))</f>
        <v>Flow</v>
      </c>
      <c r="C199" s="335" t="str">
        <f>IFERROR(VLOOKUP(A199,'Compartments_Kawecki&amp;Nowack19'!A:C,3,FALSE), IFERROR(VLOOKUP(A199,Compartments_Added!A:C,3,FALSE), "Not found"))</f>
        <v>WallBrushDiy</v>
      </c>
      <c r="D199" s="95" t="str">
        <f>IFERROR(IF(VLOOKUP(A199,'Compartments_Kawecki&amp;Nowack19'!A:C,1,FALSE)=A199, "Kawecki","what?"),"Added/changed")</f>
        <v>Added/changed</v>
      </c>
      <c r="G199" s="496" t="str">
        <v>Wall paint (DIY) outdoor (discarded)</v>
      </c>
      <c r="H199" s="313" t="str">
        <v>Wood stain (DIY) outdoor</v>
      </c>
      <c r="I199" s="501" t="str">
        <v>Wall paint (DIY) indoor applied</v>
      </c>
      <c r="J199" t="str">
        <v>Paints used in pre-made wooden products</v>
      </c>
    </row>
    <row r="200" spans="1:10" ht="15.75" thickBot="1">
      <c r="A200" s="74" t="str">
        <v>Wall paint (DIY) outdoor (discarded)</v>
      </c>
      <c r="B200" s="335" t="str">
        <f>IFERROR(VLOOKUP(A200,'Compartments_Kawecki&amp;Nowack19'!A:C,2,FALSE), IFERROR(VLOOKUP(A200,Compartments_Added!A:C,2,FALSE), "Not found"))</f>
        <v>Stock</v>
      </c>
      <c r="C200" s="335" t="str">
        <f>IFERROR(VLOOKUP(A200,'Compartments_Kawecki&amp;Nowack19'!A:C,3,FALSE), IFERROR(VLOOKUP(A200,Compartments_Added!A:C,3,FALSE), "Not found"))</f>
        <v>WallPaintDiyOutDis</v>
      </c>
      <c r="D200" s="95" t="str">
        <f>IFERROR(IF(VLOOKUP(A200,'Compartments_Kawecki&amp;Nowack19'!A:C,1,FALSE)=A200, "Kawecki","what?"),"Added/changed")</f>
        <v>Added/changed</v>
      </c>
      <c r="G200" s="496" t="str">
        <v>Wall paint (DIY) indoor applied (discarded)</v>
      </c>
      <c r="H200" s="313" t="str">
        <v>Wood stain (DIY) indoor</v>
      </c>
      <c r="I200" s="501" t="str">
        <v>Wall paint (DIY) indoor applied (in use)</v>
      </c>
      <c r="J200" s="501" t="str">
        <v>Paints used in pre-made wooden products outdoor</v>
      </c>
    </row>
    <row r="201" spans="1:10" ht="15.75" thickBot="1">
      <c r="A201" s="74" t="str">
        <v>Wall paint (DIY) indoor applied (discarded)</v>
      </c>
      <c r="B201" s="335" t="str">
        <f>IFERROR(VLOOKUP(A201,'Compartments_Kawecki&amp;Nowack19'!A:C,2,FALSE), IFERROR(VLOOKUP(A201,Compartments_Added!A:C,2,FALSE), "Not found"))</f>
        <v>Stock</v>
      </c>
      <c r="C201" s="335" t="str">
        <f>IFERROR(VLOOKUP(A201,'Compartments_Kawecki&amp;Nowack19'!A:C,3,FALSE), IFERROR(VLOOKUP(A201,Compartments_Added!A:C,3,FALSE), "Not found"))</f>
        <v>WallPaintDiyIndoorAppliedDis</v>
      </c>
      <c r="D201" s="95" t="str">
        <f>IFERROR(IF(VLOOKUP(A201,'Compartments_Kawecki&amp;Nowack19'!A:C,1,FALSE)=A201, "Kawecki","what?"),"Added/changed")</f>
        <v>Added/changed</v>
      </c>
      <c r="G201" s="496" t="str">
        <v>Plaster (DIY)</v>
      </c>
      <c r="H201" s="313" t="str">
        <v>Wood stain (DIY) outdoor (in use)</v>
      </c>
      <c r="I201" s="501" t="str">
        <v>Wall paint (DIY) indoor on brush</v>
      </c>
      <c r="J201" t="str">
        <v>Paints used in pre-made wooden products outdoor (in use)</v>
      </c>
    </row>
    <row r="202" spans="1:10" ht="15.75" thickBot="1">
      <c r="A202" s="74" t="str">
        <v>Plaster (DIY)</v>
      </c>
      <c r="B202" s="335" t="str">
        <f>IFERROR(VLOOKUP(A202,'Compartments_Kawecki&amp;Nowack19'!A:C,2,FALSE), IFERROR(VLOOKUP(A202,Compartments_Added!A:C,2,FALSE), "Not found"))</f>
        <v>Flow</v>
      </c>
      <c r="C202" s="335" t="str">
        <f>IFERROR(VLOOKUP(A202,'Compartments_Kawecki&amp;Nowack19'!A:C,3,FALSE), IFERROR(VLOOKUP(A202,Compartments_Added!A:C,3,FALSE), "Not found"))</f>
        <v>PlasterDiy</v>
      </c>
      <c r="D202" s="95" t="str">
        <f>IFERROR(IF(VLOOKUP(A202,'Compartments_Kawecki&amp;Nowack19'!A:C,1,FALSE)=A202, "Kawecki","what?"),"Added/changed")</f>
        <v>Added/changed</v>
      </c>
      <c r="G202" s="496" t="str">
        <v>Plaster (DIY) outdoor</v>
      </c>
      <c r="H202" s="313" t="str">
        <v>Wood stain (DIY) outdoor (discarded)</v>
      </c>
      <c r="I202" s="501" t="str">
        <v>Wall paint (DIY) outdoor (discarded)</v>
      </c>
      <c r="J202" t="str">
        <v>Paints used in pre-made wooden products indoor</v>
      </c>
    </row>
    <row r="203" spans="1:10" ht="15.75" thickBot="1">
      <c r="A203" s="74" t="str">
        <v>Plaster (DIY) outdoor</v>
      </c>
      <c r="B203" s="335" t="str">
        <f>IFERROR(VLOOKUP(A203,'Compartments_Kawecki&amp;Nowack19'!A:C,2,FALSE), IFERROR(VLOOKUP(A203,Compartments_Added!A:C,2,FALSE), "Not found"))</f>
        <v>Flow</v>
      </c>
      <c r="C203" s="335" t="str">
        <f>IFERROR(VLOOKUP(A203,'Compartments_Kawecki&amp;Nowack19'!A:C,3,FALSE), IFERROR(VLOOKUP(A203,Compartments_Added!A:C,3,FALSE), "Not found"))</f>
        <v>PlasterDiyOut</v>
      </c>
      <c r="D203" s="95" t="str">
        <f>IFERROR(IF(VLOOKUP(A203,'Compartments_Kawecki&amp;Nowack19'!A:C,1,FALSE)=A203, "Kawecki","what?"),"Added/changed")</f>
        <v>Added/changed</v>
      </c>
      <c r="G203" s="496" t="str">
        <v>Plaster (DIY) outdoor (in use)</v>
      </c>
      <c r="H203" s="313" t="str">
        <v>Wood stain (DIY) indoor (in use)</v>
      </c>
      <c r="I203" s="501" t="str">
        <v>Wall paint (DIY) indoor applied (discarded)</v>
      </c>
      <c r="J203" t="str">
        <v>Paints used in pre-made wooden products indoor (in use)</v>
      </c>
    </row>
    <row r="204" spans="1:10" ht="15.75" thickBot="1">
      <c r="A204" s="74" t="str">
        <v>Plaster (DIY) outdoor (in use)</v>
      </c>
      <c r="B204" s="335" t="str">
        <f>IFERROR(VLOOKUP(A204,'Compartments_Kawecki&amp;Nowack19'!A:C,2,FALSE), IFERROR(VLOOKUP(A204,Compartments_Added!A:C,2,FALSE), "Not found"))</f>
        <v>Stock</v>
      </c>
      <c r="C204" s="335" t="str">
        <f>IFERROR(VLOOKUP(A204,'Compartments_Kawecki&amp;Nowack19'!A:C,3,FALSE), IFERROR(VLOOKUP(A204,Compartments_Added!A:C,3,FALSE), "Not found"))</f>
        <v>PlasterDiyOutIU</v>
      </c>
      <c r="D204" s="95" t="str">
        <f>IFERROR(IF(VLOOKUP(A204,'Compartments_Kawecki&amp;Nowack19'!A:C,1,FALSE)=A204, "Kawecki","what?"),"Added/changed")</f>
        <v>Added/changed</v>
      </c>
      <c r="G204" s="496" t="str">
        <v>Plaster (DIY) indoor</v>
      </c>
      <c r="H204" s="313" t="str">
        <v>Wood stain (DIY) indoor (discarded)</v>
      </c>
      <c r="I204" s="501" t="str">
        <v>Plaster (DIY)</v>
      </c>
      <c r="J204" t="str">
        <v>Paints used in pre-made wooden products outdoor (discarded)</v>
      </c>
    </row>
    <row r="205" spans="1:10" ht="15.75" thickBot="1">
      <c r="A205" s="74" t="str">
        <v>Plaster (DIY) indoor</v>
      </c>
      <c r="B205" s="335" t="str">
        <f>IFERROR(VLOOKUP(A205,'Compartments_Kawecki&amp;Nowack19'!A:C,2,FALSE), IFERROR(VLOOKUP(A205,Compartments_Added!A:C,2,FALSE), "Not found"))</f>
        <v>Flow</v>
      </c>
      <c r="C205" s="335" t="str">
        <f>IFERROR(VLOOKUP(A205,'Compartments_Kawecki&amp;Nowack19'!A:C,3,FALSE), IFERROR(VLOOKUP(A205,Compartments_Added!A:C,3,FALSE), "Not found"))</f>
        <v>PlasterDiyIn</v>
      </c>
      <c r="D205" s="95" t="str">
        <f>IFERROR(IF(VLOOKUP(A205,'Compartments_Kawecki&amp;Nowack19'!A:C,1,FALSE)=A205, "Kawecki","what?"),"Added/changed")</f>
        <v>Added/changed</v>
      </c>
      <c r="G205" s="496" t="str">
        <v>Plaster (DIY) indoor (in use)</v>
      </c>
      <c r="H205" s="313" t="str">
        <v>Wall paint (DIY) outdoor</v>
      </c>
      <c r="I205" s="501" t="str">
        <v>Plaster (DIY) outdoor</v>
      </c>
      <c r="J205" t="str">
        <v>Paints used in pre-made wooden products indoor (discarded)</v>
      </c>
    </row>
    <row r="206" spans="1:10" ht="15.75" thickBot="1">
      <c r="A206" s="74" t="str">
        <v>Plaster (DIY) indoor (in use)</v>
      </c>
      <c r="B206" s="335" t="str">
        <f>IFERROR(VLOOKUP(A206,'Compartments_Kawecki&amp;Nowack19'!A:C,2,FALSE), IFERROR(VLOOKUP(A206,Compartments_Added!A:C,2,FALSE), "Not found"))</f>
        <v>Stock</v>
      </c>
      <c r="C206" s="335" t="str">
        <f>IFERROR(VLOOKUP(A206,'Compartments_Kawecki&amp;Nowack19'!A:C,3,FALSE), IFERROR(VLOOKUP(A206,Compartments_Added!A:C,3,FALSE), "Not found"))</f>
        <v>PlasterDiyInIU</v>
      </c>
      <c r="D206" s="95" t="str">
        <f>IFERROR(IF(VLOOKUP(A206,'Compartments_Kawecki&amp;Nowack19'!A:C,1,FALSE)=A206, "Kawecki","what?"),"Added/changed")</f>
        <v>Added/changed</v>
      </c>
      <c r="G206" s="496" t="str">
        <v>Plaster (DIY) outdoor (discarded)</v>
      </c>
      <c r="H206" s="313" t="str">
        <v>Wall paint (DIY) indoor</v>
      </c>
      <c r="I206" s="501" t="str">
        <v>Plaster (DIY) outdoor (in use)</v>
      </c>
      <c r="J206" t="str">
        <v>Lacquer (DIY)</v>
      </c>
    </row>
    <row r="207" spans="1:10" ht="15.75" thickBot="1">
      <c r="A207" s="74" t="str">
        <v>Plaster (DIY) outdoor (discarded)</v>
      </c>
      <c r="B207" s="335" t="str">
        <f>IFERROR(VLOOKUP(A207,'Compartments_Kawecki&amp;Nowack19'!A:C,2,FALSE), IFERROR(VLOOKUP(A207,Compartments_Added!A:C,2,FALSE), "Not found"))</f>
        <v>Stock</v>
      </c>
      <c r="C207" s="335" t="str">
        <f>IFERROR(VLOOKUP(A207,'Compartments_Kawecki&amp;Nowack19'!A:C,3,FALSE), IFERROR(VLOOKUP(A207,Compartments_Added!A:C,3,FALSE), "Not found"))</f>
        <v>PlasterDiyOutDis</v>
      </c>
      <c r="D207" s="95" t="str">
        <f>IFERROR(IF(VLOOKUP(A207,'Compartments_Kawecki&amp;Nowack19'!A:C,1,FALSE)=A207, "Kawecki","what?"),"Added/changed")</f>
        <v>Added/changed</v>
      </c>
      <c r="G207" s="496" t="str">
        <v>Plaster (DIY) indoor (discarded)</v>
      </c>
      <c r="H207" s="313" t="str">
        <v>Wall paint (DIY) outdoor (in use)</v>
      </c>
      <c r="I207" s="501" t="str">
        <v>Plaster (DIY) indoor</v>
      </c>
      <c r="J207" t="str">
        <v>Lacquer (DIY) outdoor</v>
      </c>
    </row>
    <row r="208" spans="1:10" ht="15.75" thickBot="1">
      <c r="A208" s="74" t="str">
        <v>Plaster (DIY) indoor (discarded)</v>
      </c>
      <c r="B208" s="335" t="str">
        <f>IFERROR(VLOOKUP(A208,'Compartments_Kawecki&amp;Nowack19'!A:C,2,FALSE), IFERROR(VLOOKUP(A208,Compartments_Added!A:C,2,FALSE), "Not found"))</f>
        <v>Stock</v>
      </c>
      <c r="C208" s="335" t="str">
        <f>IFERROR(VLOOKUP(A208,'Compartments_Kawecki&amp;Nowack19'!A:C,3,FALSE), IFERROR(VLOOKUP(A208,Compartments_Added!A:C,3,FALSE), "Not found"))</f>
        <v>PlasterDiyInDis</v>
      </c>
      <c r="D208" s="95" t="str">
        <f>IFERROR(IF(VLOOKUP(A208,'Compartments_Kawecki&amp;Nowack19'!A:C,1,FALSE)=A208, "Kawecki","what?"),"Added/changed")</f>
        <v>Added/changed</v>
      </c>
      <c r="G208" s="496" t="str">
        <v>Other paint uses (DIY)</v>
      </c>
      <c r="H208" s="313" t="str">
        <v>Wall paint (DIY) outdoor (discarded)</v>
      </c>
      <c r="I208" s="501" t="str">
        <v>Plaster (DIY) indoor (in use)</v>
      </c>
      <c r="J208" t="str">
        <v>Lacquer (DIY) outdoor (in use)</v>
      </c>
    </row>
    <row r="209" spans="1:10" ht="15.75" thickBot="1">
      <c r="A209" s="74" t="str">
        <v>Other paint uses (DIY)</v>
      </c>
      <c r="B209" s="335" t="str">
        <f>IFERROR(VLOOKUP(A209,'Compartments_Kawecki&amp;Nowack19'!A:C,2,FALSE), IFERROR(VLOOKUP(A209,Compartments_Added!A:C,2,FALSE), "Not found"))</f>
        <v>Flow</v>
      </c>
      <c r="C209" s="335" t="str">
        <f>IFERROR(VLOOKUP(A209,'Compartments_Kawecki&amp;Nowack19'!A:C,3,FALSE), IFERROR(VLOOKUP(A209,Compartments_Added!A:C,3,FALSE), "Not found"))</f>
        <v>OtherPaintUsesDiy</v>
      </c>
      <c r="D209" s="95" t="str">
        <f>IFERROR(IF(VLOOKUP(A209,'Compartments_Kawecki&amp;Nowack19'!A:C,1,FALSE)=A209, "Kawecki","what?"),"Added/changed")</f>
        <v>Added/changed</v>
      </c>
      <c r="G209" s="496" t="str">
        <v>Other paint uses (DIY) outdoor</v>
      </c>
      <c r="H209" s="313" t="str">
        <v>Wall paint (DIY) indoor applied</v>
      </c>
      <c r="I209" s="501" t="str">
        <v>Plaster (DIY) outdoor (discarded)</v>
      </c>
      <c r="J209" t="str">
        <v>Lacquer (DIY) indoor</v>
      </c>
    </row>
    <row r="210" spans="1:10" ht="15.75" thickBot="1">
      <c r="A210" s="74" t="str">
        <v>Other paint uses (DIY) outdoor</v>
      </c>
      <c r="B210" s="335" t="str">
        <f>IFERROR(VLOOKUP(A210,'Compartments_Kawecki&amp;Nowack19'!A:C,2,FALSE), IFERROR(VLOOKUP(A210,Compartments_Added!A:C,2,FALSE), "Not found"))</f>
        <v>Flow</v>
      </c>
      <c r="C210" s="335" t="str">
        <f>IFERROR(VLOOKUP(A210,'Compartments_Kawecki&amp;Nowack19'!A:C,3,FALSE), IFERROR(VLOOKUP(A210,Compartments_Added!A:C,3,FALSE), "Not found"))</f>
        <v>OtherPaintUsesDiyOut</v>
      </c>
      <c r="D210" s="95" t="str">
        <f>IFERROR(IF(VLOOKUP(A210,'Compartments_Kawecki&amp;Nowack19'!A:C,1,FALSE)=A210, "Kawecki","what?"),"Added/changed")</f>
        <v>Added/changed</v>
      </c>
      <c r="G210" s="496" t="str">
        <v>Other paint uses (DIY) outdoor (in use)</v>
      </c>
      <c r="H210" s="313" t="str">
        <v>Wall paint (DIY) indoor on brush</v>
      </c>
      <c r="I210" s="501" t="str">
        <v>Plaster (DIY) indoor (discarded)</v>
      </c>
      <c r="J210" t="str">
        <v>Lacquer (DIY) indoor (in use)</v>
      </c>
    </row>
    <row r="211" spans="1:10" ht="15.75" thickBot="1">
      <c r="A211" s="74" t="str">
        <v>Other paint uses (DIY) outdoor (in use)</v>
      </c>
      <c r="B211" s="335" t="str">
        <f>IFERROR(VLOOKUP(A211,'Compartments_Kawecki&amp;Nowack19'!A:C,2,FALSE), IFERROR(VLOOKUP(A211,Compartments_Added!A:C,2,FALSE), "Not found"))</f>
        <v>Stock</v>
      </c>
      <c r="C211" s="335" t="str">
        <f>IFERROR(VLOOKUP(A211,'Compartments_Kawecki&amp;Nowack19'!A:C,3,FALSE), IFERROR(VLOOKUP(A211,Compartments_Added!A:C,3,FALSE), "Not found"))</f>
        <v>OtherPaintUsesDiyOutIU</v>
      </c>
      <c r="D211" s="95" t="str">
        <f>IFERROR(IF(VLOOKUP(A211,'Compartments_Kawecki&amp;Nowack19'!A:C,1,FALSE)=A211, "Kawecki","what?"),"Added/changed")</f>
        <v>Added/changed</v>
      </c>
      <c r="G211" s="496" t="str">
        <v>Other paint uses (DIY) indoor</v>
      </c>
      <c r="H211" s="313" t="str">
        <v>Wall paint (DIY) indoor applied (in use)</v>
      </c>
      <c r="I211" s="501" t="str">
        <v>Other paint uses (DIY)</v>
      </c>
      <c r="J211" t="str">
        <v>Lacquer (DIY) outdoor (discarded)</v>
      </c>
    </row>
    <row r="212" spans="1:10" ht="15.75" thickBot="1">
      <c r="A212" s="74" t="str">
        <v>Other paint uses (DIY) indoor</v>
      </c>
      <c r="B212" s="335" t="str">
        <f>IFERROR(VLOOKUP(A212,'Compartments_Kawecki&amp;Nowack19'!A:C,2,FALSE), IFERROR(VLOOKUP(A212,Compartments_Added!A:C,2,FALSE), "Not found"))</f>
        <v>Flow</v>
      </c>
      <c r="C212" s="335" t="str">
        <f>IFERROR(VLOOKUP(A212,'Compartments_Kawecki&amp;Nowack19'!A:C,3,FALSE), IFERROR(VLOOKUP(A212,Compartments_Added!A:C,3,FALSE), "Not found"))</f>
        <v>OtherPaintUsesDiyIn</v>
      </c>
      <c r="D212" s="95" t="str">
        <f>IFERROR(IF(VLOOKUP(A212,'Compartments_Kawecki&amp;Nowack19'!A:C,1,FALSE)=A212, "Kawecki","what?"),"Added/changed")</f>
        <v>Added/changed</v>
      </c>
      <c r="G212" s="496" t="str">
        <v>Other paint uses (DIY) indoor (in use)</v>
      </c>
      <c r="H212" s="313" t="str">
        <v>Wall paint (DIY) indoor applied (discarded)</v>
      </c>
      <c r="I212" s="501" t="str">
        <v>Other paint uses (DIY) outdoor</v>
      </c>
      <c r="J212" t="str">
        <v>Lacquer (DIY) indoor (discarded)</v>
      </c>
    </row>
    <row r="213" spans="1:10" ht="15.75" thickBot="1">
      <c r="A213" s="74" t="str">
        <v>Other paint uses (DIY) indoor (in use)</v>
      </c>
      <c r="B213" s="335" t="str">
        <f>IFERROR(VLOOKUP(A213,'Compartments_Kawecki&amp;Nowack19'!A:C,2,FALSE), IFERROR(VLOOKUP(A213,Compartments_Added!A:C,2,FALSE), "Not found"))</f>
        <v>Stock</v>
      </c>
      <c r="C213" s="335" t="str">
        <f>IFERROR(VLOOKUP(A213,'Compartments_Kawecki&amp;Nowack19'!A:C,3,FALSE), IFERROR(VLOOKUP(A213,Compartments_Added!A:C,3,FALSE), "Not found"))</f>
        <v>OtherPaintUsesDiyInIU</v>
      </c>
      <c r="D213" s="95" t="str">
        <f>IFERROR(IF(VLOOKUP(A213,'Compartments_Kawecki&amp;Nowack19'!A:C,1,FALSE)=A213, "Kawecki","what?"),"Added/changed")</f>
        <v>Added/changed</v>
      </c>
      <c r="G213" s="496" t="str">
        <v>Other paint uses (DIY) outdoor (discarded)</v>
      </c>
      <c r="H213" s="313" t="str">
        <v>Plaster (DIY) outdoor</v>
      </c>
      <c r="I213" s="501" t="str">
        <v>Other paint uses (DIY) outdoor (in use)</v>
      </c>
      <c r="J213" t="str">
        <v>Wood stain (DIY)</v>
      </c>
    </row>
    <row r="214" spans="1:10" ht="15.75" thickBot="1">
      <c r="A214" s="74" t="str">
        <v>Other paint uses (DIY) outdoor (discarded)</v>
      </c>
      <c r="B214" s="335" t="str">
        <f>IFERROR(VLOOKUP(A214,'Compartments_Kawecki&amp;Nowack19'!A:C,2,FALSE), IFERROR(VLOOKUP(A214,Compartments_Added!A:C,2,FALSE), "Not found"))</f>
        <v>Stock</v>
      </c>
      <c r="C214" s="335" t="str">
        <f>IFERROR(VLOOKUP(A214,'Compartments_Kawecki&amp;Nowack19'!A:C,3,FALSE), IFERROR(VLOOKUP(A214,Compartments_Added!A:C,3,FALSE), "Not found"))</f>
        <v>OtherPaintUsesDiyOutDis</v>
      </c>
      <c r="D214" s="95" t="str">
        <f>IFERROR(IF(VLOOKUP(A214,'Compartments_Kawecki&amp;Nowack19'!A:C,1,FALSE)=A214, "Kawecki","what?"),"Added/changed")</f>
        <v>Added/changed</v>
      </c>
      <c r="G214" s="496" t="str">
        <v>Other paint uses (DIY) indoor (discarded)</v>
      </c>
      <c r="H214" s="313" t="str">
        <v>Plaster (DIY) indoor</v>
      </c>
      <c r="I214" s="501" t="str">
        <v>Other paint uses (DIY) indoor</v>
      </c>
      <c r="J214" t="str">
        <v>Wood stain (DIY) outdoor</v>
      </c>
    </row>
    <row r="215" spans="1:10" ht="15.75" thickBot="1">
      <c r="A215" s="74" t="str">
        <v>Other paint uses (DIY) indoor (discarded)</v>
      </c>
      <c r="B215" s="335" t="str">
        <f>IFERROR(VLOOKUP(A215,'Compartments_Kawecki&amp;Nowack19'!A:C,2,FALSE), IFERROR(VLOOKUP(A215,Compartments_Added!A:C,2,FALSE), "Not found"))</f>
        <v>Stock</v>
      </c>
      <c r="C215" s="335" t="str">
        <f>IFERROR(VLOOKUP(A215,'Compartments_Kawecki&amp;Nowack19'!A:C,3,FALSE), IFERROR(VLOOKUP(A215,Compartments_Added!A:C,3,FALSE), "Not found"))</f>
        <v>OtherPaintUsesDiyInDis</v>
      </c>
      <c r="D215" s="95" t="str">
        <f>IFERROR(IF(VLOOKUP(A215,'Compartments_Kawecki&amp;Nowack19'!A:C,1,FALSE)=A215, "Kawecki","what?"),"Added/changed")</f>
        <v>Added/changed</v>
      </c>
      <c r="G215" s="496" t="str">
        <v>Import of clothing (EU)</v>
      </c>
      <c r="H215" s="313" t="str">
        <v>Plaster (DIY) outdoor (in use)</v>
      </c>
      <c r="I215" s="501" t="str">
        <v>Other paint uses (DIY) indoor (in use)</v>
      </c>
      <c r="J215" t="str">
        <v>Wood stain (DIY) outdoor (in use)</v>
      </c>
    </row>
    <row r="216" spans="1:10" ht="15.75" thickBot="1">
      <c r="A216" s="74" t="str">
        <v>Clothing (product sector)</v>
      </c>
      <c r="B216" s="335" t="str">
        <f>IFERROR(VLOOKUP(A216,'Compartments_Kawecki&amp;Nowack19'!A:C,2,FALSE), IFERROR(VLOOKUP(A216,Compartments_Added!A:C,2,FALSE), "Not found"))</f>
        <v>Flow</v>
      </c>
      <c r="C216" s="335" t="str">
        <f>IFERROR(VLOOKUP(A216,'Compartments_Kawecki&amp;Nowack19'!A:C,3,FALSE), IFERROR(VLOOKUP(A216,Compartments_Added!A:C,3,FALSE), "Not found"))</f>
        <v>ClothingProdSec</v>
      </c>
      <c r="D216" s="95" t="str">
        <f>IFERROR(IF(VLOOKUP(A216,'Compartments_Kawecki&amp;Nowack19'!A:C,1,FALSE)=A216, "Kawecki","what?"),"Added/changed")</f>
        <v>Kawecki</v>
      </c>
      <c r="G216" s="496" t="str">
        <v>Clothing (product sector)</v>
      </c>
      <c r="H216" s="313" t="str">
        <v>Plaster (DIY) outdoor (discarded)</v>
      </c>
      <c r="I216" s="501" t="str">
        <v>Other paint uses (DIY) outdoor (discarded)</v>
      </c>
      <c r="J216" t="str">
        <v>Wood stain (DIY) indoor</v>
      </c>
    </row>
    <row r="217" spans="1:10" ht="15.75" thickBot="1">
      <c r="A217" s="74" t="str">
        <v>Clothing washing</v>
      </c>
      <c r="B217" s="335" t="str">
        <f>IFERROR(VLOOKUP(A217,'Compartments_Kawecki&amp;Nowack19'!A:C,2,FALSE), IFERROR(VLOOKUP(A217,Compartments_Added!A:C,2,FALSE), "Not found"))</f>
        <v>Flow</v>
      </c>
      <c r="C217" s="335" t="str">
        <f>IFERROR(VLOOKUP(A217,'Compartments_Kawecki&amp;Nowack19'!A:C,3,FALSE), IFERROR(VLOOKUP(A217,Compartments_Added!A:C,3,FALSE), "Not found"))</f>
        <v>ClothingWashing</v>
      </c>
      <c r="D217" s="95" t="str">
        <f>IFERROR(IF(VLOOKUP(A217,'Compartments_Kawecki&amp;Nowack19'!A:C,1,FALSE)=A217, "Kawecki","what?"),"Added/changed")</f>
        <v>Added/changed</v>
      </c>
      <c r="G217" s="496" t="str">
        <v>Clothing washing</v>
      </c>
      <c r="H217" s="313" t="str">
        <v>Plaster (DIY) indoor (in use)</v>
      </c>
      <c r="I217" s="501" t="str">
        <v>Other paint uses (DIY) indoor (discarded)</v>
      </c>
      <c r="J217" t="str">
        <v>Wood stain (DIY) indoor (in use)</v>
      </c>
    </row>
    <row r="218" spans="1:10" ht="15.75" thickBot="1">
      <c r="A218" s="74" t="str">
        <v>Clothing washing machine (with external filter)</v>
      </c>
      <c r="B218" s="335" t="str">
        <f>IFERROR(VLOOKUP(A218,'Compartments_Kawecki&amp;Nowack19'!A:C,2,FALSE), IFERROR(VLOOKUP(A218,Compartments_Added!A:C,2,FALSE), "Not found"))</f>
        <v>Flow</v>
      </c>
      <c r="C218" s="335" t="str">
        <f>IFERROR(VLOOKUP(A218,'Compartments_Kawecki&amp;Nowack19'!A:C,3,FALSE), IFERROR(VLOOKUP(A218,Compartments_Added!A:C,3,FALSE), "Not found"))</f>
        <v>ClothingExternalWithExternalFilter</v>
      </c>
      <c r="D218" s="95" t="str">
        <f>IFERROR(IF(VLOOKUP(A218,'Compartments_Kawecki&amp;Nowack19'!A:C,1,FALSE)=A218, "Kawecki","what?"),"Added/changed")</f>
        <v>Added/changed</v>
      </c>
      <c r="G218" s="496" t="str">
        <v>Clothing washing machine (with external filter)</v>
      </c>
      <c r="H218" s="313" t="str">
        <v>Plaster (DIY) indoor (discarded)</v>
      </c>
      <c r="I218" s="501" t="str">
        <v>Clothing (product sector)</v>
      </c>
      <c r="J218" t="str">
        <v>Wood stain (DIY) outdoor (discarded)</v>
      </c>
    </row>
    <row r="219" spans="1:10" ht="15.75" thickBot="1">
      <c r="A219" s="74" t="str">
        <v>Clothing washing machine (without external filter)</v>
      </c>
      <c r="B219" s="335" t="str">
        <f>IFERROR(VLOOKUP(A219,'Compartments_Kawecki&amp;Nowack19'!A:C,2,FALSE), IFERROR(VLOOKUP(A219,Compartments_Added!A:C,2,FALSE), "Not found"))</f>
        <v>Flow</v>
      </c>
      <c r="C219" s="335" t="str">
        <f>IFERROR(VLOOKUP(A219,'Compartments_Kawecki&amp;Nowack19'!A:C,3,FALSE), IFERROR(VLOOKUP(A219,Compartments_Added!A:C,3,FALSE), "Not found"))</f>
        <v>ClothingExternalWithoutExternalFilter</v>
      </c>
      <c r="D219" s="95" t="str">
        <f>IFERROR(IF(VLOOKUP(A219,'Compartments_Kawecki&amp;Nowack19'!A:C,1,FALSE)=A219, "Kawecki","what?"),"Added/changed")</f>
        <v>Added/changed</v>
      </c>
      <c r="G219" s="496" t="str">
        <v>Clothing washing machine (without external filter)</v>
      </c>
      <c r="H219" s="313" t="str">
        <v>Other paint uses (DIY) outdoor</v>
      </c>
      <c r="I219" s="501" t="str">
        <v>Clothing washing</v>
      </c>
      <c r="J219" t="str">
        <v>Wood stain (DIY) indoor (discarded)</v>
      </c>
    </row>
    <row r="220" spans="1:10" ht="15.75" thickBot="1">
      <c r="A220" s="74" t="str">
        <v>Clothing washing by hand</v>
      </c>
      <c r="B220" s="335" t="str">
        <f>IFERROR(VLOOKUP(A220,'Compartments_Kawecki&amp;Nowack19'!A:C,2,FALSE), IFERROR(VLOOKUP(A220,Compartments_Added!A:C,2,FALSE), "Not found"))</f>
        <v>Flow</v>
      </c>
      <c r="C220" s="335" t="str">
        <f>IFERROR(VLOOKUP(A220,'Compartments_Kawecki&amp;Nowack19'!A:C,3,FALSE), IFERROR(VLOOKUP(A220,Compartments_Added!A:C,3,FALSE), "Not found"))</f>
        <v>ClothingByWashingByHand</v>
      </c>
      <c r="D220" s="95" t="str">
        <f>IFERROR(IF(VLOOKUP(A220,'Compartments_Kawecki&amp;Nowack19'!A:C,1,FALSE)=A220, "Kawecki","what?"),"Added/changed")</f>
        <v>Added/changed</v>
      </c>
      <c r="G220" s="496" t="str">
        <v>Clothing washing by hand</v>
      </c>
      <c r="H220" s="313" t="str">
        <v>Other paint uses (DIY) indoor</v>
      </c>
      <c r="I220" s="501" t="str">
        <v>Clothing washing machine (with external filter)</v>
      </c>
      <c r="J220" t="str">
        <v>Wall paint (DIY)</v>
      </c>
    </row>
    <row r="221" spans="1:10" ht="15.75" thickBot="1">
      <c r="A221" s="74" t="str">
        <v>Clothing wearing</v>
      </c>
      <c r="B221" s="335" t="str">
        <f>IFERROR(VLOOKUP(A221,'Compartments_Kawecki&amp;Nowack19'!A:C,2,FALSE), IFERROR(VLOOKUP(A221,Compartments_Added!A:C,2,FALSE), "Not found"))</f>
        <v>Flow</v>
      </c>
      <c r="C221" s="335" t="str">
        <f>IFERROR(VLOOKUP(A221,'Compartments_Kawecki&amp;Nowack19'!A:C,3,FALSE), IFERROR(VLOOKUP(A221,Compartments_Added!A:C,3,FALSE), "Not found"))</f>
        <v>ClothingWearing</v>
      </c>
      <c r="D221" s="95" t="str">
        <f>IFERROR(IF(VLOOKUP(A221,'Compartments_Kawecki&amp;Nowack19'!A:C,1,FALSE)=A221, "Kawecki","what?"),"Added/changed")</f>
        <v>Added/changed</v>
      </c>
      <c r="G221" s="496" t="str">
        <v>Clothing wearing</v>
      </c>
      <c r="H221" s="313" t="str">
        <v>Other paint uses (DIY) outdoor (in use)</v>
      </c>
      <c r="I221" s="501" t="str">
        <v>Clothing washing machine (without external filter)</v>
      </c>
      <c r="J221" t="str">
        <v>Wall paint (DIY) outdoor</v>
      </c>
    </row>
    <row r="222" spans="1:10" ht="15.75" thickBot="1">
      <c r="A222" s="74" t="str">
        <v>Clothing drying</v>
      </c>
      <c r="B222" s="335" t="str">
        <f>IFERROR(VLOOKUP(A222,'Compartments_Kawecki&amp;Nowack19'!A:C,2,FALSE), IFERROR(VLOOKUP(A222,Compartments_Added!A:C,2,FALSE), "Not found"))</f>
        <v>Flow</v>
      </c>
      <c r="C222" s="335" t="str">
        <f>IFERROR(VLOOKUP(A222,'Compartments_Kawecki&amp;Nowack19'!A:C,3,FALSE), IFERROR(VLOOKUP(A222,Compartments_Added!A:C,3,FALSE), "Not found"))</f>
        <v>ClothingDrying</v>
      </c>
      <c r="D222" s="95" t="str">
        <f>IFERROR(IF(VLOOKUP(A222,'Compartments_Kawecki&amp;Nowack19'!A:C,1,FALSE)=A222, "Kawecki","what?"),"Added/changed")</f>
        <v>Added/changed</v>
      </c>
      <c r="G222" s="496" t="str">
        <v>Clothing drying</v>
      </c>
      <c r="H222" s="313" t="str">
        <v>Other paint uses (DIY) outdoor (discarded)</v>
      </c>
      <c r="I222" s="501" t="str">
        <v>Clothing washing by hand</v>
      </c>
      <c r="J222" t="str">
        <v>Wall paint (DIY) outdoor (in use)</v>
      </c>
    </row>
    <row r="223" spans="1:10" ht="15.75" thickBot="1">
      <c r="A223" s="74" t="str">
        <v>Clothing indoor drying</v>
      </c>
      <c r="B223" s="335" t="str">
        <f>IFERROR(VLOOKUP(A223,'Compartments_Kawecki&amp;Nowack19'!A:C,2,FALSE), IFERROR(VLOOKUP(A223,Compartments_Added!A:C,2,FALSE), "Not found"))</f>
        <v>Flow</v>
      </c>
      <c r="C223" s="335" t="str">
        <f>IFERROR(VLOOKUP(A223,'Compartments_Kawecki&amp;Nowack19'!A:C,3,FALSE), IFERROR(VLOOKUP(A223,Compartments_Added!A:C,3,FALSE), "Not found"))</f>
        <v>ClothIndoorDrying</v>
      </c>
      <c r="D223" s="95" t="str">
        <f>IFERROR(IF(VLOOKUP(A223,'Compartments_Kawecki&amp;Nowack19'!A:C,1,FALSE)=A223, "Kawecki","what?"),"Added/changed")</f>
        <v>Added/changed</v>
      </c>
      <c r="G223" s="496" t="str">
        <v>Clothing indoor drying</v>
      </c>
      <c r="H223" s="313" t="str">
        <v>Other paint uses (DIY) indoor (in use)</v>
      </c>
      <c r="I223" s="501" t="str">
        <v>Clothing wearing</v>
      </c>
      <c r="J223" t="str">
        <v>Wall paint (DIY) indoor</v>
      </c>
    </row>
    <row r="224" spans="1:10" ht="15.75" thickBot="1">
      <c r="A224" s="74" t="str">
        <v>Clothing outdoor drying</v>
      </c>
      <c r="B224" s="335" t="str">
        <f>IFERROR(VLOOKUP(A224,'Compartments_Kawecki&amp;Nowack19'!A:C,2,FALSE), IFERROR(VLOOKUP(A224,Compartments_Added!A:C,2,FALSE), "Not found"))</f>
        <v>Flow</v>
      </c>
      <c r="C224" s="335" t="str">
        <f>IFERROR(VLOOKUP(A224,'Compartments_Kawecki&amp;Nowack19'!A:C,3,FALSE), IFERROR(VLOOKUP(A224,Compartments_Added!A:C,3,FALSE), "Not found"))</f>
        <v>ClothOutdoorDrying</v>
      </c>
      <c r="D224" s="95" t="str">
        <f>IFERROR(IF(VLOOKUP(A224,'Compartments_Kawecki&amp;Nowack19'!A:C,1,FALSE)=A224, "Kawecki","what?"),"Added/changed")</f>
        <v>Added/changed</v>
      </c>
      <c r="G224" s="496" t="str">
        <v>Clothing outdoor drying</v>
      </c>
      <c r="H224" s="313" t="str">
        <v>Other paint uses (DIY) indoor (discarded)</v>
      </c>
      <c r="I224" s="501" t="str">
        <v>Clothing drying</v>
      </c>
      <c r="J224" t="str">
        <v>Wall paint (DIY) indoor applied</v>
      </c>
    </row>
    <row r="225" spans="1:10" ht="15.75" thickBot="1">
      <c r="A225" s="74" t="str">
        <v>Clothing drying VTD</v>
      </c>
      <c r="B225" s="335" t="str">
        <f>IFERROR(VLOOKUP(A225,'Compartments_Kawecki&amp;Nowack19'!A:C,2,FALSE), IFERROR(VLOOKUP(A225,Compartments_Added!A:C,2,FALSE), "Not found"))</f>
        <v>Flow</v>
      </c>
      <c r="C225" s="335" t="str">
        <f>IFERROR(VLOOKUP(A225,'Compartments_Kawecki&amp;Nowack19'!A:C,3,FALSE), IFERROR(VLOOKUP(A225,Compartments_Added!A:C,3,FALSE), "Not found"))</f>
        <v>ClothDryingVTD</v>
      </c>
      <c r="D225" s="95" t="str">
        <f>IFERROR(IF(VLOOKUP(A225,'Compartments_Kawecki&amp;Nowack19'!A:C,1,FALSE)=A225, "Kawecki","what?"),"Added/changed")</f>
        <v>Added/changed</v>
      </c>
      <c r="G225" s="496" t="str">
        <v>Clothing drying VTD</v>
      </c>
      <c r="H225" s="313" t="str">
        <v>Clothing (product sector)</v>
      </c>
      <c r="I225" s="501" t="str">
        <v>Clothing indoor drying</v>
      </c>
      <c r="J225" t="str">
        <v>Wall paint (DIY) indoor applied (in use)</v>
      </c>
    </row>
    <row r="226" spans="1:10" ht="15.75" thickBot="1">
      <c r="A226" s="440" t="str">
        <v>Clothing drying CHPTD</v>
      </c>
      <c r="B226" s="442" t="str">
        <f>IFERROR(VLOOKUP(A226,'Compartments_Kawecki&amp;Nowack19'!A:C,2,FALSE), IFERROR(VLOOKUP(A226,Compartments_Added!A:C,2,FALSE), "Not found"))</f>
        <v>Flow</v>
      </c>
      <c r="C226" s="442" t="str">
        <f>IFERROR(VLOOKUP(A226,'Compartments_Kawecki&amp;Nowack19'!A:C,3,FALSE), IFERROR(VLOOKUP(A226,Compartments_Added!A:C,3,FALSE), "Not found"))</f>
        <v>ClothDryingCHPTD</v>
      </c>
      <c r="D226" s="95" t="str">
        <f>IFERROR(IF(VLOOKUP(A226,'Compartments_Kawecki&amp;Nowack19'!A:C,1,FALSE)=A226, "Kawecki","what?"),"Added/changed")</f>
        <v>Added/changed</v>
      </c>
      <c r="G226" s="496" t="str">
        <v>Clothing drying CHPTD</v>
      </c>
      <c r="H226" s="313" t="str">
        <v>Apparel accessories</v>
      </c>
      <c r="I226" s="501" t="str">
        <v>Clothing outdoor drying</v>
      </c>
      <c r="J226" t="str">
        <v>Wall paint (DIY) indoor on brush</v>
      </c>
    </row>
    <row r="227" spans="1:10" ht="15.75" thickBot="1">
      <c r="A227" s="74" t="str">
        <v>Clothing drying CHETD</v>
      </c>
      <c r="B227" s="335" t="str">
        <f>IFERROR(VLOOKUP(A227,'Compartments_Kawecki&amp;Nowack19'!A:C,2,FALSE), IFERROR(VLOOKUP(A227,Compartments_Added!A:C,2,FALSE), "Not found"))</f>
        <v>Flow</v>
      </c>
      <c r="C227" s="335" t="str">
        <f>IFERROR(VLOOKUP(A227,'Compartments_Kawecki&amp;Nowack19'!A:C,3,FALSE), IFERROR(VLOOKUP(A227,Compartments_Added!A:C,3,FALSE), "Not found"))</f>
        <v>ClothDryingCHETD</v>
      </c>
      <c r="D227" s="95" t="str">
        <f>IFERROR(IF(VLOOKUP(A227,'Compartments_Kawecki&amp;Nowack19'!A:C,1,FALSE)=A227, "Kawecki","what?"),"Added/changed")</f>
        <v>Added/changed</v>
      </c>
      <c r="G227" s="496" t="str">
        <v>Clothing drying CHETD</v>
      </c>
      <c r="H227" s="313" t="str">
        <v>Boots</v>
      </c>
      <c r="I227" s="501" t="str">
        <v>Clothing drying VTD</v>
      </c>
      <c r="J227" t="str">
        <v>Wall paint (DIY) outdoor (discarded)</v>
      </c>
    </row>
    <row r="228" spans="1:10" ht="15.75" thickBot="1">
      <c r="A228" s="74" t="str">
        <v>Clothing washer-dryer combo</v>
      </c>
      <c r="B228" s="335" t="str">
        <f>IFERROR(VLOOKUP(A228,'Compartments_Kawecki&amp;Nowack19'!A:C,2,FALSE), IFERROR(VLOOKUP(A228,Compartments_Added!A:C,2,FALSE), "Not found"))</f>
        <v>Flow</v>
      </c>
      <c r="C228" s="335" t="str">
        <f>IFERROR(VLOOKUP(A228,'Compartments_Kawecki&amp;Nowack19'!A:C,3,FALSE), IFERROR(VLOOKUP(A228,Compartments_Added!A:C,3,FALSE), "Not found"))</f>
        <v>ClothingWasherDryerCombo</v>
      </c>
      <c r="D228" s="95" t="str">
        <f>IFERROR(IF(VLOOKUP(A228,'Compartments_Kawecki&amp;Nowack19'!A:C,1,FALSE)=A228, "Kawecki","what?"),"Added/changed")</f>
        <v>Added/changed</v>
      </c>
      <c r="G228" s="496" t="str">
        <v>Clothing washer-dryer combo</v>
      </c>
      <c r="H228" s="313" t="str">
        <v>Closed-toed shoes</v>
      </c>
      <c r="I228" s="501" t="str">
        <v>Clothing drying CHPTD</v>
      </c>
      <c r="J228" t="str">
        <v>Wall paint (DIY) indoor applied (discarded)</v>
      </c>
    </row>
    <row r="229" spans="1:10" ht="15.75" thickBot="1">
      <c r="A229" s="74" t="str">
        <v>Lint filter (VTD)</v>
      </c>
      <c r="B229" s="335" t="str">
        <f>IFERROR(VLOOKUP(A229,'Compartments_Kawecki&amp;Nowack19'!A:C,2,FALSE), IFERROR(VLOOKUP(A229,Compartments_Added!A:C,2,FALSE), "Not found"))</f>
        <v>Flow</v>
      </c>
      <c r="C229" s="335" t="str">
        <f>IFERROR(VLOOKUP(A229,'Compartments_Kawecki&amp;Nowack19'!A:C,3,FALSE), IFERROR(VLOOKUP(A229,Compartments_Added!A:C,3,FALSE), "Not found"))</f>
        <v>LintFilterVTD</v>
      </c>
      <c r="D229" s="95" t="str">
        <f>IFERROR(IF(VLOOKUP(A229,'Compartments_Kawecki&amp;Nowack19'!A:C,1,FALSE)=A229, "Kawecki","what?"),"Added/changed")</f>
        <v>Added/changed</v>
      </c>
      <c r="G229" s="496" t="str">
        <v>Lint filter (VTD)</v>
      </c>
      <c r="H229" s="313" t="str">
        <v>Dresses skirts and jumpsuits</v>
      </c>
      <c r="I229" s="501" t="str">
        <v>Clothing drying CHETD</v>
      </c>
      <c r="J229" t="str">
        <v>Plaster (DIY)</v>
      </c>
    </row>
    <row r="230" spans="1:10" ht="15.75" thickBot="1">
      <c r="A230" s="74" t="str">
        <v>Lint filter (CHPTD)</v>
      </c>
      <c r="B230" s="335" t="str">
        <f>IFERROR(VLOOKUP(A230,'Compartments_Kawecki&amp;Nowack19'!A:C,2,FALSE), IFERROR(VLOOKUP(A230,Compartments_Added!A:C,2,FALSE), "Not found"))</f>
        <v>Flow</v>
      </c>
      <c r="C230" s="335" t="str">
        <f>IFERROR(VLOOKUP(A230,'Compartments_Kawecki&amp;Nowack19'!A:C,3,FALSE), IFERROR(VLOOKUP(A230,Compartments_Added!A:C,3,FALSE), "Not found"))</f>
        <v>LintFilterCHPTD</v>
      </c>
      <c r="D230" s="95" t="str">
        <f>IFERROR(IF(VLOOKUP(A230,'Compartments_Kawecki&amp;Nowack19'!A:C,1,FALSE)=A230, "Kawecki","what?"),"Added/changed")</f>
        <v>Added/changed</v>
      </c>
      <c r="G230" s="313" t="str">
        <v>Lint filter (CHPTD)</v>
      </c>
      <c r="H230" s="313" t="str">
        <v>Jackets and coats</v>
      </c>
      <c r="I230" s="501" t="str">
        <v>Clothing washer-dryer combo</v>
      </c>
      <c r="J230" t="str">
        <v>Plaster (DIY) outdoor</v>
      </c>
    </row>
    <row r="231" spans="1:10" ht="15.75" thickBot="1">
      <c r="A231" s="74" t="str">
        <v>Lint filter (CHETD)</v>
      </c>
      <c r="B231" s="335" t="str">
        <f>IFERROR(VLOOKUP(A231,'Compartments_Kawecki&amp;Nowack19'!A:C,2,FALSE), IFERROR(VLOOKUP(A231,Compartments_Added!A:C,2,FALSE), "Not found"))</f>
        <v>Flow</v>
      </c>
      <c r="C231" s="335" t="str">
        <f>IFERROR(VLOOKUP(A231,'Compartments_Kawecki&amp;Nowack19'!A:C,3,FALSE), IFERROR(VLOOKUP(A231,Compartments_Added!A:C,3,FALSE), "Not found"))</f>
        <v>LintFilterCHETD</v>
      </c>
      <c r="D231" s="95" t="str">
        <f>IFERROR(IF(VLOOKUP(A231,'Compartments_Kawecki&amp;Nowack19'!A:C,1,FALSE)=A231, "Kawecki","what?"),"Added/changed")</f>
        <v>Added/changed</v>
      </c>
      <c r="G231" s="313" t="str">
        <v>Lint filter (CHETD)</v>
      </c>
      <c r="H231" s="313" t="str">
        <v>Leggings stockings tights and socks</v>
      </c>
      <c r="I231" s="501" t="str">
        <v>Lint filter (VTD)</v>
      </c>
      <c r="J231" t="str">
        <v>Plaster (DIY) outdoor (in use)</v>
      </c>
    </row>
    <row r="232" spans="1:10" ht="15.75" thickBot="1">
      <c r="A232" s="74" t="str">
        <v>Clean lint filter by hand</v>
      </c>
      <c r="B232" s="335" t="str">
        <f>IFERROR(VLOOKUP(A232,'Compartments_Kawecki&amp;Nowack19'!A:C,2,FALSE), IFERROR(VLOOKUP(A232,Compartments_Added!A:C,2,FALSE), "Not found"))</f>
        <v>Flow</v>
      </c>
      <c r="C232" s="335" t="str">
        <f>IFERROR(VLOOKUP(A232,'Compartments_Kawecki&amp;Nowack19'!A:C,3,FALSE), IFERROR(VLOOKUP(A232,Compartments_Added!A:C,3,FALSE), "Not found"))</f>
        <v>CleanByFilterByHand</v>
      </c>
      <c r="D232" s="95" t="str">
        <f>IFERROR(IF(VLOOKUP(A232,'Compartments_Kawecki&amp;Nowack19'!A:C,1,FALSE)=A232, "Kawecki","what?"),"Added/changed")</f>
        <v>Added/changed</v>
      </c>
      <c r="G232" s="313" t="str">
        <v>Clean lint filter by hand</v>
      </c>
      <c r="H232" s="313" t="str">
        <v>Open-toed shoes</v>
      </c>
      <c r="I232" s="501" t="str">
        <v>Lint filter (CHPTD)</v>
      </c>
      <c r="J232" t="str">
        <v>Plaster (DIY) indoor</v>
      </c>
    </row>
    <row r="233" spans="1:10" ht="15.75" thickBot="1">
      <c r="A233" s="74" t="str">
        <v>Clean lint filter under running water</v>
      </c>
      <c r="B233" s="335" t="str">
        <f>IFERROR(VLOOKUP(A233,'Compartments_Kawecki&amp;Nowack19'!A:C,2,FALSE), IFERROR(VLOOKUP(A233,Compartments_Added!A:C,2,FALSE), "Not found"))</f>
        <v>Flow</v>
      </c>
      <c r="C233" s="335" t="str">
        <f>IFERROR(VLOOKUP(A233,'Compartments_Kawecki&amp;Nowack19'!A:C,3,FALSE), IFERROR(VLOOKUP(A233,Compartments_Added!A:C,3,FALSE), "Not found"))</f>
        <v>CleanRunningUnderRunningWater</v>
      </c>
      <c r="D233" s="95" t="str">
        <f>IFERROR(IF(VLOOKUP(A233,'Compartments_Kawecki&amp;Nowack19'!A:C,1,FALSE)=A233, "Kawecki","what?"),"Added/changed")</f>
        <v>Added/changed</v>
      </c>
      <c r="G233" s="313" t="str">
        <v>Clean lint filter under running water</v>
      </c>
      <c r="H233" s="313" t="str">
        <v>Pants and shorts</v>
      </c>
      <c r="I233" s="501" t="str">
        <v>Lint filter (CHETD)</v>
      </c>
      <c r="J233" t="str">
        <v>Plaster (DIY) indoor (in use)</v>
      </c>
    </row>
    <row r="234" spans="1:10" ht="15.75" thickBot="1">
      <c r="A234" s="74" t="str">
        <v>Footwear wearing (soles)</v>
      </c>
      <c r="B234" s="335" t="str">
        <f>IFERROR(VLOOKUP(A234,'Compartments_Kawecki&amp;Nowack19'!A:C,2,FALSE), IFERROR(VLOOKUP(A234,Compartments_Added!A:C,2,FALSE), "Not found"))</f>
        <v>Flow</v>
      </c>
      <c r="C234" s="335" t="str">
        <f>IFERROR(VLOOKUP(A234,'Compartments_Kawecki&amp;Nowack19'!A:C,3,FALSE), IFERROR(VLOOKUP(A234,Compartments_Added!A:C,3,FALSE), "Not found"))</f>
        <v>FootwearWearingSoles</v>
      </c>
      <c r="D234" s="95" t="str">
        <f>IFERROR(IF(VLOOKUP(A234,'Compartments_Kawecki&amp;Nowack19'!A:C,1,FALSE)=A234, "Kawecki","what?"),"Added/changed")</f>
        <v>Added/changed</v>
      </c>
      <c r="G234" s="313" t="str">
        <v>Footwear wearing (soles)</v>
      </c>
      <c r="H234" s="313" t="str">
        <v>Shirts and blouses</v>
      </c>
      <c r="I234" s="501" t="str">
        <v>Clean lint filter by hand</v>
      </c>
      <c r="J234" t="str">
        <v>Plaster (DIY) outdoor (discarded)</v>
      </c>
    </row>
    <row r="235" spans="1:10" ht="15.75" thickBot="1">
      <c r="A235" s="74" t="str">
        <v>Footwear wearing (uppers)</v>
      </c>
      <c r="B235" s="335" t="str">
        <f>IFERROR(VLOOKUP(A235,'Compartments_Kawecki&amp;Nowack19'!A:C,2,FALSE), IFERROR(VLOOKUP(A235,Compartments_Added!A:C,2,FALSE), "Not found"))</f>
        <v>Flow</v>
      </c>
      <c r="C235" s="335" t="str">
        <f>IFERROR(VLOOKUP(A235,'Compartments_Kawecki&amp;Nowack19'!A:C,3,FALSE), IFERROR(VLOOKUP(A235,Compartments_Added!A:C,3,FALSE), "Not found"))</f>
        <v>FootwearWearingUppers</v>
      </c>
      <c r="D235" s="95" t="str">
        <f>IFERROR(IF(VLOOKUP(A235,'Compartments_Kawecki&amp;Nowack19'!A:C,1,FALSE)=A235, "Kawecki","what?"),"Added/changed")</f>
        <v>Added/changed</v>
      </c>
      <c r="G235" s="313" t="str">
        <v>Footwear wearing (uppers)</v>
      </c>
      <c r="H235" s="313" t="str">
        <v>Sweaters and midlayers</v>
      </c>
      <c r="I235" s="501" t="str">
        <v>Clean lint filter under running water</v>
      </c>
      <c r="J235" t="str">
        <v>Plaster (DIY) indoor (discarded)</v>
      </c>
    </row>
    <row r="236" spans="1:10" ht="15.75" thickBot="1">
      <c r="A236" s="324" t="str">
        <v>Manufacturing of clothing</v>
      </c>
      <c r="B236" s="336" t="str">
        <f>IFERROR(VLOOKUP(A236,'Compartments_Kawecki&amp;Nowack19'!A:C,2,FALSE), IFERROR(VLOOKUP(A236,Compartments_Added!A:C,2,FALSE), "Not found"))</f>
        <v>Flow</v>
      </c>
      <c r="C236" s="336" t="str">
        <f>IFERROR(VLOOKUP(A236,'Compartments_Kawecki&amp;Nowack19'!A:C,3,FALSE), IFERROR(VLOOKUP(A236,Compartments_Added!A:C,3,FALSE), "Not found"))</f>
        <v>ManufacturingOfClothing</v>
      </c>
      <c r="D236" s="95" t="str">
        <f>IFERROR(IF(VLOOKUP(A236,'Compartments_Kawecki&amp;Nowack19'!A:C,1,FALSE)=A236, "Kawecki","what?"),"Added/changed")</f>
        <v>Added/changed</v>
      </c>
      <c r="G236" s="313" t="str">
        <v>Import of clothing (Global)</v>
      </c>
      <c r="H236" s="313" t="str">
        <v>Swimwear</v>
      </c>
      <c r="I236" s="501" t="str">
        <v>Footwear wearing (soles)</v>
      </c>
      <c r="J236" t="str">
        <v>Other paint uses (DIY)</v>
      </c>
    </row>
    <row r="237" spans="1:10" ht="15.75" thickBot="1">
      <c r="A237" s="74" t="str">
        <v>Import of plastic sheets</v>
      </c>
      <c r="B237" s="335" t="str">
        <f>IFERROR(VLOOKUP(A237,'Compartments_Kawecki&amp;Nowack19'!A:C,2,FALSE), IFERROR(VLOOKUP(A237,Compartments_Added!A:C,2,FALSE), "Not found"))</f>
        <v>Flow</v>
      </c>
      <c r="C237" s="335" t="str">
        <f>IFERROR(VLOOKUP(A237,'Compartments_Kawecki&amp;Nowack19'!A:C,3,FALSE), IFERROR(VLOOKUP(A237,Compartments_Added!A:C,3,FALSE), "Not found"))</f>
        <v>ImportPlasticSheets</v>
      </c>
      <c r="D237" s="95" t="str">
        <f>IFERROR(IF(VLOOKUP(A237,'Compartments_Kawecki&amp;Nowack19'!A:C,1,FALSE)=A237, "Kawecki","what?"),"Added/changed")</f>
        <v>Added/changed</v>
      </c>
      <c r="G237" s="313" t="str">
        <v>Manufacturing of clothing</v>
      </c>
      <c r="H237" s="313" t="str">
        <v>T-shirts</v>
      </c>
      <c r="I237" s="501" t="str">
        <v>Footwear wearing (uppers)</v>
      </c>
      <c r="J237" t="str">
        <v>Other paint uses (DIY) outdoor</v>
      </c>
    </row>
    <row r="238" spans="1:10" ht="15.75" thickBot="1">
      <c r="A238" s="74" t="str">
        <v>Import of yarn</v>
      </c>
      <c r="B238" s="335" t="str">
        <f>IFERROR(VLOOKUP(A238,'Compartments_Kawecki&amp;Nowack19'!A:C,2,FALSE), IFERROR(VLOOKUP(A238,Compartments_Added!A:C,2,FALSE), "Not found"))</f>
        <v>Flow</v>
      </c>
      <c r="C238" s="335" t="str">
        <f>IFERROR(VLOOKUP(A238,'Compartments_Kawecki&amp;Nowack19'!A:C,3,FALSE), IFERROR(VLOOKUP(A238,Compartments_Added!A:C,3,FALSE), "Not found"))</f>
        <v>ImportYarn</v>
      </c>
      <c r="D238" s="95" t="str">
        <f>IFERROR(IF(VLOOKUP(A238,'Compartments_Kawecki&amp;Nowack19'!A:C,1,FALSE)=A238, "Kawecki","what?"),"Added/changed")</f>
        <v>Added/changed</v>
      </c>
      <c r="G238" s="313" t="str">
        <v>Import of plastic sheets</v>
      </c>
      <c r="H238" s="313" t="str">
        <v>Underwear</v>
      </c>
      <c r="I238" s="501" t="str">
        <v>Manufacturing of clothing</v>
      </c>
      <c r="J238" t="str">
        <v>Other paint uses (DIY) outdoor (in use)</v>
      </c>
    </row>
    <row r="239" spans="1:10" ht="15.75" thickBot="1">
      <c r="A239" s="74" t="str">
        <v>Clothing waste collection</v>
      </c>
      <c r="B239" s="335" t="str">
        <f>IFERROR(VLOOKUP(A239,'Compartments_Kawecki&amp;Nowack19'!A:C,2,FALSE), IFERROR(VLOOKUP(A239,Compartments_Added!A:C,2,FALSE), "Not found"))</f>
        <v>Flow</v>
      </c>
      <c r="C239" s="335" t="str">
        <f>IFERROR(VLOOKUP(A239,'Compartments_Kawecki&amp;Nowack19'!A:C,3,FALSE), IFERROR(VLOOKUP(A239,Compartments_Added!A:C,3,FALSE), "Not found"))</f>
        <v>ClothingWasteCollection</v>
      </c>
      <c r="D239" s="95" t="str">
        <f>IFERROR(IF(VLOOKUP(A239,'Compartments_Kawecki&amp;Nowack19'!A:C,1,FALSE)=A239, "Kawecki","what?"),"Added/changed")</f>
        <v>Added/changed</v>
      </c>
      <c r="G239" s="313" t="str">
        <v>Import of yarn</v>
      </c>
      <c r="H239" s="313" t="str">
        <v>Clothing washing machine (with external filter)</v>
      </c>
      <c r="I239" s="501" t="str">
        <v>Import of plastic sheets</v>
      </c>
      <c r="J239" t="str">
        <v>Other paint uses (DIY) indoor</v>
      </c>
    </row>
    <row r="240" spans="1:10" ht="15.75" thickBot="1">
      <c r="A240" s="74" t="str">
        <v>Home textile waste collection</v>
      </c>
      <c r="B240" s="335" t="str">
        <f>IFERROR(VLOOKUP(A240,'Compartments_Kawecki&amp;Nowack19'!A:C,2,FALSE), IFERROR(VLOOKUP(A240,Compartments_Added!A:C,2,FALSE), "Not found"))</f>
        <v>Flow</v>
      </c>
      <c r="C240" s="335" t="str">
        <f>IFERROR(VLOOKUP(A240,'Compartments_Kawecki&amp;Nowack19'!A:C,3,FALSE), IFERROR(VLOOKUP(A240,Compartments_Added!A:C,3,FALSE), "Not found"))</f>
        <v>HomeTextileWasteCollection</v>
      </c>
      <c r="D240" s="95" t="str">
        <f>IFERROR(IF(VLOOKUP(A240,'Compartments_Kawecki&amp;Nowack19'!A:C,1,FALSE)=A240, "Kawecki","what?"),"Added/changed")</f>
        <v>Added/changed</v>
      </c>
      <c r="G240" s="313" t="str">
        <v>Clothing waste collection</v>
      </c>
      <c r="H240" s="313" t="str">
        <v>Clothing washing machine (without external filter)</v>
      </c>
      <c r="I240" s="501" t="str">
        <v>Import of yarn</v>
      </c>
      <c r="J240" t="str">
        <v>Other paint uses (DIY) indoor (in use)</v>
      </c>
    </row>
    <row r="241" spans="1:10" ht="15.75" thickBot="1">
      <c r="A241" s="74" t="str">
        <v>Technical textile waste collection</v>
      </c>
      <c r="B241" s="335" t="str">
        <f>IFERROR(VLOOKUP(A241,'Compartments_Kawecki&amp;Nowack19'!A:C,2,FALSE), IFERROR(VLOOKUP(A241,Compartments_Added!A:C,2,FALSE), "Not found"))</f>
        <v>Flow</v>
      </c>
      <c r="C241" s="335" t="str">
        <f>IFERROR(VLOOKUP(A241,'Compartments_Kawecki&amp;Nowack19'!A:C,3,FALSE), IFERROR(VLOOKUP(A241,Compartments_Added!A:C,3,FALSE), "Not found"))</f>
        <v>TechnicalTextileWasteCollection</v>
      </c>
      <c r="D241" s="95" t="str">
        <f>IFERROR(IF(VLOOKUP(A241,'Compartments_Kawecki&amp;Nowack19'!A:C,1,FALSE)=A241, "Kawecki","what?"),"Added/changed")</f>
        <v>Added/changed</v>
      </c>
      <c r="G241" s="313" t="str">
        <v>Home textile waste collection</v>
      </c>
      <c r="H241" s="313" t="str">
        <v>Clothing washing by hand</v>
      </c>
      <c r="I241" s="501" t="str">
        <v>Clothing waste collection</v>
      </c>
      <c r="J241" t="str">
        <v>Other paint uses (DIY) outdoor (discarded)</v>
      </c>
    </row>
    <row r="242" spans="1:10" ht="15.75" thickBot="1">
      <c r="A242" s="74" t="str">
        <v>Footwear waste collection</v>
      </c>
      <c r="B242" s="335" t="str">
        <f>IFERROR(VLOOKUP(A242,'Compartments_Kawecki&amp;Nowack19'!A:C,2,FALSE), IFERROR(VLOOKUP(A242,Compartments_Added!A:C,2,FALSE), "Not found"))</f>
        <v>Flow</v>
      </c>
      <c r="C242" s="335" t="str">
        <f>IFERROR(VLOOKUP(A242,'Compartments_Kawecki&amp;Nowack19'!A:C,3,FALSE), IFERROR(VLOOKUP(A242,Compartments_Added!A:C,3,FALSE), "Not found"))</f>
        <v>FootwearWasteCollection</v>
      </c>
      <c r="D242" s="95" t="str">
        <f>IFERROR(IF(VLOOKUP(A242,'Compartments_Kawecki&amp;Nowack19'!A:C,1,FALSE)=A242, "Kawecki","what?"),"Added/changed")</f>
        <v>Added/changed</v>
      </c>
      <c r="G242" s="313" t="str">
        <v>Technical textile waste collection</v>
      </c>
      <c r="H242" s="313" t="str">
        <v>Clothing indoor drying</v>
      </c>
      <c r="I242" s="501" t="str">
        <v>Home textile waste collection</v>
      </c>
      <c r="J242" t="str">
        <v>Other paint uses (DIY) indoor (discarded)</v>
      </c>
    </row>
    <row r="243" spans="1:10" ht="15.75" thickBot="1">
      <c r="A243" s="74" t="str">
        <v>Apparel accessories</v>
      </c>
      <c r="B243" s="335" t="str">
        <f>IFERROR(VLOOKUP(A243,'Compartments_Kawecki&amp;Nowack19'!A:C,2,FALSE), IFERROR(VLOOKUP(A243,Compartments_Added!A:C,2,FALSE), "Not found"))</f>
        <v>Stock</v>
      </c>
      <c r="C243" s="335" t="str">
        <f>IFERROR(VLOOKUP(A243,'Compartments_Kawecki&amp;Nowack19'!A:C,3,FALSE), IFERROR(VLOOKUP(A243,Compartments_Added!A:C,3,FALSE), "Not found"))</f>
        <v>ApparelAccessories</v>
      </c>
      <c r="D243" s="95" t="str">
        <f>IFERROR(IF(VLOOKUP(A243,'Compartments_Kawecki&amp;Nowack19'!A:C,1,FALSE)=A243, "Kawecki","what?"),"Added/changed")</f>
        <v>Added/changed</v>
      </c>
      <c r="G243" s="313" t="str">
        <v>Footwear waste collection</v>
      </c>
      <c r="H243" s="313" t="str">
        <v>Clothing outdoor drying</v>
      </c>
      <c r="I243" s="501" t="str">
        <v>Technical textile waste collection</v>
      </c>
      <c r="J243" t="str">
        <v>Import of clothing (EU)</v>
      </c>
    </row>
    <row r="244" spans="1:10" ht="15.75" thickBot="1">
      <c r="A244" s="74" t="str">
        <v>Jackets and coats</v>
      </c>
      <c r="B244" s="335" t="str">
        <f>IFERROR(VLOOKUP(A244,'Compartments_Kawecki&amp;Nowack19'!A:C,2,FALSE), IFERROR(VLOOKUP(A244,Compartments_Added!A:C,2,FALSE), "Not found"))</f>
        <v>Stock</v>
      </c>
      <c r="C244" s="335" t="str">
        <f>IFERROR(VLOOKUP(A244,'Compartments_Kawecki&amp;Nowack19'!A:C,3,FALSE), IFERROR(VLOOKUP(A244,Compartments_Added!A:C,3,FALSE), "Not found"))</f>
        <v>JacketsCoats</v>
      </c>
      <c r="D244" s="95" t="str">
        <f>IFERROR(IF(VLOOKUP(A244,'Compartments_Kawecki&amp;Nowack19'!A:C,1,FALSE)=A244, "Kawecki","what?"),"Added/changed")</f>
        <v>Added/changed</v>
      </c>
      <c r="G244" s="313" t="str">
        <v>Apparel accessories</v>
      </c>
      <c r="H244" s="313" t="str">
        <v>Clothing drying VTD</v>
      </c>
      <c r="I244" s="501" t="str">
        <v>Footwear waste collection</v>
      </c>
      <c r="J244" t="str">
        <v>Clothing (product sector)</v>
      </c>
    </row>
    <row r="245" spans="1:10" ht="15.75" thickBot="1">
      <c r="A245" s="74" t="str">
        <v>Dresses skirts and jumpsuits</v>
      </c>
      <c r="B245" s="335" t="str">
        <f>IFERROR(VLOOKUP(A245,'Compartments_Kawecki&amp;Nowack19'!A:C,2,FALSE), IFERROR(VLOOKUP(A245,Compartments_Added!A:C,2,FALSE), "Not found"))</f>
        <v>Stock</v>
      </c>
      <c r="C245" s="335" t="str">
        <f>IFERROR(VLOOKUP(A245,'Compartments_Kawecki&amp;Nowack19'!A:C,3,FALSE), IFERROR(VLOOKUP(A245,Compartments_Added!A:C,3,FALSE), "Not found"))</f>
        <v>DressesSkirtsJumpsuits</v>
      </c>
      <c r="D245" s="95" t="str">
        <f>IFERROR(IF(VLOOKUP(A245,'Compartments_Kawecki&amp;Nowack19'!A:C,1,FALSE)=A245, "Kawecki","what?"),"Added/changed")</f>
        <v>Added/changed</v>
      </c>
      <c r="G245" s="313" t="str">
        <v>Jackets and coats</v>
      </c>
      <c r="H245" s="313" t="str">
        <v>Clothing drying CHPTD</v>
      </c>
      <c r="I245" s="501" t="str">
        <v>Apparel accessories</v>
      </c>
      <c r="J245" t="str">
        <v>Clothing washing</v>
      </c>
    </row>
    <row r="246" spans="1:10" ht="15.75" thickBot="1">
      <c r="A246" s="74" t="str">
        <v>Leggings stockings tights and socks</v>
      </c>
      <c r="B246" s="335" t="str">
        <f>IFERROR(VLOOKUP(A246,'Compartments_Kawecki&amp;Nowack19'!A:C,2,FALSE), IFERROR(VLOOKUP(A246,Compartments_Added!A:C,2,FALSE), "Not found"))</f>
        <v>Stock</v>
      </c>
      <c r="C246" s="335" t="str">
        <f>IFERROR(VLOOKUP(A246,'Compartments_Kawecki&amp;Nowack19'!A:C,3,FALSE), IFERROR(VLOOKUP(A246,Compartments_Added!A:C,3,FALSE), "Not found"))</f>
        <v>LeggingsStockingsTightsSocks</v>
      </c>
      <c r="D246" s="95" t="str">
        <f>IFERROR(IF(VLOOKUP(A246,'Compartments_Kawecki&amp;Nowack19'!A:C,1,FALSE)=A246, "Kawecki","what?"),"Added/changed")</f>
        <v>Added/changed</v>
      </c>
      <c r="G246" s="313" t="str">
        <v>Dresses skirts and jumpsuits</v>
      </c>
      <c r="H246" s="313" t="str">
        <v>Clothing drying CHETD</v>
      </c>
      <c r="I246" s="501" t="str">
        <v>Jackets and coats</v>
      </c>
      <c r="J246" t="str">
        <v>Clothing washing machine (with external filter)</v>
      </c>
    </row>
    <row r="247" spans="1:10" ht="15.75" thickBot="1">
      <c r="A247" s="74" t="str">
        <v>Pants and shorts</v>
      </c>
      <c r="B247" s="335" t="str">
        <f>IFERROR(VLOOKUP(A247,'Compartments_Kawecki&amp;Nowack19'!A:C,2,FALSE), IFERROR(VLOOKUP(A247,Compartments_Added!A:C,2,FALSE), "Not found"))</f>
        <v>Stock</v>
      </c>
      <c r="C247" s="335" t="str">
        <f>IFERROR(VLOOKUP(A247,'Compartments_Kawecki&amp;Nowack19'!A:C,3,FALSE), IFERROR(VLOOKUP(A247,Compartments_Added!A:C,3,FALSE), "Not found"))</f>
        <v>PantsShorts</v>
      </c>
      <c r="D247" s="95" t="str">
        <f>IFERROR(IF(VLOOKUP(A247,'Compartments_Kawecki&amp;Nowack19'!A:C,1,FALSE)=A247, "Kawecki","what?"),"Added/changed")</f>
        <v>Added/changed</v>
      </c>
      <c r="G247" s="313" t="str">
        <v>Leggings stockings tights and socks</v>
      </c>
      <c r="H247" s="313" t="str">
        <v>Clothing washer-dryer combo</v>
      </c>
      <c r="I247" s="501" t="str">
        <v>Dresses skirts and jumpsuits</v>
      </c>
      <c r="J247" t="str">
        <v>Clothing washing machine (without external filter)</v>
      </c>
    </row>
    <row r="248" spans="1:10" ht="15.75" thickBot="1">
      <c r="A248" s="612" t="str">
        <v>Shirts and blouses</v>
      </c>
      <c r="B248" s="310" t="str">
        <f>IFERROR(VLOOKUP(A248,'Compartments_Kawecki&amp;Nowack19'!A:C,2,FALSE), IFERROR(VLOOKUP(A248,Compartments_Added!A:C,2,FALSE), "Not found"))</f>
        <v>Stock</v>
      </c>
      <c r="C248" s="310" t="str">
        <f>IFERROR(VLOOKUP(A248,'Compartments_Kawecki&amp;Nowack19'!A:C,3,FALSE), IFERROR(VLOOKUP(A248,Compartments_Added!A:C,3,FALSE), "Not found"))</f>
        <v>ShirtsBlouses</v>
      </c>
      <c r="D248" s="95" t="str">
        <f>IFERROR(IF(VLOOKUP(A248,'Compartments_Kawecki&amp;Nowack19'!A:C,1,FALSE)=A248, "Kawecki","what?"),"Added/changed")</f>
        <v>Added/changed</v>
      </c>
      <c r="G248" s="313" t="str">
        <v>Pants and shorts</v>
      </c>
      <c r="H248" s="313" t="str">
        <v>Lint filter (VTD)</v>
      </c>
      <c r="I248" s="501" t="str">
        <v>Leggings stockings tights and socks</v>
      </c>
      <c r="J248" t="str">
        <v>Clothing washing by hand</v>
      </c>
    </row>
    <row r="249" spans="1:10" ht="15.75" thickBot="1">
      <c r="A249" s="612" t="str">
        <v>Sweaters and midlayers</v>
      </c>
      <c r="B249" s="310" t="str">
        <f>IFERROR(VLOOKUP(A249,'Compartments_Kawecki&amp;Nowack19'!A:C,2,FALSE), IFERROR(VLOOKUP(A249,Compartments_Added!A:C,2,FALSE), "Not found"))</f>
        <v>Stock</v>
      </c>
      <c r="C249" s="310" t="str">
        <f>IFERROR(VLOOKUP(A249,'Compartments_Kawecki&amp;Nowack19'!A:C,3,FALSE), IFERROR(VLOOKUP(A249,Compartments_Added!A:C,3,FALSE), "Not found"))</f>
        <v>SweatersMidlayers</v>
      </c>
      <c r="D249" s="95" t="str">
        <f>IFERROR(IF(VLOOKUP(A249,'Compartments_Kawecki&amp;Nowack19'!A:C,1,FALSE)=A249, "Kawecki","what?"),"Added/changed")</f>
        <v>Added/changed</v>
      </c>
      <c r="G249" s="313" t="str">
        <v>Shirts and blouses</v>
      </c>
      <c r="H249" s="313" t="str">
        <v>Lint filter (CHPTD)</v>
      </c>
      <c r="I249" s="501" t="str">
        <v>Pants and shorts</v>
      </c>
      <c r="J249" t="str">
        <v>Clothing wearing</v>
      </c>
    </row>
    <row r="250" spans="1:10" ht="15.75" thickBot="1">
      <c r="A250" s="612" t="str">
        <v>Swimwear</v>
      </c>
      <c r="B250" s="310" t="str">
        <f>IFERROR(VLOOKUP(A250,'Compartments_Kawecki&amp;Nowack19'!A:C,2,FALSE), IFERROR(VLOOKUP(A250,Compartments_Added!A:C,2,FALSE), "Not found"))</f>
        <v>Stock</v>
      </c>
      <c r="C250" s="310" t="str">
        <f>IFERROR(VLOOKUP(A250,'Compartments_Kawecki&amp;Nowack19'!A:C,3,FALSE), IFERROR(VLOOKUP(A250,Compartments_Added!A:C,3,FALSE), "Not found"))</f>
        <v>Swimwear</v>
      </c>
      <c r="D250" s="95" t="str">
        <f>IFERROR(IF(VLOOKUP(A250,'Compartments_Kawecki&amp;Nowack19'!A:C,1,FALSE)=A250, "Kawecki","what?"),"Added/changed")</f>
        <v>Added/changed</v>
      </c>
      <c r="G250" s="313" t="str">
        <v>Sweaters and midlayers</v>
      </c>
      <c r="H250" s="313" t="str">
        <v>Lint filter (CHETD)</v>
      </c>
      <c r="I250" s="501" t="str">
        <v>Shirts and blouses</v>
      </c>
      <c r="J250" t="str">
        <v>Clothing drying</v>
      </c>
    </row>
    <row r="251" spans="1:10" ht="15.75" thickBot="1">
      <c r="A251" s="934" t="str">
        <v>T-shirts</v>
      </c>
      <c r="B251" s="935" t="str">
        <f>IFERROR(VLOOKUP(A251,'Compartments_Kawecki&amp;Nowack19'!A:C,2,FALSE), IFERROR(VLOOKUP(A251,Compartments_Added!A:C,2,FALSE), "Not found"))</f>
        <v>Stock</v>
      </c>
      <c r="C251" s="935" t="str">
        <f>IFERROR(VLOOKUP(A251,'Compartments_Kawecki&amp;Nowack19'!A:C,3,FALSE), IFERROR(VLOOKUP(A251,Compartments_Added!A:C,3,FALSE), "Not found"))</f>
        <v>Tshirts</v>
      </c>
      <c r="D251" s="936" t="str">
        <f>IFERROR(IF(VLOOKUP(A251,'Compartments_Kawecki&amp;Nowack19'!A:C,1,FALSE)=A251, "Kawecki","what?"),"Added/changed")</f>
        <v>Added/changed</v>
      </c>
      <c r="G251" s="313" t="str">
        <v>Swimwear</v>
      </c>
      <c r="H251" s="313" t="str">
        <v>Clean lint filter by hand</v>
      </c>
      <c r="I251" s="501" t="str">
        <v>Sweaters and midlayers</v>
      </c>
      <c r="J251" t="str">
        <v>Clothing indoor drying</v>
      </c>
    </row>
    <row r="252" spans="1:10" ht="15.75" thickBot="1">
      <c r="A252" s="612" t="str">
        <v>Underwear</v>
      </c>
      <c r="B252" s="310" t="str">
        <f>IFERROR(VLOOKUP(A252,'Compartments_Kawecki&amp;Nowack19'!A:C,2,FALSE), IFERROR(VLOOKUP(A252,Compartments_Added!A:C,2,FALSE), "Not found"))</f>
        <v>Stock</v>
      </c>
      <c r="C252" s="310" t="str">
        <f>IFERROR(VLOOKUP(A252,'Compartments_Kawecki&amp;Nowack19'!A:C,3,FALSE), IFERROR(VLOOKUP(A252,Compartments_Added!A:C,3,FALSE), "Not found"))</f>
        <v>Underwear</v>
      </c>
      <c r="D252" s="224" t="str">
        <f>IFERROR(IF(VLOOKUP(A252,'Compartments_Kawecki&amp;Nowack19'!A:C,1,FALSE)=A252, "Kawecki","what?"),"Added/changed")</f>
        <v>Added/changed</v>
      </c>
      <c r="G252" s="313" t="str">
        <v>T-shirts</v>
      </c>
      <c r="H252" s="313" t="str">
        <v>Clean lint filter under running water</v>
      </c>
      <c r="I252" s="501" t="str">
        <v>Swimwear</v>
      </c>
      <c r="J252" t="str">
        <v>Clothing outdoor drying</v>
      </c>
    </row>
    <row r="253" spans="1:10" ht="15.75" thickBot="1">
      <c r="A253" s="612" t="str">
        <v>Clothing washed (in use)</v>
      </c>
      <c r="B253" s="310" t="str">
        <f>IFERROR(VLOOKUP(A253,'Compartments_Kawecki&amp;Nowack19'!A:C,2,FALSE), IFERROR(VLOOKUP(A253,Compartments_Added!A:C,2,FALSE), "Not found"))</f>
        <v>Flow</v>
      </c>
      <c r="C253" s="310" t="str">
        <f>IFERROR(VLOOKUP(A253,'Compartments_Kawecki&amp;Nowack19'!A:C,3,FALSE), IFERROR(VLOOKUP(A253,Compartments_Added!A:C,3,FALSE), "Not found"))</f>
        <v>ClothingWashedInUse</v>
      </c>
      <c r="D253" s="224" t="str">
        <f>IFERROR(IF(VLOOKUP(A253,'Compartments_Kawecki&amp;Nowack19'!A:C,1,FALSE)=A253, "Kawecki","what?"),"Added/changed")</f>
        <v>Added/changed</v>
      </c>
      <c r="G253" s="313" t="str">
        <v>Underwear</v>
      </c>
      <c r="H253" s="313" t="str">
        <v>Manufacturing of clothing</v>
      </c>
      <c r="I253" s="501" t="str">
        <v>T-shirts</v>
      </c>
      <c r="J253" t="str">
        <v>Clothing drying VTD</v>
      </c>
    </row>
    <row r="254" spans="1:10" ht="15.75" thickBot="1">
      <c r="A254" s="612" t="str">
        <v>Clothing washed (discarded)</v>
      </c>
      <c r="B254" s="310" t="str">
        <f>IFERROR(VLOOKUP(A254,'Compartments_Kawecki&amp;Nowack19'!A:C,2,FALSE), IFERROR(VLOOKUP(A254,Compartments_Added!A:C,2,FALSE), "Not found"))</f>
        <v>Flow</v>
      </c>
      <c r="C254" s="310" t="str">
        <f>IFERROR(VLOOKUP(A254,'Compartments_Kawecki&amp;Nowack19'!A:C,3,FALSE), IFERROR(VLOOKUP(A254,Compartments_Added!A:C,3,FALSE), "Not found"))</f>
        <v>ClothingWashedDiscarded</v>
      </c>
      <c r="D254" s="224" t="str">
        <f>IFERROR(IF(VLOOKUP(A254,'Compartments_Kawecki&amp;Nowack19'!A:C,1,FALSE)=A254, "Kawecki","what?"),"Added/changed")</f>
        <v>Added/changed</v>
      </c>
      <c r="G254" s="313" t="str">
        <v>Clothing washed (in use)</v>
      </c>
      <c r="H254" s="313" t="str">
        <v>Textile recycling</v>
      </c>
      <c r="I254" s="501" t="str">
        <v>Underwear</v>
      </c>
      <c r="J254" t="str">
        <v>Clothing drying CHPTD</v>
      </c>
    </row>
    <row r="255" spans="1:10" ht="15.75" thickBot="1">
      <c r="A255" s="612" t="str">
        <v>Clothing rarely washed (in use)</v>
      </c>
      <c r="B255" s="310" t="str">
        <f>IFERROR(VLOOKUP(A255,'Compartments_Kawecki&amp;Nowack19'!A:C,2,FALSE), IFERROR(VLOOKUP(A255,Compartments_Added!A:C,2,FALSE), "Not found"))</f>
        <v>Flow</v>
      </c>
      <c r="C255" s="310" t="str">
        <f>IFERROR(VLOOKUP(A255,'Compartments_Kawecki&amp;Nowack19'!A:C,3,FALSE), IFERROR(VLOOKUP(A255,Compartments_Added!A:C,3,FALSE), "Not found"))</f>
        <v>ClothingRarelyWashedInUse</v>
      </c>
      <c r="D255" s="224" t="str">
        <f>IFERROR(IF(VLOOKUP(A255,'Compartments_Kawecki&amp;Nowack19'!A:C,1,FALSE)=A255, "Kawecki","what?"),"Added/changed")</f>
        <v>Added/changed</v>
      </c>
      <c r="G255" s="436" t="str">
        <v>Clothing washed (discarded)</v>
      </c>
      <c r="H255" s="313" t="str">
        <v>Home textile waste collection</v>
      </c>
      <c r="I255" s="501" t="str">
        <v>Clothing washed (in use)</v>
      </c>
      <c r="J255" t="str">
        <v>Clothing drying CHETD</v>
      </c>
    </row>
    <row r="256" spans="1:10" ht="15.75" thickBot="1">
      <c r="A256" s="612" t="str">
        <v>Clothing rarely washed (discarded)</v>
      </c>
      <c r="B256" s="310" t="str">
        <f>IFERROR(VLOOKUP(A256,'Compartments_Kawecki&amp;Nowack19'!A:C,2,FALSE), IFERROR(VLOOKUP(A256,Compartments_Added!A:C,2,FALSE), "Not found"))</f>
        <v>Flow</v>
      </c>
      <c r="C256" s="310" t="str">
        <f>IFERROR(VLOOKUP(A256,'Compartments_Kawecki&amp;Nowack19'!A:C,3,FALSE), IFERROR(VLOOKUP(A256,Compartments_Added!A:C,3,FALSE), "Not found"))</f>
        <v>ClothingRarelyWashedDiscarded</v>
      </c>
      <c r="D256" s="224" t="str">
        <f>IFERROR(IF(VLOOKUP(A256,'Compartments_Kawecki&amp;Nowack19'!A:C,1,FALSE)=A256, "Kawecki","what?"),"Added/changed")</f>
        <v>Added/changed</v>
      </c>
      <c r="G256" s="436" t="str">
        <v>Clothing rarely washed (in use)</v>
      </c>
      <c r="H256" s="313" t="str">
        <v>Technical textile waste collection</v>
      </c>
      <c r="I256" s="501" t="str">
        <v>Clothing washed (discarded)</v>
      </c>
      <c r="J256" t="str">
        <v>Clothing washer-dryer combo</v>
      </c>
    </row>
    <row r="257" spans="1:10" ht="15.75" thickBot="1">
      <c r="A257" s="612" t="str">
        <v>Clothing not washed (in use)</v>
      </c>
      <c r="B257" s="310" t="str">
        <f>IFERROR(VLOOKUP(A257,'Compartments_Kawecki&amp;Nowack19'!A:C,2,FALSE), IFERROR(VLOOKUP(A257,Compartments_Added!A:C,2,FALSE), "Not found"))</f>
        <v>Flow</v>
      </c>
      <c r="C257" s="310" t="str">
        <f>IFERROR(VLOOKUP(A257,'Compartments_Kawecki&amp;Nowack19'!A:C,3,FALSE), IFERROR(VLOOKUP(A257,Compartments_Added!A:C,3,FALSE), "Not found"))</f>
        <v>ClothingNotWashedInUse</v>
      </c>
      <c r="D257" s="224" t="str">
        <f>IFERROR(IF(VLOOKUP(A257,'Compartments_Kawecki&amp;Nowack19'!A:C,1,FALSE)=A257, "Kawecki","what?"),"Added/changed")</f>
        <v>Added/changed</v>
      </c>
      <c r="G257" s="436" t="str">
        <v>Clothing rarely washed (discarded)</v>
      </c>
      <c r="H257" s="313" t="str">
        <v>Textile reuse</v>
      </c>
      <c r="I257" s="501" t="str">
        <v>Clothing rarely washed (in use)</v>
      </c>
      <c r="J257" t="str">
        <v>Lint filter (VTD)</v>
      </c>
    </row>
    <row r="258" spans="1:10" ht="15.75" thickBot="1">
      <c r="A258" s="612" t="str">
        <v>Clothing not washed (discarded)</v>
      </c>
      <c r="B258" s="310" t="str">
        <f>IFERROR(VLOOKUP(A258,'Compartments_Kawecki&amp;Nowack19'!A:C,2,FALSE), IFERROR(VLOOKUP(A258,Compartments_Added!A:C,2,FALSE), "Not found"))</f>
        <v>Flow</v>
      </c>
      <c r="C258" s="310" t="str">
        <f>IFERROR(VLOOKUP(A258,'Compartments_Kawecki&amp;Nowack19'!A:C,3,FALSE), IFERROR(VLOOKUP(A258,Compartments_Added!A:C,3,FALSE), "Not found"))</f>
        <v>ClothingNotWashedDiscarded</v>
      </c>
      <c r="D258" s="224" t="str">
        <f>IFERROR(IF(VLOOKUP(A258,'Compartments_Kawecki&amp;Nowack19'!A:C,1,FALSE)=A258, "Kawecki","what?"),"Added/changed")</f>
        <v>Added/changed</v>
      </c>
      <c r="G258" s="436" t="str">
        <v>Clothing not washed (in use)</v>
      </c>
      <c r="H258" s="313" t="str">
        <v>Footwear reuse</v>
      </c>
      <c r="I258" s="501" t="str">
        <v>Clothing rarely washed (discarded)</v>
      </c>
      <c r="J258" t="str">
        <v>Lint filter (CHPTD)</v>
      </c>
    </row>
    <row r="259" spans="1:10" ht="15.75" thickBot="1">
      <c r="A259" s="612" t="str">
        <v>Boots</v>
      </c>
      <c r="B259" s="310" t="str">
        <f>IFERROR(VLOOKUP(A259,'Compartments_Kawecki&amp;Nowack19'!A:C,2,FALSE), IFERROR(VLOOKUP(A259,Compartments_Added!A:C,2,FALSE), "Not found"))</f>
        <v>Stock</v>
      </c>
      <c r="C259" s="310" t="str">
        <f>IFERROR(VLOOKUP(A259,'Compartments_Kawecki&amp;Nowack19'!A:C,3,FALSE), IFERROR(VLOOKUP(A259,Compartments_Added!A:C,3,FALSE), "Not found"))</f>
        <v>Boots</v>
      </c>
      <c r="D259" s="224" t="str">
        <f>IFERROR(IF(VLOOKUP(A259,'Compartments_Kawecki&amp;Nowack19'!A:C,1,FALSE)=A259, "Kawecki","what?"),"Added/changed")</f>
        <v>Added/changed</v>
      </c>
      <c r="G259" s="436" t="str">
        <v>Clothing not washed (discarded)</v>
      </c>
      <c r="H259" s="313" t="str">
        <v>Clothing not washed (in use)</v>
      </c>
      <c r="I259" s="501" t="str">
        <v>Clothing not washed (in use)</v>
      </c>
      <c r="J259" t="str">
        <v>Lint filter (CHETD)</v>
      </c>
    </row>
    <row r="260" spans="1:10" ht="15.75" thickBot="1">
      <c r="A260" s="612" t="str">
        <v>Closed-toed shoes</v>
      </c>
      <c r="B260" s="310" t="str">
        <f>IFERROR(VLOOKUP(A260,'Compartments_Kawecki&amp;Nowack19'!A:C,2,FALSE), IFERROR(VLOOKUP(A260,Compartments_Added!A:C,2,FALSE), "Not found"))</f>
        <v>Stock</v>
      </c>
      <c r="C260" s="310" t="str">
        <f>IFERROR(VLOOKUP(A260,'Compartments_Kawecki&amp;Nowack19'!A:C,3,FALSE), IFERROR(VLOOKUP(A260,Compartments_Added!A:C,3,FALSE), "Not found"))</f>
        <v>CloseToedShoes</v>
      </c>
      <c r="D260" s="224" t="str">
        <f>IFERROR(IF(VLOOKUP(A260,'Compartments_Kawecki&amp;Nowack19'!A:C,1,FALSE)=A260, "Kawecki","what?"),"Added/changed")</f>
        <v>Added/changed</v>
      </c>
      <c r="G260" s="436" t="str">
        <v>Boots</v>
      </c>
      <c r="H260" s="313" t="str">
        <v>Clothing not washed (discarded)</v>
      </c>
      <c r="I260" s="501" t="str">
        <v>Clothing not washed (discarded)</v>
      </c>
      <c r="J260" t="str">
        <v>Clean lint filter by hand</v>
      </c>
    </row>
    <row r="261" spans="1:10" ht="15.75" thickBot="1">
      <c r="A261" s="612" t="str">
        <v>Open-toed shoes</v>
      </c>
      <c r="B261" s="310" t="str">
        <f>IFERROR(VLOOKUP(A261,'Compartments_Kawecki&amp;Nowack19'!A:C,2,FALSE), IFERROR(VLOOKUP(A261,Compartments_Added!A:C,2,FALSE), "Not found"))</f>
        <v>Stock</v>
      </c>
      <c r="C261" s="310" t="str">
        <f>IFERROR(VLOOKUP(A261,'Compartments_Kawecki&amp;Nowack19'!A:C,3,FALSE), IFERROR(VLOOKUP(A261,Compartments_Added!A:C,3,FALSE), "Not found"))</f>
        <v>OpenToedShoes</v>
      </c>
      <c r="D261" s="224" t="str">
        <f>IFERROR(IF(VLOOKUP(A261,'Compartments_Kawecki&amp;Nowack19'!A:C,1,FALSE)=A261, "Kawecki","what?"),"Added/changed")</f>
        <v>Added/changed</v>
      </c>
      <c r="G261" s="436" t="str">
        <v>Closed-toed shoes</v>
      </c>
      <c r="H261" s="313" t="str">
        <v>Clothing rarely washed (in use)</v>
      </c>
      <c r="I261" s="501" t="str">
        <v>Boots</v>
      </c>
      <c r="J261" t="str">
        <v>Clean lint filter under running water</v>
      </c>
    </row>
    <row r="262" spans="1:10" ht="15.75" thickBot="1">
      <c r="A262" s="612" t="str">
        <v>Primary water treatment (micro)</v>
      </c>
      <c r="B262" s="310" t="str">
        <f>IFERROR(VLOOKUP(A262,'Compartments_Kawecki&amp;Nowack19'!A:C,2,FALSE), IFERROR(VLOOKUP(A262,Compartments_Added!A:C,2,FALSE), "Not found"))</f>
        <v>Flow</v>
      </c>
      <c r="C262" s="310" t="str">
        <f>IFERROR(VLOOKUP(A262,'Compartments_Kawecki&amp;Nowack19'!A:C,3,FALSE), IFERROR(VLOOKUP(A262,Compartments_Added!A:C,3,FALSE), "Not found"))</f>
        <v>WWTPrimaryMicro</v>
      </c>
      <c r="D262" s="224" t="str">
        <f>IFERROR(IF(VLOOKUP(A262,'Compartments_Kawecki&amp;Nowack19'!A:C,1,FALSE)=A262, "Kawecki","what?"),"Added/changed")</f>
        <v>Kawecki</v>
      </c>
      <c r="G262" s="436" t="str">
        <v>Open-toed shoes</v>
      </c>
      <c r="H262" s="436" t="str">
        <v>Clothing rarely washed (discarded)</v>
      </c>
      <c r="I262" s="433" t="str">
        <v>Closed-toed shoes</v>
      </c>
      <c r="J262" t="str">
        <v>Footwear wearing (soles)</v>
      </c>
    </row>
    <row r="263" spans="1:10" ht="15.75" thickBot="1">
      <c r="A263" s="612" t="str">
        <v>Secondary water treatment (micro)</v>
      </c>
      <c r="B263" s="310" t="str">
        <f>IFERROR(VLOOKUP(A263,'Compartments_Kawecki&amp;Nowack19'!A:C,2,FALSE), IFERROR(VLOOKUP(A263,Compartments_Added!A:C,2,FALSE), "Not found"))</f>
        <v>Flow</v>
      </c>
      <c r="C263" s="310" t="str">
        <f>IFERROR(VLOOKUP(A263,'Compartments_Kawecki&amp;Nowack19'!A:C,3,FALSE), IFERROR(VLOOKUP(A263,Compartments_Added!A:C,3,FALSE), "Not found"))</f>
        <v>WWTSecondaryMicro</v>
      </c>
      <c r="D263" s="224" t="str">
        <f>IFERROR(IF(VLOOKUP(A263,'Compartments_Kawecki&amp;Nowack19'!A:C,1,FALSE)=A263, "Kawecki","what?"),"Added/changed")</f>
        <v>Kawecki</v>
      </c>
      <c r="G263" s="436" t="str">
        <v>Primary water treatment (micro)</v>
      </c>
      <c r="H263" s="436" t="str">
        <v>Clothing washed (in use)</v>
      </c>
      <c r="I263" s="433" t="str">
        <v>Open-toed shoes</v>
      </c>
      <c r="J263" t="str">
        <v>Footwear wearing (uppers)</v>
      </c>
    </row>
    <row r="264" spans="1:10" ht="15.75" thickBot="1">
      <c r="A264" s="612" t="str">
        <v>Tertiary water treatment (micro)</v>
      </c>
      <c r="B264" s="310" t="str">
        <f>IFERROR(VLOOKUP(A264,'Compartments_Kawecki&amp;Nowack19'!A:C,2,FALSE), IFERROR(VLOOKUP(A264,Compartments_Added!A:C,2,FALSE), "Not found"))</f>
        <v>Flow</v>
      </c>
      <c r="C264" s="310" t="str">
        <f>IFERROR(VLOOKUP(A264,'Compartments_Kawecki&amp;Nowack19'!A:C,3,FALSE), IFERROR(VLOOKUP(A264,Compartments_Added!A:C,3,FALSE), "Not found"))</f>
        <v>WWTTertiaryMicro</v>
      </c>
      <c r="D264" s="224" t="str">
        <f>IFERROR(IF(VLOOKUP(A264,'Compartments_Kawecki&amp;Nowack19'!A:C,1,FALSE)=A264, "Kawecki","what?"),"Added/changed")</f>
        <v>Kawecki</v>
      </c>
      <c r="G264" s="436" t="str">
        <v>Secondary water treatment (micro)</v>
      </c>
      <c r="H264" s="436" t="str">
        <v>Clothing washed (discarded)</v>
      </c>
      <c r="I264" s="433" t="str">
        <v>Primary water treatment (micro)</v>
      </c>
      <c r="J264" t="str">
        <v>Import of clothing (Global)</v>
      </c>
    </row>
    <row r="265" spans="1:10" ht="15.75" thickBot="1">
      <c r="A265" s="612" t="str">
        <v>Landfill</v>
      </c>
      <c r="B265" s="310" t="str">
        <f>IFERROR(VLOOKUP(A265,'Compartments_Kawecki&amp;Nowack19'!A:C,2,FALSE), IFERROR(VLOOKUP(A265,Compartments_Added!A:C,2,FALSE), "Not found"))</f>
        <v>Sink</v>
      </c>
      <c r="C265" s="310" t="str">
        <f>IFERROR(VLOOKUP(A265,'Compartments_Kawecki&amp;Nowack19'!A:C,3,FALSE), IFERROR(VLOOKUP(A265,Compartments_Added!A:C,3,FALSE), "Not found"))</f>
        <v>Landfill</v>
      </c>
      <c r="D265" s="224" t="str">
        <f>IFERROR(IF(VLOOKUP(A265,'Compartments_Kawecki&amp;Nowack19'!A:C,1,FALSE)=A265, "Kawecki","what?"),"Added/changed")</f>
        <v>Kawecki</v>
      </c>
      <c r="G265" s="436" t="str">
        <v>Tertiary water treatment (micro)</v>
      </c>
      <c r="H265" s="436" t="str">
        <v>Clothing wearing</v>
      </c>
      <c r="I265" s="433" t="str">
        <v>Secondary water treatment (micro)</v>
      </c>
      <c r="J265" t="str">
        <v>Manufacturing of clothing</v>
      </c>
    </row>
    <row r="266" spans="1:10" ht="15.75" thickBot="1">
      <c r="A266" s="612" t="str">
        <v>Residential soil (macro)</v>
      </c>
      <c r="B266" s="310" t="str">
        <f>IFERROR(VLOOKUP(A266,'Compartments_Kawecki&amp;Nowack19'!A:C,2,FALSE), IFERROR(VLOOKUP(A266,Compartments_Added!A:C,2,FALSE), "Not found"))</f>
        <v>Sink</v>
      </c>
      <c r="C266" s="310" t="str">
        <f>IFERROR(VLOOKUP(A266,'Compartments_Kawecki&amp;Nowack19'!A:C,3,FALSE), IFERROR(VLOOKUP(A266,Compartments_Added!A:C,3,FALSE), "Not found"))</f>
        <v>UrbanSoilMacro</v>
      </c>
      <c r="D266" s="224" t="str">
        <f>IFERROR(IF(VLOOKUP(A266,'Compartments_Kawecki&amp;Nowack19'!A:C,1,FALSE)=A266, "Kawecki","what?"),"Added/changed")</f>
        <v>Kawecki</v>
      </c>
      <c r="G266" s="436"/>
      <c r="H266" s="436" t="str">
        <v>Clothing washing</v>
      </c>
      <c r="I266" s="433" t="str">
        <v>Tertiary water treatment (micro)</v>
      </c>
      <c r="J266" t="str">
        <v>Import of plastic sheets</v>
      </c>
    </row>
    <row r="267" spans="1:10" ht="15.75" thickBot="1">
      <c r="A267" s="612" t="str">
        <v>Agricultural soil (macro)</v>
      </c>
      <c r="B267" s="310" t="str">
        <f>IFERROR(VLOOKUP(A267,'Compartments_Kawecki&amp;Nowack19'!A:C,2,FALSE), IFERROR(VLOOKUP(A267,Compartments_Added!A:C,2,FALSE), "Not found"))</f>
        <v>Sink</v>
      </c>
      <c r="C267" s="310" t="str">
        <f>IFERROR(VLOOKUP(A267,'Compartments_Kawecki&amp;Nowack19'!A:C,3,FALSE), IFERROR(VLOOKUP(A267,Compartments_Added!A:C,3,FALSE), "Not found"))</f>
        <v>AgriculturalSoilMacro</v>
      </c>
      <c r="D267" s="224" t="str">
        <f>IFERROR(IF(VLOOKUP(A267,'Compartments_Kawecki&amp;Nowack19'!A:C,1,FALSE)=A267, "Kawecki","what?"),"Added/changed")</f>
        <v>Kawecki</v>
      </c>
      <c r="G267" s="436"/>
      <c r="H267" s="436" t="str">
        <v>Clothing drying</v>
      </c>
      <c r="I267" s="433" t="str">
        <v>Landfill</v>
      </c>
      <c r="J267" t="str">
        <v>Import of yarn</v>
      </c>
    </row>
    <row r="268" spans="1:10" ht="15.75" thickBot="1">
      <c r="A268" s="612" t="str">
        <v>Agricultural soil (micro)</v>
      </c>
      <c r="B268" s="310" t="str">
        <f>IFERROR(VLOOKUP(A268,'Compartments_Kawecki&amp;Nowack19'!A:C,2,FALSE), IFERROR(VLOOKUP(A268,Compartments_Added!A:C,2,FALSE), "Not found"))</f>
        <v>Sink</v>
      </c>
      <c r="C268" s="310" t="str">
        <f>IFERROR(VLOOKUP(A268,'Compartments_Kawecki&amp;Nowack19'!A:C,3,FALSE), IFERROR(VLOOKUP(A268,Compartments_Added!A:C,3,FALSE), "Not found"))</f>
        <v>AgriculturalSoilMicro</v>
      </c>
      <c r="D268" s="224" t="str">
        <f>IFERROR(IF(VLOOKUP(A268,'Compartments_Kawecki&amp;Nowack19'!A:C,1,FALSE)=A268, "Kawecki","what?"),"Added/changed")</f>
        <v>Kawecki</v>
      </c>
      <c r="G268" s="436"/>
      <c r="H268" s="436" t="str">
        <v>Clothing waste collection</v>
      </c>
      <c r="I268" s="433" t="str">
        <v>Residential soil (macro)</v>
      </c>
      <c r="J268" t="str">
        <v>Clothing waste collection</v>
      </c>
    </row>
    <row r="269" spans="1:10" ht="15.75" thickBot="1">
      <c r="A269" s="612" t="str">
        <v>Sub-surface soil (micro)</v>
      </c>
      <c r="B269" s="310" t="str">
        <f>IFERROR(VLOOKUP(A269,'Compartments_Kawecki&amp;Nowack19'!A:C,2,FALSE), IFERROR(VLOOKUP(A269,Compartments_Added!A:C,2,FALSE), "Not found"))</f>
        <v>Sink</v>
      </c>
      <c r="C269" s="310" t="str">
        <f>IFERROR(VLOOKUP(A269,'Compartments_Kawecki&amp;Nowack19'!A:C,3,FALSE), IFERROR(VLOOKUP(A269,Compartments_Added!A:C,3,FALSE), "Not found"))</f>
        <v>DeepUrbanSoilMicro</v>
      </c>
      <c r="D269" s="224" t="str">
        <f>IFERROR(IF(VLOOKUP(A269,'Compartments_Kawecki&amp;Nowack19'!A:C,1,FALSE)=A269, "Kawecki","what?"),"Added/changed")</f>
        <v>Kawecki</v>
      </c>
      <c r="G269" s="436"/>
      <c r="H269" s="436" t="str">
        <v>Footwear waste collection</v>
      </c>
      <c r="I269" s="433" t="str">
        <v>Agricultural soil (macro)</v>
      </c>
      <c r="J269" t="str">
        <v>Home textile waste collection</v>
      </c>
    </row>
    <row r="270" spans="1:10" ht="15.75" thickBot="1">
      <c r="A270" s="612" t="str">
        <v>Outdoor air (micro)</v>
      </c>
      <c r="B270" s="310" t="str">
        <f>IFERROR(VLOOKUP(A270,'Compartments_Kawecki&amp;Nowack19'!A:C,2,FALSE), IFERROR(VLOOKUP(A270,Compartments_Added!A:C,2,FALSE), "Not found"))</f>
        <v>Sink</v>
      </c>
      <c r="C270" s="310" t="str">
        <f>IFERROR(VLOOKUP(A270,'Compartments_Kawecki&amp;Nowack19'!A:C,3,FALSE), IFERROR(VLOOKUP(A270,Compartments_Added!A:C,3,FALSE), "Not found"))</f>
        <v>OutdoorAirMicro</v>
      </c>
      <c r="D270" s="224" t="str">
        <f>IFERROR(IF(VLOOKUP(A270,'Compartments_Kawecki&amp;Nowack19'!A:C,1,FALSE)=A270, "Kawecki","what?"),"Added/changed")</f>
        <v>Kawecki</v>
      </c>
      <c r="G270" s="436"/>
      <c r="H270" s="436" t="str">
        <v>Footwear wearing (soles)</v>
      </c>
      <c r="I270" s="433" t="str">
        <v>Agricultural soil (micro)</v>
      </c>
      <c r="J270" t="str">
        <v>Technical textile waste collection</v>
      </c>
    </row>
    <row r="271" spans="1:10" ht="15.75" thickBot="1">
      <c r="A271" s="612" t="str">
        <v>Elimination</v>
      </c>
      <c r="B271" s="310" t="str">
        <f>IFERROR(VLOOKUP(A271,'Compartments_Kawecki&amp;Nowack19'!A:C,2,FALSE), IFERROR(VLOOKUP(A271,Compartments_Added!A:C,2,FALSE), "Not found"))</f>
        <v>Sink</v>
      </c>
      <c r="C271" s="310" t="str">
        <f>IFERROR(VLOOKUP(A271,'Compartments_Kawecki&amp;Nowack19'!A:C,3,FALSE), IFERROR(VLOOKUP(A271,Compartments_Added!A:C,3,FALSE), "Not found"))</f>
        <v>Elimination</v>
      </c>
      <c r="D271" s="224" t="str">
        <f>IFERROR(IF(VLOOKUP(A271,'Compartments_Kawecki&amp;Nowack19'!A:C,1,FALSE)=A271, "Kawecki","what?"),"Added/changed")</f>
        <v>Kawecki</v>
      </c>
      <c r="G271" s="436"/>
      <c r="H271" s="436" t="str">
        <v>Footwear wearing (uppers)</v>
      </c>
      <c r="I271" s="433" t="str">
        <v>Sub-surface soil (micro)</v>
      </c>
      <c r="J271" t="str">
        <v>Footwear waste collection</v>
      </c>
    </row>
    <row r="272" spans="1:10" ht="15.75" thickBot="1">
      <c r="A272" s="612" t="str">
        <v>Export</v>
      </c>
      <c r="B272" s="310" t="str">
        <f>IFERROR(VLOOKUP(A272,'Compartments_Kawecki&amp;Nowack19'!A:C,2,FALSE), IFERROR(VLOOKUP(A272,Compartments_Added!A:C,2,FALSE), "Not found"))</f>
        <v>Sink</v>
      </c>
      <c r="C272" s="310" t="str">
        <f>IFERROR(VLOOKUP(A272,'Compartments_Kawecki&amp;Nowack19'!A:C,3,FALSE), IFERROR(VLOOKUP(A272,Compartments_Added!A:C,3,FALSE), "Not found"))</f>
        <v>Export</v>
      </c>
      <c r="D272" s="224" t="str">
        <f>IFERROR(IF(VLOOKUP(A272,'Compartments_Kawecki&amp;Nowack19'!A:C,1,FALSE)=A272, "Kawecki","what?"),"Added/changed")</f>
        <v>Kawecki</v>
      </c>
      <c r="G272" s="436"/>
      <c r="H272" s="436" t="str">
        <v>Secondary water treatment (micro)</v>
      </c>
      <c r="I272" s="433" t="str">
        <v>Outdoor air (micro)</v>
      </c>
      <c r="J272" t="str">
        <v>Apparel accessories</v>
      </c>
    </row>
    <row r="273" spans="1:10" ht="15.75" thickBot="1">
      <c r="A273" s="612" t="str">
        <v>Secondary material reuse</v>
      </c>
      <c r="B273" s="310" t="str">
        <f>IFERROR(VLOOKUP(A273,'Compartments_Kawecki&amp;Nowack19'!A:C,2,FALSE), IFERROR(VLOOKUP(A273,Compartments_Added!A:C,2,FALSE), "Not found"))</f>
        <v>Sink</v>
      </c>
      <c r="C273" s="310" t="str">
        <f>IFERROR(VLOOKUP(A273,'Compartments_Kawecki&amp;Nowack19'!A:C,3,FALSE), IFERROR(VLOOKUP(A273,Compartments_Added!A:C,3,FALSE), "Not found"))</f>
        <v>MaterialReuse</v>
      </c>
      <c r="D273" s="224" t="str">
        <f>IFERROR(IF(VLOOKUP(A273,'Compartments_Kawecki&amp;Nowack19'!A:C,1,FALSE)=A273, "Kawecki","what?"),"Added/changed")</f>
        <v>Kawecki</v>
      </c>
      <c r="G273" s="436"/>
      <c r="H273" s="436" t="str">
        <v>Tertiary water treatment (micro)</v>
      </c>
      <c r="I273" s="433" t="str">
        <v>Elimination</v>
      </c>
      <c r="J273" t="str">
        <v>Jackets and coats</v>
      </c>
    </row>
    <row r="274" spans="1:10" ht="15.75" thickBot="1">
      <c r="A274" s="612" t="str">
        <v>Residential soil (micro)</v>
      </c>
      <c r="B274" s="310" t="str">
        <f>IFERROR(VLOOKUP(A274,'Compartments_Kawecki&amp;Nowack19'!A:C,2,FALSE), IFERROR(VLOOKUP(A274,Compartments_Added!A:C,2,FALSE), "Not found"))</f>
        <v>Sink</v>
      </c>
      <c r="C274" s="310" t="str">
        <f>IFERROR(VLOOKUP(A274,'Compartments_Kawecki&amp;Nowack19'!A:C,3,FALSE), IFERROR(VLOOKUP(A274,Compartments_Added!A:C,3,FALSE), "Not found"))</f>
        <v>UrbanSoilMicro</v>
      </c>
      <c r="D274" s="224" t="str">
        <f>IFERROR(IF(VLOOKUP(A274,'Compartments_Kawecki&amp;Nowack19'!A:C,1,FALSE)=A274, "Kawecki","what?"),"Added/changed")</f>
        <v>Kawecki</v>
      </c>
      <c r="G274" s="436"/>
      <c r="H274" s="436"/>
      <c r="I274" s="433" t="str">
        <v>Export</v>
      </c>
      <c r="J274" t="str">
        <v>Dresses skirts and jumpsuits</v>
      </c>
    </row>
    <row r="275" spans="1:10" ht="15.75" thickBot="1">
      <c r="A275" s="612" t="str">
        <v>Surface water (micro)</v>
      </c>
      <c r="B275" s="310" t="str">
        <f>IFERROR(VLOOKUP(A275,'Compartments_Kawecki&amp;Nowack19'!A:C,2,FALSE), IFERROR(VLOOKUP(A275,Compartments_Added!A:C,2,FALSE), "Not found"))</f>
        <v>Sink</v>
      </c>
      <c r="C275" s="310" t="str">
        <f>IFERROR(VLOOKUP(A275,'Compartments_Kawecki&amp;Nowack19'!A:C,3,FALSE), IFERROR(VLOOKUP(A275,Compartments_Added!A:C,3,FALSE), "Not found"))</f>
        <v>SurfaceWaterMicro</v>
      </c>
      <c r="D275" s="224" t="str">
        <f>IFERROR(IF(VLOOKUP(A275,'Compartments_Kawecki&amp;Nowack19'!A:C,1,FALSE)=A275, "Kawecki","what?"),"Added/changed")</f>
        <v>Kawecki</v>
      </c>
      <c r="G275" s="436"/>
      <c r="H275" s="436"/>
      <c r="I275" s="433" t="str">
        <v>Secondary material reuse</v>
      </c>
      <c r="J275" t="str">
        <v>Leggings stockings tights and socks</v>
      </c>
    </row>
    <row r="276" spans="1:10" ht="15.75" thickBot="1">
      <c r="A276" s="612" t="str">
        <v>Plastic products</v>
      </c>
      <c r="B276" s="310" t="str">
        <f>IFERROR(VLOOKUP(A276,'Compartments_Kawecki&amp;Nowack19'!A:C,2,FALSE), IFERROR(VLOOKUP(A276,Compartments_Added!A:C,2,FALSE), "Not found"))</f>
        <v>Sink</v>
      </c>
      <c r="C276" s="310" t="str">
        <f>IFERROR(VLOOKUP(A276,'Compartments_Kawecki&amp;Nowack19'!A:C,3,FALSE), IFERROR(VLOOKUP(A276,Compartments_Added!A:C,3,FALSE), "Not found"))</f>
        <v>PlasticProduct</v>
      </c>
      <c r="D276" s="224" t="str">
        <f>IFERROR(IF(VLOOKUP(A276,'Compartments_Kawecki&amp;Nowack19'!A:C,1,FALSE)=A276, "Kawecki","what?"),"Added/changed")</f>
        <v>Added/changed</v>
      </c>
      <c r="G276" s="436"/>
      <c r="H276" s="436"/>
      <c r="I276" s="433" t="str">
        <v>Residential soil (micro)</v>
      </c>
      <c r="J276" t="str">
        <v>Pants and shorts</v>
      </c>
    </row>
    <row r="277" spans="1:10" ht="15.75" thickBot="1">
      <c r="A277" s="612" t="str">
        <v>Surface water (macro)</v>
      </c>
      <c r="B277" s="310" t="str">
        <f>IFERROR(VLOOKUP(A277,'Compartments_Kawecki&amp;Nowack19'!A:C,2,FALSE), IFERROR(VLOOKUP(A277,Compartments_Added!A:C,2,FALSE), "Not found"))</f>
        <v>Sink</v>
      </c>
      <c r="C277" s="310" t="str">
        <f>IFERROR(VLOOKUP(A277,'Compartments_Kawecki&amp;Nowack19'!A:C,3,FALSE), IFERROR(VLOOKUP(A277,Compartments_Added!A:C,3,FALSE), "Not found"))</f>
        <v>SurfaceWaterMacro</v>
      </c>
      <c r="D277" s="224" t="str">
        <f>IFERROR(IF(VLOOKUP(A277,'Compartments_Kawecki&amp;Nowack19'!A:C,1,FALSE)=A277, "Kawecki","what?"),"Added/changed")</f>
        <v>Kawecki</v>
      </c>
      <c r="G277" s="436"/>
      <c r="H277" s="436"/>
      <c r="I277" s="433" t="str">
        <v>Surface water (micro)</v>
      </c>
      <c r="J277" t="str">
        <v>Shirts and blouses</v>
      </c>
    </row>
    <row r="278" spans="1:10" ht="15.75" thickBot="1">
      <c r="A278" s="612" t="str">
        <v>Export of primary plastics</v>
      </c>
      <c r="B278" s="310" t="str">
        <f>IFERROR(VLOOKUP(A278,'Compartments_Kawecki&amp;Nowack19'!A:C,2,FALSE), IFERROR(VLOOKUP(A278,Compartments_Added!A:C,2,FALSE), "Not found"))</f>
        <v>Sink</v>
      </c>
      <c r="C278" s="310" t="str">
        <f>IFERROR(VLOOKUP(A278,'Compartments_Kawecki&amp;Nowack19'!A:C,3,FALSE), IFERROR(VLOOKUP(A278,Compartments_Added!A:C,3,FALSE), "Not found"))</f>
        <v>ExportPrimPlastics</v>
      </c>
      <c r="D278" s="224" t="str">
        <f>IFERROR(IF(VLOOKUP(A278,'Compartments_Kawecki&amp;Nowack19'!A:C,1,FALSE)=A278, "Kawecki","what?"),"Added/changed")</f>
        <v>Added/changed</v>
      </c>
      <c r="G278" s="436"/>
      <c r="H278" s="436"/>
      <c r="I278" s="433" t="str">
        <v>Plastic products</v>
      </c>
      <c r="J278" t="str">
        <v>Sweaters and midlayers</v>
      </c>
    </row>
    <row r="279" spans="1:10" ht="15.75" thickBot="1">
      <c r="A279" s="612" t="str">
        <v>Natural soil (macro)</v>
      </c>
      <c r="B279" s="310" t="str">
        <f>IFERROR(VLOOKUP(A279,'Compartments_Kawecki&amp;Nowack19'!A:C,2,FALSE), IFERROR(VLOOKUP(A279,Compartments_Added!A:C,2,FALSE), "Not found"))</f>
        <v>Sink</v>
      </c>
      <c r="C279" s="310" t="str">
        <f>IFERROR(VLOOKUP(A279,'Compartments_Kawecki&amp;Nowack19'!A:C,3,FALSE), IFERROR(VLOOKUP(A279,Compartments_Added!A:C,3,FALSE), "Not found"))</f>
        <v>RuralSoilMacro</v>
      </c>
      <c r="D279" s="224" t="str">
        <f>IFERROR(IF(VLOOKUP(A279,'Compartments_Kawecki&amp;Nowack19'!A:C,1,FALSE)=A279, "Kawecki","what?"),"Added/changed")</f>
        <v>Kawecki</v>
      </c>
      <c r="G279" s="436"/>
      <c r="H279" s="436"/>
      <c r="I279" s="433" t="str">
        <v>Surface water (macro)</v>
      </c>
      <c r="J279" t="str">
        <v>Swimwear</v>
      </c>
    </row>
    <row r="280" spans="1:10" ht="15.75" thickBot="1">
      <c r="A280" s="612" t="str">
        <v>Natural soil (micro)</v>
      </c>
      <c r="B280" s="310" t="str">
        <f>IFERROR(VLOOKUP(A280,'Compartments_Kawecki&amp;Nowack19'!A:C,2,FALSE), IFERROR(VLOOKUP(A280,Compartments_Added!A:C,2,FALSE), "Not found"))</f>
        <v>Sink</v>
      </c>
      <c r="C280" s="310" t="str">
        <f>IFERROR(VLOOKUP(A280,'Compartments_Kawecki&amp;Nowack19'!A:C,3,FALSE), IFERROR(VLOOKUP(A280,Compartments_Added!A:C,3,FALSE), "Not found"))</f>
        <v>RuralSoilMicro</v>
      </c>
      <c r="D280" s="224" t="str">
        <f>IFERROR(IF(VLOOKUP(A280,'Compartments_Kawecki&amp;Nowack19'!A:C,1,FALSE)=A280, "Kawecki","what?"),"Added/changed")</f>
        <v>Kawecki</v>
      </c>
      <c r="G280" s="436"/>
      <c r="H280" s="436"/>
      <c r="I280" s="433" t="str">
        <v>Export of primary plastics</v>
      </c>
      <c r="J280" t="str">
        <v>T-shirts</v>
      </c>
    </row>
    <row r="281" spans="1:10" ht="15.75" thickBot="1">
      <c r="A281" s="612" t="str">
        <v>Road side soil (micro)</v>
      </c>
      <c r="B281" s="310" t="str">
        <f>IFERROR(VLOOKUP(A281,'Compartments_Kawecki&amp;Nowack19'!A:C,2,FALSE), IFERROR(VLOOKUP(A281,Compartments_Added!A:C,2,FALSE), "Not found"))</f>
        <v>Sink</v>
      </c>
      <c r="C281" s="310" t="str">
        <f>IFERROR(VLOOKUP(A281,'Compartments_Kawecki&amp;Nowack19'!A:C,3,FALSE), IFERROR(VLOOKUP(A281,Compartments_Added!A:C,3,FALSE), "Not found"))</f>
        <v>RoadSideSoilMicro</v>
      </c>
      <c r="D281" s="224" t="str">
        <f>IFERROR(IF(VLOOKUP(A281,'Compartments_Kawecki&amp;Nowack19'!A:C,1,FALSE)=A281, "Kawecki","what?"),"Added/changed")</f>
        <v>Added/changed</v>
      </c>
      <c r="G281" s="436"/>
      <c r="H281" s="436"/>
      <c r="I281" s="433" t="str">
        <v>Natural soil (macro)</v>
      </c>
      <c r="J281" t="str">
        <v>Underwear</v>
      </c>
    </row>
    <row r="282" spans="1:10" ht="15.75" thickBot="1">
      <c r="A282" s="612" t="str">
        <v>Road side soil (macro)</v>
      </c>
      <c r="B282" s="310" t="str">
        <f>IFERROR(VLOOKUP(A282,'Compartments_Kawecki&amp;Nowack19'!A:C,2,FALSE), IFERROR(VLOOKUP(A282,Compartments_Added!A:C,2,FALSE), "Not found"))</f>
        <v>Sink</v>
      </c>
      <c r="C282" s="310" t="str">
        <f>IFERROR(VLOOKUP(A282,'Compartments_Kawecki&amp;Nowack19'!A:C,3,FALSE), IFERROR(VLOOKUP(A282,Compartments_Added!A:C,3,FALSE), "Not found"))</f>
        <v>RoadSideMacro</v>
      </c>
      <c r="D282" s="224" t="str">
        <f>IFERROR(IF(VLOOKUP(A282,'Compartments_Kawecki&amp;Nowack19'!A:C,1,FALSE)=A282, "Kawecki","what?"),"Added/changed")</f>
        <v>Kawecki</v>
      </c>
      <c r="G282" s="436"/>
      <c r="H282" s="436"/>
      <c r="I282" s="433" t="str">
        <v>Natural soil (micro)</v>
      </c>
      <c r="J282" t="str">
        <v>Clothing washed (in use)</v>
      </c>
    </row>
    <row r="283" spans="1:10" ht="15.75" thickBot="1">
      <c r="A283" s="612" t="str">
        <v>Sea water (micro)</v>
      </c>
      <c r="B283" s="310" t="str">
        <f>IFERROR(VLOOKUP(A283,'Compartments_Kawecki&amp;Nowack19'!A:C,2,FALSE), IFERROR(VLOOKUP(A283,Compartments_Added!A:C,2,FALSE), "Not found"))</f>
        <v>Sink</v>
      </c>
      <c r="C283" s="310" t="str">
        <f>IFERROR(VLOOKUP(A283,'Compartments_Kawecki&amp;Nowack19'!A:C,3,FALSE), IFERROR(VLOOKUP(A283,Compartments_Added!A:C,3,FALSE), "Not found"))</f>
        <v>SeaWaterMicro</v>
      </c>
      <c r="D283" s="224" t="str">
        <f>IFERROR(IF(VLOOKUP(A283,'Compartments_Kawecki&amp;Nowack19'!A:C,1,FALSE)=A283, "Kawecki","what?"),"Added/changed")</f>
        <v>Added/changed</v>
      </c>
      <c r="G283" s="436"/>
      <c r="H283" s="436"/>
      <c r="I283" s="433" t="str">
        <v>Road side soil (micro)</v>
      </c>
      <c r="J283" t="str">
        <v>Clothing washed (discarded)</v>
      </c>
    </row>
    <row r="284" spans="1:10" ht="15.75" thickBot="1">
      <c r="A284" s="612" t="str">
        <v>Textile reuse</v>
      </c>
      <c r="B284" s="310" t="str">
        <f>IFERROR(VLOOKUP(A284,'Compartments_Kawecki&amp;Nowack19'!A:C,2,FALSE), IFERROR(VLOOKUP(A284,Compartments_Added!A:C,2,FALSE), "Not found"))</f>
        <v>Sink</v>
      </c>
      <c r="C284" s="310" t="str">
        <f>IFERROR(VLOOKUP(A284,'Compartments_Kawecki&amp;Nowack19'!A:C,3,FALSE), IFERROR(VLOOKUP(A284,Compartments_Added!A:C,3,FALSE), "Not found"))</f>
        <v>TextileReuse</v>
      </c>
      <c r="D284" s="224" t="str">
        <f>IFERROR(IF(VLOOKUP(A284,'Compartments_Kawecki&amp;Nowack19'!A:C,1,FALSE)=A284, "Kawecki","what?"),"Added/changed")</f>
        <v>Kawecki</v>
      </c>
      <c r="G284" s="436"/>
      <c r="H284" s="436"/>
      <c r="I284" s="433" t="str">
        <v>Road side soil (macro)</v>
      </c>
      <c r="J284" t="str">
        <v>Clothing rarely washed (in use)</v>
      </c>
    </row>
    <row r="285" spans="1:10" ht="15.75" thickBot="1">
      <c r="A285" s="612" t="str">
        <v>Footwear reuse</v>
      </c>
      <c r="B285" s="310" t="str">
        <f>IFERROR(VLOOKUP(A285,'Compartments_Kawecki&amp;Nowack19'!A:C,2,FALSE), IFERROR(VLOOKUP(A285,Compartments_Added!A:C,2,FALSE), "Not found"))</f>
        <v>Sink</v>
      </c>
      <c r="C285" s="310" t="str">
        <f>IFERROR(VLOOKUP(A285,'Compartments_Kawecki&amp;Nowack19'!A:C,3,FALSE), IFERROR(VLOOKUP(A285,Compartments_Added!A:C,3,FALSE), "Not found"))</f>
        <v>FootwearReuse</v>
      </c>
      <c r="D285" s="224" t="str">
        <f>IFERROR(IF(VLOOKUP(A285,'Compartments_Kawecki&amp;Nowack19'!A:C,1,FALSE)=A285, "Kawecki","what?"),"Added/changed")</f>
        <v>Added/changed</v>
      </c>
      <c r="G285" s="436"/>
      <c r="H285" s="436"/>
      <c r="I285" s="433" t="str">
        <v>Sea water (micro)</v>
      </c>
      <c r="J285" t="str">
        <v>Clothing rarely washed (discarded)</v>
      </c>
    </row>
    <row r="286" spans="1:10" ht="15.75" thickBot="1">
      <c r="A286" s="612"/>
      <c r="B286" s="310"/>
      <c r="C286" s="310"/>
      <c r="D286" s="224"/>
      <c r="G286" s="436"/>
      <c r="H286" s="436"/>
      <c r="I286" s="433" t="str">
        <v>Textile reuse</v>
      </c>
      <c r="J286" t="str">
        <v>Clothing not washed (in use)</v>
      </c>
    </row>
    <row r="287" spans="1:10" ht="15.75" thickBot="1">
      <c r="A287" s="612"/>
      <c r="B287" s="310"/>
      <c r="C287" s="310"/>
      <c r="D287" s="224"/>
      <c r="G287" s="436"/>
      <c r="H287" s="436"/>
      <c r="I287" s="433" t="str">
        <v>Footwear reuse</v>
      </c>
      <c r="J287" t="str">
        <v>Clothing not washed (discarded)</v>
      </c>
    </row>
    <row r="288" spans="1:10" ht="15.75" thickBot="1">
      <c r="A288" s="612"/>
      <c r="B288" s="310"/>
      <c r="C288" s="310"/>
      <c r="D288" s="224"/>
      <c r="G288" s="436"/>
      <c r="H288" s="436"/>
      <c r="I288" s="433">
        <v>0</v>
      </c>
      <c r="J288" t="str">
        <v>Boots</v>
      </c>
    </row>
    <row r="289" spans="7:10" ht="15.75" thickBot="1">
      <c r="G289" s="436"/>
      <c r="H289" s="436"/>
      <c r="I289" s="433"/>
      <c r="J289" t="str">
        <v>Closed-toed shoes</v>
      </c>
    </row>
    <row r="290" spans="7:10" ht="15.75" thickBot="1">
      <c r="G290" s="436"/>
      <c r="H290" s="436"/>
      <c r="I290" s="433"/>
      <c r="J290" t="str">
        <v>Open-toed shoes</v>
      </c>
    </row>
    <row r="291" spans="7:10" ht="15.75" thickBot="1">
      <c r="G291" s="436"/>
      <c r="H291" s="436"/>
      <c r="I291" s="433"/>
      <c r="J291" t="str">
        <v>Primary water treatment (micro)</v>
      </c>
    </row>
    <row r="292" spans="7:10" ht="15.75" thickBot="1">
      <c r="G292" s="436"/>
      <c r="H292" s="436"/>
      <c r="I292" s="433"/>
      <c r="J292" t="str">
        <v>Secondary water treatment (micro)</v>
      </c>
    </row>
    <row r="293" spans="7:10" ht="15.75" thickBot="1">
      <c r="G293" s="436"/>
      <c r="H293" s="436"/>
      <c r="I293" s="433"/>
      <c r="J293" t="str">
        <v>Tertiary water treatment (micro)</v>
      </c>
    </row>
    <row r="294" spans="7:10" ht="15.75" thickBot="1">
      <c r="G294" s="436"/>
      <c r="H294" s="436"/>
      <c r="I294" s="433"/>
      <c r="J294">
        <v>0</v>
      </c>
    </row>
    <row r="295" spans="7:10" ht="15.75" thickBot="1">
      <c r="G295" s="436"/>
      <c r="H295" s="436"/>
      <c r="I295" s="433"/>
      <c r="J295">
        <v>0</v>
      </c>
    </row>
    <row r="296" spans="7:10" ht="15.75" thickBot="1">
      <c r="G296" s="436"/>
      <c r="H296" s="436"/>
      <c r="I296" s="433"/>
      <c r="J296">
        <v>0</v>
      </c>
    </row>
    <row r="297" spans="7:10" ht="15.75" thickBot="1">
      <c r="G297" s="436"/>
      <c r="H297" s="436"/>
      <c r="I297" s="433"/>
      <c r="J297">
        <v>0</v>
      </c>
    </row>
    <row r="298" spans="7:10" ht="15.75" thickBot="1">
      <c r="G298" s="436"/>
      <c r="H298" s="436"/>
      <c r="I298" s="433"/>
      <c r="J298">
        <v>0</v>
      </c>
    </row>
    <row r="299" spans="7:10" ht="15.75" thickBot="1">
      <c r="G299" s="436"/>
      <c r="H299" s="436"/>
      <c r="I299" s="433"/>
      <c r="J299">
        <v>0</v>
      </c>
    </row>
    <row r="300" spans="7:10" ht="15.75" thickBot="1">
      <c r="G300" s="436"/>
      <c r="H300" s="436"/>
      <c r="I300" s="433"/>
      <c r="J300">
        <v>0</v>
      </c>
    </row>
    <row r="301" spans="7:10" ht="15.75" thickBot="1">
      <c r="G301" s="436"/>
      <c r="H301" s="436"/>
      <c r="I301" s="433"/>
      <c r="J301">
        <v>0</v>
      </c>
    </row>
    <row r="302" spans="7:10" ht="15.75" thickBot="1">
      <c r="G302" s="436"/>
      <c r="H302" s="436"/>
      <c r="I302" s="433"/>
      <c r="J302">
        <v>0</v>
      </c>
    </row>
    <row r="303" spans="7:10" ht="15.75" thickBot="1">
      <c r="G303" s="436"/>
      <c r="H303" s="436"/>
      <c r="I303" s="433"/>
      <c r="J303">
        <v>0</v>
      </c>
    </row>
    <row r="304" spans="7:10" ht="15.75" thickBot="1">
      <c r="G304" s="436"/>
      <c r="H304" s="436"/>
      <c r="I304" s="433"/>
      <c r="J304">
        <v>0</v>
      </c>
    </row>
    <row r="305" spans="7:10" ht="15.75" thickBot="1">
      <c r="G305" s="436"/>
      <c r="H305" s="436"/>
      <c r="I305" s="433"/>
      <c r="J305">
        <v>0</v>
      </c>
    </row>
    <row r="306" spans="7:10" ht="15.75" thickBot="1">
      <c r="G306" s="436"/>
      <c r="H306" s="436"/>
      <c r="I306" s="433"/>
      <c r="J306">
        <v>0</v>
      </c>
    </row>
    <row r="307" spans="7:10" ht="15.75" thickBot="1">
      <c r="G307" s="436"/>
      <c r="H307" s="436"/>
      <c r="I307" s="433"/>
      <c r="J307">
        <v>0</v>
      </c>
    </row>
    <row r="308" spans="7:10" ht="15.75" thickBot="1">
      <c r="G308" s="436"/>
      <c r="H308" s="436"/>
      <c r="I308" s="433"/>
      <c r="J308">
        <v>0</v>
      </c>
    </row>
    <row r="309" spans="7:10" ht="15.75" thickBot="1">
      <c r="G309" s="436"/>
      <c r="H309" s="436"/>
      <c r="I309" s="433"/>
      <c r="J309">
        <v>0</v>
      </c>
    </row>
    <row r="310" spans="7:10" ht="15.75" thickBot="1">
      <c r="G310" s="436"/>
      <c r="H310" s="436"/>
      <c r="I310" s="433"/>
      <c r="J310">
        <v>0</v>
      </c>
    </row>
    <row r="311" spans="7:10" ht="15.75" thickBot="1">
      <c r="G311" s="436"/>
      <c r="H311" s="436"/>
      <c r="I311" s="433"/>
      <c r="J311">
        <v>0</v>
      </c>
    </row>
    <row r="312" spans="7:10" ht="15.75" thickBot="1">
      <c r="G312" s="436"/>
      <c r="H312" s="436"/>
      <c r="I312" s="433"/>
      <c r="J312">
        <v>0</v>
      </c>
    </row>
    <row r="313" spans="7:10" ht="15.75" thickBot="1">
      <c r="G313" s="436"/>
      <c r="H313" s="436"/>
      <c r="I313" s="433"/>
      <c r="J313">
        <v>0</v>
      </c>
    </row>
    <row r="314" spans="7:10" ht="15.75" thickBot="1">
      <c r="G314" s="436"/>
      <c r="H314" s="436"/>
      <c r="I314" s="433"/>
      <c r="J314">
        <v>0</v>
      </c>
    </row>
    <row r="315" spans="7:10" ht="15.75" thickBot="1">
      <c r="G315" s="436"/>
      <c r="H315" s="436"/>
      <c r="I315" s="433"/>
      <c r="J315">
        <v>0</v>
      </c>
    </row>
    <row r="316" spans="7:10" ht="15.75" thickBot="1">
      <c r="G316" s="436"/>
      <c r="H316" s="436"/>
      <c r="I316" s="433"/>
      <c r="J316">
        <v>0</v>
      </c>
    </row>
    <row r="317" spans="7:10" ht="15.75" thickBot="1">
      <c r="G317" s="436"/>
      <c r="H317" s="436"/>
      <c r="I317" s="433"/>
      <c r="J317">
        <v>0</v>
      </c>
    </row>
    <row r="318" spans="7:10" ht="15.75" thickBot="1">
      <c r="G318" s="436"/>
      <c r="H318" s="436"/>
      <c r="I318" s="433"/>
      <c r="J318">
        <v>0</v>
      </c>
    </row>
    <row r="319" spans="7:10" ht="15.75" thickBot="1">
      <c r="G319" s="436"/>
      <c r="H319" s="436"/>
      <c r="I319" s="433"/>
      <c r="J319">
        <v>0</v>
      </c>
    </row>
    <row r="320" spans="7:10" ht="15.75" thickBot="1">
      <c r="G320" s="436"/>
      <c r="H320" s="436"/>
      <c r="I320" s="433"/>
      <c r="J320">
        <v>0</v>
      </c>
    </row>
    <row r="321" spans="7:10" ht="15.75" thickBot="1">
      <c r="G321" s="436"/>
      <c r="H321" s="436"/>
      <c r="I321" s="433"/>
      <c r="J321">
        <v>0</v>
      </c>
    </row>
    <row r="322" spans="7:10" ht="15.75" thickBot="1">
      <c r="G322" s="436"/>
      <c r="H322" s="436"/>
      <c r="I322" s="433"/>
      <c r="J322">
        <v>0</v>
      </c>
    </row>
    <row r="323" spans="7:10" ht="15.75" thickBot="1">
      <c r="G323" s="436"/>
      <c r="H323" s="436"/>
      <c r="I323" s="433"/>
      <c r="J323">
        <v>0</v>
      </c>
    </row>
    <row r="324" spans="7:10" ht="15.75" thickBot="1">
      <c r="G324" s="436"/>
      <c r="H324" s="436"/>
      <c r="I324" s="433"/>
      <c r="J324">
        <v>0</v>
      </c>
    </row>
    <row r="325" spans="7:10" ht="15.75" thickBot="1">
      <c r="G325" s="436"/>
      <c r="H325" s="436"/>
      <c r="I325" s="433"/>
      <c r="J325">
        <v>0</v>
      </c>
    </row>
    <row r="326" spans="7:10" ht="15.75" thickBot="1">
      <c r="G326" s="436"/>
      <c r="H326" s="436"/>
      <c r="I326" s="433"/>
      <c r="J326">
        <v>0</v>
      </c>
    </row>
    <row r="327" spans="7:10" ht="15.75" thickBot="1">
      <c r="G327" s="436"/>
      <c r="H327" s="436"/>
      <c r="I327" s="433"/>
      <c r="J327">
        <v>0</v>
      </c>
    </row>
    <row r="328" spans="7:10" ht="15.75" thickBot="1">
      <c r="G328" s="436"/>
      <c r="H328" s="436"/>
      <c r="I328" s="433"/>
      <c r="J328">
        <v>0</v>
      </c>
    </row>
    <row r="329" spans="7:10" ht="15.75" thickBot="1">
      <c r="G329" s="436"/>
      <c r="H329" s="436"/>
      <c r="I329" s="433"/>
      <c r="J329" t="str">
        <v>Agricultural greenhouse films (discarded)</v>
      </c>
    </row>
    <row r="330" spans="7:10" ht="15.75" thickBot="1">
      <c r="G330" s="436"/>
      <c r="H330" s="436"/>
      <c r="I330" s="433"/>
      <c r="J330" t="str">
        <v>Agricultural greenhouse films (in use)</v>
      </c>
    </row>
    <row r="331" spans="7:10" ht="15.75" thickBot="1">
      <c r="G331" s="436"/>
      <c r="H331" s="436"/>
      <c r="I331" s="433"/>
      <c r="J331" t="str">
        <v>Agricultural mulching films</v>
      </c>
    </row>
    <row r="332" spans="7:10" ht="15.75" thickBot="1">
      <c r="G332" s="436"/>
      <c r="H332" s="436"/>
      <c r="I332" s="433"/>
      <c r="J332" t="str">
        <v>Agricultural other</v>
      </c>
    </row>
    <row r="333" spans="7:10" ht="15.75" thickBot="1">
      <c r="G333" s="436"/>
      <c r="H333" s="436"/>
      <c r="I333" s="433"/>
      <c r="J333" t="str">
        <v>Agricultural packaging bottles</v>
      </c>
    </row>
    <row r="334" spans="7:10" ht="15.75" thickBot="1">
      <c r="G334" s="436"/>
      <c r="H334" s="436"/>
      <c r="I334" s="433"/>
      <c r="J334" t="str">
        <v>Agricultural packaging films</v>
      </c>
    </row>
    <row r="335" spans="7:10" ht="15.75" thickBot="1">
      <c r="G335" s="436"/>
      <c r="H335" s="436"/>
      <c r="I335" s="433"/>
      <c r="J335" t="str">
        <v>Agricultural pipes (discarded)</v>
      </c>
    </row>
    <row r="336" spans="7:10" ht="15.75" thickBot="1">
      <c r="G336" s="436"/>
      <c r="H336" s="436"/>
      <c r="I336" s="433"/>
      <c r="J336" t="str">
        <v>Agricultural pipes (in use)</v>
      </c>
    </row>
    <row r="337" spans="7:10" ht="15.75" thickBot="1">
      <c r="G337" s="436"/>
      <c r="H337" s="436"/>
      <c r="I337" s="433"/>
      <c r="J337" t="str">
        <v>Agricultural plastic recycling</v>
      </c>
    </row>
    <row r="338" spans="7:10" ht="15.75" thickBot="1">
      <c r="G338" s="436"/>
      <c r="H338" s="436"/>
      <c r="I338" s="433"/>
      <c r="J338" t="str">
        <v>Incineration</v>
      </c>
    </row>
    <row r="339" spans="7:10" ht="15.75" thickBot="1">
      <c r="G339" s="436"/>
      <c r="H339" s="436"/>
      <c r="I339" s="433"/>
      <c r="J339" t="str">
        <v>Landfill</v>
      </c>
    </row>
    <row r="340" spans="7:10" ht="15.75" thickBot="1">
      <c r="G340" s="436"/>
      <c r="H340" s="436"/>
      <c r="I340" s="433"/>
      <c r="J340" t="str">
        <v>Residential soil (macro)</v>
      </c>
    </row>
    <row r="341" spans="7:10" ht="15.75" thickBot="1">
      <c r="G341" s="436"/>
      <c r="H341" s="436"/>
      <c r="I341" s="433"/>
      <c r="J341" t="str">
        <v>Agricultural soil (macro)</v>
      </c>
    </row>
    <row r="342" spans="7:10" ht="15.75" thickBot="1">
      <c r="G342" s="436"/>
      <c r="H342" s="436"/>
      <c r="I342" s="433"/>
      <c r="J342" t="str">
        <v>Agrotextiles (discarded)</v>
      </c>
    </row>
    <row r="343" spans="7:10" ht="15.75" thickBot="1">
      <c r="G343" s="436"/>
      <c r="H343" s="436"/>
      <c r="I343" s="433"/>
      <c r="J343" t="str">
        <v>Agricultural soil (micro)</v>
      </c>
    </row>
    <row r="344" spans="7:10" ht="15.75" thickBot="1">
      <c r="G344" s="436"/>
      <c r="H344" s="436"/>
      <c r="I344" s="433"/>
      <c r="J344" t="str">
        <v>Agrotextiles (in use)</v>
      </c>
    </row>
    <row r="345" spans="7:10" ht="15.75" thickBot="1">
      <c r="G345" s="436"/>
      <c r="H345" s="436"/>
      <c r="I345" s="433"/>
      <c r="J345" t="str">
        <v>Agricultural waste collection</v>
      </c>
    </row>
    <row r="346" spans="7:10" ht="15.75" thickBot="1">
      <c r="G346" s="436"/>
      <c r="H346" s="436"/>
      <c r="I346" s="433"/>
      <c r="J346" t="str">
        <v>Agricultural waste collection (micro)</v>
      </c>
    </row>
    <row r="347" spans="7:10" ht="15.75" thickBot="1">
      <c r="G347" s="436"/>
      <c r="H347" s="436"/>
      <c r="I347" s="433"/>
      <c r="J347" t="str">
        <v>Collected organic waste</v>
      </c>
    </row>
    <row r="348" spans="7:10" ht="15.75" thickBot="1">
      <c r="G348" s="436"/>
      <c r="H348" s="436"/>
      <c r="I348" s="433"/>
      <c r="J348" t="str">
        <v>Dumping</v>
      </c>
    </row>
    <row r="349" spans="7:10" ht="15.75" thickBot="1">
      <c r="G349" s="436"/>
      <c r="H349" s="436"/>
      <c r="I349" s="433"/>
      <c r="J349" t="str">
        <v>Building textiles (discarded)</v>
      </c>
    </row>
    <row r="350" spans="7:10" ht="15.75" thickBot="1">
      <c r="G350" s="436"/>
      <c r="H350" s="436"/>
      <c r="I350" s="433"/>
      <c r="J350" t="str">
        <v>Building textiles (in use)</v>
      </c>
    </row>
    <row r="351" spans="7:10" ht="15.75" thickBot="1">
      <c r="G351" s="436"/>
      <c r="H351" s="436"/>
      <c r="I351" s="433"/>
      <c r="J351" t="str">
        <v>Construction and demolition incinerable waste collection</v>
      </c>
    </row>
    <row r="352" spans="7:10" ht="15.75" thickBot="1">
      <c r="G352" s="436"/>
      <c r="H352" s="436"/>
      <c r="I352" s="433"/>
      <c r="J352" t="str">
        <v>Building packaging films</v>
      </c>
    </row>
    <row r="353" spans="7:10" ht="15.75" thickBot="1">
      <c r="G353" s="436"/>
      <c r="H353" s="436"/>
      <c r="I353" s="433"/>
      <c r="J353" t="str">
        <v>Geotextiles (discarded)</v>
      </c>
    </row>
    <row r="354" spans="7:10" ht="15.75" thickBot="1">
      <c r="G354" s="436"/>
      <c r="H354" s="436"/>
      <c r="I354" s="433"/>
      <c r="J354" t="str">
        <v>Geotextiles (in use)</v>
      </c>
    </row>
    <row r="355" spans="7:10" ht="15.75" thickBot="1">
      <c r="G355" s="436"/>
      <c r="H355" s="436"/>
      <c r="I355" s="433"/>
      <c r="J355" t="str">
        <v>Sub-surface soil (micro)</v>
      </c>
    </row>
    <row r="356" spans="7:10" ht="15.75" thickBot="1">
      <c r="G356" s="436"/>
      <c r="H356" s="436"/>
      <c r="I356" s="433"/>
      <c r="J356" t="str">
        <v>Home textiles (discarded)</v>
      </c>
    </row>
    <row r="357" spans="7:10" ht="15.75" thickBot="1">
      <c r="G357" s="436"/>
      <c r="H357" s="436"/>
      <c r="I357" s="433"/>
      <c r="J357" t="str">
        <v>Home textiles (in use)</v>
      </c>
    </row>
    <row r="358" spans="7:10" ht="15.75" thickBot="1">
      <c r="G358" s="436"/>
      <c r="H358" s="436"/>
      <c r="I358" s="433"/>
      <c r="J358" t="str">
        <v>Collected organic waste (larger than 1 mm)</v>
      </c>
    </row>
    <row r="359" spans="7:10" ht="15.75" thickBot="1">
      <c r="G359" s="436"/>
      <c r="H359" s="436"/>
      <c r="I359" s="433"/>
      <c r="J359" t="str">
        <v>Collected organic waste (smaller than 1 mm)</v>
      </c>
    </row>
    <row r="360" spans="7:10" ht="15.75" thickBot="1">
      <c r="G360" s="436"/>
      <c r="H360" s="436"/>
      <c r="I360" s="433"/>
      <c r="J360" t="str">
        <v>Combined sewer overflow (macro)</v>
      </c>
    </row>
    <row r="361" spans="7:10" ht="15.75" thickBot="1">
      <c r="G361" s="436"/>
      <c r="H361" s="436"/>
      <c r="I361" s="433"/>
      <c r="J361" t="str">
        <v>Combined sewer overflow (micro)</v>
      </c>
    </row>
    <row r="362" spans="7:10" ht="15.75" thickBot="1">
      <c r="G362" s="436"/>
      <c r="H362" s="436"/>
      <c r="I362" s="433"/>
      <c r="J362" t="str">
        <v>Compost (macro)</v>
      </c>
    </row>
    <row r="363" spans="7:10" ht="15.75" thickBot="1">
      <c r="G363" s="436"/>
      <c r="H363" s="436"/>
      <c r="I363" s="433"/>
      <c r="J363" t="str">
        <v>Compost (micro)</v>
      </c>
    </row>
    <row r="364" spans="7:10" ht="15.75" thickBot="1">
      <c r="G364" s="436"/>
      <c r="H364" s="436"/>
      <c r="I364" s="433"/>
      <c r="J364" t="str">
        <v>Compost size separation (fictional process)</v>
      </c>
    </row>
    <row r="365" spans="7:10" ht="15.75" thickBot="1">
      <c r="G365" s="436"/>
      <c r="H365" s="436"/>
      <c r="I365" s="433"/>
      <c r="J365" t="str">
        <v>Mixed waste collection</v>
      </c>
    </row>
    <row r="366" spans="7:10" ht="15.75" thickBot="1">
      <c r="G366" s="436"/>
      <c r="H366" s="436"/>
      <c r="I366" s="433"/>
      <c r="J366" t="str">
        <v>Consumer bags</v>
      </c>
    </row>
    <row r="367" spans="7:10" ht="15.75" thickBot="1">
      <c r="G367" s="436"/>
      <c r="H367" s="436"/>
      <c r="I367" s="433"/>
      <c r="J367" t="str">
        <v>Consumer bottles</v>
      </c>
    </row>
    <row r="368" spans="7:10" ht="15.75" thickBot="1">
      <c r="G368" s="436"/>
      <c r="H368" s="436"/>
      <c r="I368" s="433"/>
      <c r="J368" t="str">
        <v>Consumer films</v>
      </c>
    </row>
    <row r="369" spans="7:10" ht="15.75" thickBot="1">
      <c r="G369" s="436"/>
      <c r="H369" s="436"/>
      <c r="I369" s="433"/>
      <c r="J369" t="str">
        <v>Controlled release fertilizer</v>
      </c>
    </row>
    <row r="370" spans="7:10" ht="15.75" thickBot="1">
      <c r="G370" s="436"/>
      <c r="H370" s="436"/>
      <c r="I370" s="433"/>
      <c r="J370" t="str">
        <v>Detergents and maintenance products</v>
      </c>
    </row>
    <row r="371" spans="7:10" ht="15.75" thickBot="1">
      <c r="G371" s="436"/>
      <c r="H371" s="436"/>
      <c r="I371" s="433"/>
      <c r="J371" t="str">
        <v>Indoor air (micro)</v>
      </c>
    </row>
    <row r="372" spans="7:10" ht="15.75" thickBot="1">
      <c r="G372" s="436"/>
      <c r="H372" s="436"/>
      <c r="I372" s="433"/>
      <c r="J372" t="str">
        <v>Outdoor air (micro)</v>
      </c>
    </row>
    <row r="373" spans="7:10" ht="15.75" thickBot="1">
      <c r="G373" s="436"/>
      <c r="H373" s="436"/>
      <c r="I373" s="433"/>
      <c r="J373" t="str">
        <v>Wastewater (micro)</v>
      </c>
    </row>
    <row r="374" spans="7:10" ht="15.75" thickBot="1">
      <c r="G374" s="436"/>
      <c r="H374" s="436"/>
      <c r="I374" s="433"/>
      <c r="J374" t="str">
        <v>Disposable cleaning cloths</v>
      </c>
    </row>
    <row r="375" spans="7:10" ht="15.75" thickBot="1">
      <c r="G375" s="436"/>
      <c r="H375" s="436"/>
      <c r="I375" s="433"/>
      <c r="J375" t="str">
        <v>Home textiles</v>
      </c>
    </row>
    <row r="376" spans="7:10" ht="15.75" thickBot="1">
      <c r="G376" s="436"/>
      <c r="H376" s="436"/>
      <c r="I376" s="433"/>
      <c r="J376" t="str">
        <v>Elimination</v>
      </c>
    </row>
    <row r="377" spans="7:10" ht="15.75" thickBot="1">
      <c r="G377" s="436"/>
      <c r="H377" s="436"/>
      <c r="I377" s="433"/>
      <c r="J377" t="str">
        <v>Export</v>
      </c>
    </row>
    <row r="378" spans="7:10" ht="15.75" thickBot="1">
      <c r="G378" s="436"/>
      <c r="H378" s="436"/>
      <c r="I378" s="433"/>
      <c r="J378" t="str">
        <v>Secondary material reuse</v>
      </c>
    </row>
    <row r="379" spans="7:10" ht="15.75" thickBot="1">
      <c r="G379" s="436"/>
      <c r="H379" s="436"/>
      <c r="I379" s="433"/>
      <c r="J379" t="str">
        <v>Residential soil (micro)</v>
      </c>
    </row>
    <row r="380" spans="7:10" ht="15.75" thickBot="1">
      <c r="G380" s="436"/>
      <c r="H380" s="436"/>
      <c r="I380" s="433"/>
      <c r="J380" t="str">
        <v>Industrial stormwater (micro)</v>
      </c>
    </row>
    <row r="381" spans="7:10" ht="15.75" thickBot="1">
      <c r="G381" s="436"/>
      <c r="H381" s="436"/>
      <c r="I381" s="433"/>
      <c r="J381" t="str">
        <v>Transport of primary plastics</v>
      </c>
    </row>
    <row r="382" spans="7:10" ht="15.75" thickBot="1">
      <c r="G382" s="436"/>
      <c r="H382" s="436"/>
      <c r="I382" s="433"/>
      <c r="J382" t="str">
        <v>Surface water (micro)</v>
      </c>
    </row>
    <row r="383" spans="7:10" ht="15.75" thickBot="1">
      <c r="G383" s="436"/>
      <c r="H383" s="436"/>
      <c r="I383" s="433"/>
      <c r="J383" t="str">
        <v>Wastewater treatment plant (micro)</v>
      </c>
    </row>
    <row r="384" spans="7:10" ht="15.75" thickBot="1">
      <c r="G384" s="436"/>
      <c r="H384" s="436"/>
      <c r="I384" s="433"/>
      <c r="J384" t="str">
        <v>Plastic products</v>
      </c>
    </row>
    <row r="385" spans="7:10" ht="15.75" thickBot="1">
      <c r="G385" s="436"/>
      <c r="H385" s="436"/>
      <c r="I385" s="433"/>
      <c r="J385" t="str">
        <v>Surface water (macro)</v>
      </c>
    </row>
    <row r="386" spans="7:10" ht="15.75" thickBot="1">
      <c r="G386" s="436"/>
      <c r="H386" s="436"/>
      <c r="I386" s="433"/>
      <c r="J386" t="str">
        <v>Wastewater treatment plant (macro)</v>
      </c>
    </row>
    <row r="387" spans="7:10" ht="15.75" thickBot="1">
      <c r="G387" s="436"/>
      <c r="H387" s="436"/>
      <c r="I387" s="433"/>
      <c r="J387" t="str">
        <v>Export of primary plastics</v>
      </c>
    </row>
    <row r="388" spans="7:10" ht="15.75" thickBot="1">
      <c r="G388" s="436"/>
      <c r="H388" s="436"/>
      <c r="I388" s="433"/>
      <c r="J388" t="str">
        <v>Fertilizer additives</v>
      </c>
    </row>
    <row r="389" spans="7:10" ht="15.75" thickBot="1">
      <c r="G389" s="436"/>
      <c r="H389" s="436"/>
      <c r="I389" s="433"/>
      <c r="J389" t="str">
        <v>Food additives</v>
      </c>
    </row>
    <row r="390" spans="7:10" ht="15.75" thickBot="1">
      <c r="G390" s="436"/>
      <c r="H390" s="436"/>
      <c r="I390" s="433"/>
      <c r="J390" t="str">
        <v>Panty liners</v>
      </c>
    </row>
    <row r="391" spans="7:10" ht="15.75" thickBot="1">
      <c r="G391" s="436"/>
      <c r="H391" s="436"/>
      <c r="I391" s="433"/>
      <c r="J391" t="str">
        <v>Highway DAB</v>
      </c>
    </row>
    <row r="392" spans="7:10" ht="15.75" thickBot="1">
      <c r="G392" s="436"/>
      <c r="H392" s="436"/>
      <c r="I392" s="433"/>
      <c r="J392" t="str">
        <v>Highway ZOAB</v>
      </c>
    </row>
    <row r="393" spans="7:10" ht="15.75" thickBot="1">
      <c r="G393" s="436"/>
      <c r="H393" s="436"/>
      <c r="I393" s="433"/>
      <c r="J393" t="str">
        <v>Highway DAB non cleaned</v>
      </c>
    </row>
    <row r="394" spans="7:10" ht="15.75" thickBot="1">
      <c r="G394" s="436"/>
      <c r="H394" s="436"/>
      <c r="I394" s="433"/>
      <c r="J394" t="str">
        <v>Sanitary pads</v>
      </c>
    </row>
    <row r="395" spans="7:10" ht="15.75" thickBot="1">
      <c r="G395" s="436"/>
      <c r="H395" s="436"/>
      <c r="I395" s="433"/>
      <c r="J395" t="str">
        <v>Tampons</v>
      </c>
    </row>
    <row r="396" spans="7:10" ht="15.75" thickBot="1">
      <c r="G396" s="436"/>
      <c r="H396" s="436"/>
      <c r="I396" s="433"/>
      <c r="J396" t="str">
        <v>Road cleaning</v>
      </c>
    </row>
    <row r="397" spans="7:10" ht="15.75" thickBot="1">
      <c r="G397" s="436"/>
      <c r="H397" s="436"/>
      <c r="I397" s="433"/>
      <c r="J397" t="str">
        <v>Indoor floors (micro)</v>
      </c>
    </row>
    <row r="398" spans="7:10" ht="15.75" thickBot="1">
      <c r="G398" s="436"/>
      <c r="H398" s="436"/>
      <c r="I398" s="433"/>
      <c r="J398" t="str">
        <v>Infill material sports fields</v>
      </c>
    </row>
    <row r="399" spans="7:10" ht="15.75" thickBot="1">
      <c r="G399" s="436"/>
      <c r="H399" s="436"/>
      <c r="I399" s="433"/>
      <c r="J399" t="str">
        <v>Infill material sports fields (discarded)</v>
      </c>
    </row>
    <row r="400" spans="7:10" ht="15.75" thickBot="1">
      <c r="G400" s="436"/>
      <c r="H400" s="436"/>
      <c r="I400" s="433"/>
      <c r="J400" t="str">
        <v>Infill material sports fields (in use)</v>
      </c>
    </row>
    <row r="401" spans="7:10" ht="15.75" thickBot="1">
      <c r="G401" s="436"/>
      <c r="H401" s="436"/>
      <c r="I401" s="433"/>
      <c r="J401" t="str">
        <v>Invitro diagnostic devices</v>
      </c>
    </row>
    <row r="402" spans="7:10" ht="15.75" thickBot="1">
      <c r="G402" s="436"/>
      <c r="H402" s="436"/>
      <c r="I402" s="433"/>
      <c r="J402" t="str">
        <v>Litter on road sides</v>
      </c>
    </row>
    <row r="403" spans="7:10" ht="15.75" thickBot="1">
      <c r="G403" s="436"/>
      <c r="H403" s="436"/>
      <c r="I403" s="433"/>
      <c r="J403" t="str">
        <v>Litter in natural environments</v>
      </c>
    </row>
    <row r="404" spans="7:10" ht="15.75" thickBot="1">
      <c r="G404" s="436"/>
      <c r="H404" s="436"/>
      <c r="I404" s="433"/>
      <c r="J404" t="str">
        <v>Litter in residential environments</v>
      </c>
    </row>
    <row r="405" spans="7:10" ht="15.75" thickBot="1">
      <c r="G405" s="436"/>
      <c r="H405" s="436"/>
      <c r="I405" s="433"/>
      <c r="J405" t="str">
        <v>Wet wipes</v>
      </c>
    </row>
    <row r="406" spans="7:10" ht="15.75" thickBot="1">
      <c r="G406" s="436"/>
      <c r="H406" s="436"/>
      <c r="I406" s="433"/>
      <c r="J406" t="str">
        <v>Medicine diffusion limitation (slow release)</v>
      </c>
    </row>
    <row r="407" spans="7:10" ht="15.75" thickBot="1">
      <c r="G407" s="436"/>
      <c r="H407" s="436"/>
      <c r="I407" s="433"/>
      <c r="J407" t="str">
        <v>Natural soil (macro)</v>
      </c>
    </row>
    <row r="408" spans="7:10" ht="15.75" thickBot="1">
      <c r="G408" s="436"/>
      <c r="H408" s="436"/>
      <c r="I408" s="433"/>
      <c r="J408" t="str">
        <v>ELV textiles collection</v>
      </c>
    </row>
    <row r="409" spans="7:10" ht="15.75" thickBot="1">
      <c r="G409" s="436"/>
      <c r="H409" s="436"/>
      <c r="I409" s="433"/>
      <c r="J409" t="str">
        <v>Mixed waste collection (micro)</v>
      </c>
    </row>
    <row r="410" spans="7:10" ht="15.75" thickBot="1">
      <c r="G410" s="436"/>
      <c r="H410" s="436"/>
      <c r="I410" s="433"/>
      <c r="J410" t="str">
        <v>Technical home textiles (discarded)</v>
      </c>
    </row>
    <row r="411" spans="7:10" ht="15.75" thickBot="1">
      <c r="G411" s="436"/>
      <c r="H411" s="436"/>
      <c r="I411" s="433"/>
      <c r="J411" t="str">
        <v>Technical home textiles (in use)</v>
      </c>
    </row>
    <row r="412" spans="7:10" ht="15.75" thickBot="1">
      <c r="G412" s="436"/>
      <c r="H412" s="436"/>
      <c r="I412" s="433"/>
      <c r="J412" t="str">
        <v>Agrotextiles</v>
      </c>
    </row>
    <row r="413" spans="7:10" ht="15.75" thickBot="1">
      <c r="G413" s="436"/>
      <c r="H413" s="436"/>
      <c r="I413" s="433"/>
      <c r="J413" t="str">
        <v>Natural soil (micro)</v>
      </c>
    </row>
    <row r="414" spans="7:10" ht="15.75" thickBot="1">
      <c r="G414" s="436"/>
      <c r="H414" s="436"/>
      <c r="I414" s="433"/>
      <c r="J414" t="str">
        <v>Non-consumer bags</v>
      </c>
    </row>
    <row r="415" spans="7:10" ht="15.75" thickBot="1">
      <c r="G415" s="436"/>
      <c r="H415" s="436"/>
      <c r="I415" s="433"/>
      <c r="J415" t="str">
        <v>Offshore oil &amp; gas applications</v>
      </c>
    </row>
    <row r="416" spans="7:10" ht="15.75" thickBot="1">
      <c r="G416" s="436"/>
      <c r="H416" s="436"/>
      <c r="I416" s="433"/>
      <c r="J416" t="str">
        <v>On-site sewage facility (macro)</v>
      </c>
    </row>
    <row r="417" spans="7:10" ht="15.75" thickBot="1">
      <c r="G417" s="436"/>
      <c r="H417" s="436"/>
      <c r="I417" s="433"/>
      <c r="J417" t="str">
        <v>On-site sewage facility (micro)</v>
      </c>
    </row>
    <row r="418" spans="7:10" ht="15.75" thickBot="1">
      <c r="G418" s="436"/>
      <c r="H418" s="436"/>
      <c r="I418" s="433"/>
      <c r="J418" t="str">
        <v>On-the-go consumption</v>
      </c>
    </row>
    <row r="419" spans="7:10" ht="15.75" thickBot="1">
      <c r="G419" s="436"/>
      <c r="H419" s="436"/>
      <c r="I419" s="433"/>
      <c r="J419" t="str">
        <v>On-the-go consumption (nature)</v>
      </c>
    </row>
    <row r="420" spans="7:10" ht="15.75" thickBot="1">
      <c r="G420" s="436"/>
      <c r="H420" s="436"/>
      <c r="I420" s="433"/>
      <c r="J420" t="str">
        <v>On-the-go consumption (residential)</v>
      </c>
    </row>
    <row r="421" spans="7:10" ht="15.75" thickBot="1">
      <c r="G421" s="436"/>
      <c r="H421" s="436"/>
      <c r="I421" s="433"/>
      <c r="J421" t="str">
        <v>On-the-go consumption (transport)</v>
      </c>
    </row>
    <row r="422" spans="7:10" ht="15.75" thickBot="1">
      <c r="G422" s="436"/>
      <c r="H422" s="436"/>
      <c r="I422" s="433"/>
      <c r="J422" t="str">
        <v>Other consumer packaging</v>
      </c>
    </row>
    <row r="423" spans="7:10" ht="15.75" thickBot="1">
      <c r="G423" s="436"/>
      <c r="H423" s="436"/>
      <c r="I423" s="433"/>
      <c r="J423" t="str">
        <v>Other non-consumer films</v>
      </c>
    </row>
    <row r="424" spans="7:10" ht="15.75" thickBot="1">
      <c r="G424" s="436"/>
      <c r="H424" s="436"/>
      <c r="I424" s="433"/>
      <c r="J424" t="str">
        <v>Other non-consumer packaging</v>
      </c>
    </row>
    <row r="425" spans="7:10" ht="15.75" thickBot="1">
      <c r="G425" s="436"/>
      <c r="H425" s="436"/>
      <c r="I425" s="433"/>
      <c r="J425" t="str">
        <v>Building textiles</v>
      </c>
    </row>
    <row r="426" spans="7:10" ht="15.75" thickBot="1">
      <c r="G426" s="436"/>
      <c r="H426" s="436"/>
      <c r="I426" s="433"/>
      <c r="J426" t="str">
        <v>Road side soil (micro)</v>
      </c>
    </row>
    <row r="427" spans="7:10" ht="15.75" thickBot="1">
      <c r="G427" s="436"/>
      <c r="H427" s="436"/>
      <c r="I427" s="433"/>
      <c r="J427" t="str">
        <v>Highway ZOAB non cleaned</v>
      </c>
    </row>
    <row r="428" spans="7:10" ht="15.75" thickBot="1">
      <c r="G428" s="436"/>
      <c r="H428" s="436"/>
      <c r="I428" s="433"/>
      <c r="J428" t="str">
        <v>Packaging collection</v>
      </c>
    </row>
    <row r="429" spans="7:10" ht="15.75" thickBot="1">
      <c r="G429" s="436"/>
      <c r="H429" s="436"/>
      <c r="I429" s="433"/>
      <c r="J429" t="str">
        <v>Packaging recycling</v>
      </c>
    </row>
    <row r="430" spans="7:10" ht="15.75" thickBot="1">
      <c r="G430" s="436"/>
      <c r="H430" s="436"/>
      <c r="I430" s="433"/>
      <c r="J430" t="str">
        <v>Geotextiles</v>
      </c>
    </row>
    <row r="431" spans="7:10" ht="15.75" thickBot="1">
      <c r="G431" s="436"/>
      <c r="H431" s="436"/>
      <c r="I431" s="433"/>
      <c r="J431" t="str">
        <v>PCCP</v>
      </c>
    </row>
    <row r="432" spans="7:10" ht="15.75" thickBot="1">
      <c r="G432" s="436"/>
      <c r="H432" s="436"/>
      <c r="I432" s="433"/>
      <c r="J432" t="str">
        <v>Plant protection products</v>
      </c>
    </row>
    <row r="433" spans="7:10" ht="15.75" thickBot="1">
      <c r="G433" s="436"/>
      <c r="H433" s="436"/>
      <c r="I433" s="433"/>
      <c r="J433" t="str">
        <v>Primary water treatment (macro)</v>
      </c>
    </row>
    <row r="434" spans="7:10" ht="15.75" thickBot="1">
      <c r="G434" s="436"/>
      <c r="H434" s="436"/>
      <c r="I434" s="433"/>
      <c r="J434" t="str">
        <v>Primary water treatment (micro)</v>
      </c>
    </row>
    <row r="435" spans="7:10" ht="15.75" thickBot="1">
      <c r="G435" s="436"/>
      <c r="H435" s="436"/>
      <c r="I435" s="433"/>
      <c r="J435" t="str">
        <v>Stormwater (macro)</v>
      </c>
    </row>
    <row r="436" spans="7:10" ht="15.75" thickBot="1">
      <c r="G436" s="436"/>
      <c r="H436" s="436"/>
      <c r="I436" s="433"/>
      <c r="J436" t="str">
        <v>Stormwater (micro)</v>
      </c>
    </row>
    <row r="437" spans="7:10" ht="15.75" thickBot="1">
      <c r="G437" s="436"/>
      <c r="H437" s="436"/>
      <c r="I437" s="433"/>
      <c r="J437" t="str">
        <v>Highway</v>
      </c>
    </row>
    <row r="438" spans="7:10" ht="15.75" thickBot="1">
      <c r="G438" s="436"/>
      <c r="H438" s="436"/>
      <c r="I438" s="433"/>
      <c r="J438" t="str">
        <v>Rural roads</v>
      </c>
    </row>
    <row r="439" spans="7:10" ht="15.75" thickBot="1">
      <c r="G439" s="436"/>
      <c r="H439" s="436"/>
      <c r="I439" s="433"/>
      <c r="J439" t="str">
        <v>Urban roads</v>
      </c>
    </row>
    <row r="440" spans="7:10" ht="15.75" thickBot="1">
      <c r="G440" s="436"/>
      <c r="H440" s="436"/>
      <c r="I440" s="433"/>
      <c r="J440" t="str">
        <v>Medical textiles</v>
      </c>
    </row>
    <row r="441" spans="7:10" ht="15.75" thickBot="1">
      <c r="G441" s="436"/>
      <c r="H441" s="436"/>
      <c r="I441" s="433"/>
      <c r="J441" t="str">
        <v>Secondary water treatment (macro)</v>
      </c>
    </row>
    <row r="442" spans="7:10" ht="15.75" thickBot="1">
      <c r="G442" s="436"/>
      <c r="H442" s="436"/>
      <c r="I442" s="433"/>
      <c r="J442" t="str">
        <v>Seed coating</v>
      </c>
    </row>
    <row r="443" spans="7:10" ht="15.75" thickBot="1">
      <c r="G443" s="436"/>
      <c r="H443" s="436"/>
      <c r="I443" s="433"/>
      <c r="J443" t="str">
        <v>Sludge (macro)</v>
      </c>
    </row>
    <row r="444" spans="7:10" ht="15.75" thickBot="1">
      <c r="G444" s="436"/>
      <c r="H444" s="436"/>
      <c r="I444" s="433"/>
      <c r="J444" t="str">
        <v>Sludge (micro)</v>
      </c>
    </row>
    <row r="445" spans="7:10" ht="15.75" thickBot="1">
      <c r="G445" s="436"/>
      <c r="H445" s="436"/>
      <c r="I445" s="433"/>
      <c r="J445" t="str">
        <v>Road side soil (macro)</v>
      </c>
    </row>
    <row r="446" spans="7:10" ht="15.75" thickBot="1">
      <c r="G446" s="436"/>
      <c r="H446" s="436"/>
      <c r="I446" s="433"/>
      <c r="J446" t="str">
        <v>Road runoff</v>
      </c>
    </row>
    <row r="447" spans="7:10" ht="15.75" thickBot="1">
      <c r="G447" s="436"/>
      <c r="H447" s="436"/>
      <c r="I447" s="433"/>
      <c r="J447" t="str">
        <v>Mobility textiles</v>
      </c>
    </row>
    <row r="448" spans="7:10" ht="15.75" thickBot="1">
      <c r="G448" s="436"/>
      <c r="H448" s="436"/>
      <c r="I448" s="433"/>
      <c r="J448" t="str">
        <v>Other technical textiles</v>
      </c>
    </row>
    <row r="449" spans="7:10" ht="15.75" thickBot="1">
      <c r="G449" s="436"/>
      <c r="H449" s="436"/>
      <c r="I449" s="433"/>
      <c r="J449" t="str">
        <v>Tertiary water treatment (macro)</v>
      </c>
    </row>
    <row r="450" spans="7:10" ht="15.75" thickBot="1">
      <c r="G450" s="436"/>
      <c r="H450" s="436"/>
      <c r="I450" s="433"/>
      <c r="J450" t="str">
        <v>Technical home textiles</v>
      </c>
    </row>
    <row r="451" spans="7:10" ht="15.75" thickBot="1">
      <c r="G451" s="436"/>
      <c r="H451" s="436"/>
      <c r="I451" s="433"/>
      <c r="J451" t="str">
        <v>Textile coating (discarded)</v>
      </c>
    </row>
    <row r="452" spans="7:10" ht="15.75" thickBot="1">
      <c r="G452" s="436"/>
      <c r="H452" s="436"/>
      <c r="I452" s="433"/>
      <c r="J452" t="str">
        <v>Textile coating (in use)</v>
      </c>
    </row>
    <row r="453" spans="7:10" ht="15.75" thickBot="1">
      <c r="G453" s="436"/>
      <c r="H453" s="436"/>
      <c r="I453" s="433"/>
      <c r="J453" t="str">
        <v>Wastewater (macro)</v>
      </c>
    </row>
    <row r="454" spans="7:10" ht="15.75" thickBot="1">
      <c r="G454" s="436"/>
      <c r="H454" s="436"/>
      <c r="I454" s="433"/>
      <c r="J454" t="str">
        <v>Pellet conversion</v>
      </c>
    </row>
    <row r="455" spans="7:10" ht="15.75" thickBot="1">
      <c r="G455" s="436"/>
      <c r="H455" s="436"/>
      <c r="I455" s="433"/>
      <c r="J455" t="str">
        <v>Textile coating</v>
      </c>
    </row>
    <row r="456" spans="7:10" ht="15.75" thickBot="1">
      <c r="G456" s="436"/>
      <c r="H456" s="436"/>
      <c r="I456" s="433"/>
      <c r="J456" t="str">
        <v>Pellet losses transport land</v>
      </c>
    </row>
    <row r="457" spans="7:10" ht="15.75" thickBot="1">
      <c r="G457" s="436"/>
      <c r="H457" s="436"/>
      <c r="I457" s="433"/>
      <c r="J457" t="str">
        <v>Sea water (micro)</v>
      </c>
    </row>
    <row r="458" spans="7:10" ht="15.75" thickBot="1">
      <c r="G458" s="436"/>
      <c r="H458" s="436"/>
      <c r="I458" s="433"/>
      <c r="J458" t="str">
        <v>Pellet losses industrial plants</v>
      </c>
    </row>
    <row r="459" spans="7:10" ht="15.75" thickBot="1">
      <c r="G459" s="436"/>
      <c r="H459" s="436"/>
      <c r="I459" s="433"/>
      <c r="J459" t="str">
        <v>Concrete paint (prof)</v>
      </c>
    </row>
    <row r="460" spans="7:10">
      <c r="G460" s="436"/>
      <c r="H460" s="436"/>
      <c r="I460" s="433"/>
      <c r="J460" t="str">
        <v>Lacquer (prof)</v>
      </c>
    </row>
    <row r="461" spans="7:10">
      <c r="G461" s="436"/>
      <c r="H461" s="436"/>
      <c r="I461" s="227"/>
      <c r="J461" t="str">
        <v>Wood stain (prof)</v>
      </c>
    </row>
    <row r="462" spans="7:10">
      <c r="G462" s="436"/>
      <c r="H462" s="436"/>
      <c r="I462" s="227"/>
      <c r="J462" t="str">
        <v>Wall paint (prof)</v>
      </c>
    </row>
    <row r="463" spans="7:10">
      <c r="I463" s="68"/>
      <c r="J463" t="str">
        <v>Plaster (prof)</v>
      </c>
    </row>
    <row r="464" spans="7:10" ht="15.75" thickBot="1">
      <c r="I464" s="72"/>
      <c r="J464" t="str">
        <v>Other paint uses (prof)</v>
      </c>
    </row>
    <row r="465" spans="10:10">
      <c r="J465" t="str">
        <v>Paints used in pre-made wooden products</v>
      </c>
    </row>
    <row r="466" spans="10:10">
      <c r="J466" t="str">
        <v>Lacquer (DIY)</v>
      </c>
    </row>
    <row r="467" spans="10:10">
      <c r="J467" t="str">
        <v>Wood stain (DIY)</v>
      </c>
    </row>
    <row r="468" spans="10:10">
      <c r="J468" t="str">
        <v>Wall paint (DIY)</v>
      </c>
    </row>
    <row r="469" spans="10:10">
      <c r="J469" t="str">
        <v>Plaster (DIY)</v>
      </c>
    </row>
    <row r="470" spans="10:10">
      <c r="J470" t="str">
        <v>Other paint uses (DIY)</v>
      </c>
    </row>
    <row r="471" spans="10:10">
      <c r="J471" t="str">
        <v>Ship paint (prof)</v>
      </c>
    </row>
    <row r="472" spans="10:10">
      <c r="J472" t="str">
        <v>Ship paint (recr)</v>
      </c>
    </row>
    <row r="473" spans="10:10">
      <c r="J473" t="str">
        <v>Ship paint (prof) (in use)</v>
      </c>
    </row>
    <row r="474" spans="10:10">
      <c r="J474" t="str">
        <v>Ship paint (prof) (discarded)</v>
      </c>
    </row>
    <row r="475" spans="10:10">
      <c r="J475" t="str">
        <v>Ship paint (recr) (in use)</v>
      </c>
    </row>
    <row r="476" spans="10:10">
      <c r="J476" t="str">
        <v>Ship paint (recr) (discarded)</v>
      </c>
    </row>
    <row r="477" spans="10:10">
      <c r="J477" t="str">
        <v>Concrete paint (prof) outdoor</v>
      </c>
    </row>
    <row r="478" spans="10:10">
      <c r="J478" t="str">
        <v>Concrete paint (prof) indoor</v>
      </c>
    </row>
    <row r="479" spans="10:10">
      <c r="J479" t="str">
        <v>Concrete paint (prof) outdoor (in use)</v>
      </c>
    </row>
    <row r="480" spans="10:10">
      <c r="J480" t="str">
        <v>Concrete paint (prof) outdoor (discarded)</v>
      </c>
    </row>
    <row r="481" spans="10:10">
      <c r="J481" t="str">
        <v>Concrete paint (prof) indoor (in use)</v>
      </c>
    </row>
    <row r="482" spans="10:10">
      <c r="J482" t="str">
        <v>Concrete paint (prof) indoor (discarded)</v>
      </c>
    </row>
    <row r="483" spans="10:10">
      <c r="J483" t="str">
        <v>Lacquer (prof) outdoor</v>
      </c>
    </row>
    <row r="484" spans="10:10">
      <c r="J484" t="str">
        <v>Lacquer (prof) indoor</v>
      </c>
    </row>
    <row r="485" spans="10:10">
      <c r="J485" t="str">
        <v>Lacquer (prof) outdoor (in use)</v>
      </c>
    </row>
    <row r="486" spans="10:10">
      <c r="J486" t="str">
        <v>Lacquer (prof) outdoor (discarded)</v>
      </c>
    </row>
    <row r="487" spans="10:10">
      <c r="J487" t="str">
        <v>Lacquer (prof) indoor (in use)</v>
      </c>
    </row>
    <row r="488" spans="10:10">
      <c r="J488" t="str">
        <v>Lacquer (prof) indoor (discarded)</v>
      </c>
    </row>
    <row r="489" spans="10:10">
      <c r="J489" t="str">
        <v>Wood stain (prof) outdoor</v>
      </c>
    </row>
    <row r="490" spans="10:10">
      <c r="J490" t="str">
        <v>Wood stain (prof) indoor</v>
      </c>
    </row>
    <row r="491" spans="10:10">
      <c r="J491" t="str">
        <v>Wood stain (prof) outdoor (in use)</v>
      </c>
    </row>
    <row r="492" spans="10:10">
      <c r="J492" t="str">
        <v>Wood stain (prof) outdoor (discarded)</v>
      </c>
    </row>
    <row r="493" spans="10:10">
      <c r="J493" t="str">
        <v>Wood stain (prof) indoor (in use)</v>
      </c>
    </row>
    <row r="494" spans="10:10">
      <c r="J494" t="str">
        <v>Wood stain (prof) indoor (discarded)</v>
      </c>
    </row>
    <row r="495" spans="10:10">
      <c r="J495" t="str">
        <v>Wall paint (prof) outdoor</v>
      </c>
    </row>
    <row r="496" spans="10:10">
      <c r="J496" t="str">
        <v>Wall paint (prof) indoor</v>
      </c>
    </row>
    <row r="497" spans="10:10">
      <c r="J497" t="str">
        <v>Wall paint (prof) outdoor (in use)</v>
      </c>
    </row>
    <row r="498" spans="10:10">
      <c r="J498" t="str">
        <v>Wall paint (prof) outdoor (discarded)</v>
      </c>
    </row>
    <row r="499" spans="10:10">
      <c r="J499" t="str">
        <v>Wall paint (prof) indoor (in use)</v>
      </c>
    </row>
    <row r="500" spans="10:10">
      <c r="J500" t="str">
        <v>Wall paint (prof) indoor (discarded)</v>
      </c>
    </row>
    <row r="501" spans="10:10">
      <c r="J501" t="str">
        <v>Plaster (prof) outdoor</v>
      </c>
    </row>
    <row r="502" spans="10:10">
      <c r="J502" t="str">
        <v>Plaster (prof) indoor</v>
      </c>
    </row>
    <row r="503" spans="10:10">
      <c r="J503" t="str">
        <v>Plaster (prof) outdoor (in use)</v>
      </c>
    </row>
    <row r="504" spans="10:10">
      <c r="J504" t="str">
        <v>Plaster (prof) outdoor (discarded)</v>
      </c>
    </row>
    <row r="505" spans="10:10">
      <c r="J505" t="str">
        <v>Plaster (prof) indoor (in use)</v>
      </c>
    </row>
    <row r="506" spans="10:10">
      <c r="J506" t="str">
        <v>Plaster (prof) indoor (discarded)</v>
      </c>
    </row>
    <row r="507" spans="10:10">
      <c r="J507" t="str">
        <v>Other paint uses (prof) outdoor</v>
      </c>
    </row>
    <row r="508" spans="10:10">
      <c r="J508" t="str">
        <v>Other paint uses (prof) indoor</v>
      </c>
    </row>
    <row r="509" spans="10:10">
      <c r="J509" t="str">
        <v>Other paint uses (prof) outdoor (in use)</v>
      </c>
    </row>
    <row r="510" spans="10:10">
      <c r="J510" t="str">
        <v>Other paint uses (prof) outdoor (discarded)</v>
      </c>
    </row>
    <row r="511" spans="10:10">
      <c r="J511" t="str">
        <v>Other paint uses (prof) indoor (in use)</v>
      </c>
    </row>
    <row r="512" spans="10:10">
      <c r="J512" t="str">
        <v>Other paint uses (prof) indoor (discarded)</v>
      </c>
    </row>
    <row r="513" spans="10:10">
      <c r="J513" t="str">
        <v>Paints used in pre-made wooden products outdoor</v>
      </c>
    </row>
    <row r="514" spans="10:10">
      <c r="J514" t="str">
        <v>Paints used in pre-made wooden products indoor</v>
      </c>
    </row>
    <row r="515" spans="10:10">
      <c r="J515" t="str">
        <v>Paints used in pre-made wooden products outdoor (in use)</v>
      </c>
    </row>
    <row r="516" spans="10:10">
      <c r="J516" t="str">
        <v>Paints used in pre-made wooden products outdoor (discarded)</v>
      </c>
    </row>
    <row r="517" spans="10:10">
      <c r="J517" t="str">
        <v>Paints used in pre-made wooden products indoor (in use)</v>
      </c>
    </row>
    <row r="518" spans="10:10">
      <c r="J518" t="str">
        <v>Paints used in pre-made wooden products indoor (discarded)</v>
      </c>
    </row>
    <row r="519" spans="10:10">
      <c r="J519" t="str">
        <v>Lacquer (DIY) outdoor</v>
      </c>
    </row>
    <row r="520" spans="10:10">
      <c r="J520" t="str">
        <v>Lacquer (DIY) indoor</v>
      </c>
    </row>
    <row r="521" spans="10:10">
      <c r="J521" t="str">
        <v>Lacquer (DIY) outdoor (in use)</v>
      </c>
    </row>
    <row r="522" spans="10:10">
      <c r="J522" t="str">
        <v>Lacquer (DIY) outdoor (discarded)</v>
      </c>
    </row>
    <row r="523" spans="10:10">
      <c r="J523" t="str">
        <v>Lacquer (DIY) indoor (in use)</v>
      </c>
    </row>
    <row r="524" spans="10:10">
      <c r="J524" t="str">
        <v>Lacquer (DIY) indoor (discarded)</v>
      </c>
    </row>
    <row r="525" spans="10:10">
      <c r="J525" t="str">
        <v>Wood stain (DIY) outdoor</v>
      </c>
    </row>
    <row r="526" spans="10:10">
      <c r="J526" t="str">
        <v>Wood stain (DIY) indoor</v>
      </c>
    </row>
    <row r="527" spans="10:10">
      <c r="J527" t="str">
        <v>Wood stain (DIY) outdoor (in use)</v>
      </c>
    </row>
    <row r="528" spans="10:10">
      <c r="J528" t="str">
        <v>Wood stain (DIY) outdoor (discarded)</v>
      </c>
    </row>
    <row r="529" spans="10:10">
      <c r="J529" t="str">
        <v>Wood stain (DIY) indoor (in use)</v>
      </c>
    </row>
    <row r="530" spans="10:10">
      <c r="J530" t="str">
        <v>Wood stain (DIY) indoor (discarded)</v>
      </c>
    </row>
    <row r="531" spans="10:10">
      <c r="J531" t="str">
        <v>Wall paint (DIY) outdoor</v>
      </c>
    </row>
    <row r="532" spans="10:10">
      <c r="J532" t="str">
        <v>Wall paint (DIY) indoor</v>
      </c>
    </row>
    <row r="533" spans="10:10">
      <c r="J533" t="str">
        <v>Wall paint (DIY) outdoor (in use)</v>
      </c>
    </row>
    <row r="534" spans="10:10">
      <c r="J534" t="str">
        <v>Wall paint (DIY) outdoor (discarded)</v>
      </c>
    </row>
    <row r="535" spans="10:10">
      <c r="J535" t="str">
        <v>Wall paint (DIY) indoor applied</v>
      </c>
    </row>
    <row r="536" spans="10:10">
      <c r="J536" t="str">
        <v>Wall paint (DIY) indoor on brush</v>
      </c>
    </row>
    <row r="537" spans="10:10">
      <c r="J537" t="str">
        <v>Wall paint (DIY) indoor applied (in use)</v>
      </c>
    </row>
    <row r="538" spans="10:10">
      <c r="J538" t="str">
        <v>Wall paint (DIY) indoor applied (discarded)</v>
      </c>
    </row>
    <row r="539" spans="10:10">
      <c r="J539" t="str">
        <v>Plaster (DIY) outdoor</v>
      </c>
    </row>
    <row r="540" spans="10:10">
      <c r="J540" t="str">
        <v>Plaster (DIY) indoor</v>
      </c>
    </row>
    <row r="541" spans="10:10">
      <c r="J541" t="str">
        <v>Plaster (DIY) outdoor (in use)</v>
      </c>
    </row>
    <row r="542" spans="10:10">
      <c r="J542" t="str">
        <v>Plaster (DIY) outdoor (discarded)</v>
      </c>
    </row>
    <row r="543" spans="10:10">
      <c r="J543" t="str">
        <v>Plaster (DIY) indoor (in use)</v>
      </c>
    </row>
    <row r="544" spans="10:10">
      <c r="J544" t="str">
        <v>Plaster (DIY) indoor (discarded)</v>
      </c>
    </row>
    <row r="545" spans="10:10">
      <c r="J545" t="str">
        <v>Other paint uses (DIY) outdoor</v>
      </c>
    </row>
    <row r="546" spans="10:10">
      <c r="J546" t="str">
        <v>Other paint uses (DIY) indoor</v>
      </c>
    </row>
    <row r="547" spans="10:10">
      <c r="J547" t="str">
        <v>Other paint uses (DIY) outdoor (in use)</v>
      </c>
    </row>
    <row r="548" spans="10:10">
      <c r="J548" t="str">
        <v>Other paint uses (DIY) outdoor (discarded)</v>
      </c>
    </row>
    <row r="549" spans="10:10">
      <c r="J549" t="str">
        <v>Other paint uses (DIY) indoor (in use)</v>
      </c>
    </row>
    <row r="550" spans="10:10">
      <c r="J550" t="str">
        <v>Other paint uses (DIY) indoor (discarded)</v>
      </c>
    </row>
    <row r="551" spans="10:10">
      <c r="J551" t="str">
        <v>Clothing (product sector)</v>
      </c>
    </row>
    <row r="552" spans="10:10">
      <c r="J552" t="str">
        <v>Apparel accessories</v>
      </c>
    </row>
    <row r="553" spans="10:10">
      <c r="J553" t="str">
        <v>Boots</v>
      </c>
    </row>
    <row r="554" spans="10:10">
      <c r="J554" t="str">
        <v>Closed-toed shoes</v>
      </c>
    </row>
    <row r="555" spans="10:10">
      <c r="J555" t="str">
        <v>Dresses skirts and jumpsuits</v>
      </c>
    </row>
    <row r="556" spans="10:10">
      <c r="J556" t="str">
        <v>Jackets and coats</v>
      </c>
    </row>
    <row r="557" spans="10:10">
      <c r="J557" t="str">
        <v>Leggings stockings tights and socks</v>
      </c>
    </row>
    <row r="558" spans="10:10">
      <c r="J558" t="str">
        <v>Open-toed shoes</v>
      </c>
    </row>
    <row r="559" spans="10:10">
      <c r="J559" t="str">
        <v>Pants and shorts</v>
      </c>
    </row>
    <row r="560" spans="10:10">
      <c r="J560" t="str">
        <v>Shirts and blouses</v>
      </c>
    </row>
    <row r="561" spans="10:10">
      <c r="J561" t="str">
        <v>Sweaters and midlayers</v>
      </c>
    </row>
    <row r="562" spans="10:10">
      <c r="J562" t="str">
        <v>Swimwear</v>
      </c>
    </row>
    <row r="563" spans="10:10">
      <c r="J563" t="str">
        <v>T-shirts</v>
      </c>
    </row>
    <row r="564" spans="10:10">
      <c r="J564" t="str">
        <v>Underwear</v>
      </c>
    </row>
    <row r="565" spans="10:10">
      <c r="J565" t="str">
        <v>Clothing washing machine (with external filter)</v>
      </c>
    </row>
    <row r="566" spans="10:10">
      <c r="J566" t="str">
        <v>Clothing washing machine (without external filter)</v>
      </c>
    </row>
    <row r="567" spans="10:10">
      <c r="J567" t="str">
        <v>Clothing washing by hand</v>
      </c>
    </row>
    <row r="568" spans="10:10">
      <c r="J568" t="str">
        <v>Clothing indoor drying</v>
      </c>
    </row>
    <row r="569" spans="10:10">
      <c r="J569" t="str">
        <v>Clothing outdoor drying</v>
      </c>
    </row>
    <row r="570" spans="10:10">
      <c r="J570" t="str">
        <v>Clothing drying VTD</v>
      </c>
    </row>
    <row r="571" spans="10:10">
      <c r="J571" t="str">
        <v>Clothing drying CHPTD</v>
      </c>
    </row>
    <row r="572" spans="10:10">
      <c r="J572" t="str">
        <v>Clothing drying CHETD</v>
      </c>
    </row>
    <row r="573" spans="10:10">
      <c r="J573" t="str">
        <v>Clothing washer-dryer combo</v>
      </c>
    </row>
    <row r="574" spans="10:10">
      <c r="J574" t="str">
        <v>Lint filter (VTD)</v>
      </c>
    </row>
    <row r="575" spans="10:10">
      <c r="J575" t="str">
        <v>Lint filter (CHPTD)</v>
      </c>
    </row>
    <row r="576" spans="10:10">
      <c r="J576" t="str">
        <v>Lint filter (CHETD)</v>
      </c>
    </row>
    <row r="577" spans="10:10">
      <c r="J577" t="str">
        <v>Clean lint filter by hand</v>
      </c>
    </row>
    <row r="578" spans="10:10">
      <c r="J578" t="str">
        <v>Clean lint filter under running water</v>
      </c>
    </row>
    <row r="579" spans="10:10">
      <c r="J579" t="str">
        <v>Manufacturing of clothing</v>
      </c>
    </row>
    <row r="580" spans="10:10">
      <c r="J580" t="str">
        <v>Textile recycling</v>
      </c>
    </row>
    <row r="581" spans="10:10">
      <c r="J581" t="str">
        <v>Home textile waste collection</v>
      </c>
    </row>
    <row r="582" spans="10:10">
      <c r="J582" t="str">
        <v>Technical textile waste collection</v>
      </c>
    </row>
    <row r="583" spans="10:10">
      <c r="J583" t="str">
        <v>Textile reuse</v>
      </c>
    </row>
    <row r="584" spans="10:10">
      <c r="J584" t="str">
        <v>Footwear reuse</v>
      </c>
    </row>
    <row r="585" spans="10:10">
      <c r="J585" t="str">
        <v>Clothing not washed (in use)</v>
      </c>
    </row>
    <row r="586" spans="10:10">
      <c r="J586" t="str">
        <v>Clothing not washed (discarded)</v>
      </c>
    </row>
    <row r="587" spans="10:10">
      <c r="J587" t="str">
        <v>Clothing rarely washed (in use)</v>
      </c>
    </row>
    <row r="588" spans="10:10">
      <c r="J588" t="str">
        <v>Clothing rarely washed (discarded)</v>
      </c>
    </row>
    <row r="589" spans="10:10">
      <c r="J589" t="str">
        <v>Clothing washed (in use)</v>
      </c>
    </row>
    <row r="590" spans="10:10">
      <c r="J590" t="str">
        <v>Clothing washed (discarded)</v>
      </c>
    </row>
    <row r="591" spans="10:10">
      <c r="J591" t="str">
        <v>Clothing wearing</v>
      </c>
    </row>
    <row r="592" spans="10:10">
      <c r="J592" t="str">
        <v>Clothing washing</v>
      </c>
    </row>
    <row r="593" spans="10:10">
      <c r="J593" t="str">
        <v>Clothing drying</v>
      </c>
    </row>
    <row r="594" spans="10:10">
      <c r="J594" t="str">
        <v>Clothing waste collection</v>
      </c>
    </row>
    <row r="595" spans="10:10">
      <c r="J595" t="str">
        <v>Footwear waste collection</v>
      </c>
    </row>
    <row r="596" spans="10:10">
      <c r="J596" t="str">
        <v>Footwear wearing (soles)</v>
      </c>
    </row>
    <row r="597" spans="10:10">
      <c r="J597" t="str">
        <v>Footwear wearing (uppers)</v>
      </c>
    </row>
    <row r="598" spans="10:10">
      <c r="J598" t="str">
        <v>Secondary water treatment (micro)</v>
      </c>
    </row>
    <row r="599" spans="10:10">
      <c r="J599" t="str">
        <v>Tertiary water treatment (micro)</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88">
    <cfRule type="containsText" dxfId="22" priority="1" operator="containsText" text="stock">
      <formula>NOT(ISERROR(SEARCH("stock",B2)))</formula>
    </cfRule>
    <cfRule type="containsText" dxfId="21" priority="2" operator="containsText" text="Not found">
      <formula>NOT(ISERROR(SEARCH("Not found",B2)))</formula>
    </cfRule>
    <cfRule type="containsText" dxfId="20" priority="3" operator="containsText" text="Sink">
      <formula>NOT(ISERROR(SEARCH("Sink",B2)))</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00" t="s">
        <v>1403</v>
      </c>
      <c r="B1" s="600" t="s">
        <v>1404</v>
      </c>
      <c r="C1" s="600" t="s">
        <v>1405</v>
      </c>
      <c r="D1" s="600" t="s">
        <v>1406</v>
      </c>
      <c r="E1" s="600"/>
      <c r="F1" s="600"/>
    </row>
    <row r="2" spans="1:6" s="16" customFormat="1" ht="30" customHeight="1" thickBot="1">
      <c r="A2" s="58" t="s">
        <v>1395</v>
      </c>
      <c r="B2" s="65" t="s">
        <v>1396</v>
      </c>
      <c r="C2" s="58" t="s">
        <v>1397</v>
      </c>
      <c r="D2" s="58" t="s">
        <v>1407</v>
      </c>
      <c r="E2" s="144" t="s">
        <v>1408</v>
      </c>
      <c r="F2" s="65" t="s">
        <v>1409</v>
      </c>
    </row>
    <row r="3" spans="1:6">
      <c r="A3" s="564" t="s">
        <v>1051</v>
      </c>
      <c r="B3" s="95" t="s">
        <v>1410</v>
      </c>
      <c r="C3" s="321" t="s">
        <v>1411</v>
      </c>
      <c r="D3" s="302" t="str">
        <f t="shared" ref="D3:D34" si="0">IF(B3=IF(COUNTIF($F$5:$F$209,C3),"Stock","Flow/Sink"),"OK",IF(B3="Stock","Compartment missing in Lifetimes_pairs",IF(IF(COUNTIF($F$5:$F$161,C3),"Stock","Flow/Sink")="Stock","Change Type of compartment to Stock","OK")))</f>
        <v>OK</v>
      </c>
      <c r="E3" s="36"/>
      <c r="F3" s="601" t="str">
        <f>Lifetimes!B1</f>
        <v>AgriculturalFilmsIU</v>
      </c>
    </row>
    <row r="4" spans="1:6">
      <c r="A4" s="565" t="s">
        <v>967</v>
      </c>
      <c r="B4" s="364" t="s">
        <v>1410</v>
      </c>
      <c r="C4" s="307" t="s">
        <v>1412</v>
      </c>
      <c r="D4" s="301" t="str">
        <f t="shared" si="0"/>
        <v>OK</v>
      </c>
      <c r="E4" s="37"/>
      <c r="F4" s="602" t="str">
        <f>Lifetimes!C1</f>
        <v>AgriculturalFilmsDis</v>
      </c>
    </row>
    <row r="5" spans="1:6">
      <c r="A5" s="565" t="s">
        <v>138</v>
      </c>
      <c r="B5" s="364" t="s">
        <v>1413</v>
      </c>
      <c r="C5" s="307" t="s">
        <v>1160</v>
      </c>
      <c r="D5" s="301" t="str">
        <f t="shared" si="0"/>
        <v>OK</v>
      </c>
      <c r="E5" s="37"/>
      <c r="F5" s="602" t="str">
        <f>Lifetimes!D1</f>
        <v>AgriculturalPackagingBottles</v>
      </c>
    </row>
    <row r="6" spans="1:6">
      <c r="A6" s="565" t="s">
        <v>142</v>
      </c>
      <c r="B6" s="364" t="s">
        <v>1413</v>
      </c>
      <c r="C6" s="307" t="s">
        <v>1163</v>
      </c>
      <c r="D6" s="301" t="str">
        <f t="shared" si="0"/>
        <v>OK</v>
      </c>
      <c r="E6" s="37"/>
      <c r="F6" s="602" t="str">
        <f>Lifetimes!E1</f>
        <v>AgriculturalPackagingFilms</v>
      </c>
    </row>
    <row r="7" spans="1:6">
      <c r="A7" s="566" t="s">
        <v>1053</v>
      </c>
      <c r="B7" s="68" t="s">
        <v>1410</v>
      </c>
      <c r="C7" s="307" t="s">
        <v>1414</v>
      </c>
      <c r="D7" s="301" t="str">
        <f t="shared" si="0"/>
        <v>OK</v>
      </c>
      <c r="E7" s="37"/>
      <c r="F7" s="602" t="str">
        <f>Lifetimes!F1</f>
        <v>AgriculturalPipesIU</v>
      </c>
    </row>
    <row r="8" spans="1:6">
      <c r="A8" s="325" t="s">
        <v>144</v>
      </c>
      <c r="B8" s="68" t="s">
        <v>1410</v>
      </c>
      <c r="C8" s="307" t="s">
        <v>1415</v>
      </c>
      <c r="D8" s="301" t="str">
        <f t="shared" si="0"/>
        <v>OK</v>
      </c>
      <c r="E8" s="37"/>
      <c r="F8" s="602" t="str">
        <f>Lifetimes!G1</f>
        <v>AgriculturalPipesDis</v>
      </c>
    </row>
    <row r="9" spans="1:6">
      <c r="A9" s="325" t="s">
        <v>146</v>
      </c>
      <c r="B9" s="68" t="s">
        <v>1416</v>
      </c>
      <c r="C9" s="307" t="s">
        <v>1417</v>
      </c>
      <c r="D9" s="301" t="str">
        <f t="shared" si="0"/>
        <v>OK</v>
      </c>
      <c r="E9" s="37"/>
      <c r="F9" s="602" t="str">
        <f>Lifetimes!H1</f>
        <v>AgriculturalPPP</v>
      </c>
    </row>
    <row r="10" spans="1:6">
      <c r="A10" s="325" t="s">
        <v>155</v>
      </c>
      <c r="B10" s="68" t="s">
        <v>1416</v>
      </c>
      <c r="C10" s="307" t="s">
        <v>1418</v>
      </c>
      <c r="D10" s="301" t="str">
        <f t="shared" si="0"/>
        <v>OK</v>
      </c>
      <c r="E10" s="37"/>
      <c r="F10" s="602" t="str">
        <f>Lifetimes!I1</f>
        <v>BuildingPackagingFilms</v>
      </c>
    </row>
    <row r="11" spans="1:6">
      <c r="A11" s="325" t="s">
        <v>165</v>
      </c>
      <c r="B11" s="68" t="s">
        <v>1410</v>
      </c>
      <c r="C11" s="307" t="s">
        <v>1419</v>
      </c>
      <c r="D11" s="301" t="str">
        <f t="shared" si="0"/>
        <v>OK</v>
      </c>
      <c r="E11" s="37"/>
      <c r="F11" s="602" t="str">
        <f>Lifetimes!J1</f>
        <v>ConsumerBags</v>
      </c>
    </row>
    <row r="12" spans="1:6">
      <c r="A12" s="325" t="s">
        <v>954</v>
      </c>
      <c r="B12" s="68" t="s">
        <v>1410</v>
      </c>
      <c r="C12" s="307" t="s">
        <v>954</v>
      </c>
      <c r="D12" s="301" t="str">
        <f t="shared" si="0"/>
        <v>OK</v>
      </c>
      <c r="E12" s="37"/>
      <c r="F12" s="602" t="str">
        <f>Lifetimes!K1</f>
        <v>ConsumerBottles</v>
      </c>
    </row>
    <row r="13" spans="1:6">
      <c r="A13" s="325" t="s">
        <v>152</v>
      </c>
      <c r="B13" s="68" t="s">
        <v>1410</v>
      </c>
      <c r="C13" s="307" t="s">
        <v>152</v>
      </c>
      <c r="D13" s="301" t="str">
        <f t="shared" si="0"/>
        <v>OK</v>
      </c>
      <c r="E13" s="37"/>
      <c r="F13" s="602" t="str">
        <f>Lifetimes!L1</f>
        <v>ConsumerFilms</v>
      </c>
    </row>
    <row r="14" spans="1:6">
      <c r="A14" s="325" t="s">
        <v>1174</v>
      </c>
      <c r="B14" s="68" t="s">
        <v>1410</v>
      </c>
      <c r="C14" s="307" t="s">
        <v>1420</v>
      </c>
      <c r="D14" s="301" t="str">
        <f t="shared" si="0"/>
        <v>OK</v>
      </c>
      <c r="E14" s="37"/>
      <c r="F14" s="602" t="str">
        <f>Lifetimes!M1</f>
        <v>ConsumerOther</v>
      </c>
    </row>
    <row r="15" spans="1:6">
      <c r="A15" s="325" t="s">
        <v>1421</v>
      </c>
      <c r="B15" s="68" t="s">
        <v>1410</v>
      </c>
      <c r="C15" s="307" t="s">
        <v>1421</v>
      </c>
      <c r="D15" s="301" t="str">
        <f t="shared" si="0"/>
        <v>OK</v>
      </c>
      <c r="E15" s="37"/>
      <c r="F15" s="602" t="str">
        <f>Lifetimes!N1</f>
        <v>Cosmetics</v>
      </c>
    </row>
    <row r="16" spans="1:6">
      <c r="A16" s="325" t="s">
        <v>1422</v>
      </c>
      <c r="B16" s="68" t="s">
        <v>1410</v>
      </c>
      <c r="C16" s="307" t="s">
        <v>1423</v>
      </c>
      <c r="D16" s="301" t="str">
        <f t="shared" si="0"/>
        <v>OK</v>
      </c>
      <c r="E16" s="37"/>
      <c r="F16" s="602" t="str">
        <f>Lifetimes!O1</f>
        <v>Household</v>
      </c>
    </row>
    <row r="17" spans="1:6">
      <c r="A17" s="325" t="s">
        <v>1173</v>
      </c>
      <c r="B17" s="68" t="s">
        <v>1410</v>
      </c>
      <c r="C17" s="307" t="s">
        <v>1424</v>
      </c>
      <c r="D17" s="301" t="str">
        <f t="shared" si="0"/>
        <v>OK</v>
      </c>
      <c r="E17" s="37"/>
      <c r="F17" s="602" t="str">
        <f>Lifetimes!P1</f>
        <v>NonConsumerBags</v>
      </c>
    </row>
    <row r="18" spans="1:6">
      <c r="A18" s="325" t="s">
        <v>1425</v>
      </c>
      <c r="B18" s="68" t="s">
        <v>1416</v>
      </c>
      <c r="C18" s="307" t="s">
        <v>1426</v>
      </c>
      <c r="D18" s="301" t="str">
        <f t="shared" si="0"/>
        <v>OK</v>
      </c>
      <c r="E18" s="37"/>
      <c r="F18" s="602" t="str">
        <f>Lifetimes!Q1</f>
        <v>NonConsumerOther</v>
      </c>
    </row>
    <row r="19" spans="1:6">
      <c r="A19" s="325" t="s">
        <v>1427</v>
      </c>
      <c r="B19" s="68" t="s">
        <v>1410</v>
      </c>
      <c r="C19" s="307" t="s">
        <v>1428</v>
      </c>
      <c r="D19" s="301" t="str">
        <f t="shared" si="0"/>
        <v>OK</v>
      </c>
      <c r="E19" s="37"/>
      <c r="F19" s="602" t="str">
        <f>Lifetimes!R1</f>
        <v>OtherNonConsumerFilms</v>
      </c>
    </row>
    <row r="20" spans="1:6">
      <c r="A20" s="325" t="s">
        <v>183</v>
      </c>
      <c r="B20" s="68" t="s">
        <v>1410</v>
      </c>
      <c r="C20" s="307" t="s">
        <v>1164</v>
      </c>
      <c r="D20" s="301" t="str">
        <f t="shared" si="0"/>
        <v>Change Type of compartment to Stock</v>
      </c>
      <c r="E20" s="37" t="s">
        <v>1429</v>
      </c>
      <c r="F20" s="602" t="str">
        <f>Lifetimes!S1</f>
        <v>OtherOther</v>
      </c>
    </row>
    <row r="21" spans="1:6">
      <c r="A21" s="325" t="s">
        <v>170</v>
      </c>
      <c r="B21" s="68" t="s">
        <v>1410</v>
      </c>
      <c r="C21" s="307" t="s">
        <v>1430</v>
      </c>
      <c r="D21" s="301" t="str">
        <f t="shared" si="0"/>
        <v>OK</v>
      </c>
      <c r="E21" s="37"/>
      <c r="F21" s="602" t="str">
        <f>Lifetimes!T1</f>
        <v>PipesDucts</v>
      </c>
    </row>
    <row r="22" spans="1:6">
      <c r="A22" s="325" t="s">
        <v>1431</v>
      </c>
      <c r="B22" s="68" t="s">
        <v>1410</v>
      </c>
      <c r="C22" s="307" t="s">
        <v>1432</v>
      </c>
      <c r="D22" s="301" t="str">
        <f t="shared" si="0"/>
        <v>OK</v>
      </c>
      <c r="E22" s="37"/>
      <c r="F22" s="602" t="str">
        <f>Lifetimes!U1</f>
        <v>OtherOilGas</v>
      </c>
    </row>
    <row r="23" spans="1:6">
      <c r="A23" s="325" t="s">
        <v>108</v>
      </c>
      <c r="B23" s="68" t="s">
        <v>1410</v>
      </c>
      <c r="C23" s="567" t="s">
        <v>1433</v>
      </c>
      <c r="D23" s="301" t="str">
        <f t="shared" si="0"/>
        <v>OK</v>
      </c>
      <c r="E23" s="37"/>
      <c r="F23" s="602" t="str">
        <f>Lifetimes!V1</f>
        <v>InfillSportsFieldDis</v>
      </c>
    </row>
    <row r="24" spans="1:6">
      <c r="A24" s="325" t="s">
        <v>1434</v>
      </c>
      <c r="B24" s="68" t="s">
        <v>1410</v>
      </c>
      <c r="C24" s="307" t="s">
        <v>1435</v>
      </c>
      <c r="D24" s="301" t="str">
        <f t="shared" si="0"/>
        <v>OK</v>
      </c>
      <c r="E24" s="37"/>
      <c r="F24" s="602" t="str">
        <f>Lifetimes!W1</f>
        <v>InfillSportsFieldU</v>
      </c>
    </row>
    <row r="25" spans="1:6">
      <c r="A25" s="325" t="s">
        <v>1436</v>
      </c>
      <c r="B25" s="68" t="s">
        <v>1410</v>
      </c>
      <c r="C25" s="307" t="s">
        <v>1437</v>
      </c>
      <c r="D25" s="301" t="str">
        <f t="shared" si="0"/>
        <v>OK</v>
      </c>
      <c r="E25" s="37"/>
      <c r="F25" s="602" t="str">
        <f>Lifetimes!AE1</f>
        <v>ClothingDis</v>
      </c>
    </row>
    <row r="26" spans="1:6">
      <c r="A26" s="325" t="s">
        <v>1438</v>
      </c>
      <c r="B26" s="68" t="s">
        <v>1410</v>
      </c>
      <c r="C26" s="307" t="s">
        <v>1439</v>
      </c>
      <c r="D26" s="301" t="str">
        <f t="shared" si="0"/>
        <v>OK</v>
      </c>
      <c r="E26" s="37"/>
      <c r="F26" s="602" t="str">
        <f>Lifetimes!AF1</f>
        <v>ClothingIUWearTear</v>
      </c>
    </row>
    <row r="27" spans="1:6">
      <c r="A27" s="325" t="s">
        <v>149</v>
      </c>
      <c r="B27" s="68" t="s">
        <v>1410</v>
      </c>
      <c r="C27" s="307" t="s">
        <v>1440</v>
      </c>
      <c r="D27" s="301" t="str">
        <f t="shared" si="0"/>
        <v>OK</v>
      </c>
      <c r="E27" s="37"/>
      <c r="F27" s="602" t="str">
        <f>Lifetimes!AG1</f>
        <v>ClothingIUWashDry</v>
      </c>
    </row>
    <row r="28" spans="1:6">
      <c r="A28" s="325" t="s">
        <v>154</v>
      </c>
      <c r="B28" s="68" t="s">
        <v>1410</v>
      </c>
      <c r="C28" s="307" t="s">
        <v>1441</v>
      </c>
      <c r="D28" s="301" t="str">
        <f t="shared" si="0"/>
        <v>OK</v>
      </c>
      <c r="E28" s="37"/>
      <c r="F28" s="602" t="str">
        <f>Lifetimes!AH1</f>
        <v>HomeTextilesDis</v>
      </c>
    </row>
    <row r="29" spans="1:6">
      <c r="A29" s="325" t="s">
        <v>1442</v>
      </c>
      <c r="B29" s="68" t="s">
        <v>1410</v>
      </c>
      <c r="C29" s="307" t="s">
        <v>1443</v>
      </c>
      <c r="D29" s="301" t="str">
        <f t="shared" si="0"/>
        <v>OK</v>
      </c>
      <c r="E29" s="37"/>
      <c r="F29" s="602" t="str">
        <f>Lifetimes!AI1</f>
        <v>HomeTextilesIU</v>
      </c>
    </row>
    <row r="30" spans="1:6">
      <c r="A30" s="325" t="s">
        <v>1444</v>
      </c>
      <c r="B30" s="68" t="s">
        <v>1410</v>
      </c>
      <c r="C30" s="307" t="s">
        <v>1445</v>
      </c>
      <c r="D30" s="301" t="str">
        <f t="shared" si="0"/>
        <v>OK</v>
      </c>
      <c r="E30" s="37"/>
      <c r="F30" s="602" t="str">
        <f>Lifetimes!AJ1</f>
        <v>TechHomeTextilesDis</v>
      </c>
    </row>
    <row r="31" spans="1:6">
      <c r="A31" s="325" t="s">
        <v>218</v>
      </c>
      <c r="B31" s="68" t="s">
        <v>1410</v>
      </c>
      <c r="C31" s="307" t="s">
        <v>1446</v>
      </c>
      <c r="D31" s="301" t="str">
        <f t="shared" si="0"/>
        <v>OK</v>
      </c>
      <c r="E31" s="37"/>
      <c r="F31" s="602" t="str">
        <f>Lifetimes!AK1</f>
        <v>TechHomeTextilesIU</v>
      </c>
    </row>
    <row r="32" spans="1:6">
      <c r="A32" s="325" t="s">
        <v>175</v>
      </c>
      <c r="B32" s="68" t="s">
        <v>1410</v>
      </c>
      <c r="C32" s="307" t="s">
        <v>1447</v>
      </c>
      <c r="D32" s="301" t="str">
        <f t="shared" si="0"/>
        <v>OK</v>
      </c>
      <c r="E32" s="37"/>
      <c r="F32" s="602" t="str">
        <f>Lifetimes!AL1</f>
        <v>MedicalTextiles</v>
      </c>
    </row>
    <row r="33" spans="1:6">
      <c r="A33" s="325" t="s">
        <v>1171</v>
      </c>
      <c r="B33" s="68" t="s">
        <v>1410</v>
      </c>
      <c r="C33" s="307" t="s">
        <v>1448</v>
      </c>
      <c r="D33" s="301" t="str">
        <f t="shared" si="0"/>
        <v>OK</v>
      </c>
      <c r="E33" s="37"/>
      <c r="F33" s="602" t="str">
        <f>Lifetimes!AM1</f>
        <v>AgrotextilesDis</v>
      </c>
    </row>
    <row r="34" spans="1:6">
      <c r="A34" s="325" t="s">
        <v>1449</v>
      </c>
      <c r="B34" s="68" t="s">
        <v>1410</v>
      </c>
      <c r="C34" s="307" t="s">
        <v>1450</v>
      </c>
      <c r="D34" s="301" t="str">
        <f t="shared" si="0"/>
        <v>OK</v>
      </c>
      <c r="E34" s="37"/>
      <c r="F34" s="602" t="str">
        <f>Lifetimes!AN1</f>
        <v>AgrotextilesIU</v>
      </c>
    </row>
    <row r="35" spans="1:6">
      <c r="A35" s="325" t="s">
        <v>1451</v>
      </c>
      <c r="B35" s="68" t="s">
        <v>1410</v>
      </c>
      <c r="C35" s="307" t="s">
        <v>1258</v>
      </c>
      <c r="D35" s="301" t="str">
        <f t="shared" ref="D35:D66" si="1">IF(B35=IF(COUNTIF($F$5:$F$209,C35),"Stock","Flow/Sink"),"OK",IF(B35="Stock","Compartment missing in Lifetimes_pairs",IF(IF(COUNTIF($F$5:$F$161,C35),"Stock","Flow/Sink")="Stock","Change Type of compartment to Stock","OK")))</f>
        <v>Change Type of compartment to Stock</v>
      </c>
      <c r="E35" s="37" t="s">
        <v>1429</v>
      </c>
      <c r="F35" s="602" t="str">
        <f>Lifetimes!AO1</f>
        <v>MobilityTextiles</v>
      </c>
    </row>
    <row r="36" spans="1:6">
      <c r="A36" s="325" t="s">
        <v>200</v>
      </c>
      <c r="B36" s="68" t="s">
        <v>1413</v>
      </c>
      <c r="C36" s="307" t="s">
        <v>1165</v>
      </c>
      <c r="D36" s="301" t="str">
        <f t="shared" si="1"/>
        <v>OK</v>
      </c>
      <c r="E36" s="579" t="s">
        <v>1452</v>
      </c>
      <c r="F36" s="602" t="str">
        <f>Lifetimes!AP1</f>
        <v>GeotextilesDis</v>
      </c>
    </row>
    <row r="37" spans="1:6">
      <c r="A37" s="325" t="s">
        <v>201</v>
      </c>
      <c r="B37" s="68" t="s">
        <v>1413</v>
      </c>
      <c r="C37" s="307" t="s">
        <v>1255</v>
      </c>
      <c r="D37" s="301" t="str">
        <f t="shared" si="1"/>
        <v>OK</v>
      </c>
      <c r="E37" s="579" t="s">
        <v>1452</v>
      </c>
      <c r="F37" s="602" t="str">
        <f>Lifetimes!AQ1</f>
        <v>GeotextilesIU</v>
      </c>
    </row>
    <row r="38" spans="1:6">
      <c r="A38" s="325" t="s">
        <v>202</v>
      </c>
      <c r="B38" s="68" t="s">
        <v>1413</v>
      </c>
      <c r="C38" s="307" t="s">
        <v>1166</v>
      </c>
      <c r="D38" s="301" t="str">
        <f t="shared" si="1"/>
        <v>OK</v>
      </c>
      <c r="E38" s="579" t="s">
        <v>1452</v>
      </c>
      <c r="F38" s="602" t="str">
        <f>Lifetimes!AR1</f>
        <v>BuildingTextilesDis</v>
      </c>
    </row>
    <row r="39" spans="1:6">
      <c r="A39" s="325" t="s">
        <v>1453</v>
      </c>
      <c r="B39" s="68" t="s">
        <v>1410</v>
      </c>
      <c r="C39" s="307" t="s">
        <v>1454</v>
      </c>
      <c r="D39" s="301" t="str">
        <f t="shared" si="1"/>
        <v>OK</v>
      </c>
      <c r="E39" s="37"/>
      <c r="F39" s="602" t="str">
        <f>Lifetimes!AS1</f>
        <v>BuildingTextilesIU</v>
      </c>
    </row>
    <row r="40" spans="1:6">
      <c r="A40" s="325" t="s">
        <v>1455</v>
      </c>
      <c r="B40" s="68" t="s">
        <v>1410</v>
      </c>
      <c r="C40" s="307" t="s">
        <v>1456</v>
      </c>
      <c r="D40" s="301" t="str">
        <f t="shared" si="1"/>
        <v>OK</v>
      </c>
      <c r="E40" s="37"/>
      <c r="F40" s="602" t="str">
        <f>Lifetimes!AT1</f>
        <v>OtherTechnicalTextiles</v>
      </c>
    </row>
    <row r="41" spans="1:6">
      <c r="A41" s="325" t="s">
        <v>1457</v>
      </c>
      <c r="B41" s="68" t="s">
        <v>1410</v>
      </c>
      <c r="C41" s="307" t="s">
        <v>1457</v>
      </c>
      <c r="D41" s="301" t="str">
        <f t="shared" si="1"/>
        <v>OK</v>
      </c>
      <c r="E41" s="37"/>
      <c r="F41" s="602" t="str">
        <f>Lifetimes!AU1</f>
        <v>TextileCoatingDis</v>
      </c>
    </row>
    <row r="42" spans="1:6">
      <c r="A42" s="325" t="s">
        <v>234</v>
      </c>
      <c r="B42" s="68" t="s">
        <v>1410</v>
      </c>
      <c r="C42" s="307" t="s">
        <v>1458</v>
      </c>
      <c r="D42" s="301" t="str">
        <f t="shared" si="1"/>
        <v>OK</v>
      </c>
      <c r="E42" s="37"/>
      <c r="F42" s="602" t="str">
        <f>Lifetimes!AV1</f>
        <v>TextileCoatingIU</v>
      </c>
    </row>
    <row r="43" spans="1:6">
      <c r="A43" s="325" t="s">
        <v>204</v>
      </c>
      <c r="B43" s="68" t="s">
        <v>1410</v>
      </c>
      <c r="C43" s="307" t="s">
        <v>204</v>
      </c>
      <c r="D43" s="301" t="str">
        <f t="shared" si="1"/>
        <v>OK</v>
      </c>
      <c r="E43" s="37"/>
      <c r="F43" s="602" t="str">
        <f>Lifetimes!AW1</f>
        <v>ConcreteProfInDis</v>
      </c>
    </row>
    <row r="44" spans="1:6">
      <c r="A44" s="325" t="s">
        <v>1459</v>
      </c>
      <c r="B44" s="68" t="s">
        <v>1410</v>
      </c>
      <c r="C44" s="307" t="s">
        <v>1459</v>
      </c>
      <c r="D44" s="301" t="str">
        <f t="shared" si="1"/>
        <v>OK</v>
      </c>
      <c r="E44" s="37"/>
      <c r="F44" s="602" t="str">
        <f>Lifetimes!AX1</f>
        <v>ConcreteProfInIU</v>
      </c>
    </row>
    <row r="45" spans="1:6">
      <c r="A45" s="325" t="s">
        <v>1460</v>
      </c>
      <c r="B45" s="68" t="s">
        <v>1410</v>
      </c>
      <c r="C45" s="307" t="s">
        <v>1461</v>
      </c>
      <c r="D45" s="301" t="str">
        <f t="shared" si="1"/>
        <v>OK</v>
      </c>
      <c r="E45" s="37"/>
      <c r="F45" s="602" t="str">
        <f>Lifetimes!AY1</f>
        <v>ConcreteProfOutDis</v>
      </c>
    </row>
    <row r="46" spans="1:6">
      <c r="A46" s="325" t="s">
        <v>243</v>
      </c>
      <c r="B46" s="68" t="s">
        <v>1416</v>
      </c>
      <c r="C46" s="307" t="s">
        <v>243</v>
      </c>
      <c r="D46" s="301" t="str">
        <f t="shared" si="1"/>
        <v>OK</v>
      </c>
      <c r="E46" s="37"/>
      <c r="F46" s="602" t="str">
        <f>Lifetimes!AZ1</f>
        <v>ConcreteProfOutIU</v>
      </c>
    </row>
    <row r="47" spans="1:6">
      <c r="A47" s="325" t="s">
        <v>1462</v>
      </c>
      <c r="B47" s="68" t="s">
        <v>1410</v>
      </c>
      <c r="C47" s="307" t="s">
        <v>1463</v>
      </c>
      <c r="D47" s="301" t="str">
        <f t="shared" si="1"/>
        <v>OK</v>
      </c>
      <c r="E47" s="37"/>
      <c r="F47" s="602" t="str">
        <f>Lifetimes!BA1</f>
        <v>LacquerDiyInDis</v>
      </c>
    </row>
    <row r="48" spans="1:6">
      <c r="A48" s="325" t="s">
        <v>178</v>
      </c>
      <c r="B48" s="68" t="s">
        <v>1410</v>
      </c>
      <c r="C48" s="307" t="s">
        <v>1464</v>
      </c>
      <c r="D48" s="301" t="str">
        <f t="shared" si="1"/>
        <v>OK</v>
      </c>
      <c r="E48" s="37"/>
      <c r="F48" s="602" t="str">
        <f>Lifetimes!BB1</f>
        <v>LacquerDiyInIU</v>
      </c>
    </row>
    <row r="49" spans="1:6">
      <c r="A49" s="495" t="s">
        <v>245</v>
      </c>
      <c r="B49" s="68" t="s">
        <v>1416</v>
      </c>
      <c r="C49" s="307" t="s">
        <v>245</v>
      </c>
      <c r="D49" s="301" t="str">
        <f t="shared" si="1"/>
        <v>OK</v>
      </c>
      <c r="E49" s="37"/>
      <c r="F49" s="602" t="str">
        <f>Lifetimes!BC1</f>
        <v>LacquerDiyOutDis</v>
      </c>
    </row>
    <row r="50" spans="1:6">
      <c r="A50" s="325" t="s">
        <v>1465</v>
      </c>
      <c r="B50" s="68" t="s">
        <v>1410</v>
      </c>
      <c r="C50" s="307" t="s">
        <v>1466</v>
      </c>
      <c r="D50" s="301" t="str">
        <f t="shared" si="1"/>
        <v>OK</v>
      </c>
      <c r="E50" s="37"/>
      <c r="F50" s="602" t="str">
        <f>Lifetimes!BD1</f>
        <v>LacquerDiyOutIU</v>
      </c>
    </row>
    <row r="51" spans="1:6">
      <c r="A51" s="325" t="s">
        <v>1467</v>
      </c>
      <c r="B51" s="68" t="s">
        <v>1410</v>
      </c>
      <c r="C51" s="307" t="s">
        <v>1468</v>
      </c>
      <c r="D51" s="301" t="str">
        <f t="shared" si="1"/>
        <v>OK</v>
      </c>
      <c r="E51" s="37"/>
      <c r="F51" s="602" t="str">
        <f>Lifetimes!BE1</f>
        <v>LacquerProfInDis</v>
      </c>
    </row>
    <row r="52" spans="1:6">
      <c r="A52" s="325" t="s">
        <v>1469</v>
      </c>
      <c r="B52" s="68" t="s">
        <v>1410</v>
      </c>
      <c r="C52" s="307" t="s">
        <v>1469</v>
      </c>
      <c r="D52" s="301" t="str">
        <f t="shared" si="1"/>
        <v>OK</v>
      </c>
      <c r="E52" s="37"/>
      <c r="F52" s="602" t="str">
        <f>Lifetimes!BF1</f>
        <v>LacquerProfInIU</v>
      </c>
    </row>
    <row r="53" spans="1:6">
      <c r="A53" s="325" t="s">
        <v>185</v>
      </c>
      <c r="B53" s="68" t="s">
        <v>1410</v>
      </c>
      <c r="C53" s="307" t="s">
        <v>185</v>
      </c>
      <c r="D53" s="301" t="str">
        <f t="shared" si="1"/>
        <v>OK</v>
      </c>
      <c r="E53" s="37"/>
      <c r="F53" s="602" t="str">
        <f>Lifetimes!BG1</f>
        <v>LacquerProfOutDis</v>
      </c>
    </row>
    <row r="54" spans="1:6">
      <c r="A54" s="325" t="s">
        <v>1470</v>
      </c>
      <c r="B54" s="68" t="s">
        <v>1410</v>
      </c>
      <c r="C54" s="307" t="s">
        <v>1256</v>
      </c>
      <c r="D54" s="301" t="str">
        <f t="shared" si="1"/>
        <v>Change Type of compartment to Stock</v>
      </c>
      <c r="E54" s="37" t="s">
        <v>1429</v>
      </c>
      <c r="F54" s="602" t="str">
        <f>Lifetimes!BH1</f>
        <v>LacquerProfOutIU</v>
      </c>
    </row>
    <row r="55" spans="1:6">
      <c r="A55" s="325" t="s">
        <v>1471</v>
      </c>
      <c r="B55" s="68" t="s">
        <v>1410</v>
      </c>
      <c r="C55" s="307" t="s">
        <v>1472</v>
      </c>
      <c r="D55" s="301" t="str">
        <f t="shared" si="1"/>
        <v>OK</v>
      </c>
      <c r="E55" s="37"/>
      <c r="F55" s="602" t="str">
        <f>Lifetimes!BI1</f>
        <v>OtherPaintUsesDiyInDis</v>
      </c>
    </row>
    <row r="56" spans="1:6">
      <c r="A56" s="325" t="s">
        <v>112</v>
      </c>
      <c r="B56" s="68" t="s">
        <v>1410</v>
      </c>
      <c r="C56" s="307" t="s">
        <v>1473</v>
      </c>
      <c r="D56" s="301" t="str">
        <f t="shared" si="1"/>
        <v>OK</v>
      </c>
      <c r="E56" s="37"/>
      <c r="F56" s="602" t="str">
        <f>Lifetimes!BJ1</f>
        <v>OtherPaintUsesDiyInIU</v>
      </c>
    </row>
    <row r="57" spans="1:6">
      <c r="A57" s="325" t="s">
        <v>1474</v>
      </c>
      <c r="B57" s="68" t="s">
        <v>1410</v>
      </c>
      <c r="C57" s="307" t="s">
        <v>1475</v>
      </c>
      <c r="D57" s="301" t="str">
        <f t="shared" si="1"/>
        <v>OK</v>
      </c>
      <c r="E57" s="37"/>
      <c r="F57" s="602" t="str">
        <f>Lifetimes!BK1</f>
        <v>OtherPaintUsesDiyOutDis</v>
      </c>
    </row>
    <row r="58" spans="1:6">
      <c r="A58" s="325" t="s">
        <v>179</v>
      </c>
      <c r="B58" s="68" t="s">
        <v>1410</v>
      </c>
      <c r="C58" s="307" t="s">
        <v>179</v>
      </c>
      <c r="D58" s="301" t="str">
        <f t="shared" si="1"/>
        <v>OK</v>
      </c>
      <c r="E58" s="37"/>
      <c r="F58" s="602" t="str">
        <f>Lifetimes!BL1</f>
        <v>OtherPaintUsesDiyOutIU</v>
      </c>
    </row>
    <row r="59" spans="1:6">
      <c r="A59" s="325" t="s">
        <v>228</v>
      </c>
      <c r="B59" s="68" t="s">
        <v>1410</v>
      </c>
      <c r="C59" s="307" t="s">
        <v>1476</v>
      </c>
      <c r="D59" s="301" t="str">
        <f t="shared" si="1"/>
        <v>OK</v>
      </c>
      <c r="E59" s="37"/>
      <c r="F59" s="602" t="str">
        <f>Lifetimes!BM1</f>
        <v>OtherPaintUsesProfInDis</v>
      </c>
    </row>
    <row r="60" spans="1:6">
      <c r="A60" s="325" t="s">
        <v>304</v>
      </c>
      <c r="B60" s="68" t="s">
        <v>1410</v>
      </c>
      <c r="C60" s="307" t="s">
        <v>1477</v>
      </c>
      <c r="D60" s="301" t="str">
        <f t="shared" si="1"/>
        <v>OK</v>
      </c>
      <c r="E60" s="37"/>
      <c r="F60" s="602" t="str">
        <f>Lifetimes!BN1</f>
        <v>OtherPaintUsesProfInIU</v>
      </c>
    </row>
    <row r="61" spans="1:6">
      <c r="A61" s="325" t="s">
        <v>1170</v>
      </c>
      <c r="B61" s="68" t="s">
        <v>1410</v>
      </c>
      <c r="C61" s="307" t="s">
        <v>1478</v>
      </c>
      <c r="D61" s="301" t="str">
        <f t="shared" si="1"/>
        <v>OK</v>
      </c>
      <c r="E61" s="37"/>
      <c r="F61" s="602" t="str">
        <f>Lifetimes!BO1</f>
        <v>OtherPaintUsesProfOutDis</v>
      </c>
    </row>
    <row r="62" spans="1:6">
      <c r="A62" s="325" t="s">
        <v>1479</v>
      </c>
      <c r="B62" s="68" t="s">
        <v>1410</v>
      </c>
      <c r="C62" s="307" t="s">
        <v>1480</v>
      </c>
      <c r="D62" s="301" t="str">
        <f t="shared" si="1"/>
        <v>OK</v>
      </c>
      <c r="E62" s="37"/>
      <c r="F62" s="602" t="str">
        <f>Lifetimes!BP1</f>
        <v>OtherPaintUsesProfOutIU</v>
      </c>
    </row>
    <row r="63" spans="1:6">
      <c r="A63" s="325" t="s">
        <v>184</v>
      </c>
      <c r="B63" s="68" t="s">
        <v>1416</v>
      </c>
      <c r="C63" s="307" t="s">
        <v>184</v>
      </c>
      <c r="D63" s="301" t="str">
        <f t="shared" si="1"/>
        <v>OK</v>
      </c>
      <c r="E63" s="37"/>
      <c r="F63" s="602" t="str">
        <f>Lifetimes!BQ1</f>
        <v>PaintsPreMadeWoodInDis</v>
      </c>
    </row>
    <row r="64" spans="1:6">
      <c r="A64" s="325" t="s">
        <v>1481</v>
      </c>
      <c r="B64" s="68" t="s">
        <v>1410</v>
      </c>
      <c r="C64" s="307" t="s">
        <v>1482</v>
      </c>
      <c r="D64" s="301" t="str">
        <f t="shared" si="1"/>
        <v>OK</v>
      </c>
      <c r="E64" s="37"/>
      <c r="F64" s="602" t="str">
        <f>Lifetimes!BR1</f>
        <v>PaintsPreMadeWoodInIU</v>
      </c>
    </row>
    <row r="65" spans="1:6">
      <c r="A65" s="325" t="s">
        <v>322</v>
      </c>
      <c r="B65" s="68" t="s">
        <v>1410</v>
      </c>
      <c r="C65" s="307" t="s">
        <v>1483</v>
      </c>
      <c r="D65" s="301" t="str">
        <f t="shared" si="1"/>
        <v>OK</v>
      </c>
      <c r="E65" s="37"/>
      <c r="F65" s="602" t="str">
        <f>Lifetimes!BS1</f>
        <v>PaintsPreMadeWoodOutDis</v>
      </c>
    </row>
    <row r="66" spans="1:6">
      <c r="A66" s="325" t="s">
        <v>326</v>
      </c>
      <c r="B66" s="68" t="s">
        <v>1410</v>
      </c>
      <c r="C66" s="307" t="s">
        <v>1484</v>
      </c>
      <c r="D66" s="301" t="str">
        <f t="shared" si="1"/>
        <v>OK</v>
      </c>
      <c r="E66" s="37"/>
      <c r="F66" s="602" t="str">
        <f>Lifetimes!BT1</f>
        <v>PaintsPreMadeWoodOutIU</v>
      </c>
    </row>
    <row r="67" spans="1:6">
      <c r="A67" s="325" t="s">
        <v>315</v>
      </c>
      <c r="B67" s="68" t="s">
        <v>1410</v>
      </c>
      <c r="C67" s="307" t="s">
        <v>1485</v>
      </c>
      <c r="D67" s="301" t="str">
        <f t="shared" ref="D67:D98" si="2">IF(B67=IF(COUNTIF($F$5:$F$209,C67),"Stock","Flow/Sink"),"OK",IF(B67="Stock","Compartment missing in Lifetimes_pairs",IF(IF(COUNTIF($F$5:$F$161,C67),"Stock","Flow/Sink")="Stock","Change Type of compartment to Stock","OK")))</f>
        <v>OK</v>
      </c>
      <c r="E67" s="37"/>
      <c r="F67" s="602" t="str">
        <f>Lifetimes!BU1</f>
        <v>PlasterDiyInDis</v>
      </c>
    </row>
    <row r="68" spans="1:6">
      <c r="A68" s="325" t="s">
        <v>223</v>
      </c>
      <c r="B68" s="68" t="s">
        <v>1410</v>
      </c>
      <c r="C68" s="307" t="s">
        <v>1486</v>
      </c>
      <c r="D68" s="301" t="str">
        <f t="shared" si="2"/>
        <v>OK</v>
      </c>
      <c r="E68" s="37"/>
      <c r="F68" s="602" t="str">
        <f>Lifetimes!BV1</f>
        <v>PlasterDiyInIU</v>
      </c>
    </row>
    <row r="69" spans="1:6">
      <c r="A69" s="325" t="s">
        <v>348</v>
      </c>
      <c r="B69" s="68" t="s">
        <v>1413</v>
      </c>
      <c r="C69" s="307" t="s">
        <v>1271</v>
      </c>
      <c r="D69" s="301" t="str">
        <f t="shared" si="2"/>
        <v>OK</v>
      </c>
      <c r="E69" s="37"/>
      <c r="F69" s="602" t="str">
        <f>Lifetimes!BW1</f>
        <v>PlasterDiyOutDis</v>
      </c>
    </row>
    <row r="70" spans="1:6">
      <c r="A70" s="325" t="s">
        <v>342</v>
      </c>
      <c r="B70" s="68" t="s">
        <v>1416</v>
      </c>
      <c r="C70" s="307" t="s">
        <v>1487</v>
      </c>
      <c r="D70" s="301" t="str">
        <f t="shared" si="2"/>
        <v>OK</v>
      </c>
      <c r="E70" s="37"/>
      <c r="F70" s="602" t="str">
        <f>Lifetimes!BX1</f>
        <v>PlasterDiyOutIU</v>
      </c>
    </row>
    <row r="71" spans="1:6">
      <c r="A71" s="325" t="s">
        <v>361</v>
      </c>
      <c r="B71" s="68" t="s">
        <v>1416</v>
      </c>
      <c r="C71" s="307" t="s">
        <v>1488</v>
      </c>
      <c r="D71" s="301" t="str">
        <f t="shared" si="2"/>
        <v>OK</v>
      </c>
      <c r="E71" s="37"/>
      <c r="F71" s="602" t="str">
        <f>Lifetimes!BY1</f>
        <v>PlasterProfInDis</v>
      </c>
    </row>
    <row r="72" spans="1:6">
      <c r="A72" s="325" t="s">
        <v>235</v>
      </c>
      <c r="B72" s="68" t="s">
        <v>1413</v>
      </c>
      <c r="C72" s="307" t="s">
        <v>1167</v>
      </c>
      <c r="D72" s="301" t="str">
        <f t="shared" si="2"/>
        <v>OK</v>
      </c>
      <c r="E72" s="579"/>
      <c r="F72" s="602" t="str">
        <f>Lifetimes!BZ1</f>
        <v>PlasterProfInIU</v>
      </c>
    </row>
    <row r="73" spans="1:6">
      <c r="A73" s="325" t="s">
        <v>1489</v>
      </c>
      <c r="B73" s="68" t="s">
        <v>1410</v>
      </c>
      <c r="C73" s="307" t="s">
        <v>1490</v>
      </c>
      <c r="D73" s="301" t="str">
        <f t="shared" si="2"/>
        <v>OK</v>
      </c>
      <c r="E73" s="37"/>
      <c r="F73" s="602" t="str">
        <f>Lifetimes!CA1</f>
        <v>PlasterProfOutDis</v>
      </c>
    </row>
    <row r="74" spans="1:6">
      <c r="A74" s="325" t="s">
        <v>1491</v>
      </c>
      <c r="B74" s="68" t="s">
        <v>1410</v>
      </c>
      <c r="C74" s="307" t="s">
        <v>1492</v>
      </c>
      <c r="D74" s="301" t="str">
        <f t="shared" si="2"/>
        <v>OK</v>
      </c>
      <c r="E74" s="37"/>
      <c r="F74" s="602" t="str">
        <f>Lifetimes!CB1</f>
        <v>PlasterProfOutIU</v>
      </c>
    </row>
    <row r="75" spans="1:6">
      <c r="A75" s="325" t="s">
        <v>1493</v>
      </c>
      <c r="B75" s="68" t="s">
        <v>1410</v>
      </c>
      <c r="C75" s="307" t="s">
        <v>1494</v>
      </c>
      <c r="D75" s="301" t="str">
        <f t="shared" si="2"/>
        <v>OK</v>
      </c>
      <c r="E75" s="37"/>
      <c r="F75" s="602" t="str">
        <f>Lifetimes!CC1</f>
        <v>ShipProfDis</v>
      </c>
    </row>
    <row r="76" spans="1:6">
      <c r="A76" s="325" t="s">
        <v>368</v>
      </c>
      <c r="B76" s="68" t="s">
        <v>1410</v>
      </c>
      <c r="C76" s="307" t="s">
        <v>1495</v>
      </c>
      <c r="D76" s="301" t="str">
        <f t="shared" si="2"/>
        <v>OK</v>
      </c>
      <c r="E76" s="37"/>
      <c r="F76" s="602" t="str">
        <f>Lifetimes!CD1</f>
        <v>ShipProfIU</v>
      </c>
    </row>
    <row r="77" spans="1:6">
      <c r="A77" s="325" t="s">
        <v>324</v>
      </c>
      <c r="B77" s="68" t="s">
        <v>1410</v>
      </c>
      <c r="C77" s="307" t="s">
        <v>1496</v>
      </c>
      <c r="D77" s="301" t="str">
        <f t="shared" si="2"/>
        <v>OK</v>
      </c>
      <c r="E77" s="37"/>
      <c r="F77" s="602" t="str">
        <f>Lifetimes!CE1</f>
        <v>ShipDiyDis</v>
      </c>
    </row>
    <row r="78" spans="1:6">
      <c r="A78" s="325" t="s">
        <v>327</v>
      </c>
      <c r="B78" s="68" t="s">
        <v>1410</v>
      </c>
      <c r="C78" s="307" t="s">
        <v>1497</v>
      </c>
      <c r="D78" s="301" t="str">
        <f t="shared" si="2"/>
        <v>OK</v>
      </c>
      <c r="E78" s="37"/>
      <c r="F78" s="602" t="str">
        <f>Lifetimes!CF1</f>
        <v>ShipDiyIU</v>
      </c>
    </row>
    <row r="79" spans="1:6">
      <c r="A79" s="325" t="s">
        <v>335</v>
      </c>
      <c r="B79" s="68" t="s">
        <v>1410</v>
      </c>
      <c r="C79" s="307" t="s">
        <v>1498</v>
      </c>
      <c r="D79" s="301" t="str">
        <f t="shared" si="2"/>
        <v>OK</v>
      </c>
      <c r="E79" s="37"/>
      <c r="F79" s="602" t="str">
        <f>Lifetimes!CG1</f>
        <v>WallPaintDiyIndoorAppliedDis</v>
      </c>
    </row>
    <row r="80" spans="1:6">
      <c r="A80" s="325" t="s">
        <v>203</v>
      </c>
      <c r="B80" s="68" t="s">
        <v>1413</v>
      </c>
      <c r="C80" s="307" t="s">
        <v>1075</v>
      </c>
      <c r="D80" s="301" t="str">
        <f t="shared" si="2"/>
        <v>OK</v>
      </c>
      <c r="E80" s="579"/>
      <c r="F80" s="602" t="str">
        <f>Lifetimes!CH1</f>
        <v>WallPaintDiyIndoorAppliedIU</v>
      </c>
    </row>
    <row r="81" spans="1:6">
      <c r="A81" s="325" t="s">
        <v>236</v>
      </c>
      <c r="B81" s="68" t="s">
        <v>1413</v>
      </c>
      <c r="C81" s="307" t="s">
        <v>1169</v>
      </c>
      <c r="D81" s="301" t="str">
        <f t="shared" si="2"/>
        <v>OK</v>
      </c>
      <c r="E81" s="579"/>
      <c r="F81" s="602" t="str">
        <f>Lifetimes!CI1</f>
        <v>WallPaintDiyOutDis</v>
      </c>
    </row>
    <row r="82" spans="1:6">
      <c r="A82" s="325" t="s">
        <v>237</v>
      </c>
      <c r="B82" s="68" t="s">
        <v>1413</v>
      </c>
      <c r="C82" s="307" t="s">
        <v>1168</v>
      </c>
      <c r="D82" s="301" t="str">
        <f t="shared" si="2"/>
        <v>OK</v>
      </c>
      <c r="E82" s="579"/>
      <c r="F82" s="603" t="str">
        <f>Lifetimes!CJ1</f>
        <v>WallPaintDiyOutIU</v>
      </c>
    </row>
    <row r="83" spans="1:6">
      <c r="A83" s="325" t="s">
        <v>1499</v>
      </c>
      <c r="B83" s="68" t="s">
        <v>1410</v>
      </c>
      <c r="C83" s="307" t="s">
        <v>127</v>
      </c>
      <c r="D83" s="301" t="str">
        <f t="shared" si="2"/>
        <v>OK</v>
      </c>
      <c r="E83" s="37"/>
      <c r="F83" s="603" t="str">
        <f>Lifetimes!CK1</f>
        <v>WallPaintProfInDis</v>
      </c>
    </row>
    <row r="84" spans="1:6">
      <c r="A84" s="325" t="s">
        <v>1500</v>
      </c>
      <c r="B84" s="68" t="s">
        <v>1410</v>
      </c>
      <c r="C84" s="307" t="s">
        <v>1257</v>
      </c>
      <c r="D84" s="301" t="str">
        <f t="shared" si="2"/>
        <v>Change Type of compartment to Stock</v>
      </c>
      <c r="E84" s="37" t="s">
        <v>1429</v>
      </c>
      <c r="F84" s="603" t="str">
        <f>Lifetimes!CL1</f>
        <v>WallPaintProfInIU</v>
      </c>
    </row>
    <row r="85" spans="1:6">
      <c r="A85" s="325" t="s">
        <v>238</v>
      </c>
      <c r="B85" s="68" t="s">
        <v>1413</v>
      </c>
      <c r="C85" s="307" t="s">
        <v>1276</v>
      </c>
      <c r="D85" s="301" t="str">
        <f t="shared" si="2"/>
        <v>OK</v>
      </c>
      <c r="E85" s="37"/>
      <c r="F85" s="603" t="str">
        <f>Lifetimes!CM1</f>
        <v>WallPaintProfOutDis</v>
      </c>
    </row>
    <row r="86" spans="1:6">
      <c r="A86" s="325" t="s">
        <v>231</v>
      </c>
      <c r="B86" s="364" t="s">
        <v>1416</v>
      </c>
      <c r="C86" s="307" t="s">
        <v>1501</v>
      </c>
      <c r="D86" s="301" t="str">
        <f t="shared" si="2"/>
        <v>OK</v>
      </c>
      <c r="E86" s="37"/>
      <c r="F86" s="603" t="str">
        <f>Lifetimes!CN1</f>
        <v>WallPaintProfOutIU</v>
      </c>
    </row>
    <row r="87" spans="1:6">
      <c r="A87" s="325" t="s">
        <v>39</v>
      </c>
      <c r="B87" s="68" t="s">
        <v>1410</v>
      </c>
      <c r="C87" s="307" t="s">
        <v>39</v>
      </c>
      <c r="D87" s="301" t="str">
        <f t="shared" si="2"/>
        <v>OK</v>
      </c>
      <c r="E87" s="37"/>
      <c r="F87" s="603" t="str">
        <f>Lifetimes!CO1</f>
        <v>WoodStainDiyInDis</v>
      </c>
    </row>
    <row r="88" spans="1:6">
      <c r="A88" s="325" t="s">
        <v>244</v>
      </c>
      <c r="B88" s="68" t="s">
        <v>1410</v>
      </c>
      <c r="C88" s="307" t="s">
        <v>1502</v>
      </c>
      <c r="D88" s="301" t="str">
        <f t="shared" si="2"/>
        <v>OK</v>
      </c>
      <c r="E88" s="37"/>
      <c r="F88" s="603" t="str">
        <f>Lifetimes!CP1</f>
        <v>WoodStainDiyInIU</v>
      </c>
    </row>
    <row r="89" spans="1:6">
      <c r="A89" s="325" t="s">
        <v>283</v>
      </c>
      <c r="B89" s="68" t="s">
        <v>1410</v>
      </c>
      <c r="C89" s="307" t="s">
        <v>1503</v>
      </c>
      <c r="D89" s="301" t="str">
        <f t="shared" si="2"/>
        <v>OK</v>
      </c>
      <c r="E89" s="37"/>
      <c r="F89" s="603" t="str">
        <f>Lifetimes!CQ1</f>
        <v>WoodStainDiyOutDis</v>
      </c>
    </row>
    <row r="90" spans="1:6">
      <c r="A90" s="325" t="s">
        <v>239</v>
      </c>
      <c r="B90" s="68" t="s">
        <v>1410</v>
      </c>
      <c r="C90" s="307" t="s">
        <v>1504</v>
      </c>
      <c r="D90" s="301" t="str">
        <f t="shared" si="2"/>
        <v>OK</v>
      </c>
      <c r="E90" s="37"/>
      <c r="F90" s="603" t="str">
        <f>Lifetimes!CR1</f>
        <v>WoodStainDiyOutIU</v>
      </c>
    </row>
    <row r="91" spans="1:6">
      <c r="A91" s="325" t="s">
        <v>354</v>
      </c>
      <c r="B91" s="68" t="s">
        <v>1410</v>
      </c>
      <c r="C91" s="307" t="s">
        <v>354</v>
      </c>
      <c r="D91" s="301" t="str">
        <f t="shared" si="2"/>
        <v>OK</v>
      </c>
      <c r="E91" s="579"/>
      <c r="F91" s="603" t="str">
        <f>Lifetimes!CS1</f>
        <v>WoodStainProfInDis</v>
      </c>
    </row>
    <row r="92" spans="1:6">
      <c r="A92" s="325" t="s">
        <v>1505</v>
      </c>
      <c r="B92" s="68" t="s">
        <v>1410</v>
      </c>
      <c r="C92" s="307" t="s">
        <v>1506</v>
      </c>
      <c r="D92" s="301" t="str">
        <f t="shared" si="2"/>
        <v>OK</v>
      </c>
      <c r="E92" s="37"/>
      <c r="F92" s="603" t="str">
        <f>Lifetimes!CT1</f>
        <v>WoodStainProfInIU</v>
      </c>
    </row>
    <row r="93" spans="1:6">
      <c r="A93" s="325" t="s">
        <v>1507</v>
      </c>
      <c r="B93" s="68" t="s">
        <v>1410</v>
      </c>
      <c r="C93" s="307" t="s">
        <v>1508</v>
      </c>
      <c r="D93" s="301" t="str">
        <f t="shared" si="2"/>
        <v>OK</v>
      </c>
      <c r="E93" s="37"/>
      <c r="F93" s="603" t="str">
        <f>Lifetimes!CU1</f>
        <v>WoodStainProfOutDis</v>
      </c>
    </row>
    <row r="94" spans="1:6" ht="15.75" thickBot="1">
      <c r="A94" s="325" t="s">
        <v>1175</v>
      </c>
      <c r="B94" s="68" t="s">
        <v>1410</v>
      </c>
      <c r="C94" s="307" t="s">
        <v>1509</v>
      </c>
      <c r="D94" s="301" t="str">
        <f t="shared" si="2"/>
        <v>OK</v>
      </c>
      <c r="E94" s="37"/>
      <c r="F94" s="604" t="str">
        <f>Lifetimes!CV1</f>
        <v>WoodStainProfOutIU</v>
      </c>
    </row>
    <row r="95" spans="1:6">
      <c r="A95" s="325" t="s">
        <v>385</v>
      </c>
      <c r="B95" s="68" t="s">
        <v>1410</v>
      </c>
      <c r="C95" s="307" t="s">
        <v>1510</v>
      </c>
      <c r="D95" s="301" t="str">
        <f t="shared" si="2"/>
        <v>OK</v>
      </c>
      <c r="E95" s="37"/>
      <c r="F95"/>
    </row>
    <row r="96" spans="1:6">
      <c r="A96" s="325" t="s">
        <v>386</v>
      </c>
      <c r="B96" s="68" t="s">
        <v>1410</v>
      </c>
      <c r="C96" s="307" t="s">
        <v>1511</v>
      </c>
      <c r="D96" s="301" t="str">
        <f t="shared" si="2"/>
        <v>OK</v>
      </c>
      <c r="E96" s="37"/>
      <c r="F96"/>
    </row>
    <row r="97" spans="1:6">
      <c r="A97" s="325" t="s">
        <v>1512</v>
      </c>
      <c r="B97" s="68" t="s">
        <v>1410</v>
      </c>
      <c r="C97" s="307" t="s">
        <v>1513</v>
      </c>
      <c r="D97" s="301" t="str">
        <f t="shared" si="2"/>
        <v>OK</v>
      </c>
      <c r="E97" s="37"/>
      <c r="F97"/>
    </row>
    <row r="98" spans="1:6">
      <c r="A98" s="325" t="s">
        <v>176</v>
      </c>
      <c r="B98" s="68" t="s">
        <v>1416</v>
      </c>
      <c r="C98" s="307" t="s">
        <v>1514</v>
      </c>
      <c r="D98" s="301" t="str">
        <f t="shared" si="2"/>
        <v>OK</v>
      </c>
      <c r="E98" s="37"/>
      <c r="F98"/>
    </row>
    <row r="99" spans="1:6">
      <c r="A99" s="325" t="s">
        <v>251</v>
      </c>
      <c r="B99" s="68" t="s">
        <v>1416</v>
      </c>
      <c r="C99" s="307" t="s">
        <v>1515</v>
      </c>
      <c r="D99" s="301" t="str">
        <f t="shared" ref="D99:D130" si="3">IF(B99=IF(COUNTIF($F$5:$F$209,C99),"Stock","Flow/Sink"),"OK",IF(B99="Stock","Compartment missing in Lifetimes_pairs",IF(IF(COUNTIF($F$5:$F$161,C99),"Stock","Flow/Sink")="Stock","Change Type of compartment to Stock","OK")))</f>
        <v>OK</v>
      </c>
      <c r="E99" s="37"/>
      <c r="F99"/>
    </row>
    <row r="100" spans="1:6">
      <c r="A100" s="325" t="s">
        <v>418</v>
      </c>
      <c r="B100" s="68" t="s">
        <v>1416</v>
      </c>
      <c r="C100" s="307" t="s">
        <v>1516</v>
      </c>
      <c r="D100" s="301" t="str">
        <f t="shared" si="3"/>
        <v>OK</v>
      </c>
      <c r="E100" s="37"/>
      <c r="F100"/>
    </row>
    <row r="101" spans="1:6">
      <c r="A101" s="325" t="s">
        <v>1517</v>
      </c>
      <c r="B101" s="68" t="s">
        <v>1410</v>
      </c>
      <c r="C101" s="307" t="s">
        <v>1518</v>
      </c>
      <c r="D101" s="301" t="str">
        <f t="shared" si="3"/>
        <v>OK</v>
      </c>
      <c r="E101" s="37"/>
      <c r="F101"/>
    </row>
    <row r="102" spans="1:6">
      <c r="A102" s="325" t="s">
        <v>1519</v>
      </c>
      <c r="B102" s="68" t="s">
        <v>1410</v>
      </c>
      <c r="C102" s="307" t="s">
        <v>1520</v>
      </c>
      <c r="D102" s="301" t="str">
        <f t="shared" si="3"/>
        <v>OK</v>
      </c>
      <c r="E102" s="37"/>
      <c r="F102"/>
    </row>
    <row r="103" spans="1:6">
      <c r="A103" s="325" t="s">
        <v>248</v>
      </c>
      <c r="B103" s="68" t="s">
        <v>1416</v>
      </c>
      <c r="C103" s="307" t="s">
        <v>1521</v>
      </c>
      <c r="D103" s="301" t="str">
        <f t="shared" si="3"/>
        <v>OK</v>
      </c>
      <c r="E103" s="37"/>
      <c r="F103"/>
    </row>
    <row r="104" spans="1:6">
      <c r="A104" s="325" t="s">
        <v>400</v>
      </c>
      <c r="B104" s="68" t="s">
        <v>1410</v>
      </c>
      <c r="C104" s="307" t="s">
        <v>1522</v>
      </c>
      <c r="D104" s="301" t="str">
        <f t="shared" si="3"/>
        <v>OK</v>
      </c>
      <c r="E104" s="37"/>
      <c r="F104"/>
    </row>
    <row r="105" spans="1:6">
      <c r="A105" s="325" t="s">
        <v>402</v>
      </c>
      <c r="B105" s="68" t="s">
        <v>1410</v>
      </c>
      <c r="C105" s="307" t="s">
        <v>1523</v>
      </c>
      <c r="D105" s="301" t="str">
        <f t="shared" si="3"/>
        <v>OK</v>
      </c>
      <c r="E105" s="37"/>
      <c r="F105"/>
    </row>
    <row r="106" spans="1:6">
      <c r="A106" s="325" t="s">
        <v>1524</v>
      </c>
      <c r="B106" s="68" t="s">
        <v>1410</v>
      </c>
      <c r="C106" s="307" t="s">
        <v>1525</v>
      </c>
      <c r="D106" s="301" t="str">
        <f t="shared" si="3"/>
        <v>OK</v>
      </c>
      <c r="E106" s="37"/>
      <c r="F106"/>
    </row>
    <row r="107" spans="1:6">
      <c r="A107" s="325" t="s">
        <v>1526</v>
      </c>
      <c r="B107" s="68" t="s">
        <v>1410</v>
      </c>
      <c r="C107" s="307" t="s">
        <v>1527</v>
      </c>
      <c r="D107" s="301" t="str">
        <f t="shared" si="3"/>
        <v>OK</v>
      </c>
      <c r="E107" s="37"/>
      <c r="F107"/>
    </row>
    <row r="108" spans="1:6">
      <c r="A108" s="325" t="s">
        <v>284</v>
      </c>
      <c r="B108" s="68" t="s">
        <v>1410</v>
      </c>
      <c r="C108" s="307" t="s">
        <v>1528</v>
      </c>
      <c r="D108" s="301" t="str">
        <f t="shared" si="3"/>
        <v>OK</v>
      </c>
      <c r="E108" s="37"/>
      <c r="F108"/>
    </row>
    <row r="109" spans="1:6">
      <c r="A109" s="325" t="s">
        <v>286</v>
      </c>
      <c r="B109" s="68" t="s">
        <v>1410</v>
      </c>
      <c r="C109" s="307" t="s">
        <v>1529</v>
      </c>
      <c r="D109" s="301" t="str">
        <f t="shared" si="3"/>
        <v>OK</v>
      </c>
      <c r="E109" s="37"/>
      <c r="F109"/>
    </row>
    <row r="110" spans="1:6">
      <c r="A110" s="325" t="s">
        <v>264</v>
      </c>
      <c r="B110" s="68" t="s">
        <v>1410</v>
      </c>
      <c r="C110" s="307" t="s">
        <v>1530</v>
      </c>
      <c r="D110" s="301" t="str">
        <f t="shared" si="3"/>
        <v>OK</v>
      </c>
      <c r="E110" s="37"/>
      <c r="F110"/>
    </row>
    <row r="111" spans="1:6">
      <c r="A111" s="325" t="s">
        <v>266</v>
      </c>
      <c r="B111" s="68" t="s">
        <v>1410</v>
      </c>
      <c r="C111" s="307" t="s">
        <v>1531</v>
      </c>
      <c r="D111" s="301" t="str">
        <f t="shared" si="3"/>
        <v>OK</v>
      </c>
      <c r="E111" s="37"/>
      <c r="F111"/>
    </row>
    <row r="112" spans="1:6">
      <c r="A112" s="325" t="s">
        <v>1532</v>
      </c>
      <c r="B112" s="68" t="s">
        <v>1410</v>
      </c>
      <c r="C112" s="307" t="s">
        <v>1532</v>
      </c>
      <c r="D112" s="301" t="str">
        <f t="shared" si="3"/>
        <v>OK</v>
      </c>
      <c r="E112" s="37"/>
      <c r="F112"/>
    </row>
    <row r="113" spans="1:6">
      <c r="A113" s="325" t="s">
        <v>188</v>
      </c>
      <c r="B113" s="68" t="s">
        <v>1416</v>
      </c>
      <c r="C113" s="307" t="s">
        <v>1533</v>
      </c>
      <c r="D113" s="301" t="str">
        <f t="shared" si="3"/>
        <v>OK</v>
      </c>
      <c r="E113" s="37"/>
      <c r="F113"/>
    </row>
    <row r="114" spans="1:6">
      <c r="A114" s="325" t="s">
        <v>265</v>
      </c>
      <c r="B114" s="68" t="s">
        <v>1416</v>
      </c>
      <c r="C114" s="307" t="s">
        <v>1534</v>
      </c>
      <c r="D114" s="301" t="str">
        <f t="shared" si="3"/>
        <v>OK</v>
      </c>
      <c r="E114" s="37"/>
      <c r="F114"/>
    </row>
    <row r="115" spans="1:6">
      <c r="A115" s="325" t="s">
        <v>258</v>
      </c>
      <c r="B115" s="68" t="s">
        <v>1416</v>
      </c>
      <c r="C115" s="307" t="s">
        <v>1535</v>
      </c>
      <c r="D115" s="301" t="str">
        <f t="shared" si="3"/>
        <v>OK</v>
      </c>
      <c r="E115" s="37"/>
      <c r="F115"/>
    </row>
    <row r="116" spans="1:6">
      <c r="A116" s="325" t="s">
        <v>1536</v>
      </c>
      <c r="B116" s="68" t="s">
        <v>1410</v>
      </c>
      <c r="C116" s="307" t="s">
        <v>1537</v>
      </c>
      <c r="D116" s="301" t="str">
        <f t="shared" si="3"/>
        <v>OK</v>
      </c>
      <c r="E116" s="37"/>
      <c r="F116"/>
    </row>
    <row r="117" spans="1:6">
      <c r="A117" s="325" t="s">
        <v>241</v>
      </c>
      <c r="B117" s="68" t="s">
        <v>1410</v>
      </c>
      <c r="C117" s="307" t="s">
        <v>241</v>
      </c>
      <c r="D117" s="301" t="str">
        <f t="shared" si="3"/>
        <v>OK</v>
      </c>
      <c r="E117" s="37"/>
      <c r="F117"/>
    </row>
    <row r="118" spans="1:6">
      <c r="A118" s="325" t="s">
        <v>1538</v>
      </c>
      <c r="B118" s="68" t="s">
        <v>1410</v>
      </c>
      <c r="C118" s="307" t="s">
        <v>1539</v>
      </c>
      <c r="D118" s="301" t="str">
        <f t="shared" si="3"/>
        <v>OK</v>
      </c>
      <c r="E118" s="37"/>
      <c r="F118"/>
    </row>
    <row r="119" spans="1:6">
      <c r="A119" s="325" t="s">
        <v>1540</v>
      </c>
      <c r="B119" s="68" t="s">
        <v>1410</v>
      </c>
      <c r="C119" s="307" t="s">
        <v>1541</v>
      </c>
      <c r="D119" s="301" t="str">
        <f t="shared" si="3"/>
        <v>OK</v>
      </c>
      <c r="E119" s="37" t="s">
        <v>1542</v>
      </c>
      <c r="F119"/>
    </row>
    <row r="120" spans="1:6">
      <c r="A120" s="325" t="s">
        <v>121</v>
      </c>
      <c r="B120" s="68" t="s">
        <v>1410</v>
      </c>
      <c r="C120" s="307" t="s">
        <v>1543</v>
      </c>
      <c r="D120" s="301" t="str">
        <f t="shared" si="3"/>
        <v>OK</v>
      </c>
      <c r="E120" s="37"/>
      <c r="F120"/>
    </row>
    <row r="121" spans="1:6">
      <c r="A121" s="325" t="s">
        <v>287</v>
      </c>
      <c r="B121" s="68" t="s">
        <v>1410</v>
      </c>
      <c r="C121" s="307" t="s">
        <v>1544</v>
      </c>
      <c r="D121" s="301" t="str">
        <f t="shared" si="3"/>
        <v>OK</v>
      </c>
      <c r="E121" s="37"/>
      <c r="F121"/>
    </row>
    <row r="122" spans="1:6">
      <c r="A122" s="325" t="s">
        <v>289</v>
      </c>
      <c r="B122" s="68" t="s">
        <v>1410</v>
      </c>
      <c r="C122" s="307" t="s">
        <v>1545</v>
      </c>
      <c r="D122" s="301" t="str">
        <f t="shared" si="3"/>
        <v>OK</v>
      </c>
      <c r="E122" s="37"/>
      <c r="F122"/>
    </row>
    <row r="123" spans="1:6">
      <c r="A123" s="325" t="s">
        <v>1546</v>
      </c>
      <c r="B123" s="68" t="s">
        <v>1410</v>
      </c>
      <c r="C123" s="307" t="s">
        <v>1547</v>
      </c>
      <c r="D123" s="301" t="str">
        <f t="shared" si="3"/>
        <v>OK</v>
      </c>
      <c r="E123" s="37"/>
      <c r="F123"/>
    </row>
    <row r="124" spans="1:6">
      <c r="A124" s="325" t="s">
        <v>425</v>
      </c>
      <c r="B124" s="68" t="s">
        <v>1416</v>
      </c>
      <c r="C124" s="307" t="s">
        <v>1548</v>
      </c>
      <c r="D124" s="301" t="str">
        <f t="shared" si="3"/>
        <v>OK</v>
      </c>
      <c r="E124" s="37"/>
      <c r="F124"/>
    </row>
    <row r="125" spans="1:6">
      <c r="A125" s="325" t="s">
        <v>225</v>
      </c>
      <c r="B125" s="68" t="s">
        <v>1410</v>
      </c>
      <c r="C125" s="307" t="s">
        <v>1549</v>
      </c>
      <c r="D125" s="301" t="str">
        <f t="shared" si="3"/>
        <v>OK</v>
      </c>
      <c r="E125" s="37"/>
      <c r="F125"/>
    </row>
    <row r="126" spans="1:6">
      <c r="A126" s="325" t="s">
        <v>1550</v>
      </c>
      <c r="B126" s="68" t="s">
        <v>1410</v>
      </c>
      <c r="C126" s="307" t="s">
        <v>1550</v>
      </c>
      <c r="D126" s="301" t="str">
        <f t="shared" si="3"/>
        <v>OK</v>
      </c>
      <c r="E126" s="37"/>
      <c r="F126"/>
    </row>
    <row r="127" spans="1:6">
      <c r="A127" s="325" t="s">
        <v>209</v>
      </c>
      <c r="B127" s="68" t="s">
        <v>1410</v>
      </c>
      <c r="C127" s="307" t="s">
        <v>1551</v>
      </c>
      <c r="D127" s="301" t="str">
        <f t="shared" si="3"/>
        <v>OK</v>
      </c>
      <c r="E127" s="37"/>
      <c r="F127"/>
    </row>
    <row r="128" spans="1:6">
      <c r="A128" s="325" t="s">
        <v>215</v>
      </c>
      <c r="B128" s="68" t="s">
        <v>1410</v>
      </c>
      <c r="C128" s="307" t="s">
        <v>1552</v>
      </c>
      <c r="D128" s="301" t="str">
        <f t="shared" si="3"/>
        <v>OK</v>
      </c>
      <c r="E128" s="37"/>
      <c r="F128"/>
    </row>
    <row r="129" spans="1:6">
      <c r="A129" s="325" t="s">
        <v>363</v>
      </c>
      <c r="B129" s="68" t="s">
        <v>1410</v>
      </c>
      <c r="C129" s="307" t="s">
        <v>1553</v>
      </c>
      <c r="D129" s="301" t="str">
        <f t="shared" si="3"/>
        <v>OK</v>
      </c>
      <c r="E129" s="37"/>
      <c r="F129"/>
    </row>
    <row r="130" spans="1:6">
      <c r="A130" s="325" t="s">
        <v>232</v>
      </c>
      <c r="B130" s="68" t="s">
        <v>1410</v>
      </c>
      <c r="C130" s="307" t="s">
        <v>1554</v>
      </c>
      <c r="D130" s="301" t="str">
        <f t="shared" si="3"/>
        <v>OK</v>
      </c>
      <c r="E130" s="37"/>
      <c r="F130"/>
    </row>
    <row r="131" spans="1:6">
      <c r="A131" s="325" t="s">
        <v>1555</v>
      </c>
      <c r="B131" s="68" t="s">
        <v>1410</v>
      </c>
      <c r="C131" s="307" t="s">
        <v>1556</v>
      </c>
      <c r="D131" s="301" t="str">
        <f t="shared" ref="D131:D136" si="4">IF(B131=IF(COUNTIF($F$5:$F$209,C131),"Stock","Flow/Sink"),"OK",IF(B131="Stock","Compartment missing in Lifetimes_pairs",IF(IF(COUNTIF($F$5:$F$161,C131),"Stock","Flow/Sink")="Stock","Change Type of compartment to Stock","OK")))</f>
        <v>OK</v>
      </c>
      <c r="E131" s="37"/>
      <c r="F131"/>
    </row>
    <row r="132" spans="1:6">
      <c r="A132" s="325" t="s">
        <v>1557</v>
      </c>
      <c r="B132" s="68" t="s">
        <v>1410</v>
      </c>
      <c r="C132" s="307" t="s">
        <v>1558</v>
      </c>
      <c r="D132" s="301" t="str">
        <f t="shared" si="4"/>
        <v>OK</v>
      </c>
      <c r="E132" s="37"/>
      <c r="F132"/>
    </row>
    <row r="133" spans="1:6">
      <c r="A133" s="325" t="s">
        <v>1172</v>
      </c>
      <c r="B133" s="68" t="s">
        <v>1410</v>
      </c>
      <c r="C133" s="307" t="s">
        <v>1559</v>
      </c>
      <c r="D133" s="301" t="str">
        <f t="shared" si="4"/>
        <v>OK</v>
      </c>
      <c r="E133" s="37"/>
      <c r="F133"/>
    </row>
    <row r="134" spans="1:6">
      <c r="A134" s="325" t="s">
        <v>337</v>
      </c>
      <c r="B134" s="68" t="s">
        <v>1410</v>
      </c>
      <c r="C134" s="307" t="s">
        <v>1560</v>
      </c>
      <c r="D134" s="301" t="str">
        <f t="shared" si="4"/>
        <v>OK</v>
      </c>
      <c r="E134" s="37"/>
      <c r="F134"/>
    </row>
    <row r="135" spans="1:6">
      <c r="A135" s="325" t="s">
        <v>1561</v>
      </c>
      <c r="B135" s="68" t="s">
        <v>1410</v>
      </c>
      <c r="C135" s="307" t="s">
        <v>1562</v>
      </c>
      <c r="D135" s="301" t="str">
        <f t="shared" si="4"/>
        <v>OK</v>
      </c>
      <c r="E135" s="37"/>
      <c r="F135"/>
    </row>
    <row r="136" spans="1:6" ht="15.75" thickBot="1">
      <c r="A136" s="443" t="s">
        <v>1563</v>
      </c>
      <c r="B136" s="72" t="s">
        <v>1410</v>
      </c>
      <c r="C136" s="320" t="s">
        <v>1563</v>
      </c>
      <c r="D136" s="568"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9" priority="1" operator="containsText" text="change">
      <formula>NOT(ISERROR(SEARCH("change",D3)))</formula>
    </cfRule>
  </conditionalFormatting>
  <conditionalFormatting sqref="D3:E136">
    <cfRule type="containsText" dxfId="18" priority="2" operator="containsText" text="OK">
      <formula>NOT(ISERROR(SEARCH("OK",D3)))</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44"/>
  <sheetViews>
    <sheetView topLeftCell="A216" zoomScaleNormal="100" workbookViewId="0">
      <selection activeCell="A239" sqref="A239"/>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00" t="s">
        <v>1564</v>
      </c>
      <c r="B1" s="600" t="s">
        <v>1404</v>
      </c>
      <c r="C1" s="600" t="s">
        <v>1405</v>
      </c>
      <c r="D1" s="600" t="s">
        <v>1406</v>
      </c>
      <c r="E1" s="600"/>
      <c r="F1" s="600"/>
    </row>
    <row r="2" spans="1:6" ht="30" customHeight="1" thickBot="1">
      <c r="A2" s="144" t="s">
        <v>1395</v>
      </c>
      <c r="B2" s="65" t="s">
        <v>1396</v>
      </c>
      <c r="C2" s="145" t="s">
        <v>1397</v>
      </c>
      <c r="D2" s="65" t="s">
        <v>1407</v>
      </c>
      <c r="E2" s="65" t="s">
        <v>1408</v>
      </c>
      <c r="F2" s="58" t="s">
        <v>1409</v>
      </c>
    </row>
    <row r="3" spans="1:6" ht="15" customHeight="1" thickBot="1">
      <c r="A3" s="494" t="s">
        <v>970</v>
      </c>
      <c r="B3" s="96" t="s">
        <v>1413</v>
      </c>
      <c r="C3" s="96" t="s">
        <v>1253</v>
      </c>
      <c r="D3" s="101" t="str">
        <f t="shared" ref="D3:D66" si="0">IF(B3=IF(COUNTIF($F$3:$F$150,C3),"Stock","Flow/Sink"),"OK",IF(B3="Stock","Compartment missing in Lifetimes, available as pair?",IF(IF(COUNTIF($F$3:$F$150,C3),"Stock","Flow/Sink")="Stock","Change Type of compartment to Stock","OK")))</f>
        <v>OK</v>
      </c>
      <c r="E3" s="569"/>
      <c r="F3" s="605" t="str">
        <f>Lifetimes!B1</f>
        <v>AgriculturalFilmsIU</v>
      </c>
    </row>
    <row r="4" spans="1:6" ht="15" customHeight="1" thickBot="1">
      <c r="A4" s="325" t="s">
        <v>968</v>
      </c>
      <c r="B4" s="97" t="s">
        <v>1413</v>
      </c>
      <c r="C4" s="97" t="s">
        <v>984</v>
      </c>
      <c r="D4" s="101" t="str">
        <f t="shared" si="0"/>
        <v>OK</v>
      </c>
      <c r="E4" s="82"/>
      <c r="F4" s="606" t="str">
        <f>Lifetimes!C1</f>
        <v>AgriculturalFilmsDis</v>
      </c>
    </row>
    <row r="5" spans="1:6" ht="15" customHeight="1" thickBot="1">
      <c r="A5" s="325" t="s">
        <v>971</v>
      </c>
      <c r="B5" s="97" t="s">
        <v>1410</v>
      </c>
      <c r="C5" s="97" t="s">
        <v>1565</v>
      </c>
      <c r="D5" s="101" t="str">
        <f t="shared" si="0"/>
        <v>OK</v>
      </c>
      <c r="E5" s="82"/>
      <c r="F5" s="606" t="str">
        <f>Lifetimes!D1</f>
        <v>AgriculturalPackagingBottles</v>
      </c>
    </row>
    <row r="6" spans="1:6" ht="15" customHeight="1" thickBot="1">
      <c r="A6" s="325" t="s">
        <v>964</v>
      </c>
      <c r="B6" s="97" t="s">
        <v>1413</v>
      </c>
      <c r="C6" s="97" t="s">
        <v>1254</v>
      </c>
      <c r="D6" s="101" t="str">
        <f t="shared" si="0"/>
        <v>OK</v>
      </c>
      <c r="E6" s="82"/>
      <c r="F6" s="606" t="str">
        <f>Lifetimes!E1</f>
        <v>AgriculturalPackagingFilms</v>
      </c>
    </row>
    <row r="7" spans="1:6" ht="15" customHeight="1" thickBot="1">
      <c r="A7" s="325" t="s">
        <v>969</v>
      </c>
      <c r="B7" s="97" t="s">
        <v>1413</v>
      </c>
      <c r="C7" s="97" t="s">
        <v>979</v>
      </c>
      <c r="D7" s="101" t="str">
        <f t="shared" si="0"/>
        <v>OK</v>
      </c>
      <c r="E7" s="82"/>
      <c r="F7" s="606" t="str">
        <f>Lifetimes!F1</f>
        <v>AgriculturalPipesIU</v>
      </c>
    </row>
    <row r="8" spans="1:6" ht="15" customHeight="1" thickBot="1">
      <c r="A8" s="74" t="s">
        <v>153</v>
      </c>
      <c r="B8" s="97" t="s">
        <v>1413</v>
      </c>
      <c r="C8" s="97" t="s">
        <v>1269</v>
      </c>
      <c r="D8" s="101" t="str">
        <f t="shared" si="0"/>
        <v>OK</v>
      </c>
      <c r="E8" s="82"/>
      <c r="F8" s="606" t="str">
        <f>Lifetimes!G1</f>
        <v>AgriculturalPipesDis</v>
      </c>
    </row>
    <row r="9" spans="1:6" s="16" customFormat="1" ht="15.75" thickBot="1">
      <c r="A9" s="74" t="s">
        <v>162</v>
      </c>
      <c r="B9" s="97" t="s">
        <v>1413</v>
      </c>
      <c r="C9" s="97" t="s">
        <v>1270</v>
      </c>
      <c r="D9" s="101" t="str">
        <f t="shared" si="0"/>
        <v>OK</v>
      </c>
      <c r="E9" s="82"/>
      <c r="F9" s="606" t="str">
        <f>Lifetimes!H1</f>
        <v>AgriculturalPPP</v>
      </c>
    </row>
    <row r="10" spans="1:6" ht="15.75" thickBot="1">
      <c r="A10" s="74" t="s">
        <v>171</v>
      </c>
      <c r="B10" s="97" t="s">
        <v>1413</v>
      </c>
      <c r="C10" s="97" t="s">
        <v>1274</v>
      </c>
      <c r="D10" s="101" t="str">
        <f t="shared" si="0"/>
        <v>OK</v>
      </c>
      <c r="E10" s="82"/>
      <c r="F10" s="606" t="str">
        <f>Lifetimes!I1</f>
        <v>BuildingPackagingFilms</v>
      </c>
    </row>
    <row r="11" spans="1:6" ht="15.75" thickBot="1">
      <c r="A11" s="74" t="s">
        <v>172</v>
      </c>
      <c r="B11" s="97" t="s">
        <v>1413</v>
      </c>
      <c r="C11" s="97" t="s">
        <v>1275</v>
      </c>
      <c r="D11" s="101" t="str">
        <f t="shared" si="0"/>
        <v>OK</v>
      </c>
      <c r="E11" s="82"/>
      <c r="F11" s="606" t="str">
        <f>Lifetimes!J1</f>
        <v>ConsumerBags</v>
      </c>
    </row>
    <row r="12" spans="1:6" ht="15.75" thickBot="1">
      <c r="A12" s="74" t="s">
        <v>194</v>
      </c>
      <c r="B12" s="97" t="s">
        <v>1413</v>
      </c>
      <c r="C12" s="97" t="s">
        <v>1261</v>
      </c>
      <c r="D12" s="101" t="str">
        <f t="shared" si="0"/>
        <v>OK</v>
      </c>
      <c r="E12" s="82"/>
      <c r="F12" s="606" t="str">
        <f>Lifetimes!K1</f>
        <v>ConsumerBottles</v>
      </c>
    </row>
    <row r="13" spans="1:6" ht="15.75" thickBot="1">
      <c r="A13" s="74" t="s">
        <v>196</v>
      </c>
      <c r="B13" s="496" t="s">
        <v>1410</v>
      </c>
      <c r="C13" s="97" t="s">
        <v>1566</v>
      </c>
      <c r="D13" s="101" t="str">
        <f t="shared" si="0"/>
        <v>OK</v>
      </c>
      <c r="E13" s="82"/>
      <c r="F13" s="606" t="str">
        <f>Lifetimes!L1</f>
        <v>ConsumerFilms</v>
      </c>
    </row>
    <row r="14" spans="1:6" ht="15.75" thickBot="1">
      <c r="A14" s="495" t="s">
        <v>197</v>
      </c>
      <c r="B14" s="496" t="s">
        <v>1413</v>
      </c>
      <c r="C14" s="97" t="s">
        <v>1263</v>
      </c>
      <c r="D14" s="101" t="str">
        <f t="shared" si="0"/>
        <v>OK</v>
      </c>
      <c r="E14" s="82"/>
      <c r="F14" s="606" t="str">
        <f>Lifetimes!M1</f>
        <v>ConsumerOther</v>
      </c>
    </row>
    <row r="15" spans="1:6" ht="15.75" thickBot="1">
      <c r="A15" s="495" t="s">
        <v>198</v>
      </c>
      <c r="B15" s="496" t="s">
        <v>1413</v>
      </c>
      <c r="C15" s="97" t="s">
        <v>1262</v>
      </c>
      <c r="D15" s="101" t="str">
        <f t="shared" si="0"/>
        <v>OK</v>
      </c>
      <c r="E15" s="82"/>
      <c r="F15" s="606" t="str">
        <f>Lifetimes!N1</f>
        <v>Cosmetics</v>
      </c>
    </row>
    <row r="16" spans="1:6" ht="15.75" thickBot="1">
      <c r="A16" s="362" t="s">
        <v>167</v>
      </c>
      <c r="B16" s="496" t="s">
        <v>1410</v>
      </c>
      <c r="C16" s="496" t="s">
        <v>1567</v>
      </c>
      <c r="D16" s="101" t="str">
        <f t="shared" si="0"/>
        <v>OK</v>
      </c>
      <c r="E16" s="82"/>
      <c r="F16" s="606" t="str">
        <f>Lifetimes!O1</f>
        <v>Household</v>
      </c>
    </row>
    <row r="17" spans="1:6" ht="15.75" thickBot="1">
      <c r="A17" s="362" t="s">
        <v>206</v>
      </c>
      <c r="B17" s="496" t="s">
        <v>1410</v>
      </c>
      <c r="C17" s="496" t="s">
        <v>1568</v>
      </c>
      <c r="D17" s="101" t="str">
        <f t="shared" si="0"/>
        <v>OK</v>
      </c>
      <c r="E17" s="82"/>
      <c r="F17" s="606" t="str">
        <f>Lifetimes!P1</f>
        <v>NonConsumerBags</v>
      </c>
    </row>
    <row r="18" spans="1:6" ht="15.75" thickBot="1">
      <c r="A18" s="362" t="s">
        <v>207</v>
      </c>
      <c r="B18" s="496" t="s">
        <v>1410</v>
      </c>
      <c r="C18" s="496" t="s">
        <v>1569</v>
      </c>
      <c r="D18" s="101" t="str">
        <f t="shared" si="0"/>
        <v>OK</v>
      </c>
      <c r="E18" s="82"/>
      <c r="F18" s="606" t="str">
        <f>Lifetimes!Q1</f>
        <v>NonConsumerOther</v>
      </c>
    </row>
    <row r="19" spans="1:6" ht="15.75" thickBot="1">
      <c r="A19" s="74" t="s">
        <v>432</v>
      </c>
      <c r="B19" s="97" t="s">
        <v>1410</v>
      </c>
      <c r="C19" s="97" t="s">
        <v>1570</v>
      </c>
      <c r="D19" s="101" t="str">
        <f t="shared" si="0"/>
        <v>OK</v>
      </c>
      <c r="E19" s="82"/>
      <c r="F19" s="606" t="str">
        <f>Lifetimes!R1</f>
        <v>OtherNonConsumerFilms</v>
      </c>
    </row>
    <row r="20" spans="1:6" ht="15.75" thickBot="1">
      <c r="A20" s="325" t="s">
        <v>453</v>
      </c>
      <c r="B20" s="97" t="s">
        <v>1410</v>
      </c>
      <c r="C20" s="97" t="s">
        <v>1571</v>
      </c>
      <c r="D20" s="101" t="str">
        <f t="shared" si="0"/>
        <v>OK</v>
      </c>
      <c r="E20" s="82"/>
      <c r="F20" s="606" t="str">
        <f>Lifetimes!S1</f>
        <v>OtherOther</v>
      </c>
    </row>
    <row r="21" spans="1:6" ht="15.75" thickBot="1">
      <c r="A21" s="325" t="s">
        <v>451</v>
      </c>
      <c r="B21" s="97" t="s">
        <v>1413</v>
      </c>
      <c r="C21" s="97" t="s">
        <v>1279</v>
      </c>
      <c r="D21" s="101" t="str">
        <f t="shared" si="0"/>
        <v>OK</v>
      </c>
      <c r="E21" s="82"/>
      <c r="F21" s="606" t="str">
        <f>Lifetimes!T1</f>
        <v>PipesDucts</v>
      </c>
    </row>
    <row r="22" spans="1:6" ht="15.75" thickBot="1">
      <c r="A22" s="325" t="s">
        <v>456</v>
      </c>
      <c r="B22" s="97" t="s">
        <v>1413</v>
      </c>
      <c r="C22" s="97" t="s">
        <v>1280</v>
      </c>
      <c r="D22" s="101" t="str">
        <f t="shared" si="0"/>
        <v>OK</v>
      </c>
      <c r="E22" s="82"/>
      <c r="F22" s="606" t="str">
        <f>Lifetimes!U1</f>
        <v>OtherOilGas</v>
      </c>
    </row>
    <row r="23" spans="1:6" ht="15.75" thickBot="1">
      <c r="A23" s="325" t="s">
        <v>452</v>
      </c>
      <c r="B23" s="97" t="s">
        <v>1410</v>
      </c>
      <c r="C23" s="97" t="s">
        <v>1572</v>
      </c>
      <c r="D23" s="101" t="str">
        <f t="shared" si="0"/>
        <v>OK</v>
      </c>
      <c r="E23" s="82"/>
      <c r="F23" s="606" t="str">
        <f>Lifetimes!V1</f>
        <v>InfillSportsFieldDis</v>
      </c>
    </row>
    <row r="24" spans="1:6" ht="15.75" thickBot="1">
      <c r="A24" s="325" t="s">
        <v>454</v>
      </c>
      <c r="B24" s="97" t="s">
        <v>1413</v>
      </c>
      <c r="C24" s="97" t="s">
        <v>1281</v>
      </c>
      <c r="D24" s="101" t="str">
        <f t="shared" si="0"/>
        <v>OK</v>
      </c>
      <c r="E24" s="82"/>
      <c r="F24" s="606" t="str">
        <f>Lifetimes!W1</f>
        <v>InfillSportsFieldU</v>
      </c>
    </row>
    <row r="25" spans="1:6" ht="15.75" thickBot="1">
      <c r="A25" s="325" t="s">
        <v>455</v>
      </c>
      <c r="B25" s="97" t="s">
        <v>1413</v>
      </c>
      <c r="C25" s="97" t="s">
        <v>1282</v>
      </c>
      <c r="D25" s="101" t="str">
        <f t="shared" si="0"/>
        <v>OK</v>
      </c>
      <c r="E25" s="82"/>
      <c r="F25" s="606" t="str">
        <f>Lifetimes!AE1</f>
        <v>ClothingDis</v>
      </c>
    </row>
    <row r="26" spans="1:6" ht="15.75" thickBot="1">
      <c r="A26" s="74" t="s">
        <v>156</v>
      </c>
      <c r="B26" s="97" t="s">
        <v>1410</v>
      </c>
      <c r="C26" s="97" t="s">
        <v>1573</v>
      </c>
      <c r="D26" s="101" t="str">
        <f t="shared" si="0"/>
        <v>OK</v>
      </c>
      <c r="E26" s="82"/>
      <c r="F26" s="606" t="str">
        <f>Lifetimes!AF1</f>
        <v>ClothingIUWearTear</v>
      </c>
    </row>
    <row r="27" spans="1:6" ht="15.75" thickBot="1">
      <c r="A27" s="74" t="s">
        <v>227</v>
      </c>
      <c r="B27" s="97" t="s">
        <v>1410</v>
      </c>
      <c r="C27" s="97" t="s">
        <v>1574</v>
      </c>
      <c r="D27" s="101" t="str">
        <f t="shared" si="0"/>
        <v>OK</v>
      </c>
      <c r="E27" s="82"/>
      <c r="F27" s="606" t="str">
        <f>Lifetimes!AG1</f>
        <v>ClothingIUWashDry</v>
      </c>
    </row>
    <row r="28" spans="1:6" ht="15.75" thickBot="1">
      <c r="A28" s="74" t="s">
        <v>109</v>
      </c>
      <c r="B28" s="97" t="s">
        <v>1410</v>
      </c>
      <c r="C28" s="97" t="s">
        <v>1575</v>
      </c>
      <c r="D28" s="101" t="str">
        <f t="shared" si="0"/>
        <v>OK</v>
      </c>
      <c r="E28" s="82"/>
      <c r="F28" s="606" t="str">
        <f>Lifetimes!AH1</f>
        <v>HomeTextilesDis</v>
      </c>
    </row>
    <row r="29" spans="1:6" ht="15.75" thickBot="1">
      <c r="A29" s="74" t="s">
        <v>267</v>
      </c>
      <c r="B29" s="97" t="s">
        <v>1416</v>
      </c>
      <c r="C29" s="97" t="s">
        <v>1576</v>
      </c>
      <c r="D29" s="101" t="str">
        <f t="shared" si="0"/>
        <v>OK</v>
      </c>
      <c r="E29" s="82"/>
      <c r="F29" s="606" t="str">
        <f>Lifetimes!AI1</f>
        <v>HomeTextilesIU</v>
      </c>
    </row>
    <row r="30" spans="1:6" ht="15.75" thickBot="1">
      <c r="A30" s="74" t="s">
        <v>159</v>
      </c>
      <c r="B30" s="97" t="s">
        <v>1410</v>
      </c>
      <c r="C30" s="97" t="s">
        <v>1577</v>
      </c>
      <c r="D30" s="101" t="str">
        <f t="shared" si="0"/>
        <v>OK</v>
      </c>
      <c r="E30" s="82"/>
      <c r="F30" s="606" t="str">
        <f>Lifetimes!AJ1</f>
        <v>TechHomeTextilesDis</v>
      </c>
    </row>
    <row r="31" spans="1:6" ht="15.75" thickBot="1">
      <c r="A31" s="74" t="s">
        <v>268</v>
      </c>
      <c r="B31" s="97" t="s">
        <v>1410</v>
      </c>
      <c r="C31" s="97" t="s">
        <v>1578</v>
      </c>
      <c r="D31" s="101" t="str">
        <f t="shared" si="0"/>
        <v>OK</v>
      </c>
      <c r="E31" s="82"/>
      <c r="F31" s="606" t="str">
        <f>Lifetimes!AK1</f>
        <v>TechHomeTextilesIU</v>
      </c>
    </row>
    <row r="32" spans="1:6" ht="15.75" thickBot="1">
      <c r="A32" s="74" t="s">
        <v>186</v>
      </c>
      <c r="B32" s="97" t="s">
        <v>1413</v>
      </c>
      <c r="C32" s="97" t="s">
        <v>1272</v>
      </c>
      <c r="D32" s="101" t="str">
        <f t="shared" si="0"/>
        <v>OK</v>
      </c>
      <c r="E32" s="82"/>
      <c r="F32" s="606" t="str">
        <f>Lifetimes!AL1</f>
        <v>MedicalTextiles</v>
      </c>
    </row>
    <row r="33" spans="1:6" ht="15.75" thickBot="1">
      <c r="A33" s="74" t="s">
        <v>187</v>
      </c>
      <c r="B33" s="97" t="s">
        <v>1413</v>
      </c>
      <c r="C33" s="97" t="s">
        <v>1273</v>
      </c>
      <c r="D33" s="101" t="str">
        <f t="shared" si="0"/>
        <v>OK</v>
      </c>
      <c r="E33" s="82"/>
      <c r="F33" s="606" t="str">
        <f>Lifetimes!AM1</f>
        <v>AgrotextilesDis</v>
      </c>
    </row>
    <row r="34" spans="1:6" ht="15.75" thickBot="1">
      <c r="A34" s="325" t="s">
        <v>269</v>
      </c>
      <c r="B34" s="97" t="s">
        <v>1410</v>
      </c>
      <c r="C34" s="97" t="s">
        <v>269</v>
      </c>
      <c r="D34" s="101" t="str">
        <f t="shared" si="0"/>
        <v>OK</v>
      </c>
      <c r="E34" s="82"/>
      <c r="F34" s="606" t="str">
        <f>Lifetimes!AN1</f>
        <v>AgrotextilesIU</v>
      </c>
    </row>
    <row r="35" spans="1:6" ht="15.75" thickBot="1">
      <c r="A35" s="325" t="s">
        <v>270</v>
      </c>
      <c r="B35" s="97" t="s">
        <v>1410</v>
      </c>
      <c r="C35" s="97" t="s">
        <v>1579</v>
      </c>
      <c r="D35" s="101" t="str">
        <f t="shared" si="0"/>
        <v>OK</v>
      </c>
      <c r="E35" s="82"/>
      <c r="F35" s="606" t="str">
        <f>Lifetimes!AO1</f>
        <v>MobilityTextiles</v>
      </c>
    </row>
    <row r="36" spans="1:6" ht="15.75" thickBot="1">
      <c r="A36" s="325" t="s">
        <v>271</v>
      </c>
      <c r="B36" s="97" t="s">
        <v>1410</v>
      </c>
      <c r="C36" s="97" t="s">
        <v>1580</v>
      </c>
      <c r="D36" s="101" t="str">
        <f t="shared" si="0"/>
        <v>OK</v>
      </c>
      <c r="E36" s="82"/>
      <c r="F36" s="606" t="str">
        <f>Lifetimes!AP1</f>
        <v>GeotextilesDis</v>
      </c>
    </row>
    <row r="37" spans="1:6" ht="15.75" thickBot="1">
      <c r="A37" s="325" t="s">
        <v>380</v>
      </c>
      <c r="B37" s="97" t="s">
        <v>1410</v>
      </c>
      <c r="C37" s="97" t="s">
        <v>1581</v>
      </c>
      <c r="D37" s="101" t="str">
        <f t="shared" si="0"/>
        <v>OK</v>
      </c>
      <c r="E37" s="82"/>
      <c r="F37" s="606" t="str">
        <f>Lifetimes!AQ1</f>
        <v>GeotextilesIU</v>
      </c>
    </row>
    <row r="38" spans="1:6" ht="15.75" thickBot="1">
      <c r="A38" s="325" t="s">
        <v>275</v>
      </c>
      <c r="B38" s="97" t="s">
        <v>1410</v>
      </c>
      <c r="C38" s="97" t="s">
        <v>1582</v>
      </c>
      <c r="D38" s="101" t="str">
        <f t="shared" si="0"/>
        <v>OK</v>
      </c>
      <c r="E38" s="82"/>
      <c r="F38" s="606" t="str">
        <f>Lifetimes!AR1</f>
        <v>BuildingTextilesDis</v>
      </c>
    </row>
    <row r="39" spans="1:6" ht="15.75" thickBot="1">
      <c r="A39" s="495" t="s">
        <v>189</v>
      </c>
      <c r="B39" s="97" t="s">
        <v>1410</v>
      </c>
      <c r="C39" s="97" t="s">
        <v>1583</v>
      </c>
      <c r="D39" s="101" t="str">
        <f t="shared" si="0"/>
        <v>OK</v>
      </c>
      <c r="E39" s="82"/>
      <c r="F39" s="606" t="str">
        <f>Lifetimes!AS1</f>
        <v>BuildingTextilesIU</v>
      </c>
    </row>
    <row r="40" spans="1:6" ht="15.75" thickBot="1">
      <c r="A40" s="74" t="s">
        <v>190</v>
      </c>
      <c r="B40" s="97" t="s">
        <v>1413</v>
      </c>
      <c r="C40" s="97" t="s">
        <v>1264</v>
      </c>
      <c r="D40" s="101" t="str">
        <f t="shared" si="0"/>
        <v>OK</v>
      </c>
      <c r="E40" s="82"/>
      <c r="F40" s="606" t="str">
        <f>Lifetimes!AT1</f>
        <v>OtherTechnicalTextiles</v>
      </c>
    </row>
    <row r="41" spans="1:6" ht="15.75" thickBot="1">
      <c r="A41" s="74" t="s">
        <v>191</v>
      </c>
      <c r="B41" s="97" t="s">
        <v>1413</v>
      </c>
      <c r="C41" s="97" t="s">
        <v>1265</v>
      </c>
      <c r="D41" s="101" t="str">
        <f t="shared" si="0"/>
        <v>OK</v>
      </c>
      <c r="E41" s="82"/>
      <c r="F41" s="606" t="str">
        <f>Lifetimes!AU1</f>
        <v>TextileCoatingDis</v>
      </c>
    </row>
    <row r="42" spans="1:6" ht="15.75" thickBot="1">
      <c r="A42" s="74" t="s">
        <v>114</v>
      </c>
      <c r="B42" s="97" t="s">
        <v>1410</v>
      </c>
      <c r="C42" s="97" t="s">
        <v>1584</v>
      </c>
      <c r="D42" s="101" t="str">
        <f t="shared" si="0"/>
        <v>OK</v>
      </c>
      <c r="E42" s="82"/>
      <c r="F42" s="606" t="str">
        <f>Lifetimes!AV1</f>
        <v>TextileCoatingIU</v>
      </c>
    </row>
    <row r="43" spans="1:6" ht="15.75" thickBot="1">
      <c r="A43" s="74" t="s">
        <v>1585</v>
      </c>
      <c r="B43" s="97" t="s">
        <v>1410</v>
      </c>
      <c r="C43" s="97" t="s">
        <v>1586</v>
      </c>
      <c r="D43" s="101" t="str">
        <f t="shared" si="0"/>
        <v>OK</v>
      </c>
      <c r="E43" s="82"/>
      <c r="F43" s="606" t="str">
        <f>Lifetimes!AW1</f>
        <v>ConcreteProfInDis</v>
      </c>
    </row>
    <row r="44" spans="1:6" ht="15.75" thickBot="1">
      <c r="A44" s="74" t="s">
        <v>1587</v>
      </c>
      <c r="B44" s="97" t="s">
        <v>1410</v>
      </c>
      <c r="C44" s="97" t="s">
        <v>1588</v>
      </c>
      <c r="D44" s="101" t="str">
        <f t="shared" si="0"/>
        <v>OK</v>
      </c>
      <c r="E44" s="82"/>
      <c r="F44" s="606" t="str">
        <f>Lifetimes!AX1</f>
        <v>ConcreteProfInIU</v>
      </c>
    </row>
    <row r="45" spans="1:6" ht="15.75" thickBot="1">
      <c r="A45" s="74" t="s">
        <v>1589</v>
      </c>
      <c r="B45" s="97" t="s">
        <v>1410</v>
      </c>
      <c r="C45" s="97" t="s">
        <v>1590</v>
      </c>
      <c r="D45" s="101" t="str">
        <f t="shared" si="0"/>
        <v>OK</v>
      </c>
      <c r="E45" s="82"/>
      <c r="F45" s="606" t="str">
        <f>Lifetimes!AY1</f>
        <v>ConcreteProfOutDis</v>
      </c>
    </row>
    <row r="46" spans="1:6" ht="15.75" thickBot="1">
      <c r="A46" s="74" t="s">
        <v>1591</v>
      </c>
      <c r="B46" s="97" t="s">
        <v>1410</v>
      </c>
      <c r="C46" s="97" t="s">
        <v>1592</v>
      </c>
      <c r="D46" s="101" t="str">
        <f t="shared" si="0"/>
        <v>OK</v>
      </c>
      <c r="E46" s="82"/>
      <c r="F46" s="606" t="str">
        <f>Lifetimes!AZ1</f>
        <v>ConcreteProfOutIU</v>
      </c>
    </row>
    <row r="47" spans="1:6" ht="15.75" thickBot="1">
      <c r="A47" s="74" t="s">
        <v>1593</v>
      </c>
      <c r="B47" s="97" t="s">
        <v>1410</v>
      </c>
      <c r="C47" s="97" t="s">
        <v>1594</v>
      </c>
      <c r="D47" s="101" t="str">
        <f t="shared" si="0"/>
        <v>OK</v>
      </c>
      <c r="E47" s="82"/>
      <c r="F47" s="606" t="str">
        <f>Lifetimes!BA1</f>
        <v>LacquerDiyInDis</v>
      </c>
    </row>
    <row r="48" spans="1:6" ht="15.75" thickBot="1">
      <c r="A48" s="74" t="s">
        <v>1595</v>
      </c>
      <c r="B48" s="97" t="s">
        <v>1410</v>
      </c>
      <c r="C48" s="97" t="s">
        <v>1596</v>
      </c>
      <c r="D48" s="101" t="str">
        <f t="shared" si="0"/>
        <v>OK</v>
      </c>
      <c r="E48" s="82"/>
      <c r="F48" s="606" t="str">
        <f>Lifetimes!BB1</f>
        <v>LacquerDiyInIU</v>
      </c>
    </row>
    <row r="49" spans="1:6" ht="15.75" thickBot="1">
      <c r="A49" s="74" t="s">
        <v>1597</v>
      </c>
      <c r="B49" s="97" t="s">
        <v>1410</v>
      </c>
      <c r="C49" s="97" t="s">
        <v>1598</v>
      </c>
      <c r="D49" s="101" t="str">
        <f t="shared" si="0"/>
        <v>OK</v>
      </c>
      <c r="E49" s="82"/>
      <c r="F49" s="606" t="str">
        <f>Lifetimes!BC1</f>
        <v>LacquerDiyOutDis</v>
      </c>
    </row>
    <row r="50" spans="1:6" ht="15.75" thickBot="1">
      <c r="A50" s="74" t="s">
        <v>1599</v>
      </c>
      <c r="B50" s="97" t="s">
        <v>1410</v>
      </c>
      <c r="C50" s="97" t="s">
        <v>1600</v>
      </c>
      <c r="D50" s="101" t="str">
        <f t="shared" si="0"/>
        <v>OK</v>
      </c>
      <c r="E50" s="82"/>
      <c r="F50" s="606" t="str">
        <f>Lifetimes!BD1</f>
        <v>LacquerDiyOutIU</v>
      </c>
    </row>
    <row r="51" spans="1:6" ht="15.75" thickBot="1">
      <c r="A51" s="74" t="s">
        <v>1601</v>
      </c>
      <c r="B51" s="97" t="s">
        <v>1410</v>
      </c>
      <c r="C51" s="97" t="s">
        <v>1602</v>
      </c>
      <c r="D51" s="101" t="str">
        <f t="shared" si="0"/>
        <v>OK</v>
      </c>
      <c r="E51" s="82"/>
      <c r="F51" s="606" t="str">
        <f>Lifetimes!BE1</f>
        <v>LacquerProfInDis</v>
      </c>
    </row>
    <row r="52" spans="1:6" ht="15.75" thickBot="1">
      <c r="A52" s="74" t="s">
        <v>1603</v>
      </c>
      <c r="B52" s="97" t="s">
        <v>1410</v>
      </c>
      <c r="C52" s="97" t="s">
        <v>1604</v>
      </c>
      <c r="D52" s="101" t="str">
        <f t="shared" si="0"/>
        <v>OK</v>
      </c>
      <c r="E52" s="82"/>
      <c r="F52" s="606" t="str">
        <f>Lifetimes!BF1</f>
        <v>LacquerProfInIU</v>
      </c>
    </row>
    <row r="53" spans="1:6" ht="15.75" thickBot="1">
      <c r="A53" s="74" t="s">
        <v>1605</v>
      </c>
      <c r="B53" s="97" t="s">
        <v>1410</v>
      </c>
      <c r="C53" s="97" t="s">
        <v>1606</v>
      </c>
      <c r="D53" s="101" t="str">
        <f t="shared" si="0"/>
        <v>OK</v>
      </c>
      <c r="E53" s="82"/>
      <c r="F53" s="606" t="str">
        <f>Lifetimes!BG1</f>
        <v>LacquerProfOutDis</v>
      </c>
    </row>
    <row r="54" spans="1:6" ht="15.75" thickBot="1">
      <c r="A54" s="74" t="s">
        <v>254</v>
      </c>
      <c r="B54" s="97" t="s">
        <v>1416</v>
      </c>
      <c r="C54" s="97" t="s">
        <v>1607</v>
      </c>
      <c r="D54" s="101" t="str">
        <f t="shared" si="0"/>
        <v>OK</v>
      </c>
      <c r="E54" s="82"/>
      <c r="F54" s="606" t="str">
        <f>Lifetimes!BH1</f>
        <v>LacquerProfOutIU</v>
      </c>
    </row>
    <row r="55" spans="1:6" ht="15.75" thickBot="1">
      <c r="A55" s="74" t="s">
        <v>309</v>
      </c>
      <c r="B55" s="97" t="s">
        <v>1410</v>
      </c>
      <c r="C55" s="97" t="s">
        <v>1608</v>
      </c>
      <c r="D55" s="101" t="str">
        <f t="shared" si="0"/>
        <v>OK</v>
      </c>
      <c r="E55" s="82"/>
      <c r="F55" s="606" t="str">
        <f>Lifetimes!BI1</f>
        <v>OtherPaintUsesDiyInDis</v>
      </c>
    </row>
    <row r="56" spans="1:6" ht="15.75" thickBot="1">
      <c r="A56" s="74" t="s">
        <v>311</v>
      </c>
      <c r="B56" s="97" t="s">
        <v>1413</v>
      </c>
      <c r="C56" s="97" t="s">
        <v>1259</v>
      </c>
      <c r="D56" s="101" t="str">
        <f t="shared" si="0"/>
        <v>OK</v>
      </c>
      <c r="E56" s="82"/>
      <c r="F56" s="606" t="str">
        <f>Lifetimes!BJ1</f>
        <v>OtherPaintUsesDiyInIU</v>
      </c>
    </row>
    <row r="57" spans="1:6" ht="15.75" thickBot="1">
      <c r="A57" s="74" t="s">
        <v>312</v>
      </c>
      <c r="B57" s="97" t="s">
        <v>1413</v>
      </c>
      <c r="C57" s="97" t="s">
        <v>1260</v>
      </c>
      <c r="D57" s="101" t="str">
        <f t="shared" si="0"/>
        <v>OK</v>
      </c>
      <c r="E57" s="82"/>
      <c r="F57" s="606" t="str">
        <f>Lifetimes!BK1</f>
        <v>OtherPaintUsesDiyOutDis</v>
      </c>
    </row>
    <row r="58" spans="1:6" ht="15.75" thickBot="1">
      <c r="A58" s="74" t="s">
        <v>37</v>
      </c>
      <c r="B58" s="97" t="s">
        <v>1410</v>
      </c>
      <c r="C58" s="97" t="s">
        <v>1609</v>
      </c>
      <c r="D58" s="101" t="str">
        <f t="shared" si="0"/>
        <v>OK</v>
      </c>
      <c r="E58" s="82"/>
      <c r="F58" s="606" t="str">
        <f>Lifetimes!BL1</f>
        <v>OtherPaintUsesDiyOutIU</v>
      </c>
    </row>
    <row r="59" spans="1:6" ht="15.75" thickBot="1">
      <c r="A59" s="74" t="s">
        <v>1610</v>
      </c>
      <c r="B59" s="97" t="s">
        <v>1410</v>
      </c>
      <c r="C59" s="97" t="s">
        <v>1611</v>
      </c>
      <c r="D59" s="101" t="str">
        <f t="shared" si="0"/>
        <v>OK</v>
      </c>
      <c r="E59" s="82"/>
      <c r="F59" s="606" t="str">
        <f>Lifetimes!BM1</f>
        <v>OtherPaintUsesProfInDis</v>
      </c>
    </row>
    <row r="60" spans="1:6" ht="15.75" thickBot="1">
      <c r="A60" s="74" t="s">
        <v>1612</v>
      </c>
      <c r="B60" s="97" t="s">
        <v>1410</v>
      </c>
      <c r="C60" s="97" t="s">
        <v>1613</v>
      </c>
      <c r="D60" s="101" t="str">
        <f t="shared" si="0"/>
        <v>OK</v>
      </c>
      <c r="E60" s="82"/>
      <c r="F60" s="606" t="str">
        <f>Lifetimes!BN1</f>
        <v>OtherPaintUsesProfInIU</v>
      </c>
    </row>
    <row r="61" spans="1:6" ht="15.75" thickBot="1">
      <c r="A61" s="74" t="s">
        <v>1614</v>
      </c>
      <c r="B61" s="97" t="s">
        <v>1410</v>
      </c>
      <c r="C61" s="97" t="s">
        <v>1615</v>
      </c>
      <c r="D61" s="101" t="str">
        <f t="shared" si="0"/>
        <v>OK</v>
      </c>
      <c r="E61" s="82"/>
      <c r="F61" s="606" t="str">
        <f>Lifetimes!BO1</f>
        <v>OtherPaintUsesProfOutDis</v>
      </c>
    </row>
    <row r="62" spans="1:6" ht="15.75" thickBot="1">
      <c r="A62" s="74" t="s">
        <v>1616</v>
      </c>
      <c r="B62" s="97" t="s">
        <v>1410</v>
      </c>
      <c r="C62" s="97" t="s">
        <v>1617</v>
      </c>
      <c r="D62" s="101" t="str">
        <f t="shared" si="0"/>
        <v>OK</v>
      </c>
      <c r="E62" s="82"/>
      <c r="F62" s="606" t="str">
        <f>Lifetimes!BP1</f>
        <v>OtherPaintUsesProfOutIU</v>
      </c>
    </row>
    <row r="63" spans="1:6" ht="15.75" thickBot="1">
      <c r="A63" s="74" t="s">
        <v>314</v>
      </c>
      <c r="B63" s="97" t="s">
        <v>1410</v>
      </c>
      <c r="C63" s="97" t="s">
        <v>1618</v>
      </c>
      <c r="D63" s="101" t="str">
        <f t="shared" si="0"/>
        <v>OK</v>
      </c>
      <c r="E63" s="82"/>
      <c r="F63" s="606" t="str">
        <f>Lifetimes!BQ1</f>
        <v>PaintsPreMadeWoodInDis</v>
      </c>
    </row>
    <row r="64" spans="1:6" ht="15.75" thickBot="1">
      <c r="A64" s="74" t="s">
        <v>440</v>
      </c>
      <c r="B64" s="97" t="s">
        <v>1410</v>
      </c>
      <c r="C64" s="97" t="s">
        <v>1619</v>
      </c>
      <c r="D64" s="101" t="str">
        <f t="shared" si="0"/>
        <v>OK</v>
      </c>
      <c r="E64" s="82"/>
      <c r="F64" s="606" t="str">
        <f>Lifetimes!BR1</f>
        <v>PaintsPreMadeWoodInIU</v>
      </c>
    </row>
    <row r="65" spans="1:6" ht="15.75" thickBot="1">
      <c r="A65" s="325" t="s">
        <v>496</v>
      </c>
      <c r="B65" s="97" t="s">
        <v>1410</v>
      </c>
      <c r="C65" s="97" t="s">
        <v>1620</v>
      </c>
      <c r="D65" s="101" t="str">
        <f t="shared" si="0"/>
        <v>OK</v>
      </c>
      <c r="E65" s="82"/>
      <c r="F65" s="606" t="str">
        <f>Lifetimes!BS1</f>
        <v>PaintsPreMadeWoodOutDis</v>
      </c>
    </row>
    <row r="66" spans="1:6" ht="15.75" thickBot="1">
      <c r="A66" s="325" t="s">
        <v>500</v>
      </c>
      <c r="B66" s="97" t="s">
        <v>1413</v>
      </c>
      <c r="C66" s="97" t="s">
        <v>1283</v>
      </c>
      <c r="D66" s="101" t="str">
        <f t="shared" si="0"/>
        <v>OK</v>
      </c>
      <c r="E66" s="82"/>
      <c r="F66" s="606" t="str">
        <f>Lifetimes!BT1</f>
        <v>PaintsPreMadeWoodOutIU</v>
      </c>
    </row>
    <row r="67" spans="1:6" ht="15.75" thickBot="1">
      <c r="A67" s="325" t="s">
        <v>499</v>
      </c>
      <c r="B67" s="97" t="s">
        <v>1413</v>
      </c>
      <c r="C67" s="97" t="s">
        <v>1284</v>
      </c>
      <c r="D67" s="101" t="str">
        <f t="shared" ref="D67:D130" si="1">IF(B67=IF(COUNTIF($F$3:$F$150,C67),"Stock","Flow/Sink"),"OK",IF(B67="Stock","Compartment missing in Lifetimes, available as pair?",IF(IF(COUNTIF($F$3:$F$150,C67),"Stock","Flow/Sink")="Stock","Change Type of compartment to Stock","OK")))</f>
        <v>OK</v>
      </c>
      <c r="E67" s="82"/>
      <c r="F67" s="606" t="str">
        <f>Lifetimes!BU1</f>
        <v>PlasterDiyInDis</v>
      </c>
    </row>
    <row r="68" spans="1:6" ht="15.75" thickBot="1">
      <c r="A68" s="325" t="s">
        <v>495</v>
      </c>
      <c r="B68" s="97" t="s">
        <v>1410</v>
      </c>
      <c r="C68" s="97" t="s">
        <v>1621</v>
      </c>
      <c r="D68" s="101" t="str">
        <f t="shared" si="1"/>
        <v>OK</v>
      </c>
      <c r="E68" s="82"/>
      <c r="F68" s="606" t="str">
        <f>Lifetimes!BV1</f>
        <v>PlasterDiyInIU</v>
      </c>
    </row>
    <row r="69" spans="1:6" ht="15.75" thickBot="1">
      <c r="A69" s="325" t="s">
        <v>498</v>
      </c>
      <c r="B69" s="97" t="s">
        <v>1413</v>
      </c>
      <c r="C69" s="97" t="s">
        <v>1285</v>
      </c>
      <c r="D69" s="101" t="str">
        <f t="shared" si="1"/>
        <v>OK</v>
      </c>
      <c r="E69" s="82"/>
      <c r="F69" s="606" t="str">
        <f>Lifetimes!BW1</f>
        <v>PlasterDiyOutDis</v>
      </c>
    </row>
    <row r="70" spans="1:6" ht="15.75" thickBot="1">
      <c r="A70" s="325" t="s">
        <v>497</v>
      </c>
      <c r="B70" s="97" t="s">
        <v>1413</v>
      </c>
      <c r="C70" s="97" t="s">
        <v>1286</v>
      </c>
      <c r="D70" s="101" t="str">
        <f t="shared" si="1"/>
        <v>OK</v>
      </c>
      <c r="E70" s="82"/>
      <c r="F70" s="606" t="str">
        <f>Lifetimes!BX1</f>
        <v>PlasterDiyOutIU</v>
      </c>
    </row>
    <row r="71" spans="1:6" ht="15.75" thickBot="1">
      <c r="A71" s="74" t="s">
        <v>434</v>
      </c>
      <c r="B71" s="97" t="s">
        <v>1410</v>
      </c>
      <c r="C71" s="97" t="s">
        <v>1622</v>
      </c>
      <c r="D71" s="101" t="str">
        <f t="shared" si="1"/>
        <v>OK</v>
      </c>
      <c r="E71" s="82"/>
      <c r="F71" s="606" t="str">
        <f>Lifetimes!BY1</f>
        <v>PlasterProfInDis</v>
      </c>
    </row>
    <row r="72" spans="1:6" ht="15.75" thickBot="1">
      <c r="A72" s="325" t="s">
        <v>458</v>
      </c>
      <c r="B72" s="97" t="s">
        <v>1410</v>
      </c>
      <c r="C72" s="97" t="s">
        <v>1623</v>
      </c>
      <c r="D72" s="101" t="str">
        <f t="shared" si="1"/>
        <v>OK</v>
      </c>
      <c r="E72" s="82"/>
      <c r="F72" s="606" t="str">
        <f>Lifetimes!BZ1</f>
        <v>PlasterProfInIU</v>
      </c>
    </row>
    <row r="73" spans="1:6" ht="15.75" thickBot="1">
      <c r="A73" s="325" t="s">
        <v>462</v>
      </c>
      <c r="B73" s="97" t="s">
        <v>1413</v>
      </c>
      <c r="C73" s="97" t="s">
        <v>1287</v>
      </c>
      <c r="D73" s="101" t="str">
        <f t="shared" si="1"/>
        <v>OK</v>
      </c>
      <c r="E73" s="82"/>
      <c r="F73" s="606" t="str">
        <f>Lifetimes!CA1</f>
        <v>PlasterProfOutDis</v>
      </c>
    </row>
    <row r="74" spans="1:6" ht="15.75" thickBot="1">
      <c r="A74" s="325" t="s">
        <v>461</v>
      </c>
      <c r="B74" s="97" t="s">
        <v>1413</v>
      </c>
      <c r="C74" s="97" t="s">
        <v>1288</v>
      </c>
      <c r="D74" s="101" t="str">
        <f t="shared" si="1"/>
        <v>OK</v>
      </c>
      <c r="E74" s="82"/>
      <c r="F74" s="606" t="str">
        <f>Lifetimes!CB1</f>
        <v>PlasterProfOutIU</v>
      </c>
    </row>
    <row r="75" spans="1:6" ht="15.75" thickBot="1">
      <c r="A75" s="325" t="s">
        <v>457</v>
      </c>
      <c r="B75" s="97" t="s">
        <v>1410</v>
      </c>
      <c r="C75" s="97" t="s">
        <v>1624</v>
      </c>
      <c r="D75" s="101" t="str">
        <f t="shared" si="1"/>
        <v>OK</v>
      </c>
      <c r="E75" s="82"/>
      <c r="F75" s="606" t="str">
        <f>Lifetimes!CC1</f>
        <v>ShipProfDis</v>
      </c>
    </row>
    <row r="76" spans="1:6" ht="15.75" thickBot="1">
      <c r="A76" s="325" t="s">
        <v>460</v>
      </c>
      <c r="B76" s="97" t="s">
        <v>1413</v>
      </c>
      <c r="C76" s="97" t="s">
        <v>1289</v>
      </c>
      <c r="D76" s="101" t="str">
        <f t="shared" si="1"/>
        <v>OK</v>
      </c>
      <c r="E76" s="82"/>
      <c r="F76" s="606" t="str">
        <f>Lifetimes!CD1</f>
        <v>ShipProfIU</v>
      </c>
    </row>
    <row r="77" spans="1:6" ht="15.75" thickBot="1">
      <c r="A77" s="325" t="s">
        <v>459</v>
      </c>
      <c r="B77" s="97" t="s">
        <v>1413</v>
      </c>
      <c r="C77" s="97" t="s">
        <v>1290</v>
      </c>
      <c r="D77" s="101" t="str">
        <f t="shared" si="1"/>
        <v>OK</v>
      </c>
      <c r="E77" s="82"/>
      <c r="F77" s="606" t="str">
        <f>Lifetimes!CE1</f>
        <v>ShipDiyDis</v>
      </c>
    </row>
    <row r="78" spans="1:6" ht="15.75" thickBot="1">
      <c r="A78" s="74" t="s">
        <v>1625</v>
      </c>
      <c r="B78" s="97" t="s">
        <v>1410</v>
      </c>
      <c r="C78" s="97" t="s">
        <v>1626</v>
      </c>
      <c r="D78" s="101" t="str">
        <f t="shared" si="1"/>
        <v>OK</v>
      </c>
      <c r="E78" s="82"/>
      <c r="F78" s="606" t="str">
        <f>Lifetimes!CF1</f>
        <v>ShipDiyIU</v>
      </c>
    </row>
    <row r="79" spans="1:6" ht="15.75" thickBot="1">
      <c r="A79" s="74" t="s">
        <v>1627</v>
      </c>
      <c r="B79" s="97" t="s">
        <v>1410</v>
      </c>
      <c r="C79" s="97" t="s">
        <v>1628</v>
      </c>
      <c r="D79" s="101" t="str">
        <f t="shared" si="1"/>
        <v>OK</v>
      </c>
      <c r="E79" s="82"/>
      <c r="F79" s="606" t="str">
        <f>Lifetimes!CG1</f>
        <v>WallPaintDiyIndoorAppliedDis</v>
      </c>
    </row>
    <row r="80" spans="1:6" ht="15.75" thickBot="1">
      <c r="A80" s="74" t="s">
        <v>1629</v>
      </c>
      <c r="B80" s="97" t="s">
        <v>1410</v>
      </c>
      <c r="C80" s="97" t="s">
        <v>1630</v>
      </c>
      <c r="D80" s="101" t="str">
        <f t="shared" si="1"/>
        <v>OK</v>
      </c>
      <c r="E80" s="82"/>
      <c r="F80" s="607" t="str">
        <f>Lifetimes!CH1</f>
        <v>WallPaintDiyIndoorAppliedIU</v>
      </c>
    </row>
    <row r="81" spans="1:6" ht="15.75" thickBot="1">
      <c r="A81" s="74" t="s">
        <v>1631</v>
      </c>
      <c r="B81" s="97" t="s">
        <v>1410</v>
      </c>
      <c r="C81" s="97" t="s">
        <v>1632</v>
      </c>
      <c r="D81" s="101" t="str">
        <f t="shared" si="1"/>
        <v>OK</v>
      </c>
      <c r="E81" s="82"/>
      <c r="F81" s="607" t="str">
        <f>Lifetimes!CI1</f>
        <v>WallPaintDiyOutDis</v>
      </c>
    </row>
    <row r="82" spans="1:6" ht="15.75" thickBot="1">
      <c r="A82" s="74" t="s">
        <v>346</v>
      </c>
      <c r="B82" s="97" t="s">
        <v>1413</v>
      </c>
      <c r="C82" s="97" t="s">
        <v>1268</v>
      </c>
      <c r="D82" s="101" t="str">
        <f t="shared" si="1"/>
        <v>OK</v>
      </c>
      <c r="E82" s="82"/>
      <c r="F82" s="607" t="str">
        <f>Lifetimes!CJ1</f>
        <v>WallPaintDiyOutIU</v>
      </c>
    </row>
    <row r="83" spans="1:6" ht="15.75" thickBot="1">
      <c r="A83" s="74" t="s">
        <v>338</v>
      </c>
      <c r="B83" s="97" t="s">
        <v>1410</v>
      </c>
      <c r="C83" s="97" t="s">
        <v>1633</v>
      </c>
      <c r="D83" s="101" t="str">
        <f t="shared" si="1"/>
        <v>OK</v>
      </c>
      <c r="E83" s="82"/>
      <c r="F83" s="607" t="str">
        <f>Lifetimes!CK1</f>
        <v>WallPaintProfInDis</v>
      </c>
    </row>
    <row r="84" spans="1:6" ht="15.75" thickBot="1">
      <c r="A84" s="74" t="s">
        <v>334</v>
      </c>
      <c r="B84" s="97" t="s">
        <v>1410</v>
      </c>
      <c r="C84" s="97" t="s">
        <v>1634</v>
      </c>
      <c r="D84" s="101" t="str">
        <f t="shared" si="1"/>
        <v>OK</v>
      </c>
      <c r="E84" s="82"/>
      <c r="F84" s="607" t="str">
        <f>Lifetimes!CL1</f>
        <v>WallPaintProfInIU</v>
      </c>
    </row>
    <row r="85" spans="1:6" ht="15.75" thickBot="1">
      <c r="A85" s="74" t="s">
        <v>362</v>
      </c>
      <c r="B85" s="97" t="s">
        <v>1410</v>
      </c>
      <c r="C85" s="97" t="s">
        <v>1635</v>
      </c>
      <c r="D85" s="101" t="str">
        <f t="shared" si="1"/>
        <v>OK</v>
      </c>
      <c r="E85" s="82"/>
      <c r="F85" s="607" t="str">
        <f>Lifetimes!CM1</f>
        <v>WallPaintProfOutDis</v>
      </c>
    </row>
    <row r="86" spans="1:6" ht="15.75" thickBot="1">
      <c r="A86" s="74" t="s">
        <v>444</v>
      </c>
      <c r="B86" s="97" t="s">
        <v>1410</v>
      </c>
      <c r="C86" s="97" t="s">
        <v>1636</v>
      </c>
      <c r="D86" s="101" t="str">
        <f t="shared" si="1"/>
        <v>OK</v>
      </c>
      <c r="E86" s="82"/>
      <c r="F86" s="607" t="str">
        <f>Lifetimes!CN1</f>
        <v>WallPaintProfOutIU</v>
      </c>
    </row>
    <row r="87" spans="1:6" ht="15.75" thickBot="1">
      <c r="A87" s="325" t="s">
        <v>522</v>
      </c>
      <c r="B87" s="97" t="s">
        <v>1410</v>
      </c>
      <c r="C87" s="97" t="s">
        <v>1637</v>
      </c>
      <c r="D87" s="101" t="str">
        <f t="shared" si="1"/>
        <v>OK</v>
      </c>
      <c r="E87" s="82"/>
      <c r="F87" s="607" t="str">
        <f>Lifetimes!CO1</f>
        <v>WoodStainDiyInDis</v>
      </c>
    </row>
    <row r="88" spans="1:6" ht="15.75" thickBot="1">
      <c r="A88" s="325" t="s">
        <v>465</v>
      </c>
      <c r="B88" s="97" t="s">
        <v>1413</v>
      </c>
      <c r="C88" s="97" t="s">
        <v>1291</v>
      </c>
      <c r="D88" s="101" t="str">
        <f t="shared" si="1"/>
        <v>OK</v>
      </c>
      <c r="E88" s="82"/>
      <c r="F88" s="607" t="str">
        <f>Lifetimes!CP1</f>
        <v>WoodStainDiyInIU</v>
      </c>
    </row>
    <row r="89" spans="1:6" ht="15.75" thickBot="1">
      <c r="A89" s="325" t="s">
        <v>524</v>
      </c>
      <c r="B89" s="97" t="s">
        <v>1413</v>
      </c>
      <c r="C89" s="97" t="s">
        <v>1292</v>
      </c>
      <c r="D89" s="101" t="str">
        <f t="shared" si="1"/>
        <v>OK</v>
      </c>
      <c r="E89" s="82"/>
      <c r="F89" s="607" t="str">
        <f>Lifetimes!CQ1</f>
        <v>WoodStainDiyOutDis</v>
      </c>
    </row>
    <row r="90" spans="1:6" ht="15.75" thickBot="1">
      <c r="A90" s="325" t="s">
        <v>521</v>
      </c>
      <c r="B90" s="97" t="s">
        <v>1410</v>
      </c>
      <c r="C90" s="97" t="s">
        <v>1638</v>
      </c>
      <c r="D90" s="101" t="str">
        <f t="shared" si="1"/>
        <v>OK</v>
      </c>
      <c r="E90" s="82"/>
      <c r="F90" s="607" t="str">
        <f>Lifetimes!CR1</f>
        <v>WoodStainDiyOutIU</v>
      </c>
    </row>
    <row r="91" spans="1:6" ht="15.75" thickBot="1">
      <c r="A91" s="325" t="s">
        <v>472</v>
      </c>
      <c r="B91" s="97" t="s">
        <v>1413</v>
      </c>
      <c r="C91" s="97" t="s">
        <v>1293</v>
      </c>
      <c r="D91" s="101" t="str">
        <f t="shared" si="1"/>
        <v>OK</v>
      </c>
      <c r="E91" s="82"/>
      <c r="F91" s="607" t="str">
        <f>Lifetimes!CS1</f>
        <v>WoodStainProfInDis</v>
      </c>
    </row>
    <row r="92" spans="1:6" ht="15.75" thickBot="1">
      <c r="A92" s="325" t="s">
        <v>523</v>
      </c>
      <c r="B92" s="97" t="s">
        <v>1413</v>
      </c>
      <c r="C92" s="97" t="s">
        <v>1294</v>
      </c>
      <c r="D92" s="101" t="str">
        <f t="shared" si="1"/>
        <v>OK</v>
      </c>
      <c r="E92" s="82"/>
      <c r="F92" s="607" t="str">
        <f>Lifetimes!CT1</f>
        <v>WoodStainProfInIU</v>
      </c>
    </row>
    <row r="93" spans="1:6" ht="15.75" thickBot="1">
      <c r="A93" s="74" t="s">
        <v>438</v>
      </c>
      <c r="B93" s="97" t="s">
        <v>1410</v>
      </c>
      <c r="C93" s="97" t="s">
        <v>1639</v>
      </c>
      <c r="D93" s="101" t="str">
        <f t="shared" si="1"/>
        <v>OK</v>
      </c>
      <c r="E93" s="82"/>
      <c r="F93" s="607" t="str">
        <f>Lifetimes!CU1</f>
        <v>WoodStainProfOutDis</v>
      </c>
    </row>
    <row r="94" spans="1:6" ht="15.75" thickBot="1">
      <c r="A94" s="325" t="s">
        <v>486</v>
      </c>
      <c r="B94" s="97" t="s">
        <v>1410</v>
      </c>
      <c r="C94" s="97" t="s">
        <v>1640</v>
      </c>
      <c r="D94" s="101" t="str">
        <f t="shared" si="1"/>
        <v>OK</v>
      </c>
      <c r="E94" s="82"/>
      <c r="F94" s="608" t="str">
        <f>Lifetimes!CV1</f>
        <v>WoodStainProfOutIU</v>
      </c>
    </row>
    <row r="95" spans="1:6" ht="15.75" thickBot="1">
      <c r="A95" s="325" t="s">
        <v>477</v>
      </c>
      <c r="B95" s="97" t="s">
        <v>1413</v>
      </c>
      <c r="C95" s="97" t="s">
        <v>1295</v>
      </c>
      <c r="D95" s="101" t="str">
        <f t="shared" si="1"/>
        <v>OK</v>
      </c>
      <c r="E95" s="82"/>
      <c r="F95">
        <f>Lifetimes!CW1</f>
        <v>0</v>
      </c>
    </row>
    <row r="96" spans="1:6" ht="15.75" thickBot="1">
      <c r="A96" s="325" t="s">
        <v>488</v>
      </c>
      <c r="B96" s="97" t="s">
        <v>1413</v>
      </c>
      <c r="C96" s="97" t="s">
        <v>1296</v>
      </c>
      <c r="D96" s="101" t="str">
        <f t="shared" si="1"/>
        <v>OK</v>
      </c>
      <c r="E96" s="82"/>
      <c r="F96">
        <f>Lifetimes!CX1</f>
        <v>0</v>
      </c>
    </row>
    <row r="97" spans="1:6" ht="15.75" thickBot="1">
      <c r="A97" s="325" t="s">
        <v>485</v>
      </c>
      <c r="B97" s="97" t="s">
        <v>1410</v>
      </c>
      <c r="C97" s="97" t="s">
        <v>1641</v>
      </c>
      <c r="D97" s="101" t="str">
        <f t="shared" si="1"/>
        <v>OK</v>
      </c>
      <c r="E97" s="82"/>
      <c r="F97">
        <f>Lifetimes!CY1</f>
        <v>0</v>
      </c>
    </row>
    <row r="98" spans="1:6" ht="15.75" thickBot="1">
      <c r="A98" s="325" t="s">
        <v>480</v>
      </c>
      <c r="B98" s="97" t="s">
        <v>1413</v>
      </c>
      <c r="C98" s="97" t="s">
        <v>1297</v>
      </c>
      <c r="D98" s="101" t="str">
        <f t="shared" si="1"/>
        <v>OK</v>
      </c>
      <c r="E98" s="82"/>
      <c r="F98">
        <f>Lifetimes!CZ1</f>
        <v>0</v>
      </c>
    </row>
    <row r="99" spans="1:6" ht="15.75" thickBot="1">
      <c r="A99" s="325" t="s">
        <v>487</v>
      </c>
      <c r="B99" s="97" t="s">
        <v>1413</v>
      </c>
      <c r="C99" s="97" t="s">
        <v>1298</v>
      </c>
      <c r="D99" s="101" t="str">
        <f t="shared" si="1"/>
        <v>OK</v>
      </c>
      <c r="E99" s="82"/>
      <c r="F99">
        <f>Lifetimes!DA1</f>
        <v>0</v>
      </c>
    </row>
    <row r="100" spans="1:6" ht="15.75" thickBot="1">
      <c r="A100" s="74" t="s">
        <v>1642</v>
      </c>
      <c r="B100" s="97" t="s">
        <v>1410</v>
      </c>
      <c r="C100" s="97" t="s">
        <v>1643</v>
      </c>
      <c r="D100" s="101" t="str">
        <f t="shared" si="1"/>
        <v>OK</v>
      </c>
      <c r="E100" s="82"/>
      <c r="F100">
        <f>Lifetimes!DB1</f>
        <v>0</v>
      </c>
    </row>
    <row r="101" spans="1:6" ht="15.75" thickBot="1">
      <c r="A101" s="74" t="s">
        <v>1644</v>
      </c>
      <c r="B101" s="97" t="s">
        <v>1410</v>
      </c>
      <c r="C101" s="97" t="s">
        <v>1645</v>
      </c>
      <c r="D101" s="101" t="str">
        <f t="shared" si="1"/>
        <v>OK</v>
      </c>
      <c r="E101" s="82"/>
      <c r="F101">
        <f>Lifetimes!DC1</f>
        <v>0</v>
      </c>
    </row>
    <row r="102" spans="1:6" ht="15.75" thickBot="1">
      <c r="A102" s="74" t="s">
        <v>1646</v>
      </c>
      <c r="B102" s="97" t="s">
        <v>1410</v>
      </c>
      <c r="C102" s="97" t="s">
        <v>1647</v>
      </c>
      <c r="D102" s="101" t="str">
        <f t="shared" si="1"/>
        <v>OK</v>
      </c>
      <c r="E102" s="82"/>
      <c r="F102">
        <f>Lifetimes!DD1</f>
        <v>0</v>
      </c>
    </row>
    <row r="103" spans="1:6" ht="15.75" thickBot="1">
      <c r="A103" s="74" t="s">
        <v>1648</v>
      </c>
      <c r="B103" s="97" t="s">
        <v>1410</v>
      </c>
      <c r="C103" s="97" t="s">
        <v>1649</v>
      </c>
      <c r="D103" s="101" t="str">
        <f t="shared" si="1"/>
        <v>OK</v>
      </c>
      <c r="E103" s="82"/>
      <c r="F103">
        <f>Lifetimes!DE1</f>
        <v>0</v>
      </c>
    </row>
    <row r="104" spans="1:6" ht="15.75" thickBot="1">
      <c r="A104" s="74" t="s">
        <v>1650</v>
      </c>
      <c r="B104" s="97" t="s">
        <v>1410</v>
      </c>
      <c r="C104" s="97" t="s">
        <v>1651</v>
      </c>
      <c r="D104" s="101" t="str">
        <f t="shared" si="1"/>
        <v>OK</v>
      </c>
      <c r="E104" s="82"/>
      <c r="F104">
        <f>Lifetimes!DF1</f>
        <v>0</v>
      </c>
    </row>
    <row r="105" spans="1:6" ht="15.75" thickBot="1">
      <c r="A105" s="74" t="s">
        <v>1652</v>
      </c>
      <c r="B105" s="97" t="s">
        <v>1410</v>
      </c>
      <c r="C105" s="97" t="s">
        <v>1653</v>
      </c>
      <c r="D105" s="101" t="str">
        <f t="shared" si="1"/>
        <v>OK</v>
      </c>
      <c r="E105" s="82"/>
      <c r="F105">
        <f>Lifetimes!DG1</f>
        <v>0</v>
      </c>
    </row>
    <row r="106" spans="1:6" ht="15.75" thickBot="1">
      <c r="A106" s="74" t="s">
        <v>1654</v>
      </c>
      <c r="B106" s="97" t="s">
        <v>1410</v>
      </c>
      <c r="C106" s="97" t="s">
        <v>1655</v>
      </c>
      <c r="D106" s="101" t="str">
        <f t="shared" si="1"/>
        <v>OK</v>
      </c>
      <c r="E106" s="82"/>
      <c r="F106">
        <f>Lifetimes!DH1</f>
        <v>0</v>
      </c>
    </row>
    <row r="107" spans="1:6" ht="15.75" thickBot="1">
      <c r="A107" s="74" t="s">
        <v>1656</v>
      </c>
      <c r="B107" s="97" t="s">
        <v>1410</v>
      </c>
      <c r="C107" s="97" t="s">
        <v>1657</v>
      </c>
      <c r="D107" s="101" t="str">
        <f t="shared" si="1"/>
        <v>OK</v>
      </c>
      <c r="E107" s="82"/>
      <c r="F107">
        <f>Lifetimes!DI1</f>
        <v>0</v>
      </c>
    </row>
    <row r="108" spans="1:6" ht="15.75" thickBot="1">
      <c r="A108" s="74" t="s">
        <v>1658</v>
      </c>
      <c r="B108" s="97" t="s">
        <v>1410</v>
      </c>
      <c r="C108" s="97" t="s">
        <v>1659</v>
      </c>
      <c r="D108" s="101" t="str">
        <f t="shared" si="1"/>
        <v>OK</v>
      </c>
      <c r="E108" s="82"/>
      <c r="F108">
        <f>Lifetimes!DJ1</f>
        <v>0</v>
      </c>
    </row>
    <row r="109" spans="1:6" ht="15.75" thickBot="1">
      <c r="A109" s="74" t="s">
        <v>1660</v>
      </c>
      <c r="B109" s="97" t="s">
        <v>1410</v>
      </c>
      <c r="C109" s="97" t="s">
        <v>1661</v>
      </c>
      <c r="D109" s="101" t="str">
        <f t="shared" si="1"/>
        <v>OK</v>
      </c>
      <c r="E109" s="82"/>
      <c r="F109">
        <f>Lifetimes!DK1</f>
        <v>0</v>
      </c>
    </row>
    <row r="110" spans="1:6" ht="15.75" thickBot="1">
      <c r="A110" s="74" t="s">
        <v>1662</v>
      </c>
      <c r="B110" s="97" t="s">
        <v>1410</v>
      </c>
      <c r="C110" s="97" t="s">
        <v>1663</v>
      </c>
      <c r="D110" s="101" t="str">
        <f t="shared" si="1"/>
        <v>OK</v>
      </c>
      <c r="E110" s="82"/>
      <c r="F110">
        <f>Lifetimes!DL1</f>
        <v>0</v>
      </c>
    </row>
    <row r="111" spans="1:6" ht="15.75" thickBot="1">
      <c r="A111" s="74" t="s">
        <v>118</v>
      </c>
      <c r="B111" s="97" t="s">
        <v>1410</v>
      </c>
      <c r="C111" s="97" t="s">
        <v>118</v>
      </c>
      <c r="D111" s="101" t="str">
        <f t="shared" si="1"/>
        <v>OK</v>
      </c>
      <c r="E111" s="82"/>
      <c r="F111">
        <f>Lifetimes!DM1</f>
        <v>0</v>
      </c>
    </row>
    <row r="112" spans="1:6" ht="15.75" thickBot="1">
      <c r="A112" s="325" t="s">
        <v>439</v>
      </c>
      <c r="B112" s="97" t="s">
        <v>1410</v>
      </c>
      <c r="C112" s="97" t="s">
        <v>1664</v>
      </c>
      <c r="D112" s="101" t="str">
        <f t="shared" si="1"/>
        <v>OK</v>
      </c>
      <c r="E112" s="82"/>
      <c r="F112">
        <f>Lifetimes!DN1</f>
        <v>0</v>
      </c>
    </row>
    <row r="113" spans="1:6" ht="15.75" thickBot="1">
      <c r="A113" s="325" t="s">
        <v>492</v>
      </c>
      <c r="B113" s="97" t="s">
        <v>1410</v>
      </c>
      <c r="C113" s="97" t="s">
        <v>1665</v>
      </c>
      <c r="D113" s="101" t="str">
        <f t="shared" si="1"/>
        <v>OK</v>
      </c>
      <c r="E113" s="82"/>
      <c r="F113">
        <f>Lifetimes!DO1</f>
        <v>0</v>
      </c>
    </row>
    <row r="114" spans="1:6" ht="15.75" thickBot="1">
      <c r="A114" s="325" t="s">
        <v>489</v>
      </c>
      <c r="B114" s="97" t="s">
        <v>1413</v>
      </c>
      <c r="C114" s="97" t="s">
        <v>1299</v>
      </c>
      <c r="D114" s="101" t="str">
        <f t="shared" si="1"/>
        <v>OK</v>
      </c>
      <c r="E114" s="82"/>
      <c r="F114">
        <f>Lifetimes!DP1</f>
        <v>0</v>
      </c>
    </row>
    <row r="115" spans="1:6" ht="15.75" thickBot="1">
      <c r="A115" s="325" t="s">
        <v>494</v>
      </c>
      <c r="B115" s="97" t="s">
        <v>1413</v>
      </c>
      <c r="C115" s="97" t="s">
        <v>1300</v>
      </c>
      <c r="D115" s="101" t="str">
        <f t="shared" si="1"/>
        <v>OK</v>
      </c>
      <c r="E115" s="82"/>
      <c r="F115">
        <f>Lifetimes!DQ1</f>
        <v>0</v>
      </c>
    </row>
    <row r="116" spans="1:6" ht="15.75" thickBot="1">
      <c r="A116" s="325" t="s">
        <v>491</v>
      </c>
      <c r="B116" s="97" t="s">
        <v>1410</v>
      </c>
      <c r="C116" s="97" t="s">
        <v>1666</v>
      </c>
      <c r="D116" s="101" t="str">
        <f t="shared" si="1"/>
        <v>OK</v>
      </c>
      <c r="E116" s="82"/>
      <c r="F116">
        <f>Lifetimes!DR1</f>
        <v>0</v>
      </c>
    </row>
    <row r="117" spans="1:6" ht="15.75" thickBot="1">
      <c r="A117" s="325" t="s">
        <v>490</v>
      </c>
      <c r="B117" s="97" t="s">
        <v>1413</v>
      </c>
      <c r="C117" s="97" t="s">
        <v>1301</v>
      </c>
      <c r="D117" s="101" t="str">
        <f t="shared" si="1"/>
        <v>OK</v>
      </c>
      <c r="E117" s="82"/>
      <c r="F117">
        <f>Lifetimes!DS1</f>
        <v>0</v>
      </c>
    </row>
    <row r="118" spans="1:6" ht="15.75" thickBot="1">
      <c r="A118" s="325" t="s">
        <v>493</v>
      </c>
      <c r="B118" s="97" t="s">
        <v>1413</v>
      </c>
      <c r="C118" s="97" t="s">
        <v>1302</v>
      </c>
      <c r="D118" s="101" t="str">
        <f t="shared" si="1"/>
        <v>OK</v>
      </c>
      <c r="E118" s="82"/>
      <c r="F118">
        <f>Lifetimes!DT1</f>
        <v>0</v>
      </c>
    </row>
    <row r="119" spans="1:6" ht="15.75" thickBot="1">
      <c r="A119" s="74" t="s">
        <v>259</v>
      </c>
      <c r="B119" s="97" t="s">
        <v>1410</v>
      </c>
      <c r="C119" s="97" t="s">
        <v>1667</v>
      </c>
      <c r="D119" s="101" t="str">
        <f t="shared" si="1"/>
        <v>OK</v>
      </c>
      <c r="E119" s="82"/>
      <c r="F119">
        <f>Lifetimes!DU1</f>
        <v>0</v>
      </c>
    </row>
    <row r="120" spans="1:6" ht="15.75" thickBot="1">
      <c r="A120" s="74" t="s">
        <v>261</v>
      </c>
      <c r="B120" s="97" t="s">
        <v>1410</v>
      </c>
      <c r="C120" s="97" t="s">
        <v>1668</v>
      </c>
      <c r="D120" s="101" t="str">
        <f t="shared" si="1"/>
        <v>OK</v>
      </c>
      <c r="E120" s="82"/>
      <c r="F120">
        <f>Lifetimes!DV1</f>
        <v>0</v>
      </c>
    </row>
    <row r="121" spans="1:6" ht="15.75" thickBot="1">
      <c r="A121" s="74" t="s">
        <v>262</v>
      </c>
      <c r="B121" s="97" t="s">
        <v>1410</v>
      </c>
      <c r="C121" s="97" t="s">
        <v>1669</v>
      </c>
      <c r="D121" s="101" t="str">
        <f t="shared" si="1"/>
        <v>OK</v>
      </c>
      <c r="E121" s="82"/>
      <c r="F121">
        <f>Lifetimes!DW1</f>
        <v>0</v>
      </c>
    </row>
    <row r="122" spans="1:6" ht="15.75" thickBot="1">
      <c r="A122" s="74" t="s">
        <v>160</v>
      </c>
      <c r="B122" s="97" t="s">
        <v>1410</v>
      </c>
      <c r="C122" s="97" t="s">
        <v>1670</v>
      </c>
      <c r="D122" s="101" t="str">
        <f t="shared" si="1"/>
        <v>OK</v>
      </c>
      <c r="E122" s="82"/>
      <c r="F122">
        <f>Lifetimes!DX1</f>
        <v>0</v>
      </c>
    </row>
    <row r="123" spans="1:6" ht="15.75" thickBot="1">
      <c r="A123" s="74" t="s">
        <v>443</v>
      </c>
      <c r="B123" s="97" t="s">
        <v>1410</v>
      </c>
      <c r="C123" s="97" t="s">
        <v>1671</v>
      </c>
      <c r="D123" s="101" t="str">
        <f t="shared" si="1"/>
        <v>OK</v>
      </c>
      <c r="E123" s="82"/>
      <c r="F123">
        <f>Lifetimes!DY1</f>
        <v>0</v>
      </c>
    </row>
    <row r="124" spans="1:6" ht="15.75" thickBot="1">
      <c r="A124" s="325" t="s">
        <v>516</v>
      </c>
      <c r="B124" s="97" t="s">
        <v>1410</v>
      </c>
      <c r="C124" s="97" t="s">
        <v>1672</v>
      </c>
      <c r="D124" s="101" t="str">
        <f t="shared" si="1"/>
        <v>OK</v>
      </c>
      <c r="E124" s="82"/>
      <c r="F124">
        <f>Lifetimes!DZ1</f>
        <v>0</v>
      </c>
    </row>
    <row r="125" spans="1:6" ht="15.75" thickBot="1">
      <c r="A125" s="325" t="s">
        <v>520</v>
      </c>
      <c r="B125" s="97" t="s">
        <v>1413</v>
      </c>
      <c r="C125" s="97" t="s">
        <v>1303</v>
      </c>
      <c r="D125" s="101" t="str">
        <f t="shared" si="1"/>
        <v>OK</v>
      </c>
      <c r="E125" s="82"/>
      <c r="F125">
        <f>Lifetimes!EA1</f>
        <v>0</v>
      </c>
    </row>
    <row r="126" spans="1:6" ht="15.75" thickBot="1">
      <c r="A126" s="325" t="s">
        <v>519</v>
      </c>
      <c r="B126" s="97" t="s">
        <v>1413</v>
      </c>
      <c r="C126" s="97" t="s">
        <v>1304</v>
      </c>
      <c r="D126" s="101" t="str">
        <f t="shared" si="1"/>
        <v>OK</v>
      </c>
      <c r="E126" s="82"/>
      <c r="F126">
        <f>Lifetimes!EB1</f>
        <v>0</v>
      </c>
    </row>
    <row r="127" spans="1:6" ht="15.75" thickBot="1">
      <c r="A127" s="325" t="s">
        <v>515</v>
      </c>
      <c r="B127" s="97" t="s">
        <v>1410</v>
      </c>
      <c r="C127" s="97" t="s">
        <v>1673</v>
      </c>
      <c r="D127" s="101" t="str">
        <f t="shared" si="1"/>
        <v>OK</v>
      </c>
      <c r="E127" s="82"/>
      <c r="F127">
        <f>Lifetimes!EC1</f>
        <v>0</v>
      </c>
    </row>
    <row r="128" spans="1:6" ht="15.75" thickBot="1">
      <c r="A128" s="325" t="s">
        <v>518</v>
      </c>
      <c r="B128" s="97" t="s">
        <v>1413</v>
      </c>
      <c r="C128" s="97" t="s">
        <v>1305</v>
      </c>
      <c r="D128" s="101" t="str">
        <f t="shared" si="1"/>
        <v>OK</v>
      </c>
      <c r="E128" s="82"/>
      <c r="F128">
        <f>Lifetimes!ED1</f>
        <v>0</v>
      </c>
    </row>
    <row r="129" spans="1:6" ht="15.75" thickBot="1">
      <c r="A129" s="325" t="s">
        <v>517</v>
      </c>
      <c r="B129" s="97" t="s">
        <v>1413</v>
      </c>
      <c r="C129" s="97" t="s">
        <v>1306</v>
      </c>
      <c r="D129" s="101" t="str">
        <f t="shared" si="1"/>
        <v>OK</v>
      </c>
      <c r="E129" s="82"/>
      <c r="F129">
        <f>Lifetimes!EE1</f>
        <v>0</v>
      </c>
    </row>
    <row r="130" spans="1:6" ht="15.75" thickBot="1">
      <c r="A130" s="74" t="s">
        <v>437</v>
      </c>
      <c r="B130" s="97" t="s">
        <v>1410</v>
      </c>
      <c r="C130" s="97" t="s">
        <v>1674</v>
      </c>
      <c r="D130" s="101" t="str">
        <f t="shared" si="1"/>
        <v>OK</v>
      </c>
      <c r="E130" s="82"/>
      <c r="F130">
        <f>Lifetimes!EF1</f>
        <v>0</v>
      </c>
    </row>
    <row r="131" spans="1:6" ht="15.75" thickBot="1">
      <c r="A131" s="325" t="s">
        <v>479</v>
      </c>
      <c r="B131" s="97" t="s">
        <v>1410</v>
      </c>
      <c r="C131" s="97" t="s">
        <v>1675</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75" thickBot="1">
      <c r="A132" s="325" t="s">
        <v>484</v>
      </c>
      <c r="B132" s="97" t="s">
        <v>1413</v>
      </c>
      <c r="C132" s="97" t="s">
        <v>1307</v>
      </c>
      <c r="D132" s="101" t="str">
        <f t="shared" si="2"/>
        <v>OK</v>
      </c>
      <c r="E132" s="82"/>
      <c r="F132">
        <f>Lifetimes!EH1</f>
        <v>0</v>
      </c>
    </row>
    <row r="133" spans="1:6" ht="15.75" thickBot="1">
      <c r="A133" s="325" t="s">
        <v>483</v>
      </c>
      <c r="B133" s="97" t="s">
        <v>1413</v>
      </c>
      <c r="C133" s="97" t="s">
        <v>1308</v>
      </c>
      <c r="D133" s="101" t="str">
        <f t="shared" si="2"/>
        <v>OK</v>
      </c>
      <c r="E133" s="82"/>
      <c r="F133">
        <f>Lifetimes!EI1</f>
        <v>0</v>
      </c>
    </row>
    <row r="134" spans="1:6" ht="15.75" thickBot="1">
      <c r="A134" s="325" t="s">
        <v>478</v>
      </c>
      <c r="B134" s="97" t="s">
        <v>1410</v>
      </c>
      <c r="C134" s="97" t="s">
        <v>1676</v>
      </c>
      <c r="D134" s="101" t="str">
        <f t="shared" si="2"/>
        <v>OK</v>
      </c>
      <c r="E134" s="82"/>
      <c r="F134">
        <f>Lifetimes!EJ1</f>
        <v>0</v>
      </c>
    </row>
    <row r="135" spans="1:6" ht="15.75" thickBot="1">
      <c r="A135" s="325" t="s">
        <v>482</v>
      </c>
      <c r="B135" s="97" t="s">
        <v>1413</v>
      </c>
      <c r="C135" s="97" t="s">
        <v>1309</v>
      </c>
      <c r="D135" s="101" t="str">
        <f t="shared" si="2"/>
        <v>OK</v>
      </c>
      <c r="E135" s="82"/>
      <c r="F135">
        <f>Lifetimes!EK1</f>
        <v>0</v>
      </c>
    </row>
    <row r="136" spans="1:6" ht="15.75" thickBot="1">
      <c r="A136" s="325" t="s">
        <v>481</v>
      </c>
      <c r="B136" s="97" t="s">
        <v>1413</v>
      </c>
      <c r="C136" s="97" t="s">
        <v>1310</v>
      </c>
      <c r="D136" s="101" t="str">
        <f t="shared" si="2"/>
        <v>OK</v>
      </c>
      <c r="E136" s="82"/>
      <c r="F136">
        <f>Lifetimes!EL1</f>
        <v>0</v>
      </c>
    </row>
    <row r="137" spans="1:6" ht="15.75" thickBot="1">
      <c r="A137" s="74" t="s">
        <v>260</v>
      </c>
      <c r="B137" s="97" t="s">
        <v>1416</v>
      </c>
      <c r="C137" s="97" t="s">
        <v>1677</v>
      </c>
      <c r="D137" s="101" t="str">
        <f t="shared" si="2"/>
        <v>OK</v>
      </c>
      <c r="E137" s="83"/>
      <c r="F137">
        <f>Lifetimes!EM1</f>
        <v>0</v>
      </c>
    </row>
    <row r="138" spans="1:6" ht="15.75" thickBot="1">
      <c r="A138" s="74" t="s">
        <v>1678</v>
      </c>
      <c r="B138" s="97" t="s">
        <v>1410</v>
      </c>
      <c r="C138" s="97" t="s">
        <v>1679</v>
      </c>
      <c r="D138" s="101" t="str">
        <f t="shared" si="2"/>
        <v>OK</v>
      </c>
      <c r="F138">
        <f>Lifetimes!EN1</f>
        <v>0</v>
      </c>
    </row>
    <row r="139" spans="1:6" ht="15.75" thickBot="1">
      <c r="A139" s="325" t="s">
        <v>301</v>
      </c>
      <c r="B139" s="97" t="s">
        <v>1410</v>
      </c>
      <c r="C139" s="97" t="s">
        <v>1680</v>
      </c>
      <c r="D139" s="101" t="str">
        <f t="shared" si="2"/>
        <v>OK</v>
      </c>
      <c r="F139">
        <f>Lifetimes!EO1</f>
        <v>0</v>
      </c>
    </row>
    <row r="140" spans="1:6" ht="15.75" thickBot="1">
      <c r="A140" s="325" t="s">
        <v>394</v>
      </c>
      <c r="B140" s="97" t="s">
        <v>1410</v>
      </c>
      <c r="C140" s="97" t="s">
        <v>1681</v>
      </c>
      <c r="D140" s="101" t="str">
        <f t="shared" si="2"/>
        <v>OK</v>
      </c>
      <c r="F140">
        <f>Lifetimes!EP1</f>
        <v>0</v>
      </c>
    </row>
    <row r="141" spans="1:6" ht="15.75" thickBot="1">
      <c r="A141" s="325" t="s">
        <v>378</v>
      </c>
      <c r="B141" s="97" t="s">
        <v>1416</v>
      </c>
      <c r="C141" s="97" t="s">
        <v>1682</v>
      </c>
      <c r="D141" s="101" t="str">
        <f t="shared" si="2"/>
        <v>OK</v>
      </c>
      <c r="F141">
        <f>Lifetimes!EQ1</f>
        <v>0</v>
      </c>
    </row>
    <row r="142" spans="1:6" ht="15.75" thickBot="1">
      <c r="A142" s="325" t="s">
        <v>395</v>
      </c>
      <c r="B142" s="97" t="s">
        <v>1410</v>
      </c>
      <c r="C142" s="97" t="s">
        <v>1683</v>
      </c>
      <c r="D142" s="101" t="str">
        <f t="shared" si="2"/>
        <v>OK</v>
      </c>
      <c r="F142">
        <f>Lifetimes!ER1</f>
        <v>0</v>
      </c>
    </row>
    <row r="143" spans="1:6" ht="15.75" thickBot="1">
      <c r="A143" s="74" t="s">
        <v>240</v>
      </c>
      <c r="B143" s="97" t="s">
        <v>1410</v>
      </c>
      <c r="C143" s="97" t="s">
        <v>1684</v>
      </c>
      <c r="D143" s="101" t="str">
        <f t="shared" si="2"/>
        <v>OK</v>
      </c>
      <c r="F143">
        <f>Lifetimes!ES1</f>
        <v>0</v>
      </c>
    </row>
    <row r="144" spans="1:6" ht="15.75" thickBot="1">
      <c r="A144" s="325" t="s">
        <v>431</v>
      </c>
      <c r="B144" s="97" t="s">
        <v>1416</v>
      </c>
      <c r="C144" s="97" t="s">
        <v>1685</v>
      </c>
      <c r="D144" s="101" t="str">
        <f t="shared" si="2"/>
        <v>OK</v>
      </c>
      <c r="F144">
        <f>Lifetimes!ET1</f>
        <v>0</v>
      </c>
    </row>
    <row r="145" spans="1:6" ht="15.75" thickBot="1">
      <c r="A145" s="74" t="s">
        <v>161</v>
      </c>
      <c r="B145" s="97" t="s">
        <v>1410</v>
      </c>
      <c r="C145" s="97" t="s">
        <v>1686</v>
      </c>
      <c r="D145" s="101" t="str">
        <f t="shared" si="2"/>
        <v>OK</v>
      </c>
      <c r="F145">
        <f>Lifetimes!EU1</f>
        <v>0</v>
      </c>
    </row>
    <row r="146" spans="1:6" ht="15.75" thickBot="1">
      <c r="A146" s="74" t="s">
        <v>445</v>
      </c>
      <c r="B146" s="97" t="s">
        <v>1410</v>
      </c>
      <c r="C146" s="97" t="s">
        <v>1687</v>
      </c>
      <c r="D146" s="101" t="str">
        <f t="shared" si="2"/>
        <v>OK</v>
      </c>
      <c r="F146">
        <f>Lifetimes!EV1</f>
        <v>0</v>
      </c>
    </row>
    <row r="147" spans="1:6" ht="15.75" thickBot="1">
      <c r="A147" s="74" t="s">
        <v>448</v>
      </c>
      <c r="B147" s="97" t="s">
        <v>1413</v>
      </c>
      <c r="C147" s="97" t="s">
        <v>1311</v>
      </c>
      <c r="D147" s="101" t="str">
        <f t="shared" si="2"/>
        <v>OK</v>
      </c>
      <c r="F147">
        <f>Lifetimes!EW1</f>
        <v>0</v>
      </c>
    </row>
    <row r="148" spans="1:6" ht="15.75" thickBot="1">
      <c r="A148" s="362" t="s">
        <v>447</v>
      </c>
      <c r="B148" s="97" t="s">
        <v>1413</v>
      </c>
      <c r="C148" s="496" t="s">
        <v>1312</v>
      </c>
      <c r="D148" s="101" t="str">
        <f t="shared" si="2"/>
        <v>OK</v>
      </c>
      <c r="F148">
        <f>Lifetimes!EX1</f>
        <v>0</v>
      </c>
    </row>
    <row r="149" spans="1:6" ht="15.75" thickBot="1">
      <c r="A149" s="74" t="s">
        <v>446</v>
      </c>
      <c r="B149" s="97" t="s">
        <v>1410</v>
      </c>
      <c r="C149" s="97" t="s">
        <v>1688</v>
      </c>
      <c r="D149" s="101" t="str">
        <f t="shared" si="2"/>
        <v>OK</v>
      </c>
      <c r="F149">
        <f>Lifetimes!EY1</f>
        <v>0</v>
      </c>
    </row>
    <row r="150" spans="1:6" ht="15.75" thickBot="1">
      <c r="A150" s="74" t="s">
        <v>450</v>
      </c>
      <c r="B150" s="97" t="s">
        <v>1413</v>
      </c>
      <c r="C150" s="97" t="s">
        <v>1313</v>
      </c>
      <c r="D150" s="101" t="str">
        <f t="shared" si="2"/>
        <v>OK</v>
      </c>
      <c r="F150">
        <f>Lifetimes!EZ1</f>
        <v>0</v>
      </c>
    </row>
    <row r="151" spans="1:6" ht="15.75" thickBot="1">
      <c r="A151" s="362" t="s">
        <v>449</v>
      </c>
      <c r="B151" s="97" t="s">
        <v>1413</v>
      </c>
      <c r="C151" s="97" t="s">
        <v>1314</v>
      </c>
      <c r="D151" s="101" t="str">
        <f t="shared" si="2"/>
        <v>OK</v>
      </c>
      <c r="F151">
        <f>Lifetimes!FA1</f>
        <v>0</v>
      </c>
    </row>
    <row r="152" spans="1:6" ht="15.75" thickBot="1">
      <c r="A152" s="495" t="s">
        <v>355</v>
      </c>
      <c r="B152" s="97" t="s">
        <v>1410</v>
      </c>
      <c r="C152" s="97" t="s">
        <v>1689</v>
      </c>
      <c r="D152" s="101" t="str">
        <f t="shared" si="2"/>
        <v>OK</v>
      </c>
      <c r="F152">
        <f>Lifetimes!FB1</f>
        <v>0</v>
      </c>
    </row>
    <row r="153" spans="1:6" ht="15.75" thickBot="1">
      <c r="A153" s="74" t="s">
        <v>242</v>
      </c>
      <c r="B153" s="97" t="s">
        <v>1413</v>
      </c>
      <c r="C153" s="97" t="s">
        <v>1266</v>
      </c>
      <c r="D153" s="101" t="str">
        <f t="shared" si="2"/>
        <v>OK</v>
      </c>
      <c r="F153">
        <f>Lifetimes!FC1</f>
        <v>0</v>
      </c>
    </row>
    <row r="154" spans="1:6" ht="15.75" thickBot="1">
      <c r="A154" s="74" t="s">
        <v>356</v>
      </c>
      <c r="B154" s="97" t="s">
        <v>1413</v>
      </c>
      <c r="C154" s="97" t="s">
        <v>1267</v>
      </c>
      <c r="D154" s="101" t="str">
        <f t="shared" si="2"/>
        <v>OK</v>
      </c>
      <c r="F154">
        <f>Lifetimes!FD1</f>
        <v>0</v>
      </c>
    </row>
    <row r="155" spans="1:6" ht="15.75" thickBot="1">
      <c r="A155" s="495" t="s">
        <v>422</v>
      </c>
      <c r="B155" s="97" t="s">
        <v>1410</v>
      </c>
      <c r="C155" s="97" t="s">
        <v>1690</v>
      </c>
      <c r="D155" s="101" t="str">
        <f t="shared" si="2"/>
        <v>OK</v>
      </c>
      <c r="F155">
        <f>Lifetimes!FE1</f>
        <v>0</v>
      </c>
    </row>
    <row r="156" spans="1:6" ht="15.75" thickBot="1">
      <c r="A156" s="74" t="s">
        <v>350</v>
      </c>
      <c r="B156" s="97" t="s">
        <v>1413</v>
      </c>
      <c r="C156" s="97" t="s">
        <v>1277</v>
      </c>
      <c r="D156" s="101" t="str">
        <f t="shared" si="2"/>
        <v>OK</v>
      </c>
      <c r="F156">
        <f>Lifetimes!FF1</f>
        <v>0</v>
      </c>
    </row>
    <row r="157" spans="1:6" ht="15.75" thickBot="1">
      <c r="A157" s="74" t="s">
        <v>360</v>
      </c>
      <c r="B157" s="97" t="s">
        <v>1413</v>
      </c>
      <c r="C157" s="97" t="s">
        <v>1278</v>
      </c>
      <c r="D157" s="101" t="str">
        <f t="shared" si="2"/>
        <v>OK</v>
      </c>
      <c r="F157">
        <f>Lifetimes!FG1</f>
        <v>0</v>
      </c>
    </row>
    <row r="158" spans="1:6" ht="15.75" thickBot="1">
      <c r="A158" s="74" t="s">
        <v>256</v>
      </c>
      <c r="B158" s="97" t="s">
        <v>1410</v>
      </c>
      <c r="C158" s="97" t="s">
        <v>1691</v>
      </c>
      <c r="D158" s="101" t="str">
        <f t="shared" si="2"/>
        <v>OK</v>
      </c>
      <c r="F158">
        <f>Lifetimes!FH1</f>
        <v>0</v>
      </c>
    </row>
    <row r="159" spans="1:6" ht="15.75" thickBot="1">
      <c r="A159" s="325" t="s">
        <v>396</v>
      </c>
      <c r="B159" s="97" t="s">
        <v>1410</v>
      </c>
      <c r="C159" s="97" t="s">
        <v>1692</v>
      </c>
      <c r="D159" s="101" t="str">
        <f t="shared" si="2"/>
        <v>OK</v>
      </c>
      <c r="F159">
        <f>Lifetimes!FI1</f>
        <v>0</v>
      </c>
    </row>
    <row r="160" spans="1:6" ht="15.75" thickBot="1">
      <c r="A160" s="325" t="s">
        <v>398</v>
      </c>
      <c r="B160" s="97" t="s">
        <v>1410</v>
      </c>
      <c r="C160" s="97" t="s">
        <v>1693</v>
      </c>
      <c r="D160" s="101" t="str">
        <f t="shared" si="2"/>
        <v>OK</v>
      </c>
      <c r="F160">
        <f>Lifetimes!FJ1</f>
        <v>0</v>
      </c>
    </row>
    <row r="161" spans="1:6" ht="15.75" thickBot="1">
      <c r="A161" s="74" t="s">
        <v>442</v>
      </c>
      <c r="B161" s="97" t="s">
        <v>1410</v>
      </c>
      <c r="C161" s="97" t="s">
        <v>1694</v>
      </c>
      <c r="D161" s="101" t="str">
        <f t="shared" si="2"/>
        <v>OK</v>
      </c>
      <c r="F161">
        <f>Lifetimes!FK1</f>
        <v>0</v>
      </c>
    </row>
    <row r="162" spans="1:6" ht="15.75" thickBot="1">
      <c r="A162" s="325" t="s">
        <v>508</v>
      </c>
      <c r="B162" s="97" t="s">
        <v>1410</v>
      </c>
      <c r="C162" s="97" t="s">
        <v>1695</v>
      </c>
      <c r="D162" s="101" t="str">
        <f t="shared" si="2"/>
        <v>OK</v>
      </c>
      <c r="F162">
        <f>Lifetimes!FL1</f>
        <v>0</v>
      </c>
    </row>
    <row r="163" spans="1:6" ht="15.75" thickBot="1">
      <c r="A163" s="74" t="s">
        <v>512</v>
      </c>
      <c r="B163" s="97" t="s">
        <v>1410</v>
      </c>
      <c r="C163" s="97" t="s">
        <v>1696</v>
      </c>
      <c r="D163" s="101" t="str">
        <f t="shared" si="2"/>
        <v>OK</v>
      </c>
      <c r="F163">
        <f>Lifetimes!FM1</f>
        <v>0</v>
      </c>
    </row>
    <row r="164" spans="1:6" ht="15.75" thickBot="1">
      <c r="A164" s="325" t="s">
        <v>509</v>
      </c>
      <c r="B164" s="97" t="s">
        <v>1413</v>
      </c>
      <c r="C164" s="97" t="s">
        <v>1315</v>
      </c>
      <c r="D164" s="101" t="str">
        <f t="shared" si="2"/>
        <v>OK</v>
      </c>
      <c r="F164">
        <f>Lifetimes!FN1</f>
        <v>0</v>
      </c>
    </row>
    <row r="165" spans="1:6" ht="15.75" thickBot="1">
      <c r="A165" s="325" t="s">
        <v>514</v>
      </c>
      <c r="B165" s="97" t="s">
        <v>1413</v>
      </c>
      <c r="C165" s="97" t="s">
        <v>1316</v>
      </c>
      <c r="D165" s="101" t="str">
        <f t="shared" si="2"/>
        <v>OK</v>
      </c>
      <c r="F165">
        <f>Lifetimes!FO1</f>
        <v>0</v>
      </c>
    </row>
    <row r="166" spans="1:6" ht="15.75" thickBot="1">
      <c r="A166" s="74" t="s">
        <v>513</v>
      </c>
      <c r="B166" s="97" t="s">
        <v>1410</v>
      </c>
      <c r="C166" s="97" t="s">
        <v>1697</v>
      </c>
      <c r="D166" s="101" t="str">
        <f t="shared" si="2"/>
        <v>OK</v>
      </c>
      <c r="F166">
        <f>Lifetimes!FP1</f>
        <v>0</v>
      </c>
    </row>
    <row r="167" spans="1:6" ht="15.75" thickBot="1">
      <c r="A167" s="325" t="s">
        <v>507</v>
      </c>
      <c r="B167" s="97" t="s">
        <v>1410</v>
      </c>
      <c r="C167" s="97" t="s">
        <v>1698</v>
      </c>
      <c r="D167" s="101" t="str">
        <f t="shared" si="2"/>
        <v>OK</v>
      </c>
      <c r="F167">
        <f>Lifetimes!FQ1</f>
        <v>0</v>
      </c>
    </row>
    <row r="168" spans="1:6" ht="15.75" thickBot="1">
      <c r="A168" s="325" t="s">
        <v>511</v>
      </c>
      <c r="B168" s="97" t="s">
        <v>1413</v>
      </c>
      <c r="C168" s="97" t="s">
        <v>1317</v>
      </c>
      <c r="D168" s="101" t="str">
        <f t="shared" si="2"/>
        <v>OK</v>
      </c>
      <c r="F168">
        <f>Lifetimes!FR1</f>
        <v>0</v>
      </c>
    </row>
    <row r="169" spans="1:6" ht="15.75" thickBot="1">
      <c r="A169" s="325" t="s">
        <v>510</v>
      </c>
      <c r="B169" s="97" t="s">
        <v>1413</v>
      </c>
      <c r="C169" s="97" t="s">
        <v>1318</v>
      </c>
      <c r="D169" s="101" t="str">
        <f t="shared" si="2"/>
        <v>OK</v>
      </c>
      <c r="F169">
        <f>Lifetimes!FS1</f>
        <v>0</v>
      </c>
    </row>
    <row r="170" spans="1:6" ht="15.75" thickBot="1">
      <c r="A170" s="74" t="s">
        <v>436</v>
      </c>
      <c r="B170" s="97" t="s">
        <v>1410</v>
      </c>
      <c r="C170" s="97" t="s">
        <v>1699</v>
      </c>
      <c r="D170" s="101" t="str">
        <f t="shared" si="2"/>
        <v>OK</v>
      </c>
      <c r="F170">
        <f>Lifetimes!FT1</f>
        <v>0</v>
      </c>
    </row>
    <row r="171" spans="1:6" ht="15.75" thickBot="1">
      <c r="A171" s="325" t="s">
        <v>471</v>
      </c>
      <c r="B171" s="97" t="s">
        <v>1410</v>
      </c>
      <c r="C171" s="97" t="s">
        <v>1700</v>
      </c>
      <c r="D171" s="101" t="str">
        <f t="shared" si="2"/>
        <v>OK</v>
      </c>
      <c r="F171">
        <f>Lifetimes!FU1</f>
        <v>0</v>
      </c>
    </row>
    <row r="172" spans="1:6" ht="15.75" thickBot="1">
      <c r="A172" s="325" t="s">
        <v>476</v>
      </c>
      <c r="B172" s="97" t="s">
        <v>1413</v>
      </c>
      <c r="C172" s="97" t="s">
        <v>1319</v>
      </c>
      <c r="D172" s="101" t="str">
        <f t="shared" si="2"/>
        <v>OK</v>
      </c>
      <c r="F172">
        <f>Lifetimes!FV1</f>
        <v>0</v>
      </c>
    </row>
    <row r="173" spans="1:6" ht="15.75" thickBot="1">
      <c r="A173" s="325" t="s">
        <v>475</v>
      </c>
      <c r="B173" s="97" t="s">
        <v>1413</v>
      </c>
      <c r="C173" s="97" t="s">
        <v>1320</v>
      </c>
      <c r="D173" s="101" t="str">
        <f t="shared" si="2"/>
        <v>OK</v>
      </c>
      <c r="F173">
        <f>Lifetimes!FW1</f>
        <v>0</v>
      </c>
    </row>
    <row r="174" spans="1:6" ht="15.75" thickBot="1">
      <c r="A174" s="325" t="s">
        <v>470</v>
      </c>
      <c r="B174" s="97" t="s">
        <v>1410</v>
      </c>
      <c r="C174" s="97" t="s">
        <v>1701</v>
      </c>
      <c r="D174" s="101" t="str">
        <f t="shared" si="2"/>
        <v>OK</v>
      </c>
      <c r="F174">
        <f>Lifetimes!FX1</f>
        <v>0</v>
      </c>
    </row>
    <row r="175" spans="1:6" ht="15.75" thickBot="1">
      <c r="A175" s="325" t="s">
        <v>474</v>
      </c>
      <c r="B175" s="97" t="s">
        <v>1413</v>
      </c>
      <c r="C175" s="97" t="s">
        <v>1321</v>
      </c>
      <c r="D175" s="101" t="str">
        <f t="shared" si="2"/>
        <v>OK</v>
      </c>
      <c r="F175">
        <f>Lifetimes!FY1</f>
        <v>0</v>
      </c>
    </row>
    <row r="176" spans="1:6" ht="15.75" thickBot="1">
      <c r="A176" s="325" t="s">
        <v>473</v>
      </c>
      <c r="B176" s="97" t="s">
        <v>1413</v>
      </c>
      <c r="C176" s="97" t="s">
        <v>1322</v>
      </c>
      <c r="D176" s="101" t="str">
        <f t="shared" si="2"/>
        <v>OK</v>
      </c>
      <c r="F176">
        <f>Lifetimes!FZ1</f>
        <v>0</v>
      </c>
    </row>
    <row r="177" spans="1:6" ht="15.75" thickBot="1">
      <c r="A177" s="74" t="s">
        <v>1702</v>
      </c>
      <c r="B177" s="97" t="s">
        <v>1410</v>
      </c>
      <c r="C177" s="97" t="s">
        <v>1703</v>
      </c>
      <c r="D177" s="101" t="str">
        <f t="shared" si="2"/>
        <v>OK</v>
      </c>
      <c r="F177">
        <f>Lifetimes!GA1</f>
        <v>0</v>
      </c>
    </row>
    <row r="178" spans="1:6" ht="15.75" thickBot="1">
      <c r="A178" s="74" t="s">
        <v>1704</v>
      </c>
      <c r="B178" s="97" t="s">
        <v>1410</v>
      </c>
      <c r="C178" s="97" t="s">
        <v>1705</v>
      </c>
      <c r="D178" s="101" t="str">
        <f t="shared" si="2"/>
        <v>OK</v>
      </c>
      <c r="F178">
        <f>Lifetimes!GB1</f>
        <v>0</v>
      </c>
    </row>
    <row r="179" spans="1:6" ht="15.75" thickBot="1">
      <c r="A179" s="74" t="s">
        <v>1706</v>
      </c>
      <c r="B179" s="97" t="s">
        <v>1410</v>
      </c>
      <c r="C179" s="97" t="s">
        <v>1707</v>
      </c>
      <c r="D179" s="101" t="str">
        <f t="shared" si="2"/>
        <v>OK</v>
      </c>
      <c r="F179">
        <f>Lifetimes!GC1</f>
        <v>0</v>
      </c>
    </row>
    <row r="180" spans="1:6" ht="15.75" thickBot="1">
      <c r="A180" s="74" t="s">
        <v>1708</v>
      </c>
      <c r="B180" s="97" t="s">
        <v>1410</v>
      </c>
      <c r="C180" s="97" t="s">
        <v>1709</v>
      </c>
      <c r="D180" s="101" t="str">
        <f t="shared" si="2"/>
        <v>OK</v>
      </c>
      <c r="F180">
        <f>Lifetimes!GD1</f>
        <v>0</v>
      </c>
    </row>
    <row r="181" spans="1:6" ht="15.75" thickBot="1">
      <c r="A181" s="74" t="s">
        <v>441</v>
      </c>
      <c r="B181" s="97" t="s">
        <v>1410</v>
      </c>
      <c r="C181" s="97" t="s">
        <v>1710</v>
      </c>
      <c r="D181" s="101" t="str">
        <f t="shared" si="2"/>
        <v>OK</v>
      </c>
      <c r="F181">
        <f>Lifetimes!GE1</f>
        <v>0</v>
      </c>
    </row>
    <row r="182" spans="1:6" ht="15.75" thickBot="1">
      <c r="A182" s="325" t="s">
        <v>502</v>
      </c>
      <c r="B182" s="97" t="s">
        <v>1410</v>
      </c>
      <c r="C182" s="97" t="s">
        <v>1711</v>
      </c>
      <c r="D182" s="101" t="str">
        <f t="shared" si="2"/>
        <v>OK</v>
      </c>
      <c r="F182">
        <f>Lifetimes!GF1</f>
        <v>0</v>
      </c>
    </row>
    <row r="183" spans="1:6" ht="15.75" thickBot="1">
      <c r="A183" s="325" t="s">
        <v>506</v>
      </c>
      <c r="B183" s="97" t="s">
        <v>1413</v>
      </c>
      <c r="C183" s="97" t="s">
        <v>1323</v>
      </c>
      <c r="D183" s="101" t="str">
        <f t="shared" si="2"/>
        <v>OK</v>
      </c>
      <c r="F183">
        <f>Lifetimes!GG1</f>
        <v>0</v>
      </c>
    </row>
    <row r="184" spans="1:6" ht="15.75" thickBot="1">
      <c r="A184" s="325" t="s">
        <v>505</v>
      </c>
      <c r="B184" s="97" t="s">
        <v>1413</v>
      </c>
      <c r="C184" s="97" t="s">
        <v>1324</v>
      </c>
      <c r="D184" s="101" t="str">
        <f t="shared" si="2"/>
        <v>OK</v>
      </c>
      <c r="F184">
        <f>Lifetimes!GH1</f>
        <v>0</v>
      </c>
    </row>
    <row r="185" spans="1:6" ht="15.75" thickBot="1">
      <c r="A185" s="325" t="s">
        <v>501</v>
      </c>
      <c r="B185" s="97" t="s">
        <v>1410</v>
      </c>
      <c r="C185" s="97" t="s">
        <v>1712</v>
      </c>
      <c r="D185" s="101" t="str">
        <f t="shared" si="2"/>
        <v>OK</v>
      </c>
      <c r="F185">
        <f>Lifetimes!GI1</f>
        <v>0</v>
      </c>
    </row>
    <row r="186" spans="1:6" ht="15.75" thickBot="1">
      <c r="A186" s="325" t="s">
        <v>504</v>
      </c>
      <c r="B186" s="97" t="s">
        <v>1413</v>
      </c>
      <c r="C186" s="97" t="s">
        <v>1325</v>
      </c>
      <c r="D186" s="101" t="str">
        <f t="shared" si="2"/>
        <v>OK</v>
      </c>
      <c r="F186">
        <f>Lifetimes!GJ1</f>
        <v>0</v>
      </c>
    </row>
    <row r="187" spans="1:6" ht="15.75" thickBot="1">
      <c r="A187" s="325" t="s">
        <v>503</v>
      </c>
      <c r="B187" s="97" t="s">
        <v>1413</v>
      </c>
      <c r="C187" s="97" t="s">
        <v>1326</v>
      </c>
      <c r="D187" s="101" t="str">
        <f t="shared" si="2"/>
        <v>OK</v>
      </c>
      <c r="F187">
        <f>Lifetimes!GK1</f>
        <v>0</v>
      </c>
    </row>
    <row r="188" spans="1:6" ht="15.75" thickBot="1">
      <c r="A188" s="74" t="s">
        <v>435</v>
      </c>
      <c r="B188" s="97" t="s">
        <v>1410</v>
      </c>
      <c r="C188" s="97" t="s">
        <v>1713</v>
      </c>
      <c r="D188" s="101" t="str">
        <f t="shared" si="2"/>
        <v>OK</v>
      </c>
      <c r="F188">
        <f>Lifetimes!GL1</f>
        <v>0</v>
      </c>
    </row>
    <row r="189" spans="1:6" ht="15.75" thickBot="1">
      <c r="A189" s="325" t="s">
        <v>464</v>
      </c>
      <c r="B189" s="97" t="s">
        <v>1410</v>
      </c>
      <c r="C189" s="97" t="s">
        <v>1714</v>
      </c>
      <c r="D189" s="101" t="str">
        <f t="shared" si="2"/>
        <v>OK</v>
      </c>
      <c r="F189">
        <f>Lifetimes!GM1</f>
        <v>0</v>
      </c>
    </row>
    <row r="190" spans="1:6" ht="15.75" thickBot="1">
      <c r="A190" s="325" t="s">
        <v>469</v>
      </c>
      <c r="B190" s="97" t="s">
        <v>1413</v>
      </c>
      <c r="C190" s="97" t="s">
        <v>1327</v>
      </c>
      <c r="D190" s="101" t="str">
        <f t="shared" si="2"/>
        <v>OK</v>
      </c>
      <c r="F190">
        <f>Lifetimes!GN1</f>
        <v>0</v>
      </c>
    </row>
    <row r="191" spans="1:6" ht="15.75" thickBot="1">
      <c r="A191" s="325" t="s">
        <v>468</v>
      </c>
      <c r="B191" s="97" t="s">
        <v>1413</v>
      </c>
      <c r="C191" s="97" t="s">
        <v>1328</v>
      </c>
      <c r="D191" s="101" t="str">
        <f t="shared" si="2"/>
        <v>OK</v>
      </c>
      <c r="F191">
        <f>Lifetimes!GO1</f>
        <v>0</v>
      </c>
    </row>
    <row r="192" spans="1:6" ht="15.75" thickBot="1">
      <c r="A192" s="325" t="s">
        <v>463</v>
      </c>
      <c r="B192" s="97" t="s">
        <v>1410</v>
      </c>
      <c r="C192" s="97" t="s">
        <v>1715</v>
      </c>
      <c r="D192" s="101" t="str">
        <f t="shared" si="2"/>
        <v>OK</v>
      </c>
      <c r="F192">
        <f>Lifetimes!GP1</f>
        <v>0</v>
      </c>
    </row>
    <row r="193" spans="1:6" ht="15.75" thickBot="1">
      <c r="A193" s="325" t="s">
        <v>467</v>
      </c>
      <c r="B193" s="97" t="s">
        <v>1413</v>
      </c>
      <c r="C193" s="97" t="s">
        <v>1329</v>
      </c>
      <c r="D193" s="101" t="str">
        <f t="shared" si="2"/>
        <v>OK</v>
      </c>
      <c r="F193">
        <f>Lifetimes!GQ1</f>
        <v>0</v>
      </c>
    </row>
    <row r="194" spans="1:6" ht="15.75" thickBot="1">
      <c r="A194" s="325" t="s">
        <v>466</v>
      </c>
      <c r="B194" s="97" t="s">
        <v>1413</v>
      </c>
      <c r="C194" s="68" t="s">
        <v>1330</v>
      </c>
      <c r="D194" s="101" t="str">
        <f t="shared" si="2"/>
        <v>OK</v>
      </c>
      <c r="F194">
        <f>Lifetimes!GR1</f>
        <v>0</v>
      </c>
    </row>
    <row r="195" spans="1:6" ht="15.75" thickBot="1">
      <c r="A195" s="923" t="s">
        <v>143</v>
      </c>
      <c r="B195" s="610" t="s">
        <v>1410</v>
      </c>
      <c r="C195" s="924" t="s">
        <v>1716</v>
      </c>
      <c r="D195" s="101" t="str">
        <f t="shared" ref="D195:D244" si="3">IF(B195=IF(COUNTIF($F$3:$F$150,C195),"Stock","Flow/Sink"),"OK",IF(B195="Stock","Compartment missing in Lifetimes, available as pair?",IF(IF(COUNTIF($F$3:$F$150,C195),"Stock","Flow/Sink")="Stock","Change Type of compartment to Stock","OK")))</f>
        <v>OK</v>
      </c>
      <c r="F195">
        <f>Lifetimes!GS1</f>
        <v>0</v>
      </c>
    </row>
    <row r="196" spans="1:6" ht="15.75" thickBot="1">
      <c r="A196" s="925" t="s">
        <v>417</v>
      </c>
      <c r="B196" s="224" t="s">
        <v>1410</v>
      </c>
      <c r="C196" s="224" t="s">
        <v>1717</v>
      </c>
      <c r="D196" s="922" t="str">
        <f t="shared" si="3"/>
        <v>OK</v>
      </c>
      <c r="F196">
        <f>Lifetimes!GT1</f>
        <v>0</v>
      </c>
    </row>
    <row r="197" spans="1:6" ht="15.75" thickBot="1">
      <c r="A197" s="926" t="s">
        <v>2043</v>
      </c>
      <c r="B197" s="224" t="s">
        <v>1410</v>
      </c>
      <c r="C197" s="224" t="s">
        <v>2123</v>
      </c>
      <c r="D197" s="922" t="str">
        <f t="shared" si="3"/>
        <v>OK</v>
      </c>
      <c r="E197"/>
      <c r="F197"/>
    </row>
    <row r="198" spans="1:6" ht="15.75" thickBot="1">
      <c r="A198" s="926" t="s">
        <v>2046</v>
      </c>
      <c r="B198" s="224" t="s">
        <v>1410</v>
      </c>
      <c r="C198" s="224" t="s">
        <v>2124</v>
      </c>
      <c r="D198" s="922" t="str">
        <f t="shared" si="3"/>
        <v>OK</v>
      </c>
      <c r="E198"/>
      <c r="F198"/>
    </row>
    <row r="199" spans="1:6" ht="15.75" thickBot="1">
      <c r="A199" s="926" t="s">
        <v>2054</v>
      </c>
      <c r="B199" s="224" t="s">
        <v>1413</v>
      </c>
      <c r="C199" s="224" t="s">
        <v>2129</v>
      </c>
      <c r="D199" s="922" t="str">
        <f t="shared" si="3"/>
        <v>Compartment missing in Lifetimes, available as pair?</v>
      </c>
      <c r="E199"/>
      <c r="F199"/>
    </row>
    <row r="200" spans="1:6" ht="15.75" thickBot="1">
      <c r="A200" s="926" t="s">
        <v>2056</v>
      </c>
      <c r="B200" s="224" t="s">
        <v>1413</v>
      </c>
      <c r="C200" s="224" t="s">
        <v>2056</v>
      </c>
      <c r="D200" s="922" t="str">
        <f t="shared" si="3"/>
        <v>Compartment missing in Lifetimes, available as pair?</v>
      </c>
      <c r="E200"/>
      <c r="F200"/>
    </row>
    <row r="201" spans="1:6" ht="15.75" thickBot="1">
      <c r="A201" s="926" t="s">
        <v>2057</v>
      </c>
      <c r="B201" s="224" t="s">
        <v>1413</v>
      </c>
      <c r="C201" s="224" t="s">
        <v>2138</v>
      </c>
      <c r="D201" s="922" t="str">
        <f t="shared" si="3"/>
        <v>Compartment missing in Lifetimes, available as pair?</v>
      </c>
      <c r="E201"/>
      <c r="F201"/>
    </row>
    <row r="202" spans="1:6" ht="15.75" thickBot="1">
      <c r="A202" s="926" t="s">
        <v>2186</v>
      </c>
      <c r="B202" s="224" t="s">
        <v>1413</v>
      </c>
      <c r="C202" s="224" t="s">
        <v>2134</v>
      </c>
      <c r="D202" s="922" t="str">
        <f t="shared" si="3"/>
        <v>Compartment missing in Lifetimes, available as pair?</v>
      </c>
      <c r="E202"/>
      <c r="F202"/>
    </row>
    <row r="203" spans="1:6" ht="15.75" thickBot="1">
      <c r="A203" s="926" t="s">
        <v>2058</v>
      </c>
      <c r="B203" s="224" t="s">
        <v>1413</v>
      </c>
      <c r="C203" s="224" t="s">
        <v>2133</v>
      </c>
      <c r="D203" s="922" t="str">
        <f t="shared" si="3"/>
        <v>Compartment missing in Lifetimes, available as pair?</v>
      </c>
      <c r="E203"/>
      <c r="F203"/>
    </row>
    <row r="204" spans="1:6" ht="15.75" thickBot="1">
      <c r="A204" s="926" t="s">
        <v>2185</v>
      </c>
      <c r="B204" s="224" t="s">
        <v>1413</v>
      </c>
      <c r="C204" s="224" t="s">
        <v>2141</v>
      </c>
      <c r="D204" s="922" t="str">
        <f t="shared" si="3"/>
        <v>Compartment missing in Lifetimes, available as pair?</v>
      </c>
      <c r="E204"/>
      <c r="F204"/>
    </row>
    <row r="205" spans="1:6" ht="15.75" thickBot="1">
      <c r="A205" s="926" t="s">
        <v>2187</v>
      </c>
      <c r="B205" s="224" t="s">
        <v>1413</v>
      </c>
      <c r="C205" s="224" t="s">
        <v>2142</v>
      </c>
      <c r="D205" s="922" t="str">
        <f t="shared" si="3"/>
        <v>Compartment missing in Lifetimes, available as pair?</v>
      </c>
      <c r="E205"/>
      <c r="F205"/>
    </row>
    <row r="206" spans="1:6" ht="15.75" thickBot="1">
      <c r="A206" s="926" t="s">
        <v>2188</v>
      </c>
      <c r="B206" s="224" t="s">
        <v>1413</v>
      </c>
      <c r="C206" s="224" t="s">
        <v>2135</v>
      </c>
      <c r="D206" s="922" t="str">
        <f t="shared" si="3"/>
        <v>Compartment missing in Lifetimes, available as pair?</v>
      </c>
      <c r="E206"/>
      <c r="F206"/>
    </row>
    <row r="207" spans="1:6" ht="15.75" thickBot="1">
      <c r="A207" s="926" t="s">
        <v>2189</v>
      </c>
      <c r="B207" s="224" t="s">
        <v>1413</v>
      </c>
      <c r="C207" s="224" t="s">
        <v>2136</v>
      </c>
      <c r="D207" s="922" t="str">
        <f t="shared" si="3"/>
        <v>Compartment missing in Lifetimes, available as pair?</v>
      </c>
      <c r="E207"/>
      <c r="F207"/>
    </row>
    <row r="208" spans="1:6" ht="15.75" thickBot="1">
      <c r="A208" s="926" t="s">
        <v>2190</v>
      </c>
      <c r="B208" s="224" t="s">
        <v>1413</v>
      </c>
      <c r="C208" s="224" t="s">
        <v>2137</v>
      </c>
      <c r="D208" s="922" t="str">
        <f t="shared" si="3"/>
        <v>Compartment missing in Lifetimes, available as pair?</v>
      </c>
      <c r="E208"/>
      <c r="F208"/>
    </row>
    <row r="209" spans="1:4" ht="15.75" thickBot="1">
      <c r="A209" s="926" t="s">
        <v>2059</v>
      </c>
      <c r="B209" s="224" t="s">
        <v>1413</v>
      </c>
      <c r="C209" s="224" t="s">
        <v>2059</v>
      </c>
      <c r="D209" s="922" t="str">
        <f t="shared" si="3"/>
        <v>Compartment missing in Lifetimes, available as pair?</v>
      </c>
    </row>
    <row r="210" spans="1:4" ht="15.75" thickBot="1">
      <c r="A210" s="926" t="s">
        <v>2060</v>
      </c>
      <c r="B210" s="224" t="s">
        <v>1413</v>
      </c>
      <c r="C210" s="224" t="s">
        <v>2128</v>
      </c>
      <c r="D210" s="922" t="str">
        <f t="shared" si="3"/>
        <v>Compartment missing in Lifetimes, available as pair?</v>
      </c>
    </row>
    <row r="211" spans="1:4" ht="15.75" thickBot="1">
      <c r="A211" s="926" t="s">
        <v>2061</v>
      </c>
      <c r="B211" s="224" t="s">
        <v>1413</v>
      </c>
      <c r="C211" s="224" t="s">
        <v>2061</v>
      </c>
      <c r="D211" s="922" t="str">
        <f t="shared" si="3"/>
        <v>Compartment missing in Lifetimes, available as pair?</v>
      </c>
    </row>
    <row r="212" spans="1:4" ht="15.75" thickBot="1">
      <c r="A212" s="926" t="s">
        <v>2075</v>
      </c>
      <c r="B212" s="224" t="s">
        <v>1410</v>
      </c>
      <c r="C212" s="224" t="s">
        <v>2130</v>
      </c>
      <c r="D212" s="922" t="str">
        <f t="shared" si="3"/>
        <v>OK</v>
      </c>
    </row>
    <row r="213" spans="1:4" ht="15.75" thickBot="1">
      <c r="A213" s="926" t="s">
        <v>2078</v>
      </c>
      <c r="B213" s="224" t="s">
        <v>1410</v>
      </c>
      <c r="C213" s="224" t="s">
        <v>2143</v>
      </c>
      <c r="D213" s="922" t="str">
        <f t="shared" si="3"/>
        <v>OK</v>
      </c>
    </row>
    <row r="214" spans="1:4" ht="15.75" thickBot="1">
      <c r="A214" s="926" t="s">
        <v>2079</v>
      </c>
      <c r="B214" s="224" t="s">
        <v>1410</v>
      </c>
      <c r="C214" s="224" t="s">
        <v>2147</v>
      </c>
      <c r="D214" s="922" t="str">
        <f t="shared" si="3"/>
        <v>OK</v>
      </c>
    </row>
    <row r="215" spans="1:4" ht="15.75" thickBot="1">
      <c r="A215" s="926" t="s">
        <v>2080</v>
      </c>
      <c r="B215" s="224" t="s">
        <v>1410</v>
      </c>
      <c r="C215" s="224" t="s">
        <v>2144</v>
      </c>
      <c r="D215" s="922" t="str">
        <f t="shared" si="3"/>
        <v>OK</v>
      </c>
    </row>
    <row r="216" spans="1:4" ht="15.75" thickBot="1">
      <c r="A216" s="926" t="s">
        <v>2076</v>
      </c>
      <c r="B216" s="224" t="s">
        <v>1410</v>
      </c>
      <c r="C216" s="224" t="s">
        <v>2131</v>
      </c>
      <c r="D216" s="922" t="str">
        <f t="shared" si="3"/>
        <v>OK</v>
      </c>
    </row>
    <row r="217" spans="1:4" ht="15.75" thickBot="1">
      <c r="A217" s="926" t="s">
        <v>2077</v>
      </c>
      <c r="B217" s="224" t="s">
        <v>1410</v>
      </c>
      <c r="C217" s="224" t="s">
        <v>2132</v>
      </c>
      <c r="D217" s="922" t="str">
        <f t="shared" si="3"/>
        <v>OK</v>
      </c>
    </row>
    <row r="218" spans="1:4" ht="15.75" thickBot="1">
      <c r="A218" s="926" t="s">
        <v>2085</v>
      </c>
      <c r="B218" s="224" t="s">
        <v>1410</v>
      </c>
      <c r="C218" s="224" t="s">
        <v>2139</v>
      </c>
      <c r="D218" s="922" t="str">
        <f t="shared" si="3"/>
        <v>OK</v>
      </c>
    </row>
    <row r="219" spans="1:4" ht="15.75" thickBot="1">
      <c r="A219" s="926" t="s">
        <v>2086</v>
      </c>
      <c r="B219" s="224" t="s">
        <v>1410</v>
      </c>
      <c r="C219" s="224" t="s">
        <v>2140</v>
      </c>
      <c r="D219" s="922" t="str">
        <f t="shared" si="3"/>
        <v>OK</v>
      </c>
    </row>
    <row r="220" spans="1:4" ht="15.75" thickBot="1">
      <c r="A220" s="926" t="s">
        <v>2087</v>
      </c>
      <c r="B220" s="224" t="s">
        <v>1410</v>
      </c>
      <c r="C220" s="224" t="s">
        <v>2148</v>
      </c>
      <c r="D220" s="922" t="str">
        <f t="shared" si="3"/>
        <v>OK</v>
      </c>
    </row>
    <row r="221" spans="1:4" ht="15.75" thickBot="1">
      <c r="A221" s="926" t="s">
        <v>2088</v>
      </c>
      <c r="B221" s="224" t="s">
        <v>1410</v>
      </c>
      <c r="C221" s="224" t="s">
        <v>2149</v>
      </c>
      <c r="D221" s="922" t="str">
        <f t="shared" si="3"/>
        <v>OK</v>
      </c>
    </row>
    <row r="222" spans="1:4" ht="15.75" thickBot="1">
      <c r="A222" s="926" t="s">
        <v>2089</v>
      </c>
      <c r="B222" s="224" t="s">
        <v>1410</v>
      </c>
      <c r="C222" s="224" t="s">
        <v>2150</v>
      </c>
      <c r="D222" s="922" t="str">
        <f t="shared" si="3"/>
        <v>OK</v>
      </c>
    </row>
    <row r="223" spans="1:4" ht="15.75" thickBot="1">
      <c r="A223" s="926" t="s">
        <v>2090</v>
      </c>
      <c r="B223" s="224" t="s">
        <v>1410</v>
      </c>
      <c r="C223" s="224" t="s">
        <v>2151</v>
      </c>
      <c r="D223" s="922" t="str">
        <f t="shared" si="3"/>
        <v>OK</v>
      </c>
    </row>
    <row r="224" spans="1:4" ht="15.75" thickBot="1">
      <c r="A224" s="926" t="s">
        <v>2111</v>
      </c>
      <c r="B224" s="224" t="s">
        <v>1410</v>
      </c>
      <c r="C224" s="224" t="s">
        <v>2125</v>
      </c>
      <c r="D224" s="922" t="str">
        <f t="shared" si="3"/>
        <v>OK</v>
      </c>
    </row>
    <row r="225" spans="1:4" ht="15.75" thickBot="1">
      <c r="A225" s="926" t="s">
        <v>2112</v>
      </c>
      <c r="B225" s="224" t="s">
        <v>1410</v>
      </c>
      <c r="C225" s="224" t="s">
        <v>2126</v>
      </c>
      <c r="D225" s="922" t="str">
        <f t="shared" si="3"/>
        <v>OK</v>
      </c>
    </row>
    <row r="226" spans="1:4" ht="15.75" thickBot="1">
      <c r="A226" s="926" t="s">
        <v>2113</v>
      </c>
      <c r="B226" s="224" t="s">
        <v>1410</v>
      </c>
      <c r="C226" s="224" t="s">
        <v>2127</v>
      </c>
      <c r="D226" s="922" t="str">
        <f t="shared" si="3"/>
        <v>OK</v>
      </c>
    </row>
    <row r="227" spans="1:4" ht="15.75" thickBot="1">
      <c r="A227" s="926" t="s">
        <v>2114</v>
      </c>
      <c r="B227" s="224" t="s">
        <v>1410</v>
      </c>
      <c r="C227" s="224" t="s">
        <v>2145</v>
      </c>
      <c r="D227" s="922" t="str">
        <f t="shared" si="3"/>
        <v>OK</v>
      </c>
    </row>
    <row r="228" spans="1:4" ht="15.75" thickBot="1">
      <c r="A228" s="926" t="s">
        <v>2116</v>
      </c>
      <c r="B228" s="224" t="s">
        <v>1410</v>
      </c>
      <c r="C228" s="224" t="s">
        <v>2146</v>
      </c>
      <c r="D228" s="922" t="str">
        <f t="shared" si="3"/>
        <v>OK</v>
      </c>
    </row>
    <row r="229" spans="1:4" ht="15.75" thickBot="1">
      <c r="A229" s="612" t="s">
        <v>2163</v>
      </c>
      <c r="B229" s="224" t="s">
        <v>1410</v>
      </c>
      <c r="C229" s="224" t="s">
        <v>2172</v>
      </c>
      <c r="D229" s="922" t="str">
        <f t="shared" si="3"/>
        <v>OK</v>
      </c>
    </row>
    <row r="230" spans="1:4" ht="15.75" thickBot="1">
      <c r="A230" s="612" t="s">
        <v>2169</v>
      </c>
      <c r="B230" s="224" t="s">
        <v>1410</v>
      </c>
      <c r="C230" s="224" t="s">
        <v>2173</v>
      </c>
      <c r="D230" s="922" t="str">
        <f t="shared" si="3"/>
        <v>OK</v>
      </c>
    </row>
    <row r="231" spans="1:4" ht="15.75" thickBot="1">
      <c r="A231" s="612" t="s">
        <v>2168</v>
      </c>
      <c r="B231" s="224" t="s">
        <v>1410</v>
      </c>
      <c r="C231" s="224" t="s">
        <v>2174</v>
      </c>
      <c r="D231" s="922" t="str">
        <f t="shared" si="3"/>
        <v>OK</v>
      </c>
    </row>
    <row r="232" spans="1:4" ht="15.75" thickBot="1">
      <c r="A232" s="612" t="s">
        <v>2244</v>
      </c>
      <c r="B232" s="224" t="s">
        <v>1410</v>
      </c>
      <c r="C232" s="224" t="s">
        <v>2250</v>
      </c>
      <c r="D232" s="922" t="str">
        <f t="shared" si="3"/>
        <v>OK</v>
      </c>
    </row>
    <row r="233" spans="1:4" ht="15.75" thickBot="1">
      <c r="A233" s="612" t="s">
        <v>2242</v>
      </c>
      <c r="B233" s="224" t="s">
        <v>1410</v>
      </c>
      <c r="C233" s="224" t="s">
        <v>2251</v>
      </c>
      <c r="D233" s="922" t="str">
        <f t="shared" si="3"/>
        <v>OK</v>
      </c>
    </row>
    <row r="234" spans="1:4" ht="15.75" thickBot="1">
      <c r="A234" s="612" t="s">
        <v>2243</v>
      </c>
      <c r="B234" s="224" t="s">
        <v>1410</v>
      </c>
      <c r="C234" s="224" t="s">
        <v>2252</v>
      </c>
      <c r="D234" s="922" t="str">
        <f t="shared" si="3"/>
        <v>OK</v>
      </c>
    </row>
    <row r="235" spans="1:4" ht="15.75" thickBot="1">
      <c r="A235" s="612" t="s">
        <v>2245</v>
      </c>
      <c r="B235" s="224" t="s">
        <v>1416</v>
      </c>
      <c r="C235" s="224" t="s">
        <v>2253</v>
      </c>
      <c r="D235" s="922" t="str">
        <f t="shared" si="3"/>
        <v>OK</v>
      </c>
    </row>
    <row r="236" spans="1:4" ht="15.75" thickBot="1">
      <c r="A236" s="612" t="s">
        <v>2264</v>
      </c>
      <c r="B236" s="224" t="s">
        <v>1410</v>
      </c>
      <c r="C236" s="224" t="s">
        <v>2275</v>
      </c>
      <c r="D236" s="922" t="str">
        <f t="shared" si="3"/>
        <v>OK</v>
      </c>
    </row>
    <row r="237" spans="1:4" ht="15.75" thickBot="1">
      <c r="A237" s="612" t="s">
        <v>2271</v>
      </c>
      <c r="B237" s="224" t="s">
        <v>1410</v>
      </c>
      <c r="C237" s="224" t="s">
        <v>2276</v>
      </c>
      <c r="D237" s="922" t="str">
        <f t="shared" si="3"/>
        <v>OK</v>
      </c>
    </row>
    <row r="238" spans="1:4">
      <c r="A238" s="612" t="s">
        <v>2272</v>
      </c>
      <c r="B238" s="224" t="s">
        <v>1410</v>
      </c>
      <c r="C238" s="224" t="s">
        <v>2277</v>
      </c>
      <c r="D238" s="922" t="str">
        <f t="shared" si="3"/>
        <v>OK</v>
      </c>
    </row>
    <row r="239" spans="1:4">
      <c r="A239" s="612" t="s">
        <v>2291</v>
      </c>
      <c r="B239" s="224" t="s">
        <v>1410</v>
      </c>
      <c r="C239" s="1069" t="s">
        <v>2306</v>
      </c>
      <c r="D239" s="1070" t="str">
        <f t="shared" si="3"/>
        <v>OK</v>
      </c>
    </row>
    <row r="240" spans="1:4">
      <c r="A240" s="612" t="s">
        <v>2292</v>
      </c>
      <c r="B240" s="224" t="s">
        <v>1410</v>
      </c>
      <c r="C240" s="1069" t="s">
        <v>2307</v>
      </c>
      <c r="D240" s="1070" t="str">
        <f t="shared" si="3"/>
        <v>OK</v>
      </c>
    </row>
    <row r="241" spans="1:4">
      <c r="A241" s="612" t="s">
        <v>2296</v>
      </c>
      <c r="B241" s="224" t="s">
        <v>1410</v>
      </c>
      <c r="C241" s="1069" t="s">
        <v>2308</v>
      </c>
      <c r="D241" s="310" t="str">
        <f t="shared" si="3"/>
        <v>OK</v>
      </c>
    </row>
    <row r="242" spans="1:4">
      <c r="A242" s="612" t="s">
        <v>2297</v>
      </c>
      <c r="B242" s="224" t="s">
        <v>1410</v>
      </c>
      <c r="C242" s="1069" t="s">
        <v>2309</v>
      </c>
      <c r="D242" s="310" t="str">
        <f t="shared" si="3"/>
        <v>OK</v>
      </c>
    </row>
    <row r="243" spans="1:4">
      <c r="A243" s="612" t="s">
        <v>2293</v>
      </c>
      <c r="B243" s="224" t="s">
        <v>1410</v>
      </c>
      <c r="C243" s="1069" t="s">
        <v>2310</v>
      </c>
      <c r="D243" s="310" t="str">
        <f t="shared" si="3"/>
        <v>OK</v>
      </c>
    </row>
    <row r="244" spans="1:4">
      <c r="A244" s="612" t="s">
        <v>2294</v>
      </c>
      <c r="B244" s="224" t="s">
        <v>1410</v>
      </c>
      <c r="C244" s="1069" t="s">
        <v>2311</v>
      </c>
      <c r="D244" s="1070" t="str">
        <f t="shared" si="3"/>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44">
    <cfRule type="containsText" dxfId="17" priority="3" operator="containsText" text="OK">
      <formula>NOT(ISERROR(SEARCH("OK",D3)))</formula>
    </cfRule>
  </conditionalFormatting>
  <conditionalFormatting sqref="E4:E137">
    <cfRule type="containsText" dxfId="16" priority="1" operator="containsText" text="OK">
      <formula>NOT(ISERROR(SEARCH("OK",E4)))</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57078-CA31-4310-ACE2-A95D25857891}">
  <sheetPr>
    <tabColor rgb="FF92D050"/>
  </sheetPr>
  <dimension ref="A1"/>
  <sheetViews>
    <sheetView workbookViewId="0"/>
  </sheetViews>
  <sheetFormatPr defaultRowHeight="1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5"/>
  <sheetViews>
    <sheetView zoomScale="90" zoomScaleNormal="90" workbookViewId="0">
      <pane ySplit="2" topLeftCell="A260" activePane="bottomLeft" state="frozen"/>
      <selection pane="bottomLeft" activeCell="M261" sqref="M261"/>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2.28515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263" t="s">
        <v>7</v>
      </c>
      <c r="B1" s="1264"/>
      <c r="C1" s="1265"/>
      <c r="E1" s="1263" t="s">
        <v>1718</v>
      </c>
      <c r="F1" s="1264"/>
      <c r="G1" s="1264"/>
      <c r="H1" s="1265"/>
      <c r="J1" s="1266" t="s">
        <v>1719</v>
      </c>
      <c r="K1" s="1267"/>
      <c r="L1" s="1267"/>
      <c r="M1" s="1268"/>
      <c r="N1" s="93"/>
      <c r="O1" s="93"/>
      <c r="P1" s="93"/>
    </row>
    <row r="2" spans="1:27" s="6" customFormat="1" ht="61.9" customHeight="1" thickBot="1">
      <c r="A2" s="48" t="s">
        <v>9</v>
      </c>
      <c r="B2" s="48" t="s">
        <v>12</v>
      </c>
      <c r="C2" s="84" t="s">
        <v>1151</v>
      </c>
      <c r="E2" s="48" t="s">
        <v>9</v>
      </c>
      <c r="F2" s="48" t="s">
        <v>1720</v>
      </c>
      <c r="G2" s="48" t="s">
        <v>12</v>
      </c>
      <c r="H2" s="91" t="s">
        <v>1721</v>
      </c>
      <c r="J2" s="86" t="s">
        <v>1722</v>
      </c>
      <c r="K2" s="94" t="s">
        <v>1723</v>
      </c>
      <c r="L2" s="86" t="s">
        <v>1724</v>
      </c>
      <c r="M2" s="94" t="s">
        <v>1725</v>
      </c>
      <c r="N2" s="86"/>
      <c r="O2" s="86" t="s">
        <v>1335</v>
      </c>
      <c r="P2" s="86" t="s">
        <v>1726</v>
      </c>
      <c r="Q2" s="611" t="s">
        <v>1727</v>
      </c>
      <c r="R2" s="611" t="s">
        <v>1728</v>
      </c>
      <c r="AA2" s="457" t="s">
        <v>1729</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6">_xlfn.UNIQUE(Input_EU!A:A)</f>
        <v>Compartment</v>
      </c>
      <c r="F3" s="90"/>
      <c r="G3" s="87" t="str" cm="1">
        <f t="array" ref="G3:G15">_xlfn.UNIQUE(Input_NL!A:A)</f>
        <v>Compartment</v>
      </c>
      <c r="H3" s="92"/>
      <c r="J3" s="305" t="str" cm="1">
        <f t="array" ref="J3:J267">_xlfn.UNIQUE('Transfer coefficients'!A:A)</f>
        <v>From</v>
      </c>
      <c r="K3" s="303"/>
      <c r="L3" s="305" t="str" cm="1">
        <f t="array" ref="L3:L275">_xlfn.UNIQUE('Transfer coefficients'!B:B)</f>
        <v>To</v>
      </c>
      <c r="M3" s="85"/>
      <c r="N3" s="6"/>
      <c r="O3" s="6"/>
      <c r="P3" s="6"/>
      <c r="AA3" s="458" t="s">
        <v>1730</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2" t="str">
        <v>Agriculture</v>
      </c>
      <c r="K4" s="306" t="str">
        <f>IF(ISBLANK(J4),"",IF(COUNTIF(L:L,J4),IF(_xlfn.XLOOKUP(J4,'Compartments_Kawecki&amp;Nowack19'!A:A,'Compartments_Kawecki&amp;Nowack19'!B:B,_xlfn.XLOOKUP(J4,Compartments_Added!A:A,Compartments_Added!B:B))="Stock","OK stock","OK flow"),IF(COUNTIF($G$4:$G$18,J4),IF(COUNTIF($E$4:$E$18,J4),"OK input","Missing"),"Missing")))</f>
        <v>OK input</v>
      </c>
      <c r="L4" s="302" t="str">
        <v>Agricultural greenhouse films (discarded)</v>
      </c>
      <c r="M4" s="306"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58" t="s">
        <v>1731</v>
      </c>
    </row>
    <row r="5" spans="1:27">
      <c r="A5" s="37" t="str">
        <v>PP</v>
      </c>
      <c r="B5" s="37" t="str">
        <v>PVC</v>
      </c>
      <c r="C5" s="82" t="str">
        <v>PS</v>
      </c>
      <c r="E5" s="69" t="str">
        <v>Domestic primary plastic production</v>
      </c>
      <c r="F5" s="69" t="str">
        <f t="shared" si="0"/>
        <v>OK</v>
      </c>
      <c r="G5" s="69" t="str">
        <v>Domestic primary plastic production</v>
      </c>
      <c r="H5" s="69" t="str">
        <f t="shared" ref="H5:H15" si="1">IF(COUNTIF(E:E,G5), "OK", "Missing")</f>
        <v>OK</v>
      </c>
      <c r="J5" s="301" t="str">
        <v>Packaging</v>
      </c>
      <c r="K5" s="306" t="str">
        <f>IF(ISBLANK(J5),"",IF(COUNTIF(L:L,J5),IF(_xlfn.XLOOKUP(J5,'Compartments_Kawecki&amp;Nowack19'!A:A,'Compartments_Kawecki&amp;Nowack19'!B:B,_xlfn.XLOOKUP(J5,Compartments_Added!A:A,Compartments_Added!B:B))="Stock","OK stock","OK flow"),IF(COUNTIF($G$4:$G$18,J5),IF(COUNTIF($E$4:$E$18,J5),"OK input","Missing"),"Missing")))</f>
        <v>OK input</v>
      </c>
      <c r="L5" s="301" t="str">
        <v>Agricultural greenhouse films (in use)</v>
      </c>
      <c r="M5" s="306"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58" t="s">
        <v>1732</v>
      </c>
    </row>
    <row r="6" spans="1:27">
      <c r="A6" s="37" t="str">
        <v>HDPE</v>
      </c>
      <c r="B6" s="37" t="str">
        <v>HDPE</v>
      </c>
      <c r="C6" s="82" t="str">
        <v>PP</v>
      </c>
      <c r="E6" s="69" t="str">
        <v>Household textiles (product sector)</v>
      </c>
      <c r="F6" s="69" t="str">
        <f t="shared" si="0"/>
        <v>OK</v>
      </c>
      <c r="G6" s="69" t="str">
        <v>Household textiles (product sector)</v>
      </c>
      <c r="H6" s="69" t="str">
        <f t="shared" si="1"/>
        <v>OK</v>
      </c>
      <c r="J6" s="301" t="str">
        <v>Agricultural waste collection</v>
      </c>
      <c r="K6" s="306" t="str">
        <f>IF(ISBLANK(J6),"",IF(COUNTIF(L:L,J6),IF(_xlfn.XLOOKUP(J6,'Compartments_Kawecki&amp;Nowack19'!A:A,'Compartments_Kawecki&amp;Nowack19'!B:B,_xlfn.XLOOKUP(J6,Compartments_Added!A:A,Compartments_Added!B:B))="Stock","OK stock","OK flow"),IF(COUNTIF($G$4:$G$18,J6),IF(COUNTIF($E$4:$E$18,J6),"OK input","Missing"),"Missing")))</f>
        <v>OK flow</v>
      </c>
      <c r="L6" s="301" t="str">
        <v>Agricultural mulching films</v>
      </c>
      <c r="M6" s="306"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58" t="s">
        <v>1733</v>
      </c>
    </row>
    <row r="7" spans="1:27">
      <c r="A7" s="37" t="str">
        <v>PVC</v>
      </c>
      <c r="B7" s="37" t="str">
        <v>PS</v>
      </c>
      <c r="C7" s="82" t="str">
        <v>LDPE</v>
      </c>
      <c r="E7" s="69" t="str">
        <v>Import of primary plastics</v>
      </c>
      <c r="F7" s="69" t="str">
        <f t="shared" si="0"/>
        <v>OK</v>
      </c>
      <c r="G7" s="69" t="str">
        <v>Import of primary plastics</v>
      </c>
      <c r="H7" s="69" t="str">
        <f t="shared" si="1"/>
        <v>OK</v>
      </c>
      <c r="J7" s="301" t="str">
        <v>Agricultural waste collection (micro)</v>
      </c>
      <c r="K7" s="306" t="str">
        <f>IF(ISBLANK(J7),"",IF(COUNTIF(L:L,J7),IF(_xlfn.XLOOKUP(J7,'Compartments_Kawecki&amp;Nowack19'!A:A,'Compartments_Kawecki&amp;Nowack19'!B:B,_xlfn.XLOOKUP(J7,Compartments_Added!A:A,Compartments_Added!B:B))="Stock","OK stock","OK flow"),IF(COUNTIF($G$4:$G$18,J7),IF(COUNTIF($E$4:$E$18,J7),"OK input","Missing"),"Missing")))</f>
        <v>OK flow</v>
      </c>
      <c r="L7" s="301" t="str">
        <v>Agricultural other</v>
      </c>
      <c r="M7" s="306"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58" t="s">
        <v>1734</v>
      </c>
    </row>
    <row r="8" spans="1:27">
      <c r="A8" s="37" t="str">
        <v>LDPE</v>
      </c>
      <c r="B8" s="37" t="str">
        <v>PP</v>
      </c>
      <c r="C8" s="82" t="str">
        <v>HDPE</v>
      </c>
      <c r="E8" s="69" t="str">
        <v>Intentionally produced microparticles</v>
      </c>
      <c r="F8" s="69" t="str">
        <f t="shared" si="0"/>
        <v>OK</v>
      </c>
      <c r="G8" s="69" t="str">
        <v>Intentionally produced microparticles</v>
      </c>
      <c r="H8" s="69" t="str">
        <f t="shared" si="1"/>
        <v>OK</v>
      </c>
      <c r="J8" s="301" t="str">
        <v>Agricultural packaging bottles</v>
      </c>
      <c r="K8" s="306" t="str">
        <f>IF(ISBLANK(J8),"",IF(COUNTIF(L:L,J8),IF(_xlfn.XLOOKUP(J8,'Compartments_Kawecki&amp;Nowack19'!A:A,'Compartments_Kawecki&amp;Nowack19'!B:B,_xlfn.XLOOKUP(J8,Compartments_Added!A:A,Compartments_Added!B:B))="Stock","OK stock","OK flow"),IF(COUNTIF($G$4:$G$18,J8),IF(COUNTIF($E$4:$E$18,J8),"OK input","Missing"),"Missing")))</f>
        <v>OK stock</v>
      </c>
      <c r="L8" s="301" t="str">
        <v>Agricultural packaging bottles</v>
      </c>
      <c r="M8" s="306"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58" t="s">
        <v>1735</v>
      </c>
    </row>
    <row r="9" spans="1:27">
      <c r="A9" s="37" t="str">
        <v>ABS</v>
      </c>
      <c r="B9" s="37" t="str">
        <v>EPS</v>
      </c>
      <c r="C9" s="82" t="str">
        <v>EPS</v>
      </c>
      <c r="E9" s="69" t="str">
        <v>Packaging</v>
      </c>
      <c r="F9" s="69" t="str">
        <f>IF(COUNTIF(G:G,E9), "OK", "Missing")</f>
        <v>OK</v>
      </c>
      <c r="G9" s="69" t="str">
        <v>Packaging</v>
      </c>
      <c r="H9" s="69" t="str">
        <f t="shared" si="1"/>
        <v>OK</v>
      </c>
      <c r="J9" s="301" t="str">
        <v>Agricultural packaging films</v>
      </c>
      <c r="K9" s="306" t="str">
        <f>IF(ISBLANK(J9),"",IF(COUNTIF(L:L,J9),IF(_xlfn.XLOOKUP(J9,'Compartments_Kawecki&amp;Nowack19'!A:A,'Compartments_Kawecki&amp;Nowack19'!B:B,_xlfn.XLOOKUP(J9,Compartments_Added!A:A,Compartments_Added!B:B))="Stock","OK stock","OK flow"),IF(COUNTIF($G$4:$G$18,J9),IF(COUNTIF($E$4:$E$18,J9),"OK input","Missing"),"Missing")))</f>
        <v>OK stock</v>
      </c>
      <c r="L9" s="301" t="str">
        <v>Agricultural packaging films</v>
      </c>
      <c r="M9" s="306"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58" t="s">
        <v>1736</v>
      </c>
    </row>
    <row r="10" spans="1:27">
      <c r="A10" s="37" t="str">
        <v>PC</v>
      </c>
      <c r="B10" s="37" t="str">
        <v>PET</v>
      </c>
      <c r="C10" s="82" t="str">
        <v>PET</v>
      </c>
      <c r="E10" s="69" t="str">
        <v>Paint</v>
      </c>
      <c r="F10" s="69" t="str">
        <f>IF(COUNTIF(G:G,E10), "OK", "Missing")</f>
        <v>OK</v>
      </c>
      <c r="G10" s="69" t="str">
        <v>Paint</v>
      </c>
      <c r="H10" s="69" t="str">
        <f t="shared" si="1"/>
        <v>OK</v>
      </c>
      <c r="J10" s="301" t="str">
        <v>Compost (macro)</v>
      </c>
      <c r="K10" s="306" t="str">
        <f>IF(ISBLANK(J10),"",IF(COUNTIF(L:L,J10),IF(_xlfn.XLOOKUP(J10,'Compartments_Kawecki&amp;Nowack19'!A:A,'Compartments_Kawecki&amp;Nowack19'!B:B,_xlfn.XLOOKUP(J10,Compartments_Added!A:A,Compartments_Added!B:B))="Stock","OK stock","OK flow"),IF(COUNTIF($G$4:$G$18,J10),IF(COUNTIF($E$4:$E$18,J10),"OK input","Missing"),"Missing")))</f>
        <v>OK flow</v>
      </c>
      <c r="L10" s="301" t="str">
        <v>Agricultural pipes (discarded)</v>
      </c>
      <c r="M10" s="306"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58" t="s">
        <v>1737</v>
      </c>
    </row>
    <row r="11" spans="1:27">
      <c r="A11" s="37" t="str">
        <v>EPS</v>
      </c>
      <c r="B11" s="37" t="str">
        <v>ABS</v>
      </c>
      <c r="C11" s="82" t="str">
        <v>OTHER</v>
      </c>
      <c r="E11" s="69" t="str">
        <v>Technical textiles</v>
      </c>
      <c r="F11" s="69" t="str">
        <f t="shared" ref="F11:F18" si="3">IF(COUNTIF(G:G,E11), "OK", "Missing")</f>
        <v>OK</v>
      </c>
      <c r="G11" s="69" t="str">
        <v>Technical textiles</v>
      </c>
      <c r="H11" s="69" t="str">
        <f t="shared" si="1"/>
        <v>OK</v>
      </c>
      <c r="J11" s="301" t="str">
        <v>Agrotextiles</v>
      </c>
      <c r="K11" s="306" t="str">
        <f>IF(ISBLANK(J11),"",IF(COUNTIF(L:L,J11),IF(_xlfn.XLOOKUP(J11,'Compartments_Kawecki&amp;Nowack19'!A:A,'Compartments_Kawecki&amp;Nowack19'!B:B,_xlfn.XLOOKUP(J11,Compartments_Added!A:A,Compartments_Added!B:B))="Stock","OK stock","OK flow"),IF(COUNTIF($G$4:$G$18,J11),IF(COUNTIF($E$4:$E$18,J11),"OK input","Missing"),"Missing")))</f>
        <v>OK flow</v>
      </c>
      <c r="L11" s="301" t="str">
        <v>Agricultural pipes (in use)</v>
      </c>
      <c r="M11" s="306"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58" t="s">
        <v>1738</v>
      </c>
    </row>
    <row r="12" spans="1:27">
      <c r="A12" s="37" t="str">
        <v>PA</v>
      </c>
      <c r="B12" s="37" t="str">
        <v>PC</v>
      </c>
      <c r="C12" s="82" t="str">
        <v>any</v>
      </c>
      <c r="E12" s="69" t="str">
        <v>Tyre wear</v>
      </c>
      <c r="F12" s="69" t="str">
        <f t="shared" si="3"/>
        <v>OK</v>
      </c>
      <c r="G12" s="69" t="str">
        <v>Tyre wear</v>
      </c>
      <c r="H12" s="69" t="str">
        <f t="shared" si="1"/>
        <v>OK</v>
      </c>
      <c r="J12" s="301" t="str">
        <v>Agricultural mulching films</v>
      </c>
      <c r="K12" s="306" t="str">
        <f>IF(ISBLANK(J12),"",IF(COUNTIF(L:L,J12),IF(_xlfn.XLOOKUP(J12,'Compartments_Kawecki&amp;Nowack19'!A:A,'Compartments_Kawecki&amp;Nowack19'!B:B,_xlfn.XLOOKUP(J12,Compartments_Added!A:A,Compartments_Added!B:B))="Stock","OK stock","OK flow"),IF(COUNTIF($G$4:$G$18,J12),IF(COUNTIF($E$4:$E$18,J12),"OK input","Missing"),"Missing")))</f>
        <v>OK flow</v>
      </c>
      <c r="L12" s="301" t="str">
        <v>Agricultural plastic recycling</v>
      </c>
      <c r="M12" s="306"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58" t="s">
        <v>1739</v>
      </c>
    </row>
    <row r="13" spans="1:27">
      <c r="A13" s="37" t="str">
        <v>PMMA</v>
      </c>
      <c r="B13" s="37" t="str">
        <v>PMMA</v>
      </c>
      <c r="C13" s="82" t="str">
        <v>RUBBER</v>
      </c>
      <c r="E13" s="69" t="str">
        <v>Import of clothing (Global)</v>
      </c>
      <c r="F13" s="69" t="str">
        <f>IF(COUNTIF(G:G,E13), "OK", "Missing")</f>
        <v>OK</v>
      </c>
      <c r="G13" s="69" t="str">
        <v>Import of clothing (EU)</v>
      </c>
      <c r="H13" s="69" t="str">
        <f t="shared" si="1"/>
        <v>Missing</v>
      </c>
      <c r="J13" s="301" t="str">
        <v>Agricultural other</v>
      </c>
      <c r="K13" s="306" t="str">
        <f>IF(ISBLANK(J13),"",IF(COUNTIF(L:L,J13),IF(_xlfn.XLOOKUP(J13,'Compartments_Kawecki&amp;Nowack19'!A:A,'Compartments_Kawecki&amp;Nowack19'!B:B,_xlfn.XLOOKUP(J13,Compartments_Added!A:A,Compartments_Added!B:B))="Stock","OK stock","OK flow"),IF(COUNTIF($G$4:$G$18,J13),IF(COUNTIF($E$4:$E$18,J13),"OK input","Missing"),"Missing")))</f>
        <v>OK flow</v>
      </c>
      <c r="L13" s="301" t="str">
        <v>Incineration</v>
      </c>
      <c r="M13" s="306"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8" t="s">
        <v>1740</v>
      </c>
    </row>
    <row r="14" spans="1:27">
      <c r="A14" s="37" t="str">
        <v>PUR</v>
      </c>
      <c r="B14" s="37" t="str">
        <v>PA</v>
      </c>
      <c r="C14" s="82" t="str">
        <v>PUR</v>
      </c>
      <c r="E14" s="69" t="str">
        <v>Import of plastic sheets</v>
      </c>
      <c r="F14" s="69" t="str">
        <f t="shared" si="3"/>
        <v>Missing</v>
      </c>
      <c r="G14" s="69" t="str">
        <v>Import of clothing (Global)</v>
      </c>
      <c r="H14" s="69" t="str">
        <f t="shared" si="1"/>
        <v>OK</v>
      </c>
      <c r="J14" s="301" t="str">
        <v>Agricultural pipes (in use)</v>
      </c>
      <c r="K14" s="306" t="str">
        <f>IF(ISBLANK(J14),"",IF(COUNTIF(L:L,J14),IF(_xlfn.XLOOKUP(J14,'Compartments_Kawecki&amp;Nowack19'!A:A,'Compartments_Kawecki&amp;Nowack19'!B:B,_xlfn.XLOOKUP(J14,Compartments_Added!A:A,Compartments_Added!B:B))="Stock","OK stock","OK flow"),IF(COUNTIF($G$4:$G$18,J14),IF(COUNTIF($E$4:$E$18,J14),"OK input","Missing"),"Missing")))</f>
        <v>OK stock</v>
      </c>
      <c r="L14" s="301" t="str">
        <v>Landfill</v>
      </c>
      <c r="M14" s="306"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58" t="s">
        <v>1741</v>
      </c>
    </row>
    <row r="15" spans="1:27">
      <c r="A15" s="37" t="str">
        <v>PET</v>
      </c>
      <c r="B15" s="37" t="str">
        <v>PUR</v>
      </c>
      <c r="C15" s="82" t="str">
        <v>ABS</v>
      </c>
      <c r="E15" s="69" t="str">
        <v>Import of yarn</v>
      </c>
      <c r="F15" s="69" t="str">
        <f t="shared" si="3"/>
        <v>Missing</v>
      </c>
      <c r="G15" s="69">
        <v>0</v>
      </c>
      <c r="H15" s="69" t="str">
        <f t="shared" si="1"/>
        <v>OK</v>
      </c>
      <c r="J15" s="301" t="str">
        <v>Agricultural greenhouse films (in use)</v>
      </c>
      <c r="K15" s="306" t="str">
        <f>IF(ISBLANK(J15),"",IF(COUNTIF(L:L,J15),IF(_xlfn.XLOOKUP(J15,'Compartments_Kawecki&amp;Nowack19'!A:A,'Compartments_Kawecki&amp;Nowack19'!B:B,_xlfn.XLOOKUP(J15,Compartments_Added!A:A,Compartments_Added!B:B))="Stock","OK stock","OK flow"),IF(COUNTIF($G$4:$G$18,J15),IF(COUNTIF($E$4:$E$18,J15),"OK input","Missing"),"Missing")))</f>
        <v>OK stock</v>
      </c>
      <c r="L15" s="301" t="str">
        <v>Residential soil (macro)</v>
      </c>
      <c r="M15" s="306"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8" t="s">
        <v>1742</v>
      </c>
    </row>
    <row r="16" spans="1:27">
      <c r="A16" s="37" t="str">
        <v>OTHER</v>
      </c>
      <c r="B16" s="37" t="str">
        <v>OTHER</v>
      </c>
      <c r="C16" s="82" t="str">
        <v>PA</v>
      </c>
      <c r="E16" s="69">
        <v>0</v>
      </c>
      <c r="F16" s="69" t="str">
        <f t="shared" si="3"/>
        <v>OK</v>
      </c>
      <c r="G16" s="69"/>
      <c r="H16" s="69" t="str">
        <f>IF(COUNTIF(E:E,G16), "OK", "Missing")</f>
        <v>OK</v>
      </c>
      <c r="J16" s="301" t="str">
        <v>Compost (micro)</v>
      </c>
      <c r="K16" s="306" t="str">
        <f>IF(ISBLANK(J16),"",IF(COUNTIF(L:L,J16),IF(_xlfn.XLOOKUP(J16,'Compartments_Kawecki&amp;Nowack19'!A:A,'Compartments_Kawecki&amp;Nowack19'!B:B,_xlfn.XLOOKUP(J16,Compartments_Added!A:A,Compartments_Added!B:B))="Stock","OK stock","OK flow"),IF(COUNTIF($G$4:$G$18,J16),IF(COUNTIF($E$4:$E$18,J16),"OK input","Missing"),"Missing")))</f>
        <v>OK flow</v>
      </c>
      <c r="L16" s="301" t="str">
        <v>Agricultural soil (macro)</v>
      </c>
      <c r="M16" s="306"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58" t="s">
        <v>1743</v>
      </c>
    </row>
    <row r="17" spans="1:27">
      <c r="A17" s="37" t="str">
        <v>Acryl</v>
      </c>
      <c r="B17" s="37" t="str">
        <v>Acryl</v>
      </c>
      <c r="C17" s="82" t="str">
        <v>PC</v>
      </c>
      <c r="E17" s="69"/>
      <c r="F17" s="69" t="str">
        <f t="shared" si="3"/>
        <v>OK</v>
      </c>
      <c r="G17" s="69"/>
      <c r="H17" s="69" t="str">
        <f t="shared" ref="H17:H18" si="4">IF(COUNTIF(E:E,G17), "OK", "Missing")</f>
        <v>OK</v>
      </c>
      <c r="J17" s="301" t="str">
        <v>Controlled release fertilizer</v>
      </c>
      <c r="K17" s="306" t="str">
        <f>IF(ISBLANK(J17),"",IF(COUNTIF(L:L,J17),IF(_xlfn.XLOOKUP(J17,'Compartments_Kawecki&amp;Nowack19'!A:A,'Compartments_Kawecki&amp;Nowack19'!B:B,_xlfn.XLOOKUP(J17,Compartments_Added!A:A,Compartments_Added!B:B))="Stock","OK stock","OK flow"),IF(COUNTIF($G$4:$G$18,J17),IF(COUNTIF($E$4:$E$18,J17),"OK input","Missing"),"Missing")))</f>
        <v>OK flow</v>
      </c>
      <c r="L17" s="301" t="str">
        <v>Agrotextiles (discarded)</v>
      </c>
      <c r="M17" s="306"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8" t="s">
        <v>1744</v>
      </c>
    </row>
    <row r="18" spans="1:27" ht="15.75" thickBot="1">
      <c r="A18" s="37" t="str">
        <v>RUBBER</v>
      </c>
      <c r="B18" s="37" t="str">
        <v>RUBBER</v>
      </c>
      <c r="C18" s="82" t="str">
        <v>PMMA</v>
      </c>
      <c r="E18" s="89"/>
      <c r="F18" s="89" t="str">
        <f t="shared" si="3"/>
        <v>OK</v>
      </c>
      <c r="G18" s="89"/>
      <c r="H18" s="89" t="str">
        <f t="shared" si="4"/>
        <v>OK</v>
      </c>
      <c r="J18" s="301" t="str">
        <v>Fertilizer additives</v>
      </c>
      <c r="K18" s="306" t="str">
        <f>IF(ISBLANK(J18),"",IF(COUNTIF(L:L,J18),IF(_xlfn.XLOOKUP(J18,'Compartments_Kawecki&amp;Nowack19'!A:A,'Compartments_Kawecki&amp;Nowack19'!B:B,_xlfn.XLOOKUP(J18,Compartments_Added!A:A,Compartments_Added!B:B))="Stock","OK stock","OK flow"),IF(COUNTIF($G$4:$G$18,J18),IF(COUNTIF($E$4:$E$18,J18),"OK input","Missing"),"Missing")))</f>
        <v>OK flow</v>
      </c>
      <c r="L18" s="301" t="str">
        <v>Agricultural soil (micro)</v>
      </c>
      <c r="M18" s="306"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58" t="s">
        <v>1745</v>
      </c>
    </row>
    <row r="19" spans="1:27">
      <c r="A19" s="37">
        <v>0</v>
      </c>
      <c r="B19" s="37">
        <v>0</v>
      </c>
      <c r="C19" s="82" t="str">
        <v>Acryl</v>
      </c>
      <c r="J19" s="301" t="str">
        <v>Plant protection products</v>
      </c>
      <c r="K19" s="306" t="str">
        <f>IF(ISBLANK(J19),"",IF(COUNTIF(L:L,J19),IF(_xlfn.XLOOKUP(J19,'Compartments_Kawecki&amp;Nowack19'!A:A,'Compartments_Kawecki&amp;Nowack19'!B:B,_xlfn.XLOOKUP(J19,Compartments_Added!A:A,Compartments_Added!B:B))="Stock","OK stock","OK flow"),IF(COUNTIF($G$4:$G$18,J19),IF(COUNTIF($E$4:$E$18,J19),"OK input","Missing"),"Missing")))</f>
        <v>OK flow</v>
      </c>
      <c r="L19" s="301" t="str">
        <v>Agrotextiles (in use)</v>
      </c>
      <c r="M19" s="306"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58" t="s">
        <v>1746</v>
      </c>
    </row>
    <row r="20" spans="1:27" ht="15.75" thickBot="1">
      <c r="A20" s="38"/>
      <c r="B20" s="38"/>
      <c r="C20" s="83">
        <v>0</v>
      </c>
      <c r="J20" s="301" t="str">
        <v>Seed coating</v>
      </c>
      <c r="K20" s="306" t="str">
        <f>IF(ISBLANK(J20),"",IF(COUNTIF(L:L,J20),IF(_xlfn.XLOOKUP(J20,'Compartments_Kawecki&amp;Nowack19'!A:A,'Compartments_Kawecki&amp;Nowack19'!B:B,_xlfn.XLOOKUP(J20,Compartments_Added!A:A,Compartments_Added!B:B))="Stock","OK stock","OK flow"),IF(COUNTIF($G$4:$G$18,J20),IF(COUNTIF($E$4:$E$18,J20),"OK input","Missing"),"Missing")))</f>
        <v>OK flow</v>
      </c>
      <c r="L20" s="301" t="str">
        <v>Agricultural waste collection</v>
      </c>
      <c r="M20" s="306"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58" t="s">
        <v>1747</v>
      </c>
    </row>
    <row r="21" spans="1:27">
      <c r="J21" s="301" t="str">
        <v>Agricultural pipes (discarded)</v>
      </c>
      <c r="K21" s="306" t="str">
        <f>IF(ISBLANK(J21),"",IF(COUNTIF(L:L,J21),IF(_xlfn.XLOOKUP(J21,'Compartments_Kawecki&amp;Nowack19'!A:A,'Compartments_Kawecki&amp;Nowack19'!B:B,_xlfn.XLOOKUP(J21,Compartments_Added!A:A,Compartments_Added!B:B))="Stock","OK stock","OK flow"),IF(COUNTIF($G$4:$G$18,J21),IF(COUNTIF($E$4:$E$18,J21),"OK input","Missing"),"Missing")))</f>
        <v>OK stock</v>
      </c>
      <c r="L21" s="301" t="str">
        <v>Agricultural waste collection (micro)</v>
      </c>
      <c r="M21" s="306"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58" t="s">
        <v>1748</v>
      </c>
    </row>
    <row r="22" spans="1:27">
      <c r="J22" s="301" t="str">
        <v>Agricultural greenhouse films (discarded)</v>
      </c>
      <c r="K22" s="306" t="str">
        <f>IF(ISBLANK(J22),"",IF(COUNTIF(L:L,J22),IF(_xlfn.XLOOKUP(J22,'Compartments_Kawecki&amp;Nowack19'!A:A,'Compartments_Kawecki&amp;Nowack19'!B:B,_xlfn.XLOOKUP(J22,Compartments_Added!A:A,Compartments_Added!B:B))="Stock","OK stock","OK flow"),IF(COUNTIF($G$4:$G$18,J22),IF(COUNTIF($E$4:$E$18,J22),"OK input","Missing"),"Missing")))</f>
        <v>OK stock</v>
      </c>
      <c r="L22" s="301" t="str">
        <v>Collected organic waste</v>
      </c>
      <c r="M22" s="306"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58" t="s">
        <v>1749</v>
      </c>
    </row>
    <row r="23" spans="1:27">
      <c r="J23" s="301" t="str">
        <v>Agrotextiles (discarded)</v>
      </c>
      <c r="K23" s="306" t="str">
        <f>IF(ISBLANK(J23),"",IF(COUNTIF(L:L,J23),IF(_xlfn.XLOOKUP(J23,'Compartments_Kawecki&amp;Nowack19'!A:A,'Compartments_Kawecki&amp;Nowack19'!B:B,_xlfn.XLOOKUP(J23,Compartments_Added!A:A,Compartments_Added!B:B))="Stock","OK stock","OK flow"),IF(COUNTIF($G$4:$G$18,J23),IF(COUNTIF($E$4:$E$18,J23),"OK input","Missing"),"Missing")))</f>
        <v>OK stock</v>
      </c>
      <c r="L23" s="301" t="str">
        <v>Dumping</v>
      </c>
      <c r="M23" s="306"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58" t="s">
        <v>1750</v>
      </c>
    </row>
    <row r="24" spans="1:27">
      <c r="J24" s="301" t="str">
        <v>Agrotextiles (in use)</v>
      </c>
      <c r="K24" s="306" t="str">
        <f>IF(ISBLANK(J24),"",IF(COUNTIF(L:L,J24),IF(_xlfn.XLOOKUP(J24,'Compartments_Kawecki&amp;Nowack19'!A:A,'Compartments_Kawecki&amp;Nowack19'!B:B,_xlfn.XLOOKUP(J24,Compartments_Added!A:A,Compartments_Added!B:B))="Stock","OK stock","OK flow"),IF(COUNTIF($G$4:$G$18,J24),IF(COUNTIF($E$4:$E$18,J24),"OK input","Missing"),"Missing")))</f>
        <v>OK stock</v>
      </c>
      <c r="L24" s="301" t="str">
        <v>Building textiles (discarded)</v>
      </c>
      <c r="M24" s="306"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2014</v>
      </c>
      <c r="AA24" s="458" t="s">
        <v>1751</v>
      </c>
    </row>
    <row r="25" spans="1:27">
      <c r="J25" s="301" t="str">
        <v>Building textiles</v>
      </c>
      <c r="K25" s="306" t="str">
        <f>IF(ISBLANK(J25),"",IF(COUNTIF(L:L,J25),IF(_xlfn.XLOOKUP(J25,'Compartments_Kawecki&amp;Nowack19'!A:A,'Compartments_Kawecki&amp;Nowack19'!B:B,_xlfn.XLOOKUP(J25,Compartments_Added!A:A,Compartments_Added!B:B))="Stock","OK stock","OK flow"),IF(COUNTIF($G$4:$G$18,J25),IF(COUNTIF($E$4:$E$18,J25),"OK input","Missing"),"Missing")))</f>
        <v>OK flow</v>
      </c>
      <c r="L25" s="301" t="str">
        <v>Building textiles (in use)</v>
      </c>
      <c r="M25" s="306"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58" t="s">
        <v>1752</v>
      </c>
    </row>
    <row r="26" spans="1:27">
      <c r="J26" s="301" t="str">
        <v>Building textiles (discarded)</v>
      </c>
      <c r="K26" s="306" t="str">
        <f>IF(ISBLANK(J26),"",IF(COUNTIF(L:L,J26),IF(_xlfn.XLOOKUP(J26,'Compartments_Kawecki&amp;Nowack19'!A:A,'Compartments_Kawecki&amp;Nowack19'!B:B,_xlfn.XLOOKUP(J26,Compartments_Added!A:A,Compartments_Added!B:B))="Stock","OK stock","OK flow"),IF(COUNTIF($G$4:$G$18,J26),IF(COUNTIF($E$4:$E$18,J26),"OK input","Missing"),"Missing")))</f>
        <v>OK stock</v>
      </c>
      <c r="L26" s="301" t="str">
        <v>Construction and demolition incinerable waste collection</v>
      </c>
      <c r="M26" s="306"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8" t="s">
        <v>1753</v>
      </c>
    </row>
    <row r="27" spans="1:27">
      <c r="J27" s="301" t="str">
        <v>Building textiles (in use)</v>
      </c>
      <c r="K27" s="306" t="str">
        <f>IF(ISBLANK(J27),"",IF(COUNTIF(L:L,J27),IF(_xlfn.XLOOKUP(J27,'Compartments_Kawecki&amp;Nowack19'!A:A,'Compartments_Kawecki&amp;Nowack19'!B:B,_xlfn.XLOOKUP(J27,Compartments_Added!A:A,Compartments_Added!B:B))="Stock","OK stock","OK flow"),IF(COUNTIF($G$4:$G$18,J27),IF(COUNTIF($E$4:$E$18,J27),"OK input","Missing"),"Missing")))</f>
        <v>OK stock</v>
      </c>
      <c r="L27" s="301" t="str">
        <v>Building packaging films</v>
      </c>
      <c r="M27" s="306"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8" t="s">
        <v>1754</v>
      </c>
    </row>
    <row r="28" spans="1:27">
      <c r="J28" s="301" t="str">
        <v>ELV textiles collection</v>
      </c>
      <c r="K28" s="306" t="str">
        <f>IF(ISBLANK(J28),"",IF(COUNTIF(L:L,J28),IF(_xlfn.XLOOKUP(J28,'Compartments_Kawecki&amp;Nowack19'!A:A,'Compartments_Kawecki&amp;Nowack19'!B:B,_xlfn.XLOOKUP(J28,Compartments_Added!A:A,Compartments_Added!B:B))="Stock","OK stock","OK flow"),IF(COUNTIF($G$4:$G$18,J28),IF(COUNTIF($E$4:$E$18,J28),"OK input","Missing"),"Missing")))</f>
        <v>OK flow</v>
      </c>
      <c r="L28" s="301" t="str">
        <v>Geotextiles (discarded)</v>
      </c>
      <c r="M28" s="306"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Lifetimes!AG1</f>
        <v>ClothingIUWashDry</v>
      </c>
      <c r="R28" t="str">
        <f t="shared" si="2"/>
        <v>OK</v>
      </c>
      <c r="AA28" s="458" t="s">
        <v>1755</v>
      </c>
    </row>
    <row r="29" spans="1:27">
      <c r="J29" s="301" t="str">
        <v>Geotextiles</v>
      </c>
      <c r="K29" s="306" t="str">
        <f>IF(ISBLANK(J29),"",IF(COUNTIF(L:L,J29),IF(_xlfn.XLOOKUP(J29,'Compartments_Kawecki&amp;Nowack19'!A:A,'Compartments_Kawecki&amp;Nowack19'!B:B,_xlfn.XLOOKUP(J29,Compartments_Added!A:A,Compartments_Added!B:B))="Stock","OK stock","OK flow"),IF(COUNTIF($G$4:$G$18,J29),IF(COUNTIF($E$4:$E$18,J29),"OK input","Missing"),"Missing")))</f>
        <v>OK flow</v>
      </c>
      <c r="L29" s="301" t="str">
        <v>Geotextiles (in use)</v>
      </c>
      <c r="M29" s="306"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Lifetimes!AH1</f>
        <v>HomeTextilesDis</v>
      </c>
      <c r="R29" t="str">
        <f t="shared" si="2"/>
        <v>OK</v>
      </c>
      <c r="AA29" s="458" t="s">
        <v>1756</v>
      </c>
    </row>
    <row r="30" spans="1:27">
      <c r="J30" s="301" t="str">
        <v>Geotextiles (discarded)</v>
      </c>
      <c r="K30" s="306" t="str">
        <f>IF(ISBLANK(J30),"",IF(COUNTIF(L:L,J30),IF(_xlfn.XLOOKUP(J30,'Compartments_Kawecki&amp;Nowack19'!A:A,'Compartments_Kawecki&amp;Nowack19'!B:B,_xlfn.XLOOKUP(J30,Compartments_Added!A:A,Compartments_Added!B:B))="Stock","OK stock","OK flow"),IF(COUNTIF($G$4:$G$18,J30),IF(COUNTIF($E$4:$E$18,J30),"OK input","Missing"),"Missing")))</f>
        <v>OK stock</v>
      </c>
      <c r="L30" s="301" t="str">
        <v>Sub-surface soil (micro)</v>
      </c>
      <c r="M30" s="306"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Lifetimes!AI1</f>
        <v>HomeTextilesIU</v>
      </c>
      <c r="R30" t="str">
        <f t="shared" si="2"/>
        <v>OK</v>
      </c>
      <c r="AA30" s="458" t="s">
        <v>1757</v>
      </c>
    </row>
    <row r="31" spans="1:27">
      <c r="J31" s="301" t="str">
        <v>Geotextiles (in use)</v>
      </c>
      <c r="K31" s="306" t="str">
        <f>IF(ISBLANK(J31),"",IF(COUNTIF(L:L,J31),IF(_xlfn.XLOOKUP(J31,'Compartments_Kawecki&amp;Nowack19'!A:A,'Compartments_Kawecki&amp;Nowack19'!B:B,_xlfn.XLOOKUP(J31,Compartments_Added!A:A,Compartments_Added!B:B))="Stock","OK stock","OK flow"),IF(COUNTIF($G$4:$G$18,J31),IF(COUNTIF($E$4:$E$18,J31),"OK input","Missing"),"Missing")))</f>
        <v>OK stock</v>
      </c>
      <c r="L31" s="301" t="str">
        <v>Home textiles (discarded)</v>
      </c>
      <c r="M31" s="306"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Lifetimes!AJ1</f>
        <v>TechHomeTextilesDis</v>
      </c>
      <c r="R31" t="str">
        <f t="shared" si="2"/>
        <v>OK</v>
      </c>
      <c r="AA31" s="458" t="s">
        <v>1758</v>
      </c>
    </row>
    <row r="32" spans="1:27">
      <c r="J32" s="301" t="str">
        <v>Home textiles</v>
      </c>
      <c r="K32" s="306" t="str">
        <f>IF(ISBLANK(J32),"",IF(COUNTIF(L:L,J32),IF(_xlfn.XLOOKUP(J32,'Compartments_Kawecki&amp;Nowack19'!A:A,'Compartments_Kawecki&amp;Nowack19'!B:B,_xlfn.XLOOKUP(J32,Compartments_Added!A:A,Compartments_Added!B:B))="Stock","OK stock","OK flow"),IF(COUNTIF($G$4:$G$18,J32),IF(COUNTIF($E$4:$E$18,J32),"OK input","Missing"),"Missing")))</f>
        <v>OK flow</v>
      </c>
      <c r="L32" s="301" t="str">
        <v>Home textiles (in use)</v>
      </c>
      <c r="M32" s="306"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8" t="s">
        <v>1759</v>
      </c>
    </row>
    <row r="33" spans="10:27">
      <c r="J33" s="301" t="str">
        <v>Consumer bags</v>
      </c>
      <c r="K33" s="306" t="str">
        <f>IF(ISBLANK(J33),"",IF(COUNTIF(L:L,J33),IF(_xlfn.XLOOKUP(J33,'Compartments_Kawecki&amp;Nowack19'!A:A,'Compartments_Kawecki&amp;Nowack19'!B:B,_xlfn.XLOOKUP(J33,Compartments_Added!A:A,Compartments_Added!B:B))="Stock","OK stock","OK flow"),IF(COUNTIF($G$4:$G$18,J33),IF(COUNTIF($E$4:$E$18,J33),"OK input","Missing"),"Missing")))</f>
        <v>OK stock</v>
      </c>
      <c r="L33" s="301" t="str">
        <v>Collected organic waste (larger than 1 mm)</v>
      </c>
      <c r="M33" s="306"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flow</v>
      </c>
      <c r="N33" s="6"/>
      <c r="O33" s="6" t="str">
        <f>Lifetimes_pairs!A31</f>
        <v>Paints used in pre-made wooden products outdoor (in use)</v>
      </c>
      <c r="P33" s="6" t="str">
        <f>Lifetimes_pairs!B31</f>
        <v>PaintsPreMadeWoodOutIU</v>
      </c>
      <c r="Q33" t="str">
        <f>Lifetimes!AL1</f>
        <v>MedicalTextiles</v>
      </c>
      <c r="R33" t="str">
        <f t="shared" si="2"/>
        <v>OK</v>
      </c>
      <c r="AA33" s="458" t="s">
        <v>1760</v>
      </c>
    </row>
    <row r="34" spans="10:27">
      <c r="J34" s="301" t="str">
        <v>Consumer bottles</v>
      </c>
      <c r="K34" s="306" t="str">
        <f>IF(ISBLANK(J34),"",IF(COUNTIF(L:L,J34),IF(_xlfn.XLOOKUP(J34,'Compartments_Kawecki&amp;Nowack19'!A:A,'Compartments_Kawecki&amp;Nowack19'!B:B,_xlfn.XLOOKUP(J34,Compartments_Added!A:A,Compartments_Added!B:B))="Stock","OK stock","OK flow"),IF(COUNTIF($G$4:$G$18,J34),IF(COUNTIF($E$4:$E$18,J34),"OK input","Missing"),"Missing")))</f>
        <v>OK stock</v>
      </c>
      <c r="L34" s="301" t="str">
        <v>Collected organic waste (smaller than 1 mm)</v>
      </c>
      <c r="M34" s="306"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8" t="s">
        <v>1761</v>
      </c>
    </row>
    <row r="35" spans="10:27">
      <c r="J35" s="301" t="str">
        <v>Consumer films</v>
      </c>
      <c r="K35" s="306" t="str">
        <f>IF(ISBLANK(J35),"",IF(COUNTIF(L:L,J35),IF(_xlfn.XLOOKUP(J35,'Compartments_Kawecki&amp;Nowack19'!A:A,'Compartments_Kawecki&amp;Nowack19'!B:B,_xlfn.XLOOKUP(J35,Compartments_Added!A:A,Compartments_Added!B:B))="Stock","OK stock","OK flow"),IF(COUNTIF($G$4:$G$18,J35),IF(COUNTIF($E$4:$E$18,J35),"OK input","Missing"),"Missing")))</f>
        <v>OK stock</v>
      </c>
      <c r="L35" s="301" t="str">
        <v>Combined sewer overflow (macro)</v>
      </c>
      <c r="M35" s="306"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8" t="s">
        <v>1762</v>
      </c>
    </row>
    <row r="36" spans="10:27">
      <c r="J36" s="301" t="str">
        <v>Other consumer packaging</v>
      </c>
      <c r="K36" s="306" t="str">
        <f>IF(ISBLANK(J36),"",IF(COUNTIF(L:L,J36),IF(_xlfn.XLOOKUP(J36,'Compartments_Kawecki&amp;Nowack19'!A:A,'Compartments_Kawecki&amp;Nowack19'!B:B,_xlfn.XLOOKUP(J36,Compartments_Added!A:A,Compartments_Added!B:B))="Stock","OK stock","OK flow"),IF(COUNTIF($G$4:$G$18,J36),IF(COUNTIF($E$4:$E$18,J36),"OK input","Missing"),"Missing")))</f>
        <v>OK stock</v>
      </c>
      <c r="L36" s="301" t="str">
        <v>Combined sewer overflow (micro)</v>
      </c>
      <c r="M36" s="306"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8" t="s">
        <v>1763</v>
      </c>
    </row>
    <row r="37" spans="10:27">
      <c r="J37" s="301" t="str">
        <v>Collected organic waste</v>
      </c>
      <c r="K37" s="306" t="str">
        <f>IF(ISBLANK(J37),"",IF(COUNTIF(L:L,J37),IF(_xlfn.XLOOKUP(J37,'Compartments_Kawecki&amp;Nowack19'!A:A,'Compartments_Kawecki&amp;Nowack19'!B:B,_xlfn.XLOOKUP(J37,Compartments_Added!A:A,Compartments_Added!B:B))="Stock","OK stock","OK flow"),IF(COUNTIF($G$4:$G$18,J37),IF(COUNTIF($E$4:$E$18,J37),"OK input","Missing"),"Missing")))</f>
        <v>OK flow</v>
      </c>
      <c r="L37" s="301" t="str">
        <v>Compost (macro)</v>
      </c>
      <c r="M37" s="306"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8" t="s">
        <v>1764</v>
      </c>
    </row>
    <row r="38" spans="10:27">
      <c r="J38" s="301" t="str">
        <v>Wastewater treatment plant (macro)</v>
      </c>
      <c r="K38" s="306" t="str">
        <f>IF(ISBLANK(J38),"",IF(COUNTIF(L:L,J38),IF(_xlfn.XLOOKUP(J38,'Compartments_Kawecki&amp;Nowack19'!A:A,'Compartments_Kawecki&amp;Nowack19'!B:B,_xlfn.XLOOKUP(J38,Compartments_Added!A:A,Compartments_Added!B:B))="Stock","OK stock","OK flow"),IF(COUNTIF($G$4:$G$18,J38),IF(COUNTIF($E$4:$E$18,J38),"OK input","Missing"),"Missing")))</f>
        <v>OK flow</v>
      </c>
      <c r="L38" s="301" t="str">
        <v>Compost (micro)</v>
      </c>
      <c r="M38" s="306"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Lifetimes!AQ1</f>
        <v>GeotextilesIU</v>
      </c>
      <c r="R38" t="str">
        <f t="shared" si="2"/>
        <v>OK</v>
      </c>
      <c r="AA38" s="458" t="s">
        <v>1765</v>
      </c>
    </row>
    <row r="39" spans="10:27">
      <c r="J39" s="301" t="str">
        <v>Wastewater treatment plant (micro)</v>
      </c>
      <c r="K39" s="306" t="str">
        <f>IF(ISBLANK(J39),"",IF(COUNTIF(L:L,J39),IF(_xlfn.XLOOKUP(J39,'Compartments_Kawecki&amp;Nowack19'!A:A,'Compartments_Kawecki&amp;Nowack19'!B:B,_xlfn.XLOOKUP(J39,Compartments_Added!A:A,Compartments_Added!B:B))="Stock","OK stock","OK flow"),IF(COUNTIF($G$4:$G$18,J39),IF(COUNTIF($E$4:$E$18,J39),"OK input","Missing"),"Missing")))</f>
        <v>OK flow</v>
      </c>
      <c r="L39" s="301" t="str">
        <v>Compost size separation (fictional process)</v>
      </c>
      <c r="M39" s="306"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Lifetimes!AR1</f>
        <v>BuildingTextilesDis</v>
      </c>
      <c r="R39" t="str">
        <f t="shared" si="2"/>
        <v>OK</v>
      </c>
      <c r="AA39" s="458" t="s">
        <v>1766</v>
      </c>
    </row>
    <row r="40" spans="10:27">
      <c r="J40" s="301" t="str">
        <v>Compost size separation (fictional process)</v>
      </c>
      <c r="K40" s="306" t="str">
        <f>IF(ISBLANK(J40),"",IF(COUNTIF(L:L,J40),IF(_xlfn.XLOOKUP(J40,'Compartments_Kawecki&amp;Nowack19'!A:A,'Compartments_Kawecki&amp;Nowack19'!B:B,_xlfn.XLOOKUP(J40,Compartments_Added!A:A,Compartments_Added!B:B))="Stock","OK stock","OK flow"),IF(COUNTIF($G$4:$G$18,J40),IF(COUNTIF($E$4:$E$18,J40),"OK input","Missing"),"Missing")))</f>
        <v>OK flow</v>
      </c>
      <c r="L40" s="301" t="str">
        <v>Mixed waste collection</v>
      </c>
      <c r="M40" s="306"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Lifetimes!AS1</f>
        <v>BuildingTextilesIU</v>
      </c>
      <c r="R40" t="str">
        <f t="shared" si="2"/>
        <v>OK</v>
      </c>
      <c r="AA40" s="458" t="s">
        <v>1767</v>
      </c>
    </row>
    <row r="41" spans="10:27">
      <c r="J41" s="301" t="str">
        <v>Collected organic waste (smaller than 1 mm)</v>
      </c>
      <c r="K41" s="306" t="str">
        <f>IF(ISBLANK(J41),"",IF(COUNTIF(L:L,J41),IF(_xlfn.XLOOKUP(J41,'Compartments_Kawecki&amp;Nowack19'!A:A,'Compartments_Kawecki&amp;Nowack19'!B:B,_xlfn.XLOOKUP(J41,Compartments_Added!A:A,Compartments_Added!B:B))="Stock","OK stock","OK flow"),IF(COUNTIF($G$4:$G$18,J41),IF(COUNTIF($E$4:$E$18,J41),"OK input","Missing"),"Missing")))</f>
        <v>OK flow</v>
      </c>
      <c r="L41" s="301" t="str">
        <v>Consumer bags</v>
      </c>
      <c r="M41" s="306"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11" t="s">
        <v>1768</v>
      </c>
    </row>
    <row r="42" spans="10:27">
      <c r="J42" s="301" t="str">
        <v>Collected organic waste (larger than 1 mm)</v>
      </c>
      <c r="K42" s="306" t="str">
        <f>IF(ISBLANK(J42),"",IF(COUNTIF(L:L,J42),IF(_xlfn.XLOOKUP(J42,'Compartments_Kawecki&amp;Nowack19'!A:A,'Compartments_Kawecki&amp;Nowack19'!B:B,_xlfn.XLOOKUP(J42,Compartments_Added!A:A,Compartments_Added!B:B))="Stock","OK stock","OK flow"),IF(COUNTIF($G$4:$G$18,J42),IF(COUNTIF($E$4:$E$18,J42),"OK input","Missing"),"Missing")))</f>
        <v>OK flow</v>
      </c>
      <c r="L42" s="301" t="str">
        <v>Consumer bottles</v>
      </c>
      <c r="M42" s="306"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11" t="s">
        <v>1769</v>
      </c>
    </row>
    <row r="43" spans="10:27">
      <c r="J43" s="301" t="str">
        <v>Home textiles (discarded)</v>
      </c>
      <c r="K43" s="306" t="str">
        <f>IF(ISBLANK(J43),"",IF(COUNTIF(L:L,J43),IF(_xlfn.XLOOKUP(J43,'Compartments_Kawecki&amp;Nowack19'!A:A,'Compartments_Kawecki&amp;Nowack19'!B:B,_xlfn.XLOOKUP(J43,Compartments_Added!A:A,Compartments_Added!B:B))="Stock","OK stock","OK flow"),IF(COUNTIF($G$4:$G$18,J43),IF(COUNTIF($E$4:$E$18,J43),"OK input","Missing"),"Missing")))</f>
        <v>OK stock</v>
      </c>
      <c r="L43" s="301" t="str">
        <v>Consumer films</v>
      </c>
      <c r="M43" s="306"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11" t="s">
        <v>1770</v>
      </c>
    </row>
    <row r="44" spans="10:27">
      <c r="J44" s="301" t="str">
        <v>Building packaging films</v>
      </c>
      <c r="K44" s="306" t="str">
        <f>IF(ISBLANK(J44),"",IF(COUNTIF(L:L,J44),IF(_xlfn.XLOOKUP(J44,'Compartments_Kawecki&amp;Nowack19'!A:A,'Compartments_Kawecki&amp;Nowack19'!B:B,_xlfn.XLOOKUP(J44,Compartments_Added!A:A,Compartments_Added!B:B))="Stock","OK stock","OK flow"),IF(COUNTIF($G$4:$G$18,J44),IF(COUNTIF($E$4:$E$18,J44),"OK input","Missing"),"Missing")))</f>
        <v>OK flow</v>
      </c>
      <c r="L44" s="301" t="str">
        <v>Controlled release fertilizer</v>
      </c>
      <c r="M44" s="306"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Lifetimes!AW1</f>
        <v>ConcreteProfInDis</v>
      </c>
      <c r="R44" t="str">
        <f t="shared" si="2"/>
        <v>OK</v>
      </c>
      <c r="AA44" s="511" t="s">
        <v>1771</v>
      </c>
    </row>
    <row r="45" spans="10:27">
      <c r="J45" s="301" t="str">
        <v>Intentionally produced microparticles</v>
      </c>
      <c r="K45" s="306" t="str">
        <f>IF(ISBLANK(J45),"",IF(COUNTIF(L:L,J45),IF(_xlfn.XLOOKUP(J45,'Compartments_Kawecki&amp;Nowack19'!A:A,'Compartments_Kawecki&amp;Nowack19'!B:B,_xlfn.XLOOKUP(J45,Compartments_Added!A:A,Compartments_Added!B:B))="Stock","OK stock","OK flow"),IF(COUNTIF($G$4:$G$18,J45),IF(COUNTIF($E$4:$E$18,J45),"OK input","Missing"),"Missing")))</f>
        <v>OK input</v>
      </c>
      <c r="L45" s="301" t="str">
        <v>Detergents and maintenance products</v>
      </c>
      <c r="M45" s="306"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Lifetimes!AX1</f>
        <v>ConcreteProfInIU</v>
      </c>
      <c r="R45" t="str">
        <f t="shared" si="2"/>
        <v>OK</v>
      </c>
      <c r="AA45" s="511" t="s">
        <v>1772</v>
      </c>
    </row>
    <row r="46" spans="10:27">
      <c r="J46" s="301" t="str">
        <v>Home textiles (in use)</v>
      </c>
      <c r="K46" s="306" t="str">
        <f>IF(ISBLANK(J46),"",IF(COUNTIF(L:L,J46),IF(_xlfn.XLOOKUP(J46,'Compartments_Kawecki&amp;Nowack19'!A:A,'Compartments_Kawecki&amp;Nowack19'!B:B,_xlfn.XLOOKUP(J46,Compartments_Added!A:A,Compartments_Added!B:B))="Stock","OK stock","OK flow"),IF(COUNTIF($G$4:$G$18,J46),IF(COUNTIF($E$4:$E$18,J46),"OK input","Missing"),"Missing")))</f>
        <v>OK stock</v>
      </c>
      <c r="L46" s="301" t="str">
        <v>Indoor air (micro)</v>
      </c>
      <c r="M46" s="306"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flow</v>
      </c>
      <c r="N46" s="6"/>
      <c r="O46" s="6" t="str">
        <f>Lifetimes_pairs!A44</f>
        <v>Wall paint (DIY) indoor applied (in use)</v>
      </c>
      <c r="P46" s="6" t="str">
        <f>Lifetimes_pairs!B44</f>
        <v>WallPaintDiyIndoorAppliedIU</v>
      </c>
      <c r="Q46" t="str">
        <f>Lifetimes!AY1</f>
        <v>ConcreteProfOutDis</v>
      </c>
      <c r="R46" t="str">
        <f t="shared" si="2"/>
        <v>OK</v>
      </c>
      <c r="AA46" s="511" t="s">
        <v>1773</v>
      </c>
    </row>
    <row r="47" spans="10:27">
      <c r="J47" s="301" t="str">
        <v>Household textiles (product sector)</v>
      </c>
      <c r="K47" s="306" t="str">
        <f>IF(ISBLANK(J47),"",IF(COUNTIF(L:L,J47),IF(_xlfn.XLOOKUP(J47,'Compartments_Kawecki&amp;Nowack19'!A:A,'Compartments_Kawecki&amp;Nowack19'!B:B,_xlfn.XLOOKUP(J47,Compartments_Added!A:A,Compartments_Added!B:B))="Stock","OK stock","OK flow"),IF(COUNTIF($G$4:$G$18,J47),IF(COUNTIF($E$4:$E$18,J47),"OK input","Missing"),"Missing")))</f>
        <v>OK input</v>
      </c>
      <c r="L47" s="301" t="str">
        <v>Outdoor air (micro)</v>
      </c>
      <c r="M47" s="306"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Sink</v>
      </c>
      <c r="N47" s="6"/>
      <c r="O47" s="6" t="str">
        <f>Lifetimes_pairs!A45</f>
        <v>Wall paint (DIY) outdoor (discarded)</v>
      </c>
      <c r="P47" s="6" t="str">
        <f>Lifetimes_pairs!B45</f>
        <v>WallPaintDiyOutDis</v>
      </c>
      <c r="Q47" t="str">
        <f>Lifetimes!AZ1</f>
        <v>ConcreteProfOutIU</v>
      </c>
      <c r="R47" t="str">
        <f t="shared" si="2"/>
        <v>OK</v>
      </c>
      <c r="AA47" s="511" t="s">
        <v>1774</v>
      </c>
    </row>
    <row r="48" spans="10:27">
      <c r="J48" s="301" t="str">
        <v>Disposable cleaning cloths</v>
      </c>
      <c r="K48" s="306" t="str">
        <f>IF(ISBLANK(J48),"",IF(COUNTIF(L:L,J48),IF(_xlfn.XLOOKUP(J48,'Compartments_Kawecki&amp;Nowack19'!A:A,'Compartments_Kawecki&amp;Nowack19'!B:B,_xlfn.XLOOKUP(J48,Compartments_Added!A:A,Compartments_Added!B:B))="Stock","OK stock","OK flow"),IF(COUNTIF($G$4:$G$18,J48),IF(COUNTIF($E$4:$E$18,J48),"OK input","Missing"),"Missing")))</f>
        <v>OK flow</v>
      </c>
      <c r="L48" s="301" t="str">
        <v>Wastewater (micro)</v>
      </c>
      <c r="M48" s="306"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flow</v>
      </c>
      <c r="N48" s="6"/>
      <c r="O48" s="6" t="str">
        <f>Lifetimes_pairs!A46</f>
        <v>Wall paint (DIY) indoor applied (discarded)</v>
      </c>
      <c r="P48" s="6" t="str">
        <f>Lifetimes_pairs!B46</f>
        <v>WallPaintDiyIndoorAppliedDis</v>
      </c>
      <c r="Q48" t="str">
        <f>Lifetimes!BA1</f>
        <v>LacquerDiyInDis</v>
      </c>
      <c r="R48" t="str">
        <f t="shared" si="2"/>
        <v>OK</v>
      </c>
      <c r="AA48" s="511" t="s">
        <v>1775</v>
      </c>
    </row>
    <row r="49" spans="10:27">
      <c r="J49" s="301" t="str">
        <v>Non-consumer bags</v>
      </c>
      <c r="K49" s="306" t="str">
        <f>IF(ISBLANK(J49),"",IF(COUNTIF(L:L,J49),IF(_xlfn.XLOOKUP(J49,'Compartments_Kawecki&amp;Nowack19'!A:A,'Compartments_Kawecki&amp;Nowack19'!B:B,_xlfn.XLOOKUP(J49,Compartments_Added!A:A,Compartments_Added!B:B))="Stock","OK stock","OK flow"),IF(COUNTIF($G$4:$G$18,J49),IF(COUNTIF($E$4:$E$18,J49),"OK input","Missing"),"Missing")))</f>
        <v>OK stock</v>
      </c>
      <c r="L49" s="301" t="str">
        <v>Disposable cleaning cloths</v>
      </c>
      <c r="M49" s="306"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Lifetimes!BB1</f>
        <v>LacquerDiyInIU</v>
      </c>
      <c r="R49" t="str">
        <f t="shared" si="2"/>
        <v>OK</v>
      </c>
      <c r="AA49" s="511" t="s">
        <v>1776</v>
      </c>
    </row>
    <row r="50" spans="10:27">
      <c r="J50" s="301" t="str">
        <v>Other non-consumer films</v>
      </c>
      <c r="K50" s="306" t="str">
        <f>IF(ISBLANK(J50),"",IF(COUNTIF(L:L,J50),IF(_xlfn.XLOOKUP(J50,'Compartments_Kawecki&amp;Nowack19'!A:A,'Compartments_Kawecki&amp;Nowack19'!B:B,_xlfn.XLOOKUP(J50,Compartments_Added!A:A,Compartments_Added!B:B))="Stock","OK stock","OK flow"),IF(COUNTIF($G$4:$G$18,J50),IF(COUNTIF($E$4:$E$18,J50),"OK input","Missing"),"Missing")))</f>
        <v>OK stock</v>
      </c>
      <c r="L50" s="301" t="str">
        <v>Home textiles</v>
      </c>
      <c r="M50" s="306"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Lifetimes!BC1</f>
        <v>LacquerDiyOutDis</v>
      </c>
      <c r="R50" t="str">
        <f t="shared" si="2"/>
        <v>OK</v>
      </c>
      <c r="AA50" s="511" t="s">
        <v>1777</v>
      </c>
    </row>
    <row r="51" spans="10:27">
      <c r="J51" s="301" t="str">
        <v>Other non-consumer packaging</v>
      </c>
      <c r="K51" s="306" t="str">
        <f>IF(ISBLANK(J51),"",IF(COUNTIF(L:L,J51),IF(_xlfn.XLOOKUP(J51,'Compartments_Kawecki&amp;Nowack19'!A:A,'Compartments_Kawecki&amp;Nowack19'!B:B,_xlfn.XLOOKUP(J51,Compartments_Added!A:A,Compartments_Added!B:B))="Stock","OK stock","OK flow"),IF(COUNTIF($G$4:$G$18,J51),IF(COUNTIF($E$4:$E$18,J51),"OK input","Missing"),"Missing")))</f>
        <v>OK stock</v>
      </c>
      <c r="L51" s="301" t="str">
        <v>Elimination</v>
      </c>
      <c r="M51" s="306"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Sink</v>
      </c>
      <c r="N51" s="6"/>
      <c r="O51" s="6" t="str">
        <f>Lifetimes_pairs!A49</f>
        <v>Plaster (DIY) outdoor (discarded)</v>
      </c>
      <c r="P51" s="6" t="str">
        <f>Lifetimes_pairs!B49</f>
        <v>PlasterDiyOutDis</v>
      </c>
      <c r="Q51" t="str">
        <f>Lifetimes!BD1</f>
        <v>LacquerDiyOutIU</v>
      </c>
      <c r="R51" t="str">
        <f t="shared" si="2"/>
        <v>OK</v>
      </c>
      <c r="AA51" s="511" t="s">
        <v>1778</v>
      </c>
    </row>
    <row r="52" spans="10:27">
      <c r="J52" s="301" t="str">
        <v>Other technical textiles</v>
      </c>
      <c r="K52" s="306" t="str">
        <f>IF(ISBLANK(J52),"",IF(COUNTIF(L:L,J52),IF(_xlfn.XLOOKUP(J52,'Compartments_Kawecki&amp;Nowack19'!A:A,'Compartments_Kawecki&amp;Nowack19'!B:B,_xlfn.XLOOKUP(J52,Compartments_Added!A:A,Compartments_Added!B:B))="Stock","OK stock","OK flow"),IF(COUNTIF($G$4:$G$18,J52),IF(COUNTIF($E$4:$E$18,J52),"OK input","Missing"),"Missing")))</f>
        <v>OK stock</v>
      </c>
      <c r="L52" s="301" t="str">
        <v>Export</v>
      </c>
      <c r="M52" s="306"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Lifetimes!BE1</f>
        <v>LacquerProfInDis</v>
      </c>
      <c r="R52" t="str">
        <f t="shared" si="2"/>
        <v>OK</v>
      </c>
      <c r="AA52" s="511" t="s">
        <v>1779</v>
      </c>
    </row>
    <row r="53" spans="10:27">
      <c r="J53" s="301" t="str">
        <v>Panty liners</v>
      </c>
      <c r="K53" s="306" t="str">
        <f>IF(ISBLANK(J53),"",IF(COUNTIF(L:L,J53),IF(_xlfn.XLOOKUP(J53,'Compartments_Kawecki&amp;Nowack19'!A:A,'Compartments_Kawecki&amp;Nowack19'!B:B,_xlfn.XLOOKUP(J53,Compartments_Added!A:A,Compartments_Added!B:B))="Stock","OK stock","OK flow"),IF(COUNTIF($G$4:$G$18,J53),IF(COUNTIF($E$4:$E$18,J53),"OK input","Missing"),"Missing")))</f>
        <v>OK flow</v>
      </c>
      <c r="L53" s="301" t="str">
        <v>Secondary material reuse</v>
      </c>
      <c r="M53" s="306"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Sink</v>
      </c>
      <c r="N53" s="6"/>
      <c r="O53" s="6" t="str">
        <f>Lifetimes_pairs!A51</f>
        <v>Other paint uses (DIY) outdoor (in use)</v>
      </c>
      <c r="P53" s="6" t="str">
        <f>Lifetimes_pairs!B51</f>
        <v>OtherPaintUsesDiyOutIU</v>
      </c>
      <c r="Q53" t="str">
        <f>Lifetimes!BF1</f>
        <v>LacquerProfInIU</v>
      </c>
      <c r="R53" t="str">
        <f t="shared" si="2"/>
        <v>OK</v>
      </c>
      <c r="AA53" s="511" t="s">
        <v>1780</v>
      </c>
    </row>
    <row r="54" spans="10:27">
      <c r="J54" s="301" t="str">
        <v>Sanitary pads</v>
      </c>
      <c r="K54" s="306" t="str">
        <f>IF(ISBLANK(J54),"",IF(COUNTIF(L:L,J54),IF(_xlfn.XLOOKUP(J54,'Compartments_Kawecki&amp;Nowack19'!A:A,'Compartments_Kawecki&amp;Nowack19'!B:B,_xlfn.XLOOKUP(J54,Compartments_Added!A:A,Compartments_Added!B:B))="Stock","OK stock","OK flow"),IF(COUNTIF($G$4:$G$18,J54),IF(COUNTIF($E$4:$E$18,J54),"OK input","Missing"),"Missing")))</f>
        <v>OK flow</v>
      </c>
      <c r="L54" s="301" t="str">
        <v>Residential soil (micro)</v>
      </c>
      <c r="M54" s="306"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Sink</v>
      </c>
      <c r="N54" s="6"/>
      <c r="O54" s="6" t="str">
        <f>Lifetimes_pairs!A52</f>
        <v>Other paint uses (DIY) indoor (in use)</v>
      </c>
      <c r="P54" s="6" t="str">
        <f>Lifetimes_pairs!B52</f>
        <v>OtherPaintUsesDiyInIU</v>
      </c>
      <c r="Q54" t="str">
        <f>Lifetimes!BG1</f>
        <v>LacquerProfOutDis</v>
      </c>
      <c r="R54" t="str">
        <f t="shared" si="2"/>
        <v>OK</v>
      </c>
      <c r="AA54" s="511" t="s">
        <v>1781</v>
      </c>
    </row>
    <row r="55" spans="10:27">
      <c r="J55" s="301" t="str">
        <v>Tampons</v>
      </c>
      <c r="K55" s="306" t="str">
        <f>IF(ISBLANK(J55),"",IF(COUNTIF(L:L,J55),IF(_xlfn.XLOOKUP(J55,'Compartments_Kawecki&amp;Nowack19'!A:A,'Compartments_Kawecki&amp;Nowack19'!B:B,_xlfn.XLOOKUP(J55,Compartments_Added!A:A,Compartments_Added!B:B))="Stock","OK stock","OK flow"),IF(COUNTIF($G$4:$G$18,J55),IF(COUNTIF($E$4:$E$18,J55),"OK input","Missing"),"Missing")))</f>
        <v>OK flow</v>
      </c>
      <c r="L55" s="301" t="str">
        <v>Industrial stormwater (micro)</v>
      </c>
      <c r="M55" s="306"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11" t="s">
        <v>1782</v>
      </c>
    </row>
    <row r="56" spans="10:27">
      <c r="J56" s="301" t="str">
        <v>Technical home textiles (discarded)</v>
      </c>
      <c r="K56" s="306" t="str">
        <f>IF(ISBLANK(J56),"",IF(COUNTIF(L:L,J56),IF(_xlfn.XLOOKUP(J56,'Compartments_Kawecki&amp;Nowack19'!A:A,'Compartments_Kawecki&amp;Nowack19'!B:B,_xlfn.XLOOKUP(J56,Compartments_Added!A:A,Compartments_Added!B:B))="Stock","OK stock","OK flow"),IF(COUNTIF($G$4:$G$18,J56),IF(COUNTIF($E$4:$E$18,J56),"OK input","Missing"),"Missing")))</f>
        <v>OK stock</v>
      </c>
      <c r="L56" s="301" t="str">
        <v>Transport of primary plastics</v>
      </c>
      <c r="M56" s="306"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11" t="s">
        <v>1783</v>
      </c>
    </row>
    <row r="57" spans="10:27">
      <c r="J57" s="301" t="str">
        <v>Incineration</v>
      </c>
      <c r="K57" s="306" t="str">
        <f>IF(ISBLANK(J57),"",IF(COUNTIF(L:L,J57),IF(_xlfn.XLOOKUP(J57,'Compartments_Kawecki&amp;Nowack19'!A:A,'Compartments_Kawecki&amp;Nowack19'!B:B,_xlfn.XLOOKUP(J57,Compartments_Added!A:A,Compartments_Added!B:B))="Stock","OK stock","OK flow"),IF(COUNTIF($G$4:$G$18,J57),IF(COUNTIF($E$4:$E$18,J57),"OK input","Missing"),"Missing")))</f>
        <v>OK flow</v>
      </c>
      <c r="L57" s="301" t="str">
        <v>Surface water (micro)</v>
      </c>
      <c r="M57" s="306"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Lifetimes!BJ1</f>
        <v>OtherPaintUsesDiyInIU</v>
      </c>
      <c r="R57" t="str">
        <f t="shared" si="2"/>
        <v>OK</v>
      </c>
      <c r="AA57" s="511" t="s">
        <v>1784</v>
      </c>
    </row>
    <row r="58" spans="10:27">
      <c r="J58" s="301" t="str">
        <v>Packaging collection</v>
      </c>
      <c r="K58" s="306" t="str">
        <f>IF(ISBLANK(J58),"",IF(COUNTIF(L:L,J58),IF(_xlfn.XLOOKUP(J58,'Compartments_Kawecki&amp;Nowack19'!A:A,'Compartments_Kawecki&amp;Nowack19'!B:B,_xlfn.XLOOKUP(J58,Compartments_Added!A:A,Compartments_Added!B:B))="Stock","OK stock","OK flow"),IF(COUNTIF($G$4:$G$18,J58),IF(COUNTIF($E$4:$E$18,J58),"OK input","Missing"),"Missing")))</f>
        <v>OK flow</v>
      </c>
      <c r="L58" s="301" t="str">
        <v>Wastewater treatment plant (micro)</v>
      </c>
      <c r="M58" s="306"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11" t="s">
        <v>1785</v>
      </c>
    </row>
    <row r="59" spans="10:27">
      <c r="J59" s="301" t="str">
        <v>Agricultural plastic recycling</v>
      </c>
      <c r="K59" s="306" t="str">
        <f>IF(ISBLANK(J59),"",IF(COUNTIF(L:L,J59),IF(_xlfn.XLOOKUP(J59,'Compartments_Kawecki&amp;Nowack19'!A:A,'Compartments_Kawecki&amp;Nowack19'!B:B,_xlfn.XLOOKUP(J59,Compartments_Added!A:A,Compartments_Added!B:B))="Stock","OK stock","OK flow"),IF(COUNTIF($G$4:$G$18,J59),IF(COUNTIF($E$4:$E$18,J59),"OK input","Missing"),"Missing")))</f>
        <v>OK flow</v>
      </c>
      <c r="L59" s="301" t="str">
        <v>Plastic products</v>
      </c>
      <c r="M59" s="306"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11" t="s">
        <v>1786</v>
      </c>
    </row>
    <row r="60" spans="10:27">
      <c r="J60" s="301" t="str">
        <v>Domestic primary plastic production</v>
      </c>
      <c r="K60" s="306" t="str">
        <f>IF(ISBLANK(J60),"",IF(COUNTIF(L:L,J60),IF(_xlfn.XLOOKUP(J60,'Compartments_Kawecki&amp;Nowack19'!A:A,'Compartments_Kawecki&amp;Nowack19'!B:B,_xlfn.XLOOKUP(J60,Compartments_Added!A:A,Compartments_Added!B:B))="Stock","OK stock","OK flow"),IF(COUNTIF($G$4:$G$18,J60),IF(COUNTIF($E$4:$E$18,J60),"OK input","Missing"),"Missing")))</f>
        <v>OK input</v>
      </c>
      <c r="L60" s="301" t="str">
        <v>Surface water (macro)</v>
      </c>
      <c r="M60" s="306"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Sink</v>
      </c>
      <c r="N60" s="6"/>
      <c r="O60" s="6" t="str">
        <f>Lifetimes_pairs!A58</f>
        <v>Agricultural greenhouse films (discarded)</v>
      </c>
      <c r="P60" s="6" t="str">
        <f>Lifetimes_pairs!B58</f>
        <v>AgriculturalFilmsDis</v>
      </c>
      <c r="Q60" t="str">
        <f>Lifetimes!BM1</f>
        <v>OtherPaintUsesProfInDis</v>
      </c>
      <c r="R60" t="str">
        <f t="shared" si="2"/>
        <v>OK</v>
      </c>
      <c r="AA60" s="511" t="s">
        <v>1787</v>
      </c>
    </row>
    <row r="61" spans="10:27">
      <c r="J61" s="301" t="str">
        <v>Import of primary plastics</v>
      </c>
      <c r="K61" s="306" t="str">
        <f>IF(ISBLANK(J61),"",IF(COUNTIF(L:L,J61),IF(_xlfn.XLOOKUP(J61,'Compartments_Kawecki&amp;Nowack19'!A:A,'Compartments_Kawecki&amp;Nowack19'!B:B,_xlfn.XLOOKUP(J61,Compartments_Added!A:A,Compartments_Added!B:B))="Stock","OK stock","OK flow"),IF(COUNTIF($G$4:$G$18,J61),IF(COUNTIF($E$4:$E$18,J61),"OK input","Missing"),"Missing")))</f>
        <v>OK input</v>
      </c>
      <c r="L61" s="301" t="str">
        <v>Wastewater treatment plant (macro)</v>
      </c>
      <c r="M61" s="306"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11" t="s">
        <v>1788</v>
      </c>
    </row>
    <row r="62" spans="10:27">
      <c r="J62" s="301" t="str">
        <v>Industrial stormwater (micro)</v>
      </c>
      <c r="K62" s="306" t="str">
        <f>IF(ISBLANK(J62),"",IF(COUNTIF(L:L,J62),IF(_xlfn.XLOOKUP(J62,'Compartments_Kawecki&amp;Nowack19'!A:A,'Compartments_Kawecki&amp;Nowack19'!B:B,_xlfn.XLOOKUP(J62,Compartments_Added!A:A,Compartments_Added!B:B))="Stock","OK stock","OK flow"),IF(COUNTIF($G$4:$G$18,J62),IF(COUNTIF($E$4:$E$18,J62),"OK input","Missing"),"Missing")))</f>
        <v>OK flow</v>
      </c>
      <c r="L62" s="301" t="str">
        <v>Export of primary plastics</v>
      </c>
      <c r="M62" s="306"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Lifetimes!BO1</f>
        <v>OtherPaintUsesProfOutDis</v>
      </c>
      <c r="R62" t="str">
        <f t="shared" si="2"/>
        <v>OK</v>
      </c>
      <c r="AA62" s="511" t="s">
        <v>1789</v>
      </c>
    </row>
    <row r="63" spans="10:27">
      <c r="J63" s="301" t="str">
        <v>Pellet conversion</v>
      </c>
      <c r="K63" s="306" t="str">
        <f>IF(ISBLANK(J63),"",IF(COUNTIF(L:L,J63),IF(_xlfn.XLOOKUP(J63,'Compartments_Kawecki&amp;Nowack19'!A:A,'Compartments_Kawecki&amp;Nowack19'!B:B,_xlfn.XLOOKUP(J63,Compartments_Added!A:A,Compartments_Added!B:B))="Stock","OK stock","OK flow"),IF(COUNTIF($G$4:$G$18,J63),IF(COUNTIF($E$4:$E$18,J63),"OK input","Missing"),"Missing")))</f>
        <v>OK flow</v>
      </c>
      <c r="L63" s="301" t="str">
        <v>Fertilizer additives</v>
      </c>
      <c r="M63" s="306"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11" t="s">
        <v>1790</v>
      </c>
    </row>
    <row r="64" spans="10:27">
      <c r="J64" s="301" t="str">
        <v>Stormwater (macro)</v>
      </c>
      <c r="K64" s="306" t="str">
        <f>IF(ISBLANK(J64),"",IF(COUNTIF(L:L,J64),IF(_xlfn.XLOOKUP(J64,'Compartments_Kawecki&amp;Nowack19'!A:A,'Compartments_Kawecki&amp;Nowack19'!B:B,_xlfn.XLOOKUP(J64,Compartments_Added!A:A,Compartments_Added!B:B))="Stock","OK stock","OK flow"),IF(COUNTIF($G$4:$G$18,J64),IF(COUNTIF($E$4:$E$18,J64),"OK input","Missing"),"Missing")))</f>
        <v>OK flow</v>
      </c>
      <c r="L64" s="301" t="str">
        <v>Food additives</v>
      </c>
      <c r="M64" s="306"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11" t="s">
        <v>1791</v>
      </c>
    </row>
    <row r="65" spans="10:27">
      <c r="J65" s="301" t="str">
        <v>Stormwater (micro)</v>
      </c>
      <c r="K65" s="306" t="str">
        <f>IF(ISBLANK(J65),"",IF(COUNTIF(L:L,J65),IF(_xlfn.XLOOKUP(J65,'Compartments_Kawecki&amp;Nowack19'!A:A,'Compartments_Kawecki&amp;Nowack19'!B:B,_xlfn.XLOOKUP(J65,Compartments_Added!A:A,Compartments_Added!B:B))="Stock","OK stock","OK flow"),IF(COUNTIF($G$4:$G$18,J65),IF(COUNTIF($E$4:$E$18,J65),"OK input","Missing"),"Missing")))</f>
        <v>OK flow</v>
      </c>
      <c r="L65" s="301" t="str">
        <v>Panty liners</v>
      </c>
      <c r="M65" s="306"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11" t="s">
        <v>1792</v>
      </c>
    </row>
    <row r="66" spans="10:27">
      <c r="J66" s="301" t="str">
        <v>Transport of primary plastics</v>
      </c>
      <c r="K66" s="306" t="str">
        <f>IF(ISBLANK(J66),"",IF(COUNTIF(L:L,J66),IF(_xlfn.XLOOKUP(J66,'Compartments_Kawecki&amp;Nowack19'!A:A,'Compartments_Kawecki&amp;Nowack19'!B:B,_xlfn.XLOOKUP(J66,Compartments_Added!A:A,Compartments_Added!B:B))="Stock","OK stock","OK flow"),IF(COUNTIF($G$4:$G$18,J66),IF(COUNTIF($E$4:$E$18,J66),"OK input","Missing"),"Missing")))</f>
        <v>OK flow</v>
      </c>
      <c r="L66" s="301" t="str">
        <v>Highway DAB</v>
      </c>
      <c r="M66" s="306"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11" t="s">
        <v>1793</v>
      </c>
    </row>
    <row r="67" spans="10:27" ht="15" customHeight="1">
      <c r="J67" s="301" t="str">
        <v>Highway</v>
      </c>
      <c r="K67" s="306" t="str">
        <f>IF(ISBLANK(J67),"",IF(COUNTIF(L:L,J67),IF(_xlfn.XLOOKUP(J67,'Compartments_Kawecki&amp;Nowack19'!A:A,'Compartments_Kawecki&amp;Nowack19'!B:B,_xlfn.XLOOKUP(J67,Compartments_Added!A:A,Compartments_Added!B:B))="Stock","OK stock","OK flow"),IF(COUNTIF($G$4:$G$18,J67),IF(COUNTIF($E$4:$E$18,J67),"OK input","Missing"),"Missing")))</f>
        <v>OK flow</v>
      </c>
      <c r="L67" s="301" t="str">
        <v>Highway ZOAB</v>
      </c>
      <c r="M67" s="306"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11" t="s">
        <v>1794</v>
      </c>
    </row>
    <row r="68" spans="10:27" ht="15" customHeight="1">
      <c r="J68" s="301" t="str">
        <v>Highway DAB</v>
      </c>
      <c r="K68" s="306" t="str">
        <f>IF(ISBLANK(J68),"",IF(COUNTIF(L:L,J68),IF(_xlfn.XLOOKUP(J68,'Compartments_Kawecki&amp;Nowack19'!A:A,'Compartments_Kawecki&amp;Nowack19'!B:B,_xlfn.XLOOKUP(J68,Compartments_Added!A:A,Compartments_Added!B:B))="Stock","OK stock","OK flow"),IF(COUNTIF($G$4:$G$18,J68),IF(COUNTIF($E$4:$E$18,J68),"OK input","Missing"),"Missing")))</f>
        <v>OK flow</v>
      </c>
      <c r="L68" s="301" t="str">
        <v>Highway DAB non cleaned</v>
      </c>
      <c r="M68" s="306"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Lifetimes!BU1</f>
        <v>PlasterDiyInDis</v>
      </c>
      <c r="R68" t="str">
        <f t="shared" si="2"/>
        <v>OK</v>
      </c>
      <c r="AA68" s="459" t="s">
        <v>1795</v>
      </c>
    </row>
    <row r="69" spans="10:27">
      <c r="J69" s="301" t="str">
        <v>Combined sewer overflow (macro)</v>
      </c>
      <c r="K69" s="306" t="str">
        <f>IF(ISBLANK(J69),"",IF(COUNTIF(L:L,J69),IF(_xlfn.XLOOKUP(J69,'Compartments_Kawecki&amp;Nowack19'!A:A,'Compartments_Kawecki&amp;Nowack19'!B:B,_xlfn.XLOOKUP(J69,Compartments_Added!A:A,Compartments_Added!B:B))="Stock","OK stock","OK flow"),IF(COUNTIF($G$4:$G$18,J69),IF(COUNTIF($E$4:$E$18,J69),"OK input","Missing"),"Missing")))</f>
        <v>OK flow</v>
      </c>
      <c r="L69" s="301" t="str">
        <v>Sanitary pads</v>
      </c>
      <c r="M69" s="306"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9" t="s">
        <v>1796</v>
      </c>
    </row>
    <row r="70" spans="10:27">
      <c r="J70" s="301" t="str">
        <v>Packaging recycling</v>
      </c>
      <c r="K70" s="306" t="str">
        <f>IF(ISBLANK(J70),"",IF(COUNTIF(L:L,J70),IF(_xlfn.XLOOKUP(J70,'Compartments_Kawecki&amp;Nowack19'!A:A,'Compartments_Kawecki&amp;Nowack19'!B:B,_xlfn.XLOOKUP(J70,Compartments_Added!A:A,Compartments_Added!B:B))="Stock","OK stock","OK flow"),IF(COUNTIF($G$4:$G$18,J70),IF(COUNTIF($E$4:$E$18,J70),"OK input","Missing"),"Missing")))</f>
        <v>OK flow</v>
      </c>
      <c r="L70" s="301" t="str">
        <v>Tampons</v>
      </c>
      <c r="M70" s="306"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Lifetimes!BW1</f>
        <v>PlasterDiyOutDis</v>
      </c>
      <c r="R70" t="str">
        <f t="shared" si="5"/>
        <v>OK</v>
      </c>
      <c r="AA70" s="459" t="s">
        <v>1797</v>
      </c>
    </row>
    <row r="71" spans="10:27">
      <c r="J71" s="301" t="str">
        <v>Sludge (macro)</v>
      </c>
      <c r="K71" s="306" t="str">
        <f>IF(ISBLANK(J71),"",IF(COUNTIF(L:L,J71),IF(_xlfn.XLOOKUP(J71,'Compartments_Kawecki&amp;Nowack19'!A:A,'Compartments_Kawecki&amp;Nowack19'!B:B,_xlfn.XLOOKUP(J71,Compartments_Added!A:A,Compartments_Added!B:B))="Stock","OK stock","OK flow"),IF(COUNTIF($G$4:$G$18,J71),IF(COUNTIF($E$4:$E$18,J71),"OK input","Missing"),"Missing")))</f>
        <v>OK flow</v>
      </c>
      <c r="L71" s="301" t="str">
        <v>Road cleaning</v>
      </c>
      <c r="M71" s="306"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9" t="s">
        <v>1798</v>
      </c>
    </row>
    <row r="72" spans="10:27">
      <c r="J72" s="301" t="str">
        <v>Sludge (micro)</v>
      </c>
      <c r="K72" s="306" t="str">
        <f>IF(ISBLANK(J72),"",IF(COUNTIF(L:L,J72),IF(_xlfn.XLOOKUP(J72,'Compartments_Kawecki&amp;Nowack19'!A:A,'Compartments_Kawecki&amp;Nowack19'!B:B,_xlfn.XLOOKUP(J72,Compartments_Added!A:A,Compartments_Added!B:B))="Stock","OK stock","OK flow"),IF(COUNTIF($G$4:$G$18,J72),IF(COUNTIF($E$4:$E$18,J72),"OK input","Missing"),"Missing")))</f>
        <v>OK flow</v>
      </c>
      <c r="L72" s="301" t="str">
        <v>Indoor floors (micro)</v>
      </c>
      <c r="M72" s="306"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9" t="s">
        <v>1799</v>
      </c>
    </row>
    <row r="73" spans="10:27">
      <c r="J73" s="301" t="str">
        <v>Tertiary water treatment (macro)</v>
      </c>
      <c r="K73" s="306" t="str">
        <f>IF(ISBLANK(J73),"",IF(COUNTIF(L:L,J73),IF(_xlfn.XLOOKUP(J73,'Compartments_Kawecki&amp;Nowack19'!A:A,'Compartments_Kawecki&amp;Nowack19'!B:B,_xlfn.XLOOKUP(J73,Compartments_Added!A:A,Compartments_Added!B:B))="Stock","OK stock","OK flow"),IF(COUNTIF($G$4:$G$18,J73),IF(COUNTIF($E$4:$E$18,J73),"OK input","Missing"),"Missing")))</f>
        <v>OK flow</v>
      </c>
      <c r="L73" s="301" t="str">
        <v>Infill material sports fields</v>
      </c>
      <c r="M73" s="306"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9" t="s">
        <v>1800</v>
      </c>
    </row>
    <row r="74" spans="10:27">
      <c r="J74" s="301" t="str">
        <v>Construction and demolition incinerable waste collection</v>
      </c>
      <c r="K74" s="306" t="str">
        <f>IF(ISBLANK(J74),"",IF(COUNTIF(L:L,J74),IF(_xlfn.XLOOKUP(J74,'Compartments_Kawecki&amp;Nowack19'!A:A,'Compartments_Kawecki&amp;Nowack19'!B:B,_xlfn.XLOOKUP(J74,Compartments_Added!A:A,Compartments_Added!B:B))="Stock","OK stock","OK flow"),IF(COUNTIF($G$4:$G$18,J74),IF(COUNTIF($E$4:$E$18,J74),"OK input","Missing"),"Missing")))</f>
        <v>OK flow</v>
      </c>
      <c r="L74" s="301" t="str">
        <v>Infill material sports fields (discarded)</v>
      </c>
      <c r="M74" s="306"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stock</v>
      </c>
      <c r="N74" s="6"/>
      <c r="O74" s="6" t="str">
        <f>Lifetimes_pairs!A72</f>
        <v>Infill material sports fields (discarded)</v>
      </c>
      <c r="P74" s="6" t="str">
        <f>Lifetimes_pairs!B72</f>
        <v>InfillSportsFieldDis</v>
      </c>
      <c r="Q74" t="str">
        <f>Lifetimes!CA1</f>
        <v>PlasterProfOutDis</v>
      </c>
      <c r="R74" t="str">
        <f t="shared" si="5"/>
        <v>OK</v>
      </c>
      <c r="AA74" s="459" t="s">
        <v>1801</v>
      </c>
    </row>
    <row r="75" spans="10:27">
      <c r="J75" s="301" t="str">
        <v>Indoor air (micro)</v>
      </c>
      <c r="K75" s="306" t="str">
        <f>IF(ISBLANK(J75),"",IF(COUNTIF(L:L,J75),IF(_xlfn.XLOOKUP(J75,'Compartments_Kawecki&amp;Nowack19'!A:A,'Compartments_Kawecki&amp;Nowack19'!B:B,_xlfn.XLOOKUP(J75,Compartments_Added!A:A,Compartments_Added!B:B))="Stock","OK stock","OK flow"),IF(COUNTIF($G$4:$G$18,J75),IF(COUNTIF($E$4:$E$18,J75),"OK input","Missing"),"Missing")))</f>
        <v>OK flow</v>
      </c>
      <c r="L75" s="301" t="str">
        <v>Infill material sports fields (in use)</v>
      </c>
      <c r="M75" s="306"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stock</v>
      </c>
      <c r="N75" s="6"/>
      <c r="O75" s="6" t="str">
        <f>Lifetimes_pairs!A73</f>
        <v>Infill material sports fields (in use)</v>
      </c>
      <c r="P75" s="6" t="str">
        <f>Lifetimes_pairs!B73</f>
        <v>InfillSportsFieldU</v>
      </c>
      <c r="Q75" t="str">
        <f>Lifetimes!CB1</f>
        <v>PlasterProfOutIU</v>
      </c>
      <c r="R75" t="str">
        <f t="shared" si="5"/>
        <v>OK</v>
      </c>
      <c r="AA75" s="459" t="s">
        <v>1802</v>
      </c>
    </row>
    <row r="76" spans="10:27">
      <c r="J76" s="301" t="str">
        <v>Infill material sports fields</v>
      </c>
      <c r="K76" s="306" t="str">
        <f>IF(ISBLANK(J76),"",IF(COUNTIF(L:L,J76),IF(_xlfn.XLOOKUP(J76,'Compartments_Kawecki&amp;Nowack19'!A:A,'Compartments_Kawecki&amp;Nowack19'!B:B,_xlfn.XLOOKUP(J76,Compartments_Added!A:A,Compartments_Added!B:B))="Stock","OK stock","OK flow"),IF(COUNTIF($G$4:$G$18,J76),IF(COUNTIF($E$4:$E$18,J76),"OK input","Missing"),"Missing")))</f>
        <v>OK flow</v>
      </c>
      <c r="L76" s="151" t="str">
        <v>Invitro diagnostic devices</v>
      </c>
      <c r="M76" s="306"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Lifetimes!CC1</f>
        <v>ShipProfDis</v>
      </c>
      <c r="R76" t="str">
        <f t="shared" si="5"/>
        <v>OK</v>
      </c>
      <c r="AA76" s="459" t="s">
        <v>1803</v>
      </c>
    </row>
    <row r="77" spans="10:27" ht="15" customHeight="1">
      <c r="J77" s="301" t="str">
        <v>Mixed waste collection</v>
      </c>
      <c r="K77" s="306" t="str">
        <f>IF(ISBLANK(J77),"",IF(COUNTIF(L:L,J77),IF(_xlfn.XLOOKUP(J77,'Compartments_Kawecki&amp;Nowack19'!A:A,'Compartments_Kawecki&amp;Nowack19'!B:B,_xlfn.XLOOKUP(J77,Compartments_Added!A:A,Compartments_Added!B:B))="Stock","OK stock","OK flow"),IF(COUNTIF($G$4:$G$18,J77),IF(COUNTIF($E$4:$E$18,J77),"OK input","Missing"),"Missing")))</f>
        <v>OK flow</v>
      </c>
      <c r="L77" s="301" t="str">
        <v>Litter on road sides</v>
      </c>
      <c r="M77" s="306"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9" t="s">
        <v>1804</v>
      </c>
    </row>
    <row r="78" spans="10:27" ht="15" customHeight="1">
      <c r="J78" s="301" t="str">
        <v>Dumping</v>
      </c>
      <c r="K78" s="306" t="str">
        <f>IF(ISBLANK(J78),"",IF(COUNTIF(L:L,J78),IF(_xlfn.XLOOKUP(J78,'Compartments_Kawecki&amp;Nowack19'!A:A,'Compartments_Kawecki&amp;Nowack19'!B:B,_xlfn.XLOOKUP(J78,Compartments_Added!A:A,Compartments_Added!B:B))="Stock","OK stock","OK flow"),IF(COUNTIF($G$4:$G$18,J78),IF(COUNTIF($E$4:$E$18,J78),"OK input","Missing"),"Missing")))</f>
        <v>OK flow</v>
      </c>
      <c r="L78" s="301" t="str">
        <v>Litter in natural environments</v>
      </c>
      <c r="M78" s="306"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9" t="s">
        <v>1805</v>
      </c>
    </row>
    <row r="79" spans="10:27" ht="15" customHeight="1">
      <c r="J79" s="301" t="str">
        <v>On-the-go consumption (nature)</v>
      </c>
      <c r="K79" s="306" t="str">
        <f>IF(ISBLANK(J79),"",IF(COUNTIF(L:L,J79),IF(_xlfn.XLOOKUP(J79,'Compartments_Kawecki&amp;Nowack19'!A:A,'Compartments_Kawecki&amp;Nowack19'!B:B,_xlfn.XLOOKUP(J79,Compartments_Added!A:A,Compartments_Added!B:B))="Stock","OK stock","OK flow"),IF(COUNTIF($G$4:$G$18,J79),IF(COUNTIF($E$4:$E$18,J79),"OK input","Missing"),"Missing")))</f>
        <v>OK flow</v>
      </c>
      <c r="L79" s="301" t="str">
        <v>Litter in residential environments</v>
      </c>
      <c r="M79" s="306"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9" t="s">
        <v>1806</v>
      </c>
    </row>
    <row r="80" spans="10:27" ht="15" customHeight="1">
      <c r="J80" s="301" t="str">
        <v>On-the-go consumption (residential)</v>
      </c>
      <c r="K80" s="306" t="str">
        <f>IF(ISBLANK(J80),"",IF(COUNTIF(L:L,J80),IF(_xlfn.XLOOKUP(J80,'Compartments_Kawecki&amp;Nowack19'!A:A,'Compartments_Kawecki&amp;Nowack19'!B:B,_xlfn.XLOOKUP(J80,Compartments_Added!A:A,Compartments_Added!B:B))="Stock","OK stock","OK flow"),IF(COUNTIF($G$4:$G$18,J80),IF(COUNTIF($E$4:$E$18,J80),"OK input","Missing"),"Missing")))</f>
        <v>OK flow</v>
      </c>
      <c r="L80" s="301" t="str">
        <v>Wet wipes</v>
      </c>
      <c r="M80" s="306"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flow</v>
      </c>
      <c r="N80" s="6"/>
      <c r="O80" s="6" t="str">
        <f>Lifetimes_pairs!A78</f>
        <v>Other consumer packaging</v>
      </c>
      <c r="P80" s="6" t="str">
        <f>Lifetimes_pairs!B78</f>
        <v>ConsumerOther</v>
      </c>
      <c r="Q80" t="str">
        <f>Lifetimes!CG1</f>
        <v>WallPaintDiyIndoorAppliedDis</v>
      </c>
      <c r="R80" t="str">
        <f t="shared" si="5"/>
        <v>OK</v>
      </c>
      <c r="AA80" t="s">
        <v>1807</v>
      </c>
    </row>
    <row r="81" spans="10:27" ht="15" customHeight="1">
      <c r="J81" s="301" t="str">
        <v>Mixed waste collection (micro)</v>
      </c>
      <c r="K81" s="306" t="str">
        <f>IF(ISBLANK(J81),"",IF(COUNTIF(L:L,J81),IF(_xlfn.XLOOKUP(J81,'Compartments_Kawecki&amp;Nowack19'!A:A,'Compartments_Kawecki&amp;Nowack19'!B:B,_xlfn.XLOOKUP(J81,Compartments_Added!A:A,Compartments_Added!B:B))="Stock","OK stock","OK flow"),IF(COUNTIF($G$4:$G$18,J81),IF(COUNTIF($E$4:$E$18,J81),"OK input","Missing"),"Missing")))</f>
        <v>OK flow</v>
      </c>
      <c r="L81" s="301" t="str">
        <v>Medicine diffusion limitation (slow release)</v>
      </c>
      <c r="M81" s="306"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Lifetimes!CH1</f>
        <v>WallPaintDiyIndoorAppliedIU</v>
      </c>
      <c r="R81" t="str">
        <f t="shared" si="5"/>
        <v>OK</v>
      </c>
      <c r="AA81" t="s">
        <v>1808</v>
      </c>
    </row>
    <row r="82" spans="10:27">
      <c r="J82" s="301" t="str">
        <v>On-the-go consumption (transport)</v>
      </c>
      <c r="K82" s="306" t="str">
        <f>IF(ISBLANK(J82),"",IF(COUNTIF(L:L,J82),IF(_xlfn.XLOOKUP(J82,'Compartments_Kawecki&amp;Nowack19'!A:A,'Compartments_Kawecki&amp;Nowack19'!B:B,_xlfn.XLOOKUP(J82,Compartments_Added!A:A,Compartments_Added!B:B))="Stock","OK stock","OK flow"),IF(COUNTIF($G$4:$G$18,J82),IF(COUNTIF($E$4:$E$18,J82),"OK input","Missing"),"Missing")))</f>
        <v>OK flow</v>
      </c>
      <c r="L82" s="301" t="str">
        <v>Natural soil (macro)</v>
      </c>
      <c r="M82" s="306"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Sink</v>
      </c>
      <c r="N82" s="6"/>
      <c r="O82" s="6" t="str">
        <f>Lifetimes_pairs!A80</f>
        <v>Other non-consumer packaging</v>
      </c>
      <c r="P82" s="6" t="str">
        <f>Lifetimes_pairs!B80</f>
        <v>NonConsumerOther</v>
      </c>
      <c r="Q82" t="str">
        <f>Lifetimes!CI1</f>
        <v>WallPaintDiyOutDis</v>
      </c>
      <c r="R82" t="str">
        <f t="shared" si="5"/>
        <v>OK</v>
      </c>
      <c r="AA82" t="s">
        <v>1809</v>
      </c>
    </row>
    <row r="83" spans="10:27">
      <c r="J83" s="301" t="str">
        <v>Litter in natural environments</v>
      </c>
      <c r="K83" s="306" t="str">
        <f>IF(ISBLANK(J83),"",IF(COUNTIF(L:L,J83),IF(_xlfn.XLOOKUP(J83,'Compartments_Kawecki&amp;Nowack19'!A:A,'Compartments_Kawecki&amp;Nowack19'!B:B,_xlfn.XLOOKUP(J83,Compartments_Added!A:A,Compartments_Added!B:B))="Stock","OK stock","OK flow"),IF(COUNTIF($G$4:$G$18,J83),IF(COUNTIF($E$4:$E$18,J83),"OK input","Missing"),"Missing")))</f>
        <v>OK flow</v>
      </c>
      <c r="L83" s="301" t="str">
        <v>ELV textiles collection</v>
      </c>
      <c r="M83" s="306"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Lifetimes!CJ1</f>
        <v>WallPaintDiyOutIU</v>
      </c>
      <c r="R83" t="str">
        <f t="shared" si="5"/>
        <v>OK</v>
      </c>
      <c r="AA83" t="s">
        <v>1810</v>
      </c>
    </row>
    <row r="84" spans="10:27">
      <c r="J84" s="301" t="str">
        <v>Indoor floors (micro)</v>
      </c>
      <c r="K84" s="306" t="str">
        <f>IF(ISBLANK(J84),"",IF(COUNTIF(L:L,J84),IF(_xlfn.XLOOKUP(J84,'Compartments_Kawecki&amp;Nowack19'!A:A,'Compartments_Kawecki&amp;Nowack19'!B:B,_xlfn.XLOOKUP(J84,Compartments_Added!A:A,Compartments_Added!B:B))="Stock","OK stock","OK flow"),IF(COUNTIF($G$4:$G$18,J84),IF(COUNTIF($E$4:$E$18,J84),"OK input","Missing"),"Missing")))</f>
        <v>OK flow</v>
      </c>
      <c r="L84" s="301" t="str">
        <v>Mixed waste collection (micro)</v>
      </c>
      <c r="M84" s="306"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1811</v>
      </c>
    </row>
    <row r="85" spans="10:27">
      <c r="J85" s="301" t="str">
        <v>Litter in residential environments</v>
      </c>
      <c r="K85" s="306" t="str">
        <f>IF(ISBLANK(J85),"",IF(COUNTIF(L:L,J85),IF(_xlfn.XLOOKUP(J85,'Compartments_Kawecki&amp;Nowack19'!A:A,'Compartments_Kawecki&amp;Nowack19'!B:B,_xlfn.XLOOKUP(J85,Compartments_Added!A:A,Compartments_Added!B:B))="Stock","OK stock","OK flow"),IF(COUNTIF($G$4:$G$18,J85),IF(COUNTIF($E$4:$E$18,J85),"OK input","Missing"),"Missing")))</f>
        <v>OK flow</v>
      </c>
      <c r="L85" s="301" t="str">
        <v>Technical home textiles (discarded)</v>
      </c>
      <c r="M85" s="306"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stock</v>
      </c>
      <c r="N85" s="6"/>
      <c r="O85" s="6" t="str">
        <f>Lifetimes_pairs!A83</f>
        <v>Home textiles (discarded)</v>
      </c>
      <c r="P85" s="6" t="str">
        <f>Lifetimes_pairs!B83</f>
        <v>HomeTextilesDis</v>
      </c>
      <c r="Q85" t="str">
        <f>Lifetimes!CL1</f>
        <v>WallPaintProfInIU</v>
      </c>
      <c r="R85" t="str">
        <f t="shared" si="5"/>
        <v>OK</v>
      </c>
      <c r="AA85" t="s">
        <v>1812</v>
      </c>
    </row>
    <row r="86" spans="10:27">
      <c r="J86" s="301" t="str">
        <v>Medical textiles</v>
      </c>
      <c r="K86" s="306" t="str">
        <f>IF(ISBLANK(J86),"",IF(COUNTIF(L:L,J86),IF(_xlfn.XLOOKUP(J86,'Compartments_Kawecki&amp;Nowack19'!A:A,'Compartments_Kawecki&amp;Nowack19'!B:B,_xlfn.XLOOKUP(J86,Compartments_Added!A:A,Compartments_Added!B:B))="Stock","OK stock","OK flow"),IF(COUNTIF($G$4:$G$18,J86),IF(COUNTIF($E$4:$E$18,J86),"OK input","Missing"),"Missing")))</f>
        <v>OK stock</v>
      </c>
      <c r="L86" s="301" t="str">
        <v>Technical home textiles (in use)</v>
      </c>
      <c r="M86" s="306"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stock</v>
      </c>
      <c r="N86" s="6"/>
      <c r="O86" s="6" t="str">
        <f>Lifetimes_pairs!A84</f>
        <v>Medical textiles</v>
      </c>
      <c r="P86" s="6" t="str">
        <f>Lifetimes_pairs!B84</f>
        <v>MedicalTextiles</v>
      </c>
      <c r="Q86" t="str">
        <f>Lifetimes!CM1</f>
        <v>WallPaintProfOutDis</v>
      </c>
      <c r="R86" t="str">
        <f t="shared" si="5"/>
        <v>OK</v>
      </c>
      <c r="AA86" t="s">
        <v>1813</v>
      </c>
    </row>
    <row r="87" spans="10:27">
      <c r="J87" s="301" t="str">
        <v>Mobility textiles</v>
      </c>
      <c r="K87" s="306" t="str">
        <f>IF(ISBLANK(J87),"",IF(COUNTIF(L:L,J87),IF(_xlfn.XLOOKUP(J87,'Compartments_Kawecki&amp;Nowack19'!A:A,'Compartments_Kawecki&amp;Nowack19'!B:B,_xlfn.XLOOKUP(J87,Compartments_Added!A:A,Compartments_Added!B:B))="Stock","OK stock","OK flow"),IF(COUNTIF($G$4:$G$18,J87),IF(COUNTIF($E$4:$E$18,J87),"OK input","Missing"),"Missing")))</f>
        <v>OK stock</v>
      </c>
      <c r="L87" s="301" t="str">
        <v>Agrotextiles</v>
      </c>
      <c r="M87" s="306"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1814</v>
      </c>
    </row>
    <row r="88" spans="10:27">
      <c r="J88" s="301" t="str">
        <v>Textile coating (discarded)</v>
      </c>
      <c r="K88" s="306" t="str">
        <f>IF(ISBLANK(J88),"",IF(COUNTIF(L:L,J88),IF(_xlfn.XLOOKUP(J88,'Compartments_Kawecki&amp;Nowack19'!A:A,'Compartments_Kawecki&amp;Nowack19'!B:B,_xlfn.XLOOKUP(J88,Compartments_Added!A:A,Compartments_Added!B:B))="Stock","OK stock","OK flow"),IF(COUNTIF($G$4:$G$18,J88),IF(COUNTIF($E$4:$E$18,J88),"OK input","Missing"),"Missing")))</f>
        <v>OK stock</v>
      </c>
      <c r="L88" s="301" t="str">
        <v>Natural soil (micro)</v>
      </c>
      <c r="M88" s="306"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Sink</v>
      </c>
      <c r="N88" s="6"/>
      <c r="O88" s="6" t="str">
        <f>Lifetimes_pairs!A86</f>
        <v>Other technical textiles</v>
      </c>
      <c r="P88" s="6" t="str">
        <f>Lifetimes_pairs!B86</f>
        <v>OtherTechnicalTextiles</v>
      </c>
      <c r="Q88" t="str">
        <f>Lifetimes!CO1</f>
        <v>WoodStainDiyInDis</v>
      </c>
      <c r="R88" t="str">
        <f t="shared" si="5"/>
        <v>OK</v>
      </c>
      <c r="AA88" t="s">
        <v>1815</v>
      </c>
    </row>
    <row r="89" spans="10:27">
      <c r="J89" s="301" t="str">
        <v>Wet wipes</v>
      </c>
      <c r="K89" s="306" t="str">
        <f>IF(ISBLANK(J89),"",IF(COUNTIF(L:L,J89),IF(_xlfn.XLOOKUP(J89,'Compartments_Kawecki&amp;Nowack19'!A:A,'Compartments_Kawecki&amp;Nowack19'!B:B,_xlfn.XLOOKUP(J89,Compartments_Added!A:A,Compartments_Added!B:B))="Stock","OK stock","OK flow"),IF(COUNTIF($G$4:$G$18,J89),IF(COUNTIF($E$4:$E$18,J89),"OK input","Missing"),"Missing")))</f>
        <v>OK flow</v>
      </c>
      <c r="L89" s="301" t="str">
        <v>Non-consumer bags</v>
      </c>
      <c r="M89" s="306"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stock</v>
      </c>
      <c r="N89" s="6"/>
      <c r="O89" s="6" t="str">
        <f>Lifetimes_pairs!A87</f>
        <v>Clothing (in use) wash &amp; dry</v>
      </c>
      <c r="P89" s="6" t="str">
        <f>Lifetimes_pairs!B87</f>
        <v>ClothingIUWashDry</v>
      </c>
      <c r="Q89" t="str">
        <f>Lifetimes!CP1</f>
        <v>WoodStainDiyInIU</v>
      </c>
      <c r="R89" t="str">
        <f t="shared" si="5"/>
        <v>OK</v>
      </c>
      <c r="AA89" t="s">
        <v>1816</v>
      </c>
    </row>
    <row r="90" spans="10:27">
      <c r="J90" s="301" t="str">
        <v>Detergents and maintenance products</v>
      </c>
      <c r="K90" s="306" t="str">
        <f>IF(ISBLANK(J90),"",IF(COUNTIF(L:L,J90),IF(_xlfn.XLOOKUP(J90,'Compartments_Kawecki&amp;Nowack19'!A:A,'Compartments_Kawecki&amp;Nowack19'!B:B,_xlfn.XLOOKUP(J90,Compartments_Added!A:A,Compartments_Added!B:B))="Stock","OK stock","OK flow"),IF(COUNTIF($G$4:$G$18,J90),IF(COUNTIF($E$4:$E$18,J90),"OK input","Missing"),"Missing")))</f>
        <v>OK flow</v>
      </c>
      <c r="L90" s="301" t="str">
        <v>Offshore oil &amp; gas applications</v>
      </c>
      <c r="M90" s="306"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1817</v>
      </c>
    </row>
    <row r="91" spans="10:27">
      <c r="J91" s="301" t="str">
        <v>Infill material sports fields (in use)</v>
      </c>
      <c r="K91" s="306" t="str">
        <f>IF(ISBLANK(J91),"",IF(COUNTIF(L:L,J91),IF(_xlfn.XLOOKUP(J91,'Compartments_Kawecki&amp;Nowack19'!A:A,'Compartments_Kawecki&amp;Nowack19'!B:B,_xlfn.XLOOKUP(J91,Compartments_Added!A:A,Compartments_Added!B:B))="Stock","OK stock","OK flow"),IF(COUNTIF($G$4:$G$18,J91),IF(COUNTIF($E$4:$E$18,J91),"OK input","Missing"),"Missing")))</f>
        <v>OK stock</v>
      </c>
      <c r="L91" s="301" t="str">
        <v>On-site sewage facility (macro)</v>
      </c>
      <c r="M91" s="306"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1818</v>
      </c>
    </row>
    <row r="92" spans="10:27">
      <c r="J92" s="301" t="str">
        <v>Infill material sports fields (discarded)</v>
      </c>
      <c r="K92" s="306" t="str">
        <f>IF(ISBLANK(J92),"",IF(COUNTIF(L:L,J92),IF(_xlfn.XLOOKUP(J92,'Compartments_Kawecki&amp;Nowack19'!A:A,'Compartments_Kawecki&amp;Nowack19'!B:B,_xlfn.XLOOKUP(J92,Compartments_Added!A:A,Compartments_Added!B:B))="Stock","OK stock","OK flow"),IF(COUNTIF($G$4:$G$18,J92),IF(COUNTIF($E$4:$E$18,J92),"OK input","Missing"),"Missing")))</f>
        <v>OK stock</v>
      </c>
      <c r="L92" s="301" t="str">
        <v>On-site sewage facility (micro)</v>
      </c>
      <c r="M92" s="306"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1819</v>
      </c>
    </row>
    <row r="93" spans="10:27">
      <c r="J93" s="301" t="str">
        <v>Food additives</v>
      </c>
      <c r="K93" s="306" t="str">
        <f>IF(ISBLANK(J93),"",IF(COUNTIF(L:L,J93),IF(_xlfn.XLOOKUP(J93,'Compartments_Kawecki&amp;Nowack19'!A:A,'Compartments_Kawecki&amp;Nowack19'!B:B,_xlfn.XLOOKUP(J93,Compartments_Added!A:A,Compartments_Added!B:B))="Stock","OK stock","OK flow"),IF(COUNTIF($G$4:$G$18,J93),IF(COUNTIF($E$4:$E$18,J93),"OK input","Missing"),"Missing")))</f>
        <v>OK flow</v>
      </c>
      <c r="L93" s="301" t="str">
        <v>On-the-go consumption</v>
      </c>
      <c r="M93" s="306"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flow</v>
      </c>
      <c r="N93" s="6"/>
      <c r="O93" s="6" t="str">
        <f>Lifetimes_pairs!A91</f>
        <v>Dresses skirts and jumpsuits</v>
      </c>
      <c r="P93" s="6" t="str">
        <f>Lifetimes_pairs!B91</f>
        <v>ClothingEightYears</v>
      </c>
      <c r="Q93" t="str">
        <f>Lifetimes!CT1</f>
        <v>WoodStainProfInIU</v>
      </c>
      <c r="R93" t="str">
        <f t="shared" si="5"/>
        <v>OK</v>
      </c>
      <c r="AA93" t="s">
        <v>1820</v>
      </c>
    </row>
    <row r="94" spans="10:27">
      <c r="J94" s="301" t="str">
        <v>Invitro diagnostic devices</v>
      </c>
      <c r="K94" s="306" t="str">
        <f>IF(ISBLANK(J94),"",IF(COUNTIF(L:L,J94),IF(_xlfn.XLOOKUP(J94,'Compartments_Kawecki&amp;Nowack19'!A:A,'Compartments_Kawecki&amp;Nowack19'!B:B,_xlfn.XLOOKUP(J94,Compartments_Added!A:A,Compartments_Added!B:B))="Stock","OK stock","OK flow"),IF(COUNTIF($G$4:$G$18,J94),IF(COUNTIF($E$4:$E$18,J94),"OK input","Missing"),"Missing")))</f>
        <v>OK flow</v>
      </c>
      <c r="L94" s="301" t="str">
        <v>On-the-go consumption (nature)</v>
      </c>
      <c r="M94" s="306"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flow</v>
      </c>
      <c r="N94" s="6"/>
      <c r="O94" s="6" t="str">
        <f>Lifetimes_pairs!A92</f>
        <v>Jackets and coats</v>
      </c>
      <c r="P94" s="6" t="str">
        <f>Lifetimes_pairs!B92</f>
        <v>ClothingSevenYears</v>
      </c>
      <c r="Q94" t="str">
        <f>Lifetimes!CU1</f>
        <v>WoodStainProfOutDis</v>
      </c>
      <c r="R94" t="str">
        <f t="shared" si="5"/>
        <v>OK</v>
      </c>
      <c r="AA94" t="s">
        <v>1821</v>
      </c>
    </row>
    <row r="95" spans="10:27">
      <c r="J95" s="301" t="str">
        <v>Medicine diffusion limitation (slow release)</v>
      </c>
      <c r="K95" s="306" t="str">
        <f>IF(ISBLANK(J95),"",IF(COUNTIF(L:L,J95),IF(_xlfn.XLOOKUP(J95,'Compartments_Kawecki&amp;Nowack19'!A:A,'Compartments_Kawecki&amp;Nowack19'!B:B,_xlfn.XLOOKUP(J95,Compartments_Added!A:A,Compartments_Added!B:B))="Stock","OK stock","OK flow"),IF(COUNTIF($G$4:$G$18,J95),IF(COUNTIF($E$4:$E$18,J95),"OK input","Missing"),"Missing")))</f>
        <v>OK flow</v>
      </c>
      <c r="L95" s="301" t="str">
        <v>On-the-go consumption (residential)</v>
      </c>
      <c r="M95" s="306"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1822</v>
      </c>
    </row>
    <row r="96" spans="10:27">
      <c r="J96" s="301" t="str">
        <v>PCCP</v>
      </c>
      <c r="K96" s="306" t="str">
        <f>IF(ISBLANK(J96),"",IF(COUNTIF(L:L,J96),IF(_xlfn.XLOOKUP(J96,'Compartments_Kawecki&amp;Nowack19'!A:A,'Compartments_Kawecki&amp;Nowack19'!B:B,_xlfn.XLOOKUP(J96,Compartments_Added!A:A,Compartments_Added!B:B))="Stock","OK stock","OK flow"),IF(COUNTIF($G$4:$G$18,J96),IF(COUNTIF($E$4:$E$18,J96),"OK input","Missing"),"Missing")))</f>
        <v>OK flow</v>
      </c>
      <c r="L96" s="301" t="str">
        <v>On-the-go consumption (transport)</v>
      </c>
      <c r="M96" s="306"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flow</v>
      </c>
      <c r="N96" s="6"/>
      <c r="O96" s="6" t="str">
        <f>Lifetimes_pairs!A94</f>
        <v>Open-toed shoes</v>
      </c>
      <c r="P96" s="6" t="str">
        <f>Lifetimes_pairs!B94</f>
        <v>ClothingFiveYears</v>
      </c>
      <c r="Q96">
        <f>Lifetimes!CW1</f>
        <v>0</v>
      </c>
      <c r="R96" t="str">
        <f t="shared" si="5"/>
        <v>OK</v>
      </c>
      <c r="AA96" t="s">
        <v>1823</v>
      </c>
    </row>
    <row r="97" spans="10:27">
      <c r="J97" s="301" t="str">
        <v>Technical home textiles</v>
      </c>
      <c r="K97" s="306" t="str">
        <f>IF(ISBLANK(J97),"",IF(COUNTIF(L:L,J97),IF(_xlfn.XLOOKUP(J97,'Compartments_Kawecki&amp;Nowack19'!A:A,'Compartments_Kawecki&amp;Nowack19'!B:B,_xlfn.XLOOKUP(J97,Compartments_Added!A:A,Compartments_Added!B:B))="Stock","OK stock","OK flow"),IF(COUNTIF($G$4:$G$18,J97),IF(COUNTIF($E$4:$E$18,J97),"OK input","Missing"),"Missing")))</f>
        <v>OK flow</v>
      </c>
      <c r="L97" s="301" t="str">
        <v>Other consumer packaging</v>
      </c>
      <c r="M97" s="306"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1824</v>
      </c>
    </row>
    <row r="98" spans="10:27">
      <c r="J98" s="301" t="str">
        <v>Technical home textiles (in use)</v>
      </c>
      <c r="K98" s="306" t="str">
        <f>IF(ISBLANK(J98),"",IF(COUNTIF(L:L,J98),IF(_xlfn.XLOOKUP(J98,'Compartments_Kawecki&amp;Nowack19'!A:A,'Compartments_Kawecki&amp;Nowack19'!B:B,_xlfn.XLOOKUP(J98,Compartments_Added!A:A,Compartments_Added!B:B))="Stock","OK stock","OK flow"),IF(COUNTIF($G$4:$G$18,J98),IF(COUNTIF($E$4:$E$18,J98),"OK input","Missing"),"Missing")))</f>
        <v>OK stock</v>
      </c>
      <c r="L98" s="301" t="str">
        <v>Other non-consumer films</v>
      </c>
      <c r="M98" s="306"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stock</v>
      </c>
      <c r="N98" s="6"/>
      <c r="O98" s="6" t="str">
        <f>Lifetimes_pairs!A96</f>
        <v>Shirts and blouses</v>
      </c>
      <c r="P98" s="6" t="str">
        <f>Lifetimes_pairs!B96</f>
        <v>ClothingFiveYears</v>
      </c>
      <c r="Q98">
        <f>Lifetimes!CY1</f>
        <v>0</v>
      </c>
      <c r="R98" t="str">
        <f t="shared" si="5"/>
        <v>OK</v>
      </c>
      <c r="AA98" t="s">
        <v>1825</v>
      </c>
    </row>
    <row r="99" spans="10:27">
      <c r="J99" s="301" t="str">
        <v>Technical textiles</v>
      </c>
      <c r="K99" s="306" t="str">
        <f>IF(ISBLANK(J99),"",IF(COUNTIF(L:L,J99),IF(_xlfn.XLOOKUP(J99,'Compartments_Kawecki&amp;Nowack19'!A:A,'Compartments_Kawecki&amp;Nowack19'!B:B,_xlfn.XLOOKUP(J99,Compartments_Added!A:A,Compartments_Added!B:B))="Stock","OK stock","OK flow"),IF(COUNTIF($G$4:$G$18,J99),IF(COUNTIF($E$4:$E$18,J99),"OK input","Missing"),"Missing")))</f>
        <v>OK input</v>
      </c>
      <c r="L99" s="301" t="str">
        <v>Other non-consumer packaging</v>
      </c>
      <c r="M99" s="306"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stock</v>
      </c>
      <c r="N99" s="6"/>
      <c r="O99" s="6" t="str">
        <f>Lifetimes_pairs!A97</f>
        <v>Sweaters and midlayers</v>
      </c>
      <c r="P99" s="6" t="str">
        <f>Lifetimes_pairs!B97</f>
        <v>ClothingSixYears</v>
      </c>
      <c r="Q99">
        <f>Lifetimes!CZ1</f>
        <v>0</v>
      </c>
      <c r="R99" t="str">
        <f t="shared" si="5"/>
        <v>OK</v>
      </c>
      <c r="AA99" t="s">
        <v>1826</v>
      </c>
    </row>
    <row r="100" spans="10:27">
      <c r="J100" s="301" t="str">
        <v>Textile coating (in use)</v>
      </c>
      <c r="K100" s="306" t="str">
        <f>IF(ISBLANK(J100),"",IF(COUNTIF(L:L,J100),IF(_xlfn.XLOOKUP(J100,'Compartments_Kawecki&amp;Nowack19'!A:A,'Compartments_Kawecki&amp;Nowack19'!B:B,_xlfn.XLOOKUP(J100,Compartments_Added!A:A,Compartments_Added!B:B))="Stock","OK stock","OK flow"),IF(COUNTIF($G$4:$G$18,J100),IF(COUNTIF($E$4:$E$18,J100),"OK input","Missing"),"Missing")))</f>
        <v>OK stock</v>
      </c>
      <c r="L100" s="301" t="str">
        <v>Building textiles</v>
      </c>
      <c r="M100" s="306"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t="str">
        <f>Lifetimes_pairs!A98</f>
        <v>Swimwear</v>
      </c>
      <c r="P100" s="6" t="str">
        <f>Lifetimes_pairs!B98</f>
        <v>ClothingTwoYears</v>
      </c>
      <c r="Q100">
        <f>Lifetimes!DA1</f>
        <v>0</v>
      </c>
      <c r="R100" t="str">
        <f t="shared" si="5"/>
        <v>OK</v>
      </c>
      <c r="AA100" t="s">
        <v>1827</v>
      </c>
    </row>
    <row r="101" spans="10:27">
      <c r="J101" s="301" t="str">
        <v>Wastewater (macro)</v>
      </c>
      <c r="K101" s="306" t="str">
        <f>IF(ISBLANK(J101),"",IF(COUNTIF(L:L,J101),IF(_xlfn.XLOOKUP(J101,'Compartments_Kawecki&amp;Nowack19'!A:A,'Compartments_Kawecki&amp;Nowack19'!B:B,_xlfn.XLOOKUP(J101,Compartments_Added!A:A,Compartments_Added!B:B))="Stock","OK stock","OK flow"),IF(COUNTIF($G$4:$G$18,J101),IF(COUNTIF($E$4:$E$18,J101),"OK input","Missing"),"Missing")))</f>
        <v>OK flow</v>
      </c>
      <c r="L101" s="301" t="str">
        <v>Road side soil (micro)</v>
      </c>
      <c r="M101" s="306"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Sink</v>
      </c>
      <c r="N101" s="6"/>
      <c r="O101" s="6" t="str">
        <f>Lifetimes_pairs!A99</f>
        <v>T-shirts</v>
      </c>
      <c r="P101" s="6" t="str">
        <f>Lifetimes_pairs!B99</f>
        <v>ClothingFiveYears</v>
      </c>
      <c r="Q101">
        <f>Lifetimes!DB1</f>
        <v>0</v>
      </c>
      <c r="R101" t="str">
        <f t="shared" si="5"/>
        <v>OK</v>
      </c>
      <c r="AA101" t="s">
        <v>1828</v>
      </c>
    </row>
    <row r="102" spans="10:27">
      <c r="J102" s="301" t="str">
        <v>Wastewater (micro)</v>
      </c>
      <c r="K102" s="306" t="str">
        <f>IF(ISBLANK(J102),"",IF(COUNTIF(L:L,J102),IF(_xlfn.XLOOKUP(J102,'Compartments_Kawecki&amp;Nowack19'!A:A,'Compartments_Kawecki&amp;Nowack19'!B:B,_xlfn.XLOOKUP(J102,Compartments_Added!A:A,Compartments_Added!B:B))="Stock","OK stock","OK flow"),IF(COUNTIF($G$4:$G$18,J102),IF(COUNTIF($E$4:$E$18,J102),"OK input","Missing"),"Missing")))</f>
        <v>OK flow</v>
      </c>
      <c r="L102" s="301" t="str">
        <v>Highway ZOAB non cleaned</v>
      </c>
      <c r="M102" s="306"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1829</v>
      </c>
    </row>
    <row r="103" spans="10:27">
      <c r="J103" s="301" t="str">
        <v>On-the-go consumption</v>
      </c>
      <c r="K103" s="306" t="str">
        <f>IF(ISBLANK(J103),"",IF(COUNTIF(L:L,J103),IF(_xlfn.XLOOKUP(J103,'Compartments_Kawecki&amp;Nowack19'!A:A,'Compartments_Kawecki&amp;Nowack19'!B:B,_xlfn.XLOOKUP(J103,Compartments_Added!A:A,Compartments_Added!B:B))="Stock","OK stock","OK flow"),IF(COUNTIF($G$4:$G$18,J103),IF(COUNTIF($E$4:$E$18,J103),"OK input","Missing"),"Missing")))</f>
        <v>OK flow</v>
      </c>
      <c r="L103" s="301" t="str">
        <v>Packaging collection</v>
      </c>
      <c r="M103" s="306"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flow</v>
      </c>
      <c r="N103" s="6"/>
      <c r="O103" s="6">
        <f>Lifetimes_pairs!A101</f>
        <v>0</v>
      </c>
      <c r="P103" s="6">
        <f>Lifetimes_pairs!B101</f>
        <v>0</v>
      </c>
      <c r="Q103">
        <f>Lifetimes!DD1</f>
        <v>0</v>
      </c>
      <c r="R103" t="str">
        <f t="shared" si="5"/>
        <v>OK</v>
      </c>
      <c r="AA103" t="s">
        <v>1830</v>
      </c>
    </row>
    <row r="104" spans="10:27">
      <c r="J104" s="301" t="str">
        <v>Highway DAB non cleaned</v>
      </c>
      <c r="K104" s="306" t="str">
        <f>IF(ISBLANK(J104),"",IF(COUNTIF(L:L,J104),IF(_xlfn.XLOOKUP(J104,'Compartments_Kawecki&amp;Nowack19'!A:A,'Compartments_Kawecki&amp;Nowack19'!B:B,_xlfn.XLOOKUP(J104,Compartments_Added!A:A,Compartments_Added!B:B))="Stock","OK stock","OK flow"),IF(COUNTIF($G$4:$G$18,J104),IF(COUNTIF($E$4:$E$18,J104),"OK input","Missing"),"Missing")))</f>
        <v>OK flow</v>
      </c>
      <c r="L104" s="301" t="str">
        <v>Packaging recycling</v>
      </c>
      <c r="M104" s="306"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1831</v>
      </c>
    </row>
    <row r="105" spans="10:27">
      <c r="J105" s="301" t="str">
        <v>Highway ZOAB</v>
      </c>
      <c r="K105" s="306" t="str">
        <f>IF(ISBLANK(J105),"",IF(COUNTIF(L:L,J105),IF(_xlfn.XLOOKUP(J105,'Compartments_Kawecki&amp;Nowack19'!A:A,'Compartments_Kawecki&amp;Nowack19'!B:B,_xlfn.XLOOKUP(J105,Compartments_Added!A:A,Compartments_Added!B:B))="Stock","OK stock","OK flow"),IF(COUNTIF($G$4:$G$18,J105),IF(COUNTIF($E$4:$E$18,J105),"OK input","Missing"),"Missing")))</f>
        <v>OK flow</v>
      </c>
      <c r="L105" s="301" t="str">
        <v>Geotextiles</v>
      </c>
      <c r="M105" s="306"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Lifetimes!DF1</f>
        <v>0</v>
      </c>
      <c r="R105" t="str">
        <f t="shared" si="5"/>
        <v>OK</v>
      </c>
      <c r="AA105" t="s">
        <v>1832</v>
      </c>
    </row>
    <row r="106" spans="10:27">
      <c r="J106" s="301" t="str">
        <v>Highway ZOAB non cleaned</v>
      </c>
      <c r="K106" s="306" t="str">
        <f>IF(ISBLANK(J106),"",IF(COUNTIF(L:L,J106),IF(_xlfn.XLOOKUP(J106,'Compartments_Kawecki&amp;Nowack19'!A:A,'Compartments_Kawecki&amp;Nowack19'!B:B,_xlfn.XLOOKUP(J106,Compartments_Added!A:A,Compartments_Added!B:B))="Stock","OK stock","OK flow"),IF(COUNTIF($G$4:$G$18,J106),IF(COUNTIF($E$4:$E$18,J106),"OK input","Missing"),"Missing")))</f>
        <v>OK flow</v>
      </c>
      <c r="L106" s="301" t="str">
        <v>PCCP</v>
      </c>
      <c r="M106" s="306"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flow</v>
      </c>
      <c r="N106" s="6"/>
      <c r="O106" s="6">
        <f>Lifetimes_pairs!A104</f>
        <v>0</v>
      </c>
      <c r="P106" s="6">
        <f>Lifetimes_pairs!B104</f>
        <v>0</v>
      </c>
      <c r="Q106">
        <f>Lifetimes!DG1</f>
        <v>0</v>
      </c>
      <c r="R106" t="str">
        <f t="shared" si="5"/>
        <v>OK</v>
      </c>
      <c r="AA106" t="s">
        <v>1833</v>
      </c>
    </row>
    <row r="107" spans="10:27">
      <c r="J107" s="301" t="str">
        <v>Road cleaning</v>
      </c>
      <c r="K107" s="306" t="str">
        <f>IF(ISBLANK(J107),"",IF(COUNTIF(L:L,J107),IF(_xlfn.XLOOKUP(J107,'Compartments_Kawecki&amp;Nowack19'!A:A,'Compartments_Kawecki&amp;Nowack19'!B:B,_xlfn.XLOOKUP(J107,Compartments_Added!A:A,Compartments_Added!B:B))="Stock","OK stock","OK flow"),IF(COUNTIF($G$4:$G$18,J107),IF(COUNTIF($E$4:$E$18,J107),"OK input","Missing"),"Missing")))</f>
        <v>OK flow</v>
      </c>
      <c r="L107" s="301" t="str">
        <v>Plant protection products</v>
      </c>
      <c r="M107" s="306"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1834</v>
      </c>
    </row>
    <row r="108" spans="10:27">
      <c r="J108" s="301" t="str">
        <v>Road runoff</v>
      </c>
      <c r="K108" s="306" t="str">
        <f>IF(ISBLANK(J108),"",IF(COUNTIF(L:L,J108),IF(_xlfn.XLOOKUP(J108,'Compartments_Kawecki&amp;Nowack19'!A:A,'Compartments_Kawecki&amp;Nowack19'!B:B,_xlfn.XLOOKUP(J108,Compartments_Added!A:A,Compartments_Added!B:B))="Stock","OK stock","OK flow"),IF(COUNTIF($G$4:$G$18,J108),IF(COUNTIF($E$4:$E$18,J108),"OK input","Missing"),"Missing")))</f>
        <v>OK flow</v>
      </c>
      <c r="L108" s="301" t="str">
        <v>Primary water treatment (macro)</v>
      </c>
      <c r="M108" s="306"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1835</v>
      </c>
    </row>
    <row r="109" spans="10:27">
      <c r="J109" s="301" t="str">
        <v>Rural roads</v>
      </c>
      <c r="K109" s="306" t="str">
        <f>IF(ISBLANK(J109),"",IF(COUNTIF(L:L,J109),IF(_xlfn.XLOOKUP(J109,'Compartments_Kawecki&amp;Nowack19'!A:A,'Compartments_Kawecki&amp;Nowack19'!B:B,_xlfn.XLOOKUP(J109,Compartments_Added!A:A,Compartments_Added!B:B))="Stock","OK stock","OK flow"),IF(COUNTIF($G$4:$G$18,J109),IF(COUNTIF($E$4:$E$18,J109),"OK input","Missing"),"Missing")))</f>
        <v>OK flow</v>
      </c>
      <c r="L109" s="301" t="str">
        <v>Primary water treatment (micro)</v>
      </c>
      <c r="M109" s="306"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1836</v>
      </c>
    </row>
    <row r="110" spans="10:27">
      <c r="J110" s="301" t="str">
        <v>Tyre wear</v>
      </c>
      <c r="K110" s="306" t="str">
        <f>IF(ISBLANK(J110),"",IF(COUNTIF(L:L,J110),IF(_xlfn.XLOOKUP(J110,'Compartments_Kawecki&amp;Nowack19'!A:A,'Compartments_Kawecki&amp;Nowack19'!B:B,_xlfn.XLOOKUP(J110,Compartments_Added!A:A,Compartments_Added!B:B))="Stock","OK stock","OK flow"),IF(COUNTIF($G$4:$G$18,J110),IF(COUNTIF($E$4:$E$18,J110),"OK input","Missing"),"Missing")))</f>
        <v>OK input</v>
      </c>
      <c r="L110" s="301" t="str">
        <v>Stormwater (macro)</v>
      </c>
      <c r="M110" s="306"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1837</v>
      </c>
    </row>
    <row r="111" spans="10:27">
      <c r="J111" s="301" t="str">
        <v>Primary water treatment (macro)</v>
      </c>
      <c r="K111" s="306" t="str">
        <f>IF(ISBLANK(J111),"",IF(COUNTIF(L:L,J111),IF(_xlfn.XLOOKUP(J111,'Compartments_Kawecki&amp;Nowack19'!A:A,'Compartments_Kawecki&amp;Nowack19'!B:B,_xlfn.XLOOKUP(J111,Compartments_Added!A:A,Compartments_Added!B:B))="Stock","OK stock","OK flow"),IF(COUNTIF($G$4:$G$18,J111),IF(COUNTIF($E$4:$E$18,J111),"OK input","Missing"),"Missing")))</f>
        <v>OK flow</v>
      </c>
      <c r="L111" s="301" t="str">
        <v>Stormwater (micro)</v>
      </c>
      <c r="M111" s="306"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1838</v>
      </c>
    </row>
    <row r="112" spans="10:27">
      <c r="J112" s="301" t="str">
        <v>On-site sewage facility (macro)</v>
      </c>
      <c r="K112" s="306" t="str">
        <f>IF(ISBLANK(J112),"",IF(COUNTIF(L:L,J112),IF(_xlfn.XLOOKUP(J112,'Compartments_Kawecki&amp;Nowack19'!A:A,'Compartments_Kawecki&amp;Nowack19'!B:B,_xlfn.XLOOKUP(J112,Compartments_Added!A:A,Compartments_Added!B:B))="Stock","OK stock","OK flow"),IF(COUNTIF($G$4:$G$18,J112),IF(COUNTIF($E$4:$E$18,J112),"OK input","Missing"),"Missing")))</f>
        <v>OK flow</v>
      </c>
      <c r="L112" s="301" t="str">
        <v>Highway</v>
      </c>
      <c r="M112" s="306"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1839</v>
      </c>
    </row>
    <row r="113" spans="10:27">
      <c r="J113" s="301" t="str">
        <v>Secondary water treatment (macro)</v>
      </c>
      <c r="K113" s="306" t="str">
        <f>IF(ISBLANK(J113),"",IF(COUNTIF(L:L,J113),IF(_xlfn.XLOOKUP(J113,'Compartments_Kawecki&amp;Nowack19'!A:A,'Compartments_Kawecki&amp;Nowack19'!B:B,_xlfn.XLOOKUP(J113,Compartments_Added!A:A,Compartments_Added!B:B))="Stock","OK stock","OK flow"),IF(COUNTIF($G$4:$G$18,J113),IF(COUNTIF($E$4:$E$18,J113),"OK input","Missing"),"Missing")))</f>
        <v>OK flow</v>
      </c>
      <c r="L113" s="301" t="str">
        <v>Rural roads</v>
      </c>
      <c r="M113" s="306"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1840</v>
      </c>
    </row>
    <row r="114" spans="10:27">
      <c r="J114" s="301" t="str">
        <v>On-site sewage facility (micro)</v>
      </c>
      <c r="K114" s="306" t="str">
        <f>IF(ISBLANK(J114),"",IF(COUNTIF(L:L,J114),IF(_xlfn.XLOOKUP(J114,'Compartments_Kawecki&amp;Nowack19'!A:A,'Compartments_Kawecki&amp;Nowack19'!B:B,_xlfn.XLOOKUP(J114,Compartments_Added!A:A,Compartments_Added!B:B))="Stock","OK stock","OK flow"),IF(COUNTIF($G$4:$G$18,J114),IF(COUNTIF($E$4:$E$18,J114),"OK input","Missing"),"Missing")))</f>
        <v>OK flow</v>
      </c>
      <c r="L114" s="301" t="str">
        <v>Urban roads</v>
      </c>
      <c r="M114" s="306"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Lifetimes!DO1</f>
        <v>0</v>
      </c>
      <c r="R114" t="str">
        <f t="shared" si="5"/>
        <v>OK</v>
      </c>
      <c r="AA114" t="s">
        <v>1841</v>
      </c>
    </row>
    <row r="115" spans="10:27">
      <c r="J115" s="301" t="str">
        <v>Litter on road sides</v>
      </c>
      <c r="K115" s="306" t="str">
        <f>IF(ISBLANK(J115),"",IF(COUNTIF(L:L,J115),IF(_xlfn.XLOOKUP(J115,'Compartments_Kawecki&amp;Nowack19'!A:A,'Compartments_Kawecki&amp;Nowack19'!B:B,_xlfn.XLOOKUP(J115,Compartments_Added!A:A,Compartments_Added!B:B))="Stock","OK stock","OK flow"),IF(COUNTIF($G$4:$G$18,J115),IF(COUNTIF($E$4:$E$18,J115),"OK input","Missing"),"Missing")))</f>
        <v>OK flow</v>
      </c>
      <c r="L115" s="301" t="str">
        <v>Medical textiles</v>
      </c>
      <c r="M115" s="306"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stock</v>
      </c>
      <c r="N115" s="6"/>
      <c r="O115" s="6">
        <f>Lifetimes_pairs!A113</f>
        <v>0</v>
      </c>
      <c r="P115" s="6">
        <f>Lifetimes_pairs!B113</f>
        <v>0</v>
      </c>
      <c r="Q115">
        <f>Lifetimes!DP1</f>
        <v>0</v>
      </c>
      <c r="R115" t="str">
        <f t="shared" si="5"/>
        <v>OK</v>
      </c>
      <c r="AA115" t="s">
        <v>1842</v>
      </c>
    </row>
    <row r="116" spans="10:27">
      <c r="J116" s="301" t="str">
        <v>Combined sewer overflow (micro)</v>
      </c>
      <c r="K116" s="306" t="str">
        <f>IF(ISBLANK(J116),"",IF(COUNTIF(L:L,J116),IF(_xlfn.XLOOKUP(J116,'Compartments_Kawecki&amp;Nowack19'!A:A,'Compartments_Kawecki&amp;Nowack19'!B:B,_xlfn.XLOOKUP(J116,Compartments_Added!A:A,Compartments_Added!B:B))="Stock","OK stock","OK flow"),IF(COUNTIF($G$4:$G$18,J116),IF(COUNTIF($E$4:$E$18,J116),"OK input","Missing"),"Missing")))</f>
        <v>OK flow</v>
      </c>
      <c r="L116" s="301" t="str">
        <v>Secondary water treatment (macro)</v>
      </c>
      <c r="M116" s="306"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Lifetimes!DQ1</f>
        <v>0</v>
      </c>
      <c r="R116" t="str">
        <f t="shared" si="5"/>
        <v>OK</v>
      </c>
      <c r="AA116" t="s">
        <v>1843</v>
      </c>
    </row>
    <row r="117" spans="10:27">
      <c r="J117" s="301" t="str">
        <v>Urban roads</v>
      </c>
      <c r="K117" s="306" t="str">
        <f>IF(ISBLANK(J117),"",IF(COUNTIF(L:L,J117),IF(_xlfn.XLOOKUP(J117,'Compartments_Kawecki&amp;Nowack19'!A:A,'Compartments_Kawecki&amp;Nowack19'!B:B,_xlfn.XLOOKUP(J117,Compartments_Added!A:A,Compartments_Added!B:B))="Stock","OK stock","OK flow"),IF(COUNTIF($G$4:$G$18,J117),IF(COUNTIF($E$4:$E$18,J117),"OK input","Missing"),"Missing")))</f>
        <v>OK flow</v>
      </c>
      <c r="L117" s="301" t="str">
        <v>Seed coating</v>
      </c>
      <c r="M117" s="306"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1844</v>
      </c>
    </row>
    <row r="118" spans="10:27">
      <c r="J118" s="301" t="str">
        <v>Offshore oil &amp; gas applications</v>
      </c>
      <c r="K118" s="306" t="str">
        <f>IF(ISBLANK(J118),"",IF(COUNTIF(L:L,J118),IF(_xlfn.XLOOKUP(J118,'Compartments_Kawecki&amp;Nowack19'!A:A,'Compartments_Kawecki&amp;Nowack19'!B:B,_xlfn.XLOOKUP(J118,Compartments_Added!A:A,Compartments_Added!B:B))="Stock","OK stock","OK flow"),IF(COUNTIF($G$4:$G$18,J118),IF(COUNTIF($E$4:$E$18,J118),"OK input","Missing"),"Missing")))</f>
        <v>OK flow</v>
      </c>
      <c r="L118" s="301" t="str">
        <v>Sludge (macro)</v>
      </c>
      <c r="M118" s="306"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flow</v>
      </c>
      <c r="N118" s="6"/>
      <c r="O118" s="6">
        <f>Lifetimes_pairs!A116</f>
        <v>0</v>
      </c>
      <c r="P118" s="6">
        <f>Lifetimes_pairs!B116</f>
        <v>0</v>
      </c>
      <c r="Q118">
        <f>Lifetimes!DS1</f>
        <v>0</v>
      </c>
      <c r="R118" t="str">
        <f t="shared" si="5"/>
        <v>OK</v>
      </c>
      <c r="AA118" t="s">
        <v>1845</v>
      </c>
    </row>
    <row r="119" spans="10:27">
      <c r="J119" s="301" t="str">
        <v>Textile coating</v>
      </c>
      <c r="K119" s="306" t="str">
        <f>IF(ISBLANK(J119),"",IF(COUNTIF(L:L,J119),IF(_xlfn.XLOOKUP(J119,'Compartments_Kawecki&amp;Nowack19'!A:A,'Compartments_Kawecki&amp;Nowack19'!B:B,_xlfn.XLOOKUP(J119,Compartments_Added!A:A,Compartments_Added!B:B))="Stock","OK stock","OK flow"),IF(COUNTIF($G$4:$G$18,J119),IF(COUNTIF($E$4:$E$18,J119),"OK input","Missing"),"Missing")))</f>
        <v>OK flow</v>
      </c>
      <c r="L119" s="301" t="str">
        <v>Sludge (micro)</v>
      </c>
      <c r="M119" s="306"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Lifetimes!DT1</f>
        <v>0</v>
      </c>
      <c r="R119" t="str">
        <f t="shared" si="5"/>
        <v>OK</v>
      </c>
      <c r="AA119" t="s">
        <v>1846</v>
      </c>
    </row>
    <row r="120" spans="10:27">
      <c r="J120" s="301" t="str">
        <v>Textile recycling</v>
      </c>
      <c r="K120" s="306" t="str">
        <f>IF(ISBLANK(J120),"",IF(COUNTIF(L:L,J120),IF(_xlfn.XLOOKUP(J120,'Compartments_Kawecki&amp;Nowack19'!A:A,'Compartments_Kawecki&amp;Nowack19'!B:B,_xlfn.XLOOKUP(J120,Compartments_Added!A:A,Compartments_Added!B:B))="Stock","OK stock","OK flow"),IF(COUNTIF($G$4:$G$18,J120),IF(COUNTIF($E$4:$E$18,J120),"OK input","Missing"),"Missing")))</f>
        <v>OK flow</v>
      </c>
      <c r="L120" s="301" t="str">
        <v>Road side soil (macro)</v>
      </c>
      <c r="M120" s="306"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Sink</v>
      </c>
      <c r="N120" s="6"/>
      <c r="O120" s="6">
        <f>Lifetimes_pairs!A118</f>
        <v>0</v>
      </c>
      <c r="P120" s="6">
        <f>Lifetimes_pairs!B118</f>
        <v>0</v>
      </c>
      <c r="Q120">
        <f>Lifetimes!DU1</f>
        <v>0</v>
      </c>
      <c r="R120" t="str">
        <f t="shared" si="5"/>
        <v>OK</v>
      </c>
      <c r="AA120" t="s">
        <v>1847</v>
      </c>
    </row>
    <row r="121" spans="10:27">
      <c r="J121" s="301" t="str">
        <v>Pellet losses transport land</v>
      </c>
      <c r="K121" s="306" t="str">
        <f>IF(ISBLANK(J121),"",IF(COUNTIF(L:L,J121),IF(_xlfn.XLOOKUP(J121,'Compartments_Kawecki&amp;Nowack19'!A:A,'Compartments_Kawecki&amp;Nowack19'!B:B,_xlfn.XLOOKUP(J121,Compartments_Added!A:A,Compartments_Added!B:B))="Stock","OK stock","OK flow"),IF(COUNTIF($G$4:$G$18,J121),IF(COUNTIF($E$4:$E$18,J121),"OK input","Missing"),"Missing")))</f>
        <v>OK flow</v>
      </c>
      <c r="L121" s="301" t="str">
        <v>Road runoff</v>
      </c>
      <c r="M121" s="306"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flow</v>
      </c>
      <c r="N121" s="6"/>
      <c r="O121" s="6">
        <f>Lifetimes_pairs!A119</f>
        <v>0</v>
      </c>
      <c r="P121" s="6">
        <f>Lifetimes_pairs!B119</f>
        <v>0</v>
      </c>
      <c r="Q121">
        <f>Lifetimes!DV1</f>
        <v>0</v>
      </c>
      <c r="R121" t="str">
        <f t="shared" si="5"/>
        <v>OK</v>
      </c>
      <c r="AA121" t="s">
        <v>1848</v>
      </c>
    </row>
    <row r="122" spans="10:27">
      <c r="J122" s="301" t="str">
        <v>Pellet losses industrial plants</v>
      </c>
      <c r="K122" s="306" t="str">
        <f>IF(ISBLANK(J122),"",IF(COUNTIF(L:L,J122),IF(_xlfn.XLOOKUP(J122,'Compartments_Kawecki&amp;Nowack19'!A:A,'Compartments_Kawecki&amp;Nowack19'!B:B,_xlfn.XLOOKUP(J122,Compartments_Added!A:A,Compartments_Added!B:B))="Stock","OK stock","OK flow"),IF(COUNTIF($G$4:$G$18,J122),IF(COUNTIF($E$4:$E$18,J122),"OK input","Missing"),"Missing")))</f>
        <v>OK flow</v>
      </c>
      <c r="L122" s="301" t="str">
        <v>Mobility textiles</v>
      </c>
      <c r="M122" s="306"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stock</v>
      </c>
      <c r="N122" s="6"/>
      <c r="O122" s="6">
        <f>Lifetimes_pairs!A120</f>
        <v>0</v>
      </c>
      <c r="P122" s="6">
        <f>Lifetimes_pairs!B120</f>
        <v>0</v>
      </c>
      <c r="Q122">
        <f>Lifetimes!DW1</f>
        <v>0</v>
      </c>
      <c r="R122" t="str">
        <f t="shared" si="5"/>
        <v>OK</v>
      </c>
      <c r="AA122" t="s">
        <v>1849</v>
      </c>
    </row>
    <row r="123" spans="10:27">
      <c r="J123" s="301" t="str">
        <v>Paint</v>
      </c>
      <c r="K123" s="306" t="str">
        <f>IF(ISBLANK(J123),"",IF(COUNTIF(L:L,J123),IF(_xlfn.XLOOKUP(J123,'Compartments_Kawecki&amp;Nowack19'!A:A,'Compartments_Kawecki&amp;Nowack19'!B:B,_xlfn.XLOOKUP(J123,Compartments_Added!A:A,Compartments_Added!B:B))="Stock","OK stock","OK flow"),IF(COUNTIF($G$4:$G$18,J123),IF(COUNTIF($E$4:$E$18,J123),"OK input","Missing"),"Missing")))</f>
        <v>OK input</v>
      </c>
      <c r="L123" s="301" t="str">
        <v>Other technical textiles</v>
      </c>
      <c r="M123" s="306"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stock</v>
      </c>
      <c r="N123" s="6"/>
      <c r="O123" s="6">
        <f>Lifetimes_pairs!A121</f>
        <v>0</v>
      </c>
      <c r="P123" s="6">
        <f>Lifetimes_pairs!B121</f>
        <v>0</v>
      </c>
      <c r="Q123">
        <f>Lifetimes!DX1</f>
        <v>0</v>
      </c>
      <c r="R123" t="str">
        <f t="shared" si="5"/>
        <v>OK</v>
      </c>
      <c r="AA123" t="s">
        <v>1850</v>
      </c>
    </row>
    <row r="124" spans="10:27">
      <c r="J124" s="301" t="str">
        <v>Ship paint (prof)</v>
      </c>
      <c r="K124" s="306" t="str">
        <f>IF(ISBLANK(J124),"",IF(COUNTIF(L:L,J124),IF(_xlfn.XLOOKUP(J124,'Compartments_Kawecki&amp;Nowack19'!A:A,'Compartments_Kawecki&amp;Nowack19'!B:B,_xlfn.XLOOKUP(J124,Compartments_Added!A:A,Compartments_Added!B:B))="Stock","OK stock","OK flow"),IF(COUNTIF($G$4:$G$18,J124),IF(COUNTIF($E$4:$E$18,J124),"OK input","Missing"),"Missing")))</f>
        <v>OK flow</v>
      </c>
      <c r="L124" s="301" t="str">
        <v>Tertiary water treatment (macro)</v>
      </c>
      <c r="M124" s="306"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flow</v>
      </c>
      <c r="N124" s="6"/>
      <c r="O124" s="6">
        <f>Lifetimes_pairs!A122</f>
        <v>0</v>
      </c>
      <c r="P124" s="6">
        <f>Lifetimes_pairs!B122</f>
        <v>0</v>
      </c>
      <c r="Q124">
        <f>Lifetimes!DY1</f>
        <v>0</v>
      </c>
      <c r="R124" t="str">
        <f t="shared" si="5"/>
        <v>OK</v>
      </c>
      <c r="AA124" t="s">
        <v>1851</v>
      </c>
    </row>
    <row r="125" spans="10:27">
      <c r="J125" s="301" t="str">
        <v>Ship paint (prof) (in use)</v>
      </c>
      <c r="K125" s="306" t="str">
        <f>IF(ISBLANK(J125),"",IF(COUNTIF(L:L,J125),IF(_xlfn.XLOOKUP(J125,'Compartments_Kawecki&amp;Nowack19'!A:A,'Compartments_Kawecki&amp;Nowack19'!B:B,_xlfn.XLOOKUP(J125,Compartments_Added!A:A,Compartments_Added!B:B))="Stock","OK stock","OK flow"),IF(COUNTIF($G$4:$G$18,J125),IF(COUNTIF($E$4:$E$18,J125),"OK input","Missing"),"Missing")))</f>
        <v>OK stock</v>
      </c>
      <c r="L125" s="301" t="str">
        <v>Technical home textiles</v>
      </c>
      <c r="M125" s="306"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1852</v>
      </c>
    </row>
    <row r="126" spans="10:27">
      <c r="J126" s="301" t="str">
        <v>Ship paint (recr)</v>
      </c>
      <c r="K126" s="306" t="str">
        <f>IF(ISBLANK(J126),"",IF(COUNTIF(L:L,J126),IF(_xlfn.XLOOKUP(J126,'Compartments_Kawecki&amp;Nowack19'!A:A,'Compartments_Kawecki&amp;Nowack19'!B:B,_xlfn.XLOOKUP(J126,Compartments_Added!A:A,Compartments_Added!B:B))="Stock","OK stock","OK flow"),IF(COUNTIF($G$4:$G$18,J126),IF(COUNTIF($E$4:$E$18,J126),"OK input","Missing"),"Missing")))</f>
        <v>OK flow</v>
      </c>
      <c r="L126" s="301" t="str">
        <v>Textile coating (discarded)</v>
      </c>
      <c r="M126" s="306"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stock</v>
      </c>
      <c r="N126" s="6"/>
      <c r="O126" s="6">
        <f>Lifetimes_pairs!A124</f>
        <v>0</v>
      </c>
      <c r="P126" s="6">
        <f>Lifetimes_pairs!B124</f>
        <v>0</v>
      </c>
      <c r="Q126">
        <f>Lifetimes!EA1</f>
        <v>0</v>
      </c>
      <c r="R126" t="str">
        <f t="shared" si="5"/>
        <v>OK</v>
      </c>
      <c r="AA126" t="s">
        <v>1853</v>
      </c>
    </row>
    <row r="127" spans="10:27">
      <c r="J127" s="301" t="str">
        <v>Ship paint (recr) (in use)</v>
      </c>
      <c r="K127" s="306" t="str">
        <f>IF(ISBLANK(J127),"",IF(COUNTIF(L:L,J127),IF(_xlfn.XLOOKUP(J127,'Compartments_Kawecki&amp;Nowack19'!A:A,'Compartments_Kawecki&amp;Nowack19'!B:B,_xlfn.XLOOKUP(J127,Compartments_Added!A:A,Compartments_Added!B:B))="Stock","OK stock","OK flow"),IF(COUNTIF($G$4:$G$18,J127),IF(COUNTIF($E$4:$E$18,J127),"OK input","Missing"),"Missing")))</f>
        <v>OK stock</v>
      </c>
      <c r="L127" s="301" t="str">
        <v>Textile coating (in use)</v>
      </c>
      <c r="M127" s="306"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stock</v>
      </c>
      <c r="N127" s="6"/>
      <c r="O127" s="6">
        <f>Lifetimes_pairs!A125</f>
        <v>0</v>
      </c>
      <c r="P127" s="6">
        <f>Lifetimes_pairs!B125</f>
        <v>0</v>
      </c>
      <c r="Q127">
        <f>Lifetimes!EB1</f>
        <v>0</v>
      </c>
      <c r="R127" t="str">
        <f t="shared" si="5"/>
        <v>OK</v>
      </c>
      <c r="AA127" t="s">
        <v>1854</v>
      </c>
    </row>
    <row r="128" spans="10:27">
      <c r="J128" s="301" t="str">
        <v>Ship paint (prof) (discarded)</v>
      </c>
      <c r="K128" s="306" t="str">
        <f>IF(ISBLANK(J128),"",IF(COUNTIF(L:L,J128),IF(_xlfn.XLOOKUP(J128,'Compartments_Kawecki&amp;Nowack19'!A:A,'Compartments_Kawecki&amp;Nowack19'!B:B,_xlfn.XLOOKUP(J128,Compartments_Added!A:A,Compartments_Added!B:B))="Stock","OK stock","OK flow"),IF(COUNTIF($G$4:$G$18,J128),IF(COUNTIF($E$4:$E$18,J128),"OK input","Missing"),"Missing")))</f>
        <v>OK stock</v>
      </c>
      <c r="L128" s="301" t="str">
        <v>Wastewater (macro)</v>
      </c>
      <c r="M128" s="306"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Lifetimes!EC1</f>
        <v>0</v>
      </c>
      <c r="R128" t="str">
        <f t="shared" si="5"/>
        <v>OK</v>
      </c>
      <c r="AA128" t="s">
        <v>1855</v>
      </c>
    </row>
    <row r="129" spans="10:27">
      <c r="J129" s="301" t="str">
        <v>Ship paint (recr) (discarded)</v>
      </c>
      <c r="K129" s="306" t="str">
        <f>IF(ISBLANK(J129),"",IF(COUNTIF(L:L,J129),IF(_xlfn.XLOOKUP(J129,'Compartments_Kawecki&amp;Nowack19'!A:A,'Compartments_Kawecki&amp;Nowack19'!B:B,_xlfn.XLOOKUP(J129,Compartments_Added!A:A,Compartments_Added!B:B))="Stock","OK stock","OK flow"),IF(COUNTIF($G$4:$G$18,J129),IF(COUNTIF($E$4:$E$18,J129),"OK input","Missing"),"Missing")))</f>
        <v>OK stock</v>
      </c>
      <c r="L129" s="301" t="str">
        <v>Pellet conversion</v>
      </c>
      <c r="M129" s="306"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flow</v>
      </c>
      <c r="N129" s="6"/>
      <c r="O129" s="6">
        <f>Lifetimes_pairs!A127</f>
        <v>0</v>
      </c>
      <c r="P129" s="6">
        <f>Lifetimes_pairs!B127</f>
        <v>0</v>
      </c>
      <c r="Q129">
        <f>Lifetimes!ED1</f>
        <v>0</v>
      </c>
      <c r="R129" t="str">
        <f t="shared" si="5"/>
        <v>OK</v>
      </c>
      <c r="AA129" t="s">
        <v>1856</v>
      </c>
    </row>
    <row r="130" spans="10:27">
      <c r="J130" s="301" t="str">
        <v>Concrete paint (prof)</v>
      </c>
      <c r="K130" s="306" t="str">
        <f>IF(ISBLANK(J130),"",IF(COUNTIF(L:L,J130),IF(_xlfn.XLOOKUP(J130,'Compartments_Kawecki&amp;Nowack19'!A:A,'Compartments_Kawecki&amp;Nowack19'!B:B,_xlfn.XLOOKUP(J130,Compartments_Added!A:A,Compartments_Added!B:B))="Stock","OK stock","OK flow"),IF(COUNTIF($G$4:$G$18,J130),IF(COUNTIF($E$4:$E$18,J130),"OK input","Missing"),"Missing")))</f>
        <v>OK flow</v>
      </c>
      <c r="L130" s="301" t="str">
        <v>Textile coating</v>
      </c>
      <c r="M130" s="306"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1857</v>
      </c>
    </row>
    <row r="131" spans="10:27">
      <c r="J131" s="301" t="str">
        <v>Concrete paint (prof) outdoor</v>
      </c>
      <c r="K131" s="306" t="str">
        <f>IF(ISBLANK(J131),"",IF(COUNTIF(L:L,J131),IF(_xlfn.XLOOKUP(J131,'Compartments_Kawecki&amp;Nowack19'!A:A,'Compartments_Kawecki&amp;Nowack19'!B:B,_xlfn.XLOOKUP(J131,Compartments_Added!A:A,Compartments_Added!B:B))="Stock","OK stock","OK flow"),IF(COUNTIF($G$4:$G$18,J131),IF(COUNTIF($E$4:$E$18,J131),"OK input","Missing"),"Missing")))</f>
        <v>OK flow</v>
      </c>
      <c r="L131" s="301" t="str">
        <v>Pellet losses transport land</v>
      </c>
      <c r="M131" s="306"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1858</v>
      </c>
    </row>
    <row r="132" spans="10:27">
      <c r="J132" s="301" t="str">
        <v>Concrete paint (prof) outdoor (in use)</v>
      </c>
      <c r="K132" s="306" t="str">
        <f>IF(ISBLANK(J132),"",IF(COUNTIF(L:L,J132),IF(_xlfn.XLOOKUP(J132,'Compartments_Kawecki&amp;Nowack19'!A:A,'Compartments_Kawecki&amp;Nowack19'!B:B,_xlfn.XLOOKUP(J132,Compartments_Added!A:A,Compartments_Added!B:B))="Stock","OK stock","OK flow"),IF(COUNTIF($G$4:$G$18,J132),IF(COUNTIF($E$4:$E$18,J132),"OK input","Missing"),"Missing")))</f>
        <v>OK stock</v>
      </c>
      <c r="L132" s="301" t="str">
        <v>Sea water (micro)</v>
      </c>
      <c r="M132" s="306"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Sink</v>
      </c>
      <c r="N132" s="6"/>
      <c r="O132" s="6">
        <f>Lifetimes_pairs!A130</f>
        <v>0</v>
      </c>
      <c r="P132" s="6">
        <f>Lifetimes_pairs!B130</f>
        <v>0</v>
      </c>
      <c r="Q132">
        <f>Lifetimes!EG1</f>
        <v>0</v>
      </c>
      <c r="R132" t="str">
        <f t="shared" si="5"/>
        <v>OK</v>
      </c>
      <c r="AA132" t="s">
        <v>1859</v>
      </c>
    </row>
    <row r="133" spans="10:27">
      <c r="J133" s="301" t="str">
        <v>Concrete paint (prof) indoor</v>
      </c>
      <c r="K133" s="306" t="str">
        <f>IF(ISBLANK(J133),"",IF(COUNTIF(L:L,J133),IF(_xlfn.XLOOKUP(J133,'Compartments_Kawecki&amp;Nowack19'!A:A,'Compartments_Kawecki&amp;Nowack19'!B:B,_xlfn.XLOOKUP(J133,Compartments_Added!A:A,Compartments_Added!B:B))="Stock","OK stock","OK flow"),IF(COUNTIF($G$4:$G$18,J133),IF(COUNTIF($E$4:$E$18,J133),"OK input","Missing"),"Missing")))</f>
        <v>OK flow</v>
      </c>
      <c r="L133" s="301" t="str">
        <v>Pellet losses industrial plants</v>
      </c>
      <c r="M133" s="306"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1860</v>
      </c>
    </row>
    <row r="134" spans="10:27">
      <c r="J134" s="301" t="str">
        <v>Concrete paint (prof) indoor (in use)</v>
      </c>
      <c r="K134" s="306" t="str">
        <f>IF(ISBLANK(J134),"",IF(COUNTIF(L:L,J134),IF(_xlfn.XLOOKUP(J134,'Compartments_Kawecki&amp;Nowack19'!A:A,'Compartments_Kawecki&amp;Nowack19'!B:B,_xlfn.XLOOKUP(J134,Compartments_Added!A:A,Compartments_Added!B:B))="Stock","OK stock","OK flow"),IF(COUNTIF($G$4:$G$18,J134),IF(COUNTIF($E$4:$E$18,J134),"OK input","Missing"),"Missing")))</f>
        <v>OK stock</v>
      </c>
      <c r="L134" s="301" t="str">
        <v>Concrete paint (prof)</v>
      </c>
      <c r="M134" s="306"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flow</v>
      </c>
      <c r="N134" s="6"/>
      <c r="O134" s="6">
        <f>Lifetimes_pairs!A132</f>
        <v>0</v>
      </c>
      <c r="P134" s="6">
        <f>Lifetimes_pairs!B132</f>
        <v>0</v>
      </c>
      <c r="Q134">
        <f>Lifetimes!EI1</f>
        <v>0</v>
      </c>
      <c r="R134" t="str">
        <f t="shared" si="6"/>
        <v>OK</v>
      </c>
      <c r="AA134" t="s">
        <v>1861</v>
      </c>
    </row>
    <row r="135" spans="10:27">
      <c r="J135" s="301" t="str">
        <v>Concrete paint (prof) outdoor (discarded)</v>
      </c>
      <c r="K135" s="306" t="str">
        <f>IF(ISBLANK(J135),"",IF(COUNTIF(L:L,J135),IF(_xlfn.XLOOKUP(J135,'Compartments_Kawecki&amp;Nowack19'!A:A,'Compartments_Kawecki&amp;Nowack19'!B:B,_xlfn.XLOOKUP(J135,Compartments_Added!A:A,Compartments_Added!B:B))="Stock","OK stock","OK flow"),IF(COUNTIF($G$4:$G$18,J135),IF(COUNTIF($E$4:$E$18,J135),"OK input","Missing"),"Missing")))</f>
        <v>OK stock</v>
      </c>
      <c r="L135" s="301" t="str">
        <v>Lacquer (prof)</v>
      </c>
      <c r="M135" s="306"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flow</v>
      </c>
      <c r="N135" s="6"/>
      <c r="O135" s="6">
        <f>Lifetimes_pairs!A133</f>
        <v>0</v>
      </c>
      <c r="P135" s="6">
        <f>Lifetimes_pairs!B133</f>
        <v>0</v>
      </c>
      <c r="Q135">
        <f>Lifetimes!EJ1</f>
        <v>0</v>
      </c>
      <c r="R135" t="str">
        <f t="shared" si="6"/>
        <v>OK</v>
      </c>
      <c r="AA135" t="s">
        <v>1862</v>
      </c>
    </row>
    <row r="136" spans="10:27">
      <c r="J136" s="301" t="str">
        <v>Concrete paint (prof) indoor (discarded)</v>
      </c>
      <c r="K136" s="306" t="str">
        <f>IF(ISBLANK(J136),"",IF(COUNTIF(L:L,J136),IF(_xlfn.XLOOKUP(J136,'Compartments_Kawecki&amp;Nowack19'!A:A,'Compartments_Kawecki&amp;Nowack19'!B:B,_xlfn.XLOOKUP(J136,Compartments_Added!A:A,Compartments_Added!B:B))="Stock","OK stock","OK flow"),IF(COUNTIF($G$4:$G$18,J136),IF(COUNTIF($E$4:$E$18,J136),"OK input","Missing"),"Missing")))</f>
        <v>OK stock</v>
      </c>
      <c r="L136" s="301" t="str">
        <v>Wood stain (prof)</v>
      </c>
      <c r="M136" s="306"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flow</v>
      </c>
      <c r="N136" s="6"/>
      <c r="O136" s="6">
        <f>Lifetimes_pairs!A134</f>
        <v>0</v>
      </c>
      <c r="P136" s="6">
        <f>Lifetimes_pairs!B134</f>
        <v>0</v>
      </c>
      <c r="Q136">
        <f>Lifetimes!EK1</f>
        <v>0</v>
      </c>
      <c r="R136" t="str">
        <f t="shared" si="6"/>
        <v>OK</v>
      </c>
      <c r="AA136" t="s">
        <v>1863</v>
      </c>
    </row>
    <row r="137" spans="10:27">
      <c r="J137" s="301" t="str">
        <v>Lacquer (prof)</v>
      </c>
      <c r="K137" s="306" t="str">
        <f>IF(ISBLANK(J137),"",IF(COUNTIF(L:L,J137),IF(_xlfn.XLOOKUP(J137,'Compartments_Kawecki&amp;Nowack19'!A:A,'Compartments_Kawecki&amp;Nowack19'!B:B,_xlfn.XLOOKUP(J137,Compartments_Added!A:A,Compartments_Added!B:B))="Stock","OK stock","OK flow"),IF(COUNTIF($G$4:$G$18,J137),IF(COUNTIF($E$4:$E$18,J137),"OK input","Missing"),"Missing")))</f>
        <v>OK flow</v>
      </c>
      <c r="L137" s="301" t="str">
        <v>Wall paint (prof)</v>
      </c>
      <c r="M137" s="306"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Lifetimes!EL1</f>
        <v>0</v>
      </c>
      <c r="R137" t="str">
        <f t="shared" si="6"/>
        <v>OK</v>
      </c>
      <c r="AA137" t="s">
        <v>1864</v>
      </c>
    </row>
    <row r="138" spans="10:27">
      <c r="J138" s="301" t="str">
        <v>Lacquer (prof) outdoor</v>
      </c>
      <c r="K138" s="306" t="str">
        <f>IF(ISBLANK(J138),"",IF(COUNTIF(L:L,J138),IF(_xlfn.XLOOKUP(J138,'Compartments_Kawecki&amp;Nowack19'!A:A,'Compartments_Kawecki&amp;Nowack19'!B:B,_xlfn.XLOOKUP(J138,Compartments_Added!A:A,Compartments_Added!B:B))="Stock","OK stock","OK flow"),IF(COUNTIF($G$4:$G$18,J138),IF(COUNTIF($E$4:$E$18,J138),"OK input","Missing"),"Missing")))</f>
        <v>OK flow</v>
      </c>
      <c r="L138" s="301" t="str">
        <v>Plaster (prof)</v>
      </c>
      <c r="M138" s="306"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Lifetimes!EM1</f>
        <v>0</v>
      </c>
      <c r="R138" t="str">
        <f t="shared" si="6"/>
        <v>OK</v>
      </c>
      <c r="AA138" t="s">
        <v>1865</v>
      </c>
    </row>
    <row r="139" spans="10:27">
      <c r="J139" s="301" t="str">
        <v>Lacquer (prof) outdoor (in use)</v>
      </c>
      <c r="K139" s="306" t="str">
        <f>IF(ISBLANK(J139),"",IF(COUNTIF(L:L,J139),IF(_xlfn.XLOOKUP(J139,'Compartments_Kawecki&amp;Nowack19'!A:A,'Compartments_Kawecki&amp;Nowack19'!B:B,_xlfn.XLOOKUP(J139,Compartments_Added!A:A,Compartments_Added!B:B))="Stock","OK stock","OK flow"),IF(COUNTIF($G$4:$G$18,J139),IF(COUNTIF($E$4:$E$18,J139),"OK input","Missing"),"Missing")))</f>
        <v>OK stock</v>
      </c>
      <c r="L139" s="301" t="str">
        <v>Other paint uses (prof)</v>
      </c>
      <c r="M139" s="306"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1866</v>
      </c>
    </row>
    <row r="140" spans="10:27">
      <c r="J140" s="301" t="str">
        <v>Lacquer (prof) indoor</v>
      </c>
      <c r="K140" s="306" t="str">
        <f>IF(ISBLANK(J140),"",IF(COUNTIF(L:L,J140),IF(_xlfn.XLOOKUP(J140,'Compartments_Kawecki&amp;Nowack19'!A:A,'Compartments_Kawecki&amp;Nowack19'!B:B,_xlfn.XLOOKUP(J140,Compartments_Added!A:A,Compartments_Added!B:B))="Stock","OK stock","OK flow"),IF(COUNTIF($G$4:$G$18,J140),IF(COUNTIF($E$4:$E$18,J140),"OK input","Missing"),"Missing")))</f>
        <v>OK flow</v>
      </c>
      <c r="L140" s="301" t="str">
        <v>Paints used in pre-made wooden products</v>
      </c>
      <c r="M140" s="306"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1867</v>
      </c>
    </row>
    <row r="141" spans="10:27">
      <c r="J141" s="301" t="str">
        <v>Lacquer (prof) indoor (in use)</v>
      </c>
      <c r="K141" s="306" t="str">
        <f>IF(ISBLANK(J141),"",IF(COUNTIF(L:L,J141),IF(_xlfn.XLOOKUP(J141,'Compartments_Kawecki&amp;Nowack19'!A:A,'Compartments_Kawecki&amp;Nowack19'!B:B,_xlfn.XLOOKUP(J141,Compartments_Added!A:A,Compartments_Added!B:B))="Stock","OK stock","OK flow"),IF(COUNTIF($G$4:$G$18,J141),IF(COUNTIF($E$4:$E$18,J141),"OK input","Missing"),"Missing")))</f>
        <v>OK stock</v>
      </c>
      <c r="L141" s="301" t="str">
        <v>Lacquer (DIY)</v>
      </c>
      <c r="M141" s="306"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flow</v>
      </c>
      <c r="N141" s="6"/>
      <c r="O141" s="6">
        <f>Lifetimes_pairs!A139</f>
        <v>0</v>
      </c>
      <c r="P141" s="6">
        <f>Lifetimes_pairs!B139</f>
        <v>0</v>
      </c>
      <c r="Q141">
        <f>Lifetimes!EP1</f>
        <v>0</v>
      </c>
      <c r="R141" t="str">
        <f t="shared" si="6"/>
        <v>OK</v>
      </c>
      <c r="AA141" t="s">
        <v>1868</v>
      </c>
    </row>
    <row r="142" spans="10:27" ht="14.45" customHeight="1">
      <c r="J142" s="301" t="str">
        <v>Lacquer (prof) outdoor (discarded)</v>
      </c>
      <c r="K142" s="306" t="str">
        <f>IF(ISBLANK(J142),"",IF(COUNTIF(L:L,J142),IF(_xlfn.XLOOKUP(J142,'Compartments_Kawecki&amp;Nowack19'!A:A,'Compartments_Kawecki&amp;Nowack19'!B:B,_xlfn.XLOOKUP(J142,Compartments_Added!A:A,Compartments_Added!B:B))="Stock","OK stock","OK flow"),IF(COUNTIF($G$4:$G$18,J142),IF(COUNTIF($E$4:$E$18,J142),"OK input","Missing"),"Missing")))</f>
        <v>OK stock</v>
      </c>
      <c r="L142" s="301" t="str">
        <v>Wood stain (DIY)</v>
      </c>
      <c r="M142" s="306"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Lifetimes!EQ1</f>
        <v>0</v>
      </c>
      <c r="R142" t="str">
        <f t="shared" si="6"/>
        <v>OK</v>
      </c>
      <c r="AA142" t="s">
        <v>1869</v>
      </c>
    </row>
    <row r="143" spans="10:27" ht="14.45" customHeight="1">
      <c r="J143" s="301" t="str">
        <v>Lacquer (prof) indoor (discarded)</v>
      </c>
      <c r="K143" s="306" t="str">
        <f>IF(ISBLANK(J143),"",IF(COUNTIF(L:L,J143),IF(_xlfn.XLOOKUP(J143,'Compartments_Kawecki&amp;Nowack19'!A:A,'Compartments_Kawecki&amp;Nowack19'!B:B,_xlfn.XLOOKUP(J143,Compartments_Added!A:A,Compartments_Added!B:B))="Stock","OK stock","OK flow"),IF(COUNTIF($G$4:$G$18,J143),IF(COUNTIF($E$4:$E$18,J143),"OK input","Missing"),"Missing")))</f>
        <v>OK stock</v>
      </c>
      <c r="L143" s="301" t="str">
        <v>Wall paint (DIY)</v>
      </c>
      <c r="M143" s="306"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Lifetimes!ER1</f>
        <v>0</v>
      </c>
      <c r="R143" t="str">
        <f t="shared" si="6"/>
        <v>OK</v>
      </c>
      <c r="AA143" t="s">
        <v>1870</v>
      </c>
    </row>
    <row r="144" spans="10:27">
      <c r="J144" s="301" t="str">
        <v>Wood stain (prof)</v>
      </c>
      <c r="K144" s="306" t="str">
        <f>IF(ISBLANK(J144),"",IF(COUNTIF(L:L,J144),IF(_xlfn.XLOOKUP(J144,'Compartments_Kawecki&amp;Nowack19'!A:A,'Compartments_Kawecki&amp;Nowack19'!B:B,_xlfn.XLOOKUP(J144,Compartments_Added!A:A,Compartments_Added!B:B))="Stock","OK stock","OK flow"),IF(COUNTIF($G$4:$G$18,J144),IF(COUNTIF($E$4:$E$18,J144),"OK input","Missing"),"Missing")))</f>
        <v>OK flow</v>
      </c>
      <c r="L144" s="301" t="str">
        <v>Plaster (DIY)</v>
      </c>
      <c r="M144" s="306"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Lifetimes!ES1</f>
        <v>0</v>
      </c>
      <c r="R144" t="str">
        <f t="shared" si="6"/>
        <v>OK</v>
      </c>
      <c r="AA144" t="s">
        <v>1871</v>
      </c>
    </row>
    <row r="145" spans="10:27">
      <c r="J145" s="301" t="str">
        <v>Wood stain (prof) outdoor</v>
      </c>
      <c r="K145" s="306" t="str">
        <f>IF(ISBLANK(J145),"",IF(COUNTIF(L:L,J145),IF(_xlfn.XLOOKUP(J145,'Compartments_Kawecki&amp;Nowack19'!A:A,'Compartments_Kawecki&amp;Nowack19'!B:B,_xlfn.XLOOKUP(J145,Compartments_Added!A:A,Compartments_Added!B:B))="Stock","OK stock","OK flow"),IF(COUNTIF($G$4:$G$18,J145),IF(COUNTIF($E$4:$E$18,J145),"OK input","Missing"),"Missing")))</f>
        <v>OK flow</v>
      </c>
      <c r="L145" s="301" t="str">
        <v>Other paint uses (DIY)</v>
      </c>
      <c r="M145" s="306"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Lifetimes!ET1</f>
        <v>0</v>
      </c>
      <c r="R145" t="str">
        <f t="shared" si="6"/>
        <v>OK</v>
      </c>
      <c r="AA145" t="s">
        <v>1872</v>
      </c>
    </row>
    <row r="146" spans="10:27" ht="15" customHeight="1">
      <c r="J146" s="301" t="str">
        <v>Wood stain (prof) outdoor (in use)</v>
      </c>
      <c r="K146" s="306" t="str">
        <f>IF(ISBLANK(J146),"",IF(COUNTIF(L:L,J146),IF(_xlfn.XLOOKUP(J146,'Compartments_Kawecki&amp;Nowack19'!A:A,'Compartments_Kawecki&amp;Nowack19'!B:B,_xlfn.XLOOKUP(J146,Compartments_Added!A:A,Compartments_Added!B:B))="Stock","OK stock","OK flow"),IF(COUNTIF($G$4:$G$18,J146),IF(COUNTIF($E$4:$E$18,J146),"OK input","Missing"),"Missing")))</f>
        <v>OK stock</v>
      </c>
      <c r="L146" s="301" t="str">
        <v>Ship paint (prof)</v>
      </c>
      <c r="M146" s="306"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Lifetimes!EU1</f>
        <v>0</v>
      </c>
      <c r="R146" t="str">
        <f t="shared" si="6"/>
        <v>OK</v>
      </c>
      <c r="AA146" t="s">
        <v>1873</v>
      </c>
    </row>
    <row r="147" spans="10:27">
      <c r="J147" s="301" t="str">
        <v>Wood stain (prof) indoor</v>
      </c>
      <c r="K147" s="306" t="str">
        <f>IF(ISBLANK(J147),"",IF(COUNTIF(L:L,J147),IF(_xlfn.XLOOKUP(J147,'Compartments_Kawecki&amp;Nowack19'!A:A,'Compartments_Kawecki&amp;Nowack19'!B:B,_xlfn.XLOOKUP(J147,Compartments_Added!A:A,Compartments_Added!B:B))="Stock","OK stock","OK flow"),IF(COUNTIF($G$4:$G$18,J147),IF(COUNTIF($E$4:$E$18,J147),"OK input","Missing"),"Missing")))</f>
        <v>OK flow</v>
      </c>
      <c r="L147" s="301" t="str">
        <v>Ship paint (recr)</v>
      </c>
      <c r="M147" s="306"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flow</v>
      </c>
      <c r="N147" s="6"/>
      <c r="O147" s="6">
        <f>Lifetimes_pairs!A145</f>
        <v>0</v>
      </c>
      <c r="P147" s="6">
        <f>Lifetimes_pairs!B145</f>
        <v>0</v>
      </c>
      <c r="Q147">
        <f>Lifetimes!EV1</f>
        <v>0</v>
      </c>
      <c r="R147" t="str">
        <f t="shared" si="6"/>
        <v>OK</v>
      </c>
      <c r="AA147" t="s">
        <v>1874</v>
      </c>
    </row>
    <row r="148" spans="10:27">
      <c r="J148" s="301" t="str">
        <v>Wood stain (prof) indoor (in use)</v>
      </c>
      <c r="K148" s="306" t="str">
        <f>IF(ISBLANK(J148),"",IF(COUNTIF(L:L,J148),IF(_xlfn.XLOOKUP(J148,'Compartments_Kawecki&amp;Nowack19'!A:A,'Compartments_Kawecki&amp;Nowack19'!B:B,_xlfn.XLOOKUP(J148,Compartments_Added!A:A,Compartments_Added!B:B))="Stock","OK stock","OK flow"),IF(COUNTIF($G$4:$G$18,J148),IF(COUNTIF($E$4:$E$18,J148),"OK input","Missing"),"Missing")))</f>
        <v>OK stock</v>
      </c>
      <c r="L148" s="301" t="str">
        <v>Ship paint (prof) (in use)</v>
      </c>
      <c r="M148" s="306"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stock</v>
      </c>
      <c r="N148" s="6"/>
      <c r="O148" s="6">
        <f>Lifetimes_pairs!A146</f>
        <v>0</v>
      </c>
      <c r="P148" s="6">
        <f>Lifetimes_pairs!B146</f>
        <v>0</v>
      </c>
      <c r="Q148">
        <f>Lifetimes!EW1</f>
        <v>0</v>
      </c>
      <c r="R148" t="str">
        <f t="shared" si="6"/>
        <v>OK</v>
      </c>
      <c r="AA148" t="s">
        <v>1875</v>
      </c>
    </row>
    <row r="149" spans="10:27">
      <c r="J149" s="301" t="str">
        <v>Wood stain (prof) outdoor (discarded)</v>
      </c>
      <c r="K149" s="306" t="str">
        <f>IF(ISBLANK(J149),"",IF(COUNTIF(L:L,J149),IF(_xlfn.XLOOKUP(J149,'Compartments_Kawecki&amp;Nowack19'!A:A,'Compartments_Kawecki&amp;Nowack19'!B:B,_xlfn.XLOOKUP(J149,Compartments_Added!A:A,Compartments_Added!B:B))="Stock","OK stock","OK flow"),IF(COUNTIF($G$4:$G$18,J149),IF(COUNTIF($E$4:$E$18,J149),"OK input","Missing"),"Missing")))</f>
        <v>OK stock</v>
      </c>
      <c r="L149" s="301" t="str">
        <v>Ship paint (prof) (discarded)</v>
      </c>
      <c r="M149" s="306"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stock</v>
      </c>
      <c r="N149" s="6"/>
      <c r="O149" s="6">
        <f>Lifetimes_pairs!A147</f>
        <v>0</v>
      </c>
      <c r="P149" s="6">
        <f>Lifetimes_pairs!B147</f>
        <v>0</v>
      </c>
      <c r="Q149">
        <f>Lifetimes!EX1</f>
        <v>0</v>
      </c>
      <c r="R149" t="str">
        <f t="shared" si="6"/>
        <v>OK</v>
      </c>
      <c r="AA149" t="s">
        <v>1876</v>
      </c>
    </row>
    <row r="150" spans="10:27" ht="15" customHeight="1">
      <c r="J150" s="301" t="str">
        <v>Wood stain (prof) indoor (discarded)</v>
      </c>
      <c r="K150" s="306" t="str">
        <f>IF(ISBLANK(J150),"",IF(COUNTIF(L:L,J150),IF(_xlfn.XLOOKUP(J150,'Compartments_Kawecki&amp;Nowack19'!A:A,'Compartments_Kawecki&amp;Nowack19'!B:B,_xlfn.XLOOKUP(J150,Compartments_Added!A:A,Compartments_Added!B:B))="Stock","OK stock","OK flow"),IF(COUNTIF($G$4:$G$18,J150),IF(COUNTIF($E$4:$E$18,J150),"OK input","Missing"),"Missing")))</f>
        <v>OK stock</v>
      </c>
      <c r="L150" s="301" t="str">
        <v>Ship paint (recr) (in use)</v>
      </c>
      <c r="M150" s="306"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stock</v>
      </c>
      <c r="N150" s="6"/>
      <c r="O150" s="6">
        <f>Lifetimes_pairs!A148</f>
        <v>0</v>
      </c>
      <c r="P150" s="6">
        <f>Lifetimes_pairs!B148</f>
        <v>0</v>
      </c>
      <c r="Q150">
        <f>Lifetimes!EY1</f>
        <v>0</v>
      </c>
      <c r="R150" t="str">
        <f t="shared" si="6"/>
        <v>OK</v>
      </c>
      <c r="AA150" t="s">
        <v>1877</v>
      </c>
    </row>
    <row r="151" spans="10:27">
      <c r="J151" s="301" t="str">
        <v>Wall paint (prof)</v>
      </c>
      <c r="K151" s="306" t="str">
        <f>IF(ISBLANK(J151),"",IF(COUNTIF(L:L,J151),IF(_xlfn.XLOOKUP(J151,'Compartments_Kawecki&amp;Nowack19'!A:A,'Compartments_Kawecki&amp;Nowack19'!B:B,_xlfn.XLOOKUP(J151,Compartments_Added!A:A,Compartments_Added!B:B))="Stock","OK stock","OK flow"),IF(COUNTIF($G$4:$G$18,J151),IF(COUNTIF($E$4:$E$18,J151),"OK input","Missing"),"Missing")))</f>
        <v>OK flow</v>
      </c>
      <c r="L151" s="301" t="str">
        <v>Ship paint (recr) (discarded)</v>
      </c>
      <c r="M151" s="306"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stock</v>
      </c>
      <c r="N151" s="6"/>
      <c r="O151" s="6"/>
      <c r="P151" s="6"/>
      <c r="Q151">
        <f>Lifetimes!EZ1</f>
        <v>0</v>
      </c>
      <c r="R151" t="str">
        <f t="shared" si="6"/>
        <v>OK</v>
      </c>
      <c r="AA151" t="s">
        <v>1878</v>
      </c>
    </row>
    <row r="152" spans="10:27">
      <c r="J152" s="301" t="str">
        <v>Wall paint (prof) outdoor</v>
      </c>
      <c r="K152" s="306" t="str">
        <f>IF(ISBLANK(J152),"",IF(COUNTIF(L:L,J152),IF(_xlfn.XLOOKUP(J152,'Compartments_Kawecki&amp;Nowack19'!A:A,'Compartments_Kawecki&amp;Nowack19'!B:B,_xlfn.XLOOKUP(J152,Compartments_Added!A:A,Compartments_Added!B:B))="Stock","OK stock","OK flow"),IF(COUNTIF($G$4:$G$18,J152),IF(COUNTIF($E$4:$E$18,J152),"OK input","Missing"),"Missing")))</f>
        <v>OK flow</v>
      </c>
      <c r="L152" s="301" t="str">
        <v>Concrete paint (prof) outdoor</v>
      </c>
      <c r="M152" s="306"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flow</v>
      </c>
      <c r="N152" s="6"/>
      <c r="O152" s="6"/>
      <c r="P152" s="6"/>
      <c r="Q152">
        <f>Lifetimes!FA1</f>
        <v>0</v>
      </c>
      <c r="R152" t="str">
        <f t="shared" si="6"/>
        <v>OK</v>
      </c>
      <c r="AA152" t="s">
        <v>1879</v>
      </c>
    </row>
    <row r="153" spans="10:27">
      <c r="J153" s="301" t="str">
        <v>Wall paint (prof) outdoor (in use)</v>
      </c>
      <c r="K153" s="306" t="str">
        <f>IF(ISBLANK(J153),"",IF(COUNTIF(L:L,J153),IF(_xlfn.XLOOKUP(J153,'Compartments_Kawecki&amp;Nowack19'!A:A,'Compartments_Kawecki&amp;Nowack19'!B:B,_xlfn.XLOOKUP(J153,Compartments_Added!A:A,Compartments_Added!B:B))="Stock","OK stock","OK flow"),IF(COUNTIF($G$4:$G$18,J153),IF(COUNTIF($E$4:$E$18,J153),"OK input","Missing"),"Missing")))</f>
        <v>OK stock</v>
      </c>
      <c r="L153" s="301" t="str">
        <v>Concrete paint (prof) indoor</v>
      </c>
      <c r="M153" s="306"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flow</v>
      </c>
      <c r="N153" s="6"/>
      <c r="O153" s="6"/>
      <c r="P153" s="6"/>
      <c r="Q153">
        <f>Lifetimes!FB1</f>
        <v>0</v>
      </c>
      <c r="R153" t="str">
        <f t="shared" si="6"/>
        <v>OK</v>
      </c>
      <c r="AA153" t="s">
        <v>1880</v>
      </c>
    </row>
    <row r="154" spans="10:27">
      <c r="J154" s="301" t="str">
        <v>Wall paint (prof) indoor</v>
      </c>
      <c r="K154" s="306" t="str">
        <f>IF(ISBLANK(J154),"",IF(COUNTIF(L:L,J154),IF(_xlfn.XLOOKUP(J154,'Compartments_Kawecki&amp;Nowack19'!A:A,'Compartments_Kawecki&amp;Nowack19'!B:B,_xlfn.XLOOKUP(J154,Compartments_Added!A:A,Compartments_Added!B:B))="Stock","OK stock","OK flow"),IF(COUNTIF($G$4:$G$18,J154),IF(COUNTIF($E$4:$E$18,J154),"OK input","Missing"),"Missing")))</f>
        <v>OK flow</v>
      </c>
      <c r="L154" s="301" t="str">
        <v>Concrete paint (prof) outdoor (in use)</v>
      </c>
      <c r="M154" s="306"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stock</v>
      </c>
      <c r="N154" s="6"/>
      <c r="O154" s="6"/>
      <c r="P154" s="6"/>
      <c r="Q154">
        <f>Lifetimes!FC1</f>
        <v>0</v>
      </c>
      <c r="R154" t="str">
        <f t="shared" si="6"/>
        <v>OK</v>
      </c>
      <c r="AA154" t="s">
        <v>1881</v>
      </c>
    </row>
    <row r="155" spans="10:27">
      <c r="J155" s="301" t="str">
        <v>Wall paint (prof) indoor (in use)</v>
      </c>
      <c r="K155" s="306" t="str">
        <f>IF(ISBLANK(J155),"",IF(COUNTIF(L:L,J155),IF(_xlfn.XLOOKUP(J155,'Compartments_Kawecki&amp;Nowack19'!A:A,'Compartments_Kawecki&amp;Nowack19'!B:B,_xlfn.XLOOKUP(J155,Compartments_Added!A:A,Compartments_Added!B:B))="Stock","OK stock","OK flow"),IF(COUNTIF($G$4:$G$18,J155),IF(COUNTIF($E$4:$E$18,J155),"OK input","Missing"),"Missing")))</f>
        <v>OK stock</v>
      </c>
      <c r="L155" s="301" t="str">
        <v>Concrete paint (prof) outdoor (discarded)</v>
      </c>
      <c r="M155" s="306"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stock</v>
      </c>
      <c r="N155" s="6"/>
      <c r="O155" s="6"/>
      <c r="P155" s="6"/>
      <c r="Q155">
        <f>Lifetimes!FD1</f>
        <v>0</v>
      </c>
      <c r="R155" t="str">
        <f t="shared" si="6"/>
        <v>OK</v>
      </c>
      <c r="AA155" t="s">
        <v>1882</v>
      </c>
    </row>
    <row r="156" spans="10:27">
      <c r="J156" s="301" t="str">
        <v>Wall paint (prof) outdoor (discarded)</v>
      </c>
      <c r="K156" s="306" t="str">
        <f>IF(ISBLANK(J156),"",IF(COUNTIF(L:L,J156),IF(_xlfn.XLOOKUP(J156,'Compartments_Kawecki&amp;Nowack19'!A:A,'Compartments_Kawecki&amp;Nowack19'!B:B,_xlfn.XLOOKUP(J156,Compartments_Added!A:A,Compartments_Added!B:B))="Stock","OK stock","OK flow"),IF(COUNTIF($G$4:$G$18,J156),IF(COUNTIF($E$4:$E$18,J156),"OK input","Missing"),"Missing")))</f>
        <v>OK stock</v>
      </c>
      <c r="L156" s="301" t="str">
        <v>Concrete paint (prof) indoor (in use)</v>
      </c>
      <c r="M156" s="306"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stock</v>
      </c>
      <c r="N156" s="6"/>
      <c r="O156" s="6"/>
      <c r="P156" s="6"/>
      <c r="Q156">
        <f>Lifetimes!FE1</f>
        <v>0</v>
      </c>
      <c r="R156" t="str">
        <f t="shared" si="6"/>
        <v>OK</v>
      </c>
      <c r="AA156" t="s">
        <v>1883</v>
      </c>
    </row>
    <row r="157" spans="10:27">
      <c r="J157" s="301" t="str">
        <v>Wall paint (prof) indoor (discarded)</v>
      </c>
      <c r="K157" s="306" t="str">
        <f>IF(ISBLANK(J157),"",IF(COUNTIF(L:L,J157),IF(_xlfn.XLOOKUP(J157,'Compartments_Kawecki&amp;Nowack19'!A:A,'Compartments_Kawecki&amp;Nowack19'!B:B,_xlfn.XLOOKUP(J157,Compartments_Added!A:A,Compartments_Added!B:B))="Stock","OK stock","OK flow"),IF(COUNTIF($G$4:$G$18,J157),IF(COUNTIF($E$4:$E$18,J157),"OK input","Missing"),"Missing")))</f>
        <v>OK stock</v>
      </c>
      <c r="L157" s="301" t="str">
        <v>Concrete paint (prof) indoor (discarded)</v>
      </c>
      <c r="M157" s="306"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Lifetimes!FF1</f>
        <v>0</v>
      </c>
      <c r="R157" t="str">
        <f t="shared" si="6"/>
        <v>OK</v>
      </c>
      <c r="AA157" t="s">
        <v>1884</v>
      </c>
    </row>
    <row r="158" spans="10:27">
      <c r="J158" s="301" t="str">
        <v>Plaster (prof)</v>
      </c>
      <c r="K158" s="306" t="str">
        <f>IF(ISBLANK(J158),"",IF(COUNTIF(L:L,J158),IF(_xlfn.XLOOKUP(J158,'Compartments_Kawecki&amp;Nowack19'!A:A,'Compartments_Kawecki&amp;Nowack19'!B:B,_xlfn.XLOOKUP(J158,Compartments_Added!A:A,Compartments_Added!B:B))="Stock","OK stock","OK flow"),IF(COUNTIF($G$4:$G$18,J158),IF(COUNTIF($E$4:$E$18,J158),"OK input","Missing"),"Missing")))</f>
        <v>OK flow</v>
      </c>
      <c r="L158" s="301" t="str">
        <v>Lacquer (prof) outdoor</v>
      </c>
      <c r="M158" s="306"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flow</v>
      </c>
      <c r="N158" s="6"/>
      <c r="O158" s="6"/>
      <c r="P158" s="6"/>
      <c r="Q158">
        <f>Lifetimes!FG1</f>
        <v>0</v>
      </c>
      <c r="R158" t="str">
        <f t="shared" si="6"/>
        <v>OK</v>
      </c>
      <c r="AA158" t="s">
        <v>1885</v>
      </c>
    </row>
    <row r="159" spans="10:27">
      <c r="J159" s="301" t="str">
        <v>Plaster (prof) outdoor</v>
      </c>
      <c r="K159" s="306" t="str">
        <f>IF(ISBLANK(J159),"",IF(COUNTIF(L:L,J159),IF(_xlfn.XLOOKUP(J159,'Compartments_Kawecki&amp;Nowack19'!A:A,'Compartments_Kawecki&amp;Nowack19'!B:B,_xlfn.XLOOKUP(J159,Compartments_Added!A:A,Compartments_Added!B:B))="Stock","OK stock","OK flow"),IF(COUNTIF($G$4:$G$18,J159),IF(COUNTIF($E$4:$E$18,J159),"OK input","Missing"),"Missing")))</f>
        <v>OK flow</v>
      </c>
      <c r="L159" s="301" t="str">
        <v>Lacquer (prof) indoor</v>
      </c>
      <c r="M159" s="306"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flow</v>
      </c>
      <c r="N159" s="6"/>
      <c r="O159" s="6"/>
      <c r="P159" s="6"/>
      <c r="Q159">
        <f>Lifetimes!FH1</f>
        <v>0</v>
      </c>
      <c r="R159" t="str">
        <f t="shared" si="6"/>
        <v>OK</v>
      </c>
      <c r="AA159" t="s">
        <v>1886</v>
      </c>
    </row>
    <row r="160" spans="10:27">
      <c r="J160" s="301" t="str">
        <v>Plaster (prof) outdoor (in use)</v>
      </c>
      <c r="K160" s="306" t="str">
        <f>IF(ISBLANK(J160),"",IF(COUNTIF(L:L,J160),IF(_xlfn.XLOOKUP(J160,'Compartments_Kawecki&amp;Nowack19'!A:A,'Compartments_Kawecki&amp;Nowack19'!B:B,_xlfn.XLOOKUP(J160,Compartments_Added!A:A,Compartments_Added!B:B))="Stock","OK stock","OK flow"),IF(COUNTIF($G$4:$G$18,J160),IF(COUNTIF($E$4:$E$18,J160),"OK input","Missing"),"Missing")))</f>
        <v>OK stock</v>
      </c>
      <c r="L160" s="301" t="str">
        <v>Lacquer (prof) outdoor (in use)</v>
      </c>
      <c r="M160" s="306"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Lifetimes!FI1</f>
        <v>0</v>
      </c>
      <c r="R160" t="str">
        <f t="shared" si="6"/>
        <v>OK</v>
      </c>
      <c r="AA160" t="s">
        <v>1887</v>
      </c>
    </row>
    <row r="161" spans="10:27">
      <c r="J161" s="301" t="str">
        <v>Plaster (prof) indoor</v>
      </c>
      <c r="K161" s="306" t="str">
        <f>IF(ISBLANK(J161),"",IF(COUNTIF(L:L,J161),IF(_xlfn.XLOOKUP(J161,'Compartments_Kawecki&amp;Nowack19'!A:A,'Compartments_Kawecki&amp;Nowack19'!B:B,_xlfn.XLOOKUP(J161,Compartments_Added!A:A,Compartments_Added!B:B))="Stock","OK stock","OK flow"),IF(COUNTIF($G$4:$G$18,J161),IF(COUNTIF($E$4:$E$18,J161),"OK input","Missing"),"Missing")))</f>
        <v>OK flow</v>
      </c>
      <c r="L161" s="301" t="str">
        <v>Lacquer (prof) outdoor (discarded)</v>
      </c>
      <c r="M161" s="306"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stock</v>
      </c>
      <c r="N161" s="6"/>
      <c r="O161" s="6"/>
      <c r="P161" s="6"/>
      <c r="Q161">
        <f>Lifetimes!FJ1</f>
        <v>0</v>
      </c>
      <c r="R161" t="str">
        <f t="shared" si="6"/>
        <v>OK</v>
      </c>
      <c r="AA161" t="s">
        <v>1888</v>
      </c>
    </row>
    <row r="162" spans="10:27">
      <c r="J162" s="301" t="str">
        <v>Plaster (prof) indoor (in use)</v>
      </c>
      <c r="K162" s="306" t="str">
        <f>IF(ISBLANK(J162),"",IF(COUNTIF(L:L,J162),IF(_xlfn.XLOOKUP(J162,'Compartments_Kawecki&amp;Nowack19'!A:A,'Compartments_Kawecki&amp;Nowack19'!B:B,_xlfn.XLOOKUP(J162,Compartments_Added!A:A,Compartments_Added!B:B))="Stock","OK stock","OK flow"),IF(COUNTIF($G$4:$G$18,J162),IF(COUNTIF($E$4:$E$18,J162),"OK input","Missing"),"Missing")))</f>
        <v>OK stock</v>
      </c>
      <c r="L162" s="301" t="str">
        <v>Lacquer (prof) indoor (in use)</v>
      </c>
      <c r="M162" s="306"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stock</v>
      </c>
      <c r="N162" s="6"/>
      <c r="O162" s="6"/>
      <c r="P162" s="6"/>
      <c r="Q162">
        <f>Lifetimes!FK1</f>
        <v>0</v>
      </c>
      <c r="R162" t="str">
        <f t="shared" si="6"/>
        <v>OK</v>
      </c>
      <c r="AA162" t="s">
        <v>1889</v>
      </c>
    </row>
    <row r="163" spans="10:27">
      <c r="J163" s="301" t="str">
        <v>Plaster (prof) outdoor (discarded)</v>
      </c>
      <c r="K163" s="306" t="str">
        <f>IF(ISBLANK(J163),"",IF(COUNTIF(L:L,J163),IF(_xlfn.XLOOKUP(J163,'Compartments_Kawecki&amp;Nowack19'!A:A,'Compartments_Kawecki&amp;Nowack19'!B:B,_xlfn.XLOOKUP(J163,Compartments_Added!A:A,Compartments_Added!B:B))="Stock","OK stock","OK flow"),IF(COUNTIF($G$4:$G$18,J163),IF(COUNTIF($E$4:$E$18,J163),"OK input","Missing"),"Missing")))</f>
        <v>OK stock</v>
      </c>
      <c r="L163" s="301" t="str">
        <v>Lacquer (prof) indoor (discarded)</v>
      </c>
      <c r="M163" s="306"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Lifetimes!FL1</f>
        <v>0</v>
      </c>
      <c r="R163" t="str">
        <f t="shared" si="6"/>
        <v>OK</v>
      </c>
      <c r="AA163" t="s">
        <v>1890</v>
      </c>
    </row>
    <row r="164" spans="10:27">
      <c r="J164" s="301" t="str">
        <v>Plaster (prof) indoor (discarded)</v>
      </c>
      <c r="K164" s="306" t="str">
        <f>IF(ISBLANK(J164),"",IF(COUNTIF(L:L,J164),IF(_xlfn.XLOOKUP(J164,'Compartments_Kawecki&amp;Nowack19'!A:A,'Compartments_Kawecki&amp;Nowack19'!B:B,_xlfn.XLOOKUP(J164,Compartments_Added!A:A,Compartments_Added!B:B))="Stock","OK stock","OK flow"),IF(COUNTIF($G$4:$G$18,J164),IF(COUNTIF($E$4:$E$18,J164),"OK input","Missing"),"Missing")))</f>
        <v>OK stock</v>
      </c>
      <c r="L164" s="301" t="str">
        <v>Wood stain (prof) outdoor</v>
      </c>
      <c r="M164" s="306"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flow</v>
      </c>
      <c r="N164" s="6"/>
      <c r="O164" s="6"/>
      <c r="P164" s="6"/>
      <c r="Q164">
        <f>Lifetimes!FM1</f>
        <v>0</v>
      </c>
      <c r="R164" t="str">
        <f t="shared" si="6"/>
        <v>OK</v>
      </c>
      <c r="AA164" t="s">
        <v>1891</v>
      </c>
    </row>
    <row r="165" spans="10:27">
      <c r="J165" s="301" t="str">
        <v>Other paint uses (prof)</v>
      </c>
      <c r="K165" s="306" t="str">
        <f>IF(ISBLANK(J165),"",IF(COUNTIF(L:L,J165),IF(_xlfn.XLOOKUP(J165,'Compartments_Kawecki&amp;Nowack19'!A:A,'Compartments_Kawecki&amp;Nowack19'!B:B,_xlfn.XLOOKUP(J165,Compartments_Added!A:A,Compartments_Added!B:B))="Stock","OK stock","OK flow"),IF(COUNTIF($G$4:$G$18,J165),IF(COUNTIF($E$4:$E$18,J165),"OK input","Missing"),"Missing")))</f>
        <v>OK flow</v>
      </c>
      <c r="L165" s="301" t="str">
        <v>Wood stain (prof) indoor</v>
      </c>
      <c r="M165" s="306"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flow</v>
      </c>
      <c r="N165" s="6"/>
      <c r="O165" s="6"/>
      <c r="P165" s="6"/>
      <c r="Q165">
        <f>Lifetimes!FN1</f>
        <v>0</v>
      </c>
      <c r="R165" t="str">
        <f t="shared" si="6"/>
        <v>OK</v>
      </c>
      <c r="AA165" t="s">
        <v>1892</v>
      </c>
    </row>
    <row r="166" spans="10:27">
      <c r="J166" s="301" t="str">
        <v>Other paint uses (prof) outdoor</v>
      </c>
      <c r="K166" s="306" t="str">
        <f>IF(ISBLANK(J166),"",IF(COUNTIF(L:L,J166),IF(_xlfn.XLOOKUP(J166,'Compartments_Kawecki&amp;Nowack19'!A:A,'Compartments_Kawecki&amp;Nowack19'!B:B,_xlfn.XLOOKUP(J166,Compartments_Added!A:A,Compartments_Added!B:B))="Stock","OK stock","OK flow"),IF(COUNTIF($G$4:$G$18,J166),IF(COUNTIF($E$4:$E$18,J166),"OK input","Missing"),"Missing")))</f>
        <v>OK flow</v>
      </c>
      <c r="L166" s="301" t="str">
        <v>Wood stain (prof) outdoor (in use)</v>
      </c>
      <c r="M166" s="306"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Lifetimes!FO1</f>
        <v>0</v>
      </c>
      <c r="R166" t="str">
        <f t="shared" si="6"/>
        <v>OK</v>
      </c>
      <c r="AA166" t="s">
        <v>1893</v>
      </c>
    </row>
    <row r="167" spans="10:27">
      <c r="J167" s="301" t="str">
        <v>Other paint uses (prof) outdoor (in use)</v>
      </c>
      <c r="K167" s="306" t="str">
        <f>IF(ISBLANK(J167),"",IF(COUNTIF(L:L,J167),IF(_xlfn.XLOOKUP(J167,'Compartments_Kawecki&amp;Nowack19'!A:A,'Compartments_Kawecki&amp;Nowack19'!B:B,_xlfn.XLOOKUP(J167,Compartments_Added!A:A,Compartments_Added!B:B))="Stock","OK stock","OK flow"),IF(COUNTIF($G$4:$G$18,J167),IF(COUNTIF($E$4:$E$18,J167),"OK input","Missing"),"Missing")))</f>
        <v>OK stock</v>
      </c>
      <c r="L167" s="301" t="str">
        <v>Wood stain (prof) outdoor (discarded)</v>
      </c>
      <c r="M167" s="306"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stock</v>
      </c>
      <c r="N167" s="6"/>
      <c r="O167" s="6"/>
      <c r="P167" s="6"/>
      <c r="Q167">
        <f>Lifetimes!FP1</f>
        <v>0</v>
      </c>
      <c r="R167" t="str">
        <f t="shared" si="6"/>
        <v>OK</v>
      </c>
      <c r="AA167" t="s">
        <v>1894</v>
      </c>
    </row>
    <row r="168" spans="10:27">
      <c r="J168" s="301" t="str">
        <v>Other paint uses (prof) indoor</v>
      </c>
      <c r="K168" s="306" t="str">
        <f>IF(ISBLANK(J168),"",IF(COUNTIF(L:L,J168),IF(_xlfn.XLOOKUP(J168,'Compartments_Kawecki&amp;Nowack19'!A:A,'Compartments_Kawecki&amp;Nowack19'!B:B,_xlfn.XLOOKUP(J168,Compartments_Added!A:A,Compartments_Added!B:B))="Stock","OK stock","OK flow"),IF(COUNTIF($G$4:$G$18,J168),IF(COUNTIF($E$4:$E$18,J168),"OK input","Missing"),"Missing")))</f>
        <v>OK flow</v>
      </c>
      <c r="L168" s="301" t="str">
        <v>Wood stain (prof) indoor (in use)</v>
      </c>
      <c r="M168" s="306"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stock</v>
      </c>
      <c r="N168" s="6"/>
      <c r="O168" s="6"/>
      <c r="P168" s="6"/>
      <c r="Q168">
        <f>Lifetimes!FQ1</f>
        <v>0</v>
      </c>
      <c r="R168" t="str">
        <f t="shared" si="6"/>
        <v>OK</v>
      </c>
      <c r="AA168" t="s">
        <v>1895</v>
      </c>
    </row>
    <row r="169" spans="10:27">
      <c r="J169" s="301" t="str">
        <v>Other paint uses (prof) indoor (in use)</v>
      </c>
      <c r="K169" s="306" t="str">
        <f>IF(ISBLANK(J169),"",IF(COUNTIF(L:L,J169),IF(_xlfn.XLOOKUP(J169,'Compartments_Kawecki&amp;Nowack19'!A:A,'Compartments_Kawecki&amp;Nowack19'!B:B,_xlfn.XLOOKUP(J169,Compartments_Added!A:A,Compartments_Added!B:B))="Stock","OK stock","OK flow"),IF(COUNTIF($G$4:$G$18,J169),IF(COUNTIF($E$4:$E$18,J169),"OK input","Missing"),"Missing")))</f>
        <v>OK stock</v>
      </c>
      <c r="L169" s="301" t="str">
        <v>Wood stain (prof) indoor (discarded)</v>
      </c>
      <c r="M169" s="306"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1896</v>
      </c>
    </row>
    <row r="170" spans="10:27">
      <c r="J170" s="301" t="str">
        <v>Other paint uses (prof) outdoor (discarded)</v>
      </c>
      <c r="K170" s="306" t="str">
        <f>IF(ISBLANK(J170),"",IF(COUNTIF(L:L,J170),IF(_xlfn.XLOOKUP(J170,'Compartments_Kawecki&amp;Nowack19'!A:A,'Compartments_Kawecki&amp;Nowack19'!B:B,_xlfn.XLOOKUP(J170,Compartments_Added!A:A,Compartments_Added!B:B))="Stock","OK stock","OK flow"),IF(COUNTIF($G$4:$G$18,J170),IF(COUNTIF($E$4:$E$18,J170),"OK input","Missing"),"Missing")))</f>
        <v>OK stock</v>
      </c>
      <c r="L170" s="301" t="str">
        <v>Wall paint (prof) outdoor</v>
      </c>
      <c r="M170" s="306"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flow</v>
      </c>
      <c r="N170" s="7"/>
      <c r="O170" s="6"/>
      <c r="P170" s="6"/>
      <c r="Q170">
        <f>Lifetimes!FS1</f>
        <v>0</v>
      </c>
      <c r="R170" t="str">
        <f t="shared" si="6"/>
        <v>OK</v>
      </c>
      <c r="AA170" t="s">
        <v>1897</v>
      </c>
    </row>
    <row r="171" spans="10:27">
      <c r="J171" s="301" t="str">
        <v>Other paint uses (prof) indoor (discarded)</v>
      </c>
      <c r="K171" s="306" t="str">
        <f>IF(ISBLANK(J171),"",IF(COUNTIF(L:L,J171),IF(_xlfn.XLOOKUP(J171,'Compartments_Kawecki&amp;Nowack19'!A:A,'Compartments_Kawecki&amp;Nowack19'!B:B,_xlfn.XLOOKUP(J171,Compartments_Added!A:A,Compartments_Added!B:B))="Stock","OK stock","OK flow"),IF(COUNTIF($G$4:$G$18,J171),IF(COUNTIF($E$4:$E$18,J171),"OK input","Missing"),"Missing")))</f>
        <v>OK stock</v>
      </c>
      <c r="L171" s="301" t="str">
        <v>Wall paint (prof) indoor</v>
      </c>
      <c r="M171" s="306"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flow</v>
      </c>
      <c r="N171" s="7"/>
      <c r="O171" s="6"/>
      <c r="P171" s="6"/>
      <c r="Q171">
        <f>Lifetimes!FT1</f>
        <v>0</v>
      </c>
      <c r="R171" t="str">
        <f t="shared" si="6"/>
        <v>OK</v>
      </c>
      <c r="AA171" t="s">
        <v>1898</v>
      </c>
    </row>
    <row r="172" spans="10:27">
      <c r="J172" s="301" t="str">
        <v>Paints used in pre-made wooden products</v>
      </c>
      <c r="K172" s="306" t="str">
        <f>IF(ISBLANK(J172),"",IF(COUNTIF(L:L,J172),IF(_xlfn.XLOOKUP(J172,'Compartments_Kawecki&amp;Nowack19'!A:A,'Compartments_Kawecki&amp;Nowack19'!B:B,_xlfn.XLOOKUP(J172,Compartments_Added!A:A,Compartments_Added!B:B))="Stock","OK stock","OK flow"),IF(COUNTIF($G$4:$G$18,J172),IF(COUNTIF($E$4:$E$18,J172),"OK input","Missing"),"Missing")))</f>
        <v>OK flow</v>
      </c>
      <c r="L172" s="301" t="str">
        <v>Wall paint (prof) outdoor (in use)</v>
      </c>
      <c r="M172" s="306"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Lifetimes!FU1</f>
        <v>0</v>
      </c>
      <c r="R172" t="str">
        <f t="shared" si="6"/>
        <v>OK</v>
      </c>
      <c r="AA172" t="s">
        <v>1899</v>
      </c>
    </row>
    <row r="173" spans="10:27">
      <c r="J173" s="301" t="str">
        <v>Paints used in pre-made wooden products outdoor</v>
      </c>
      <c r="K173" s="306" t="str">
        <f>IF(ISBLANK(J173),"",IF(COUNTIF(L:L,J173),IF(_xlfn.XLOOKUP(J173,'Compartments_Kawecki&amp;Nowack19'!A:A,'Compartments_Kawecki&amp;Nowack19'!B:B,_xlfn.XLOOKUP(J173,Compartments_Added!A:A,Compartments_Added!B:B))="Stock","OK stock","OK flow"),IF(COUNTIF($G$4:$G$18,J173),IF(COUNTIF($E$4:$E$18,J173),"OK input","Missing"),"Missing")))</f>
        <v>OK flow</v>
      </c>
      <c r="L173" s="301" t="str">
        <v>Wall paint (prof) outdoor (discarded)</v>
      </c>
      <c r="M173" s="306"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stock</v>
      </c>
      <c r="N173" s="7"/>
      <c r="O173" s="6"/>
      <c r="P173" s="6"/>
      <c r="Q173">
        <f>Lifetimes!FV1</f>
        <v>0</v>
      </c>
      <c r="R173" t="str">
        <f t="shared" si="6"/>
        <v>OK</v>
      </c>
      <c r="AA173" t="s">
        <v>1900</v>
      </c>
    </row>
    <row r="174" spans="10:27">
      <c r="J174" s="301" t="str">
        <v>Paints used in pre-made wooden products outdoor (in use)</v>
      </c>
      <c r="K174" s="306" t="str">
        <f>IF(ISBLANK(J174),"",IF(COUNTIF(L:L,J174),IF(_xlfn.XLOOKUP(J174,'Compartments_Kawecki&amp;Nowack19'!A:A,'Compartments_Kawecki&amp;Nowack19'!B:B,_xlfn.XLOOKUP(J174,Compartments_Added!A:A,Compartments_Added!B:B))="Stock","OK stock","OK flow"),IF(COUNTIF($G$4:$G$18,J174),IF(COUNTIF($E$4:$E$18,J174),"OK input","Missing"),"Missing")))</f>
        <v>OK stock</v>
      </c>
      <c r="L174" s="301" t="str">
        <v>Wall paint (prof) indoor (in use)</v>
      </c>
      <c r="M174" s="306"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stock</v>
      </c>
      <c r="N174" s="7"/>
      <c r="O174" s="6"/>
      <c r="P174" s="6"/>
      <c r="Q174">
        <f>Lifetimes!FW1</f>
        <v>0</v>
      </c>
      <c r="R174" t="str">
        <f t="shared" si="6"/>
        <v>OK</v>
      </c>
      <c r="AA174" t="s">
        <v>1901</v>
      </c>
    </row>
    <row r="175" spans="10:27">
      <c r="J175" s="301" t="str">
        <v>Paints used in pre-made wooden products indoor</v>
      </c>
      <c r="K175" s="306" t="str">
        <f>IF(ISBLANK(J175),"",IF(COUNTIF(L:L,J175),IF(_xlfn.XLOOKUP(J175,'Compartments_Kawecki&amp;Nowack19'!A:A,'Compartments_Kawecki&amp;Nowack19'!B:B,_xlfn.XLOOKUP(J175,Compartments_Added!A:A,Compartments_Added!B:B))="Stock","OK stock","OK flow"),IF(COUNTIF($G$4:$G$18,J175),IF(COUNTIF($E$4:$E$18,J175),"OK input","Missing"),"Missing")))</f>
        <v>OK flow</v>
      </c>
      <c r="L175" s="301" t="str">
        <v>Wall paint (prof) indoor (discarded)</v>
      </c>
      <c r="M175" s="306"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1902</v>
      </c>
    </row>
    <row r="176" spans="10:27">
      <c r="J176" s="301" t="str">
        <v>Paints used in pre-made wooden products indoor (in use)</v>
      </c>
      <c r="K176" s="306" t="str">
        <f>IF(ISBLANK(J176),"",IF(COUNTIF(L:L,J176),IF(_xlfn.XLOOKUP(J176,'Compartments_Kawecki&amp;Nowack19'!A:A,'Compartments_Kawecki&amp;Nowack19'!B:B,_xlfn.XLOOKUP(J176,Compartments_Added!A:A,Compartments_Added!B:B))="Stock","OK stock","OK flow"),IF(COUNTIF($G$4:$G$18,J176),IF(COUNTIF($E$4:$E$18,J176),"OK input","Missing"),"Missing")))</f>
        <v>OK stock</v>
      </c>
      <c r="L176" s="301" t="str">
        <v>Plaster (prof) outdoor</v>
      </c>
      <c r="M176" s="306"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flow</v>
      </c>
      <c r="N176" s="7"/>
      <c r="O176" s="6"/>
      <c r="P176" s="6"/>
      <c r="Q176">
        <f>Lifetimes!FY1</f>
        <v>0</v>
      </c>
      <c r="R176" t="str">
        <f t="shared" si="6"/>
        <v>OK</v>
      </c>
      <c r="AA176" t="s">
        <v>1903</v>
      </c>
    </row>
    <row r="177" spans="10:27">
      <c r="J177" s="301" t="str">
        <v>Paints used in pre-made wooden products outdoor (discarded)</v>
      </c>
      <c r="K177" s="306" t="str">
        <f>IF(ISBLANK(J177),"",IF(COUNTIF(L:L,J177),IF(_xlfn.XLOOKUP(J177,'Compartments_Kawecki&amp;Nowack19'!A:A,'Compartments_Kawecki&amp;Nowack19'!B:B,_xlfn.XLOOKUP(J177,Compartments_Added!A:A,Compartments_Added!B:B))="Stock","OK stock","OK flow"),IF(COUNTIF($G$4:$G$18,J177),IF(COUNTIF($E$4:$E$18,J177),"OK input","Missing"),"Missing")))</f>
        <v>OK stock</v>
      </c>
      <c r="L177" s="301" t="str">
        <v>Plaster (prof) indoor</v>
      </c>
      <c r="M177" s="306"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flow</v>
      </c>
      <c r="N177" s="7"/>
      <c r="O177" s="6"/>
      <c r="P177" s="6"/>
      <c r="Q177">
        <f>Lifetimes!FZ1</f>
        <v>0</v>
      </c>
      <c r="R177" t="str">
        <f t="shared" si="6"/>
        <v>OK</v>
      </c>
      <c r="AA177" t="s">
        <v>1904</v>
      </c>
    </row>
    <row r="178" spans="10:27">
      <c r="J178" s="301" t="str">
        <v>Paints used in pre-made wooden products indoor (discarded)</v>
      </c>
      <c r="K178" s="306" t="str">
        <f>IF(ISBLANK(J178),"",IF(COUNTIF(L:L,J178),IF(_xlfn.XLOOKUP(J178,'Compartments_Kawecki&amp;Nowack19'!A:A,'Compartments_Kawecki&amp;Nowack19'!B:B,_xlfn.XLOOKUP(J178,Compartments_Added!A:A,Compartments_Added!B:B))="Stock","OK stock","OK flow"),IF(COUNTIF($G$4:$G$18,J178),IF(COUNTIF($E$4:$E$18,J178),"OK input","Missing"),"Missing")))</f>
        <v>OK stock</v>
      </c>
      <c r="L178" s="301" t="str">
        <v>Plaster (prof) outdoor (in use)</v>
      </c>
      <c r="M178" s="306"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Lifetimes!GA1</f>
        <v>0</v>
      </c>
      <c r="R178" t="str">
        <f t="shared" si="6"/>
        <v>OK</v>
      </c>
      <c r="AA178" t="s">
        <v>1905</v>
      </c>
    </row>
    <row r="179" spans="10:27">
      <c r="J179" s="301" t="str">
        <v>Lacquer (DIY)</v>
      </c>
      <c r="K179" s="306" t="str">
        <f>IF(ISBLANK(J179),"",IF(COUNTIF(L:L,J179),IF(_xlfn.XLOOKUP(J179,'Compartments_Kawecki&amp;Nowack19'!A:A,'Compartments_Kawecki&amp;Nowack19'!B:B,_xlfn.XLOOKUP(J179,Compartments_Added!A:A,Compartments_Added!B:B))="Stock","OK stock","OK flow"),IF(COUNTIF($G$4:$G$18,J179),IF(COUNTIF($E$4:$E$18,J179),"OK input","Missing"),"Missing")))</f>
        <v>OK flow</v>
      </c>
      <c r="L179" s="301" t="str">
        <v>Plaster (prof) outdoor (discarded)</v>
      </c>
      <c r="M179" s="306"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stock</v>
      </c>
      <c r="N179" s="7"/>
      <c r="O179" s="6"/>
      <c r="P179" s="6"/>
      <c r="Q179">
        <f>Lifetimes!GB1</f>
        <v>0</v>
      </c>
      <c r="R179" t="str">
        <f t="shared" si="6"/>
        <v>OK</v>
      </c>
      <c r="AA179" t="s">
        <v>1906</v>
      </c>
    </row>
    <row r="180" spans="10:27">
      <c r="J180" s="301" t="str">
        <v>Lacquer (DIY) outdoor</v>
      </c>
      <c r="K180" s="306" t="str">
        <f>IF(ISBLANK(J180),"",IF(COUNTIF(L:L,J180),IF(_xlfn.XLOOKUP(J180,'Compartments_Kawecki&amp;Nowack19'!A:A,'Compartments_Kawecki&amp;Nowack19'!B:B,_xlfn.XLOOKUP(J180,Compartments_Added!A:A,Compartments_Added!B:B))="Stock","OK stock","OK flow"),IF(COUNTIF($G$4:$G$18,J180),IF(COUNTIF($E$4:$E$18,J180),"OK input","Missing"),"Missing")))</f>
        <v>OK flow</v>
      </c>
      <c r="L180" s="301" t="str">
        <v>Plaster (prof) indoor (in use)</v>
      </c>
      <c r="M180" s="306"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stock</v>
      </c>
      <c r="N180" s="7"/>
      <c r="O180" s="6"/>
      <c r="P180" s="6"/>
      <c r="Q180">
        <f>Lifetimes!GC1</f>
        <v>0</v>
      </c>
      <c r="R180" t="str">
        <f t="shared" si="6"/>
        <v>OK</v>
      </c>
      <c r="AA180" t="s">
        <v>1907</v>
      </c>
    </row>
    <row r="181" spans="10:27">
      <c r="J181" s="301" t="str">
        <v>Lacquer (DIY) outdoor (in use)</v>
      </c>
      <c r="K181" s="306" t="str">
        <f>IF(ISBLANK(J181),"",IF(COUNTIF(L:L,J181),IF(_xlfn.XLOOKUP(J181,'Compartments_Kawecki&amp;Nowack19'!A:A,'Compartments_Kawecki&amp;Nowack19'!B:B,_xlfn.XLOOKUP(J181,Compartments_Added!A:A,Compartments_Added!B:B))="Stock","OK stock","OK flow"),IF(COUNTIF($G$4:$G$18,J181),IF(COUNTIF($E$4:$E$18,J181),"OK input","Missing"),"Missing")))</f>
        <v>OK stock</v>
      </c>
      <c r="L181" s="301" t="str">
        <v>Plaster (prof) indoor (discarded)</v>
      </c>
      <c r="M181" s="306"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Lifetimes!GD1</f>
        <v>0</v>
      </c>
      <c r="R181" t="str">
        <f t="shared" si="6"/>
        <v>OK</v>
      </c>
      <c r="AA181" t="s">
        <v>1908</v>
      </c>
    </row>
    <row r="182" spans="10:27">
      <c r="J182" s="301" t="str">
        <v>Lacquer (DIY) indoor</v>
      </c>
      <c r="K182" s="306" t="str">
        <f>IF(ISBLANK(J182),"",IF(COUNTIF(L:L,J182),IF(_xlfn.XLOOKUP(J182,'Compartments_Kawecki&amp;Nowack19'!A:A,'Compartments_Kawecki&amp;Nowack19'!B:B,_xlfn.XLOOKUP(J182,Compartments_Added!A:A,Compartments_Added!B:B))="Stock","OK stock","OK flow"),IF(COUNTIF($G$4:$G$18,J182),IF(COUNTIF($E$4:$E$18,J182),"OK input","Missing"),"Missing")))</f>
        <v>OK flow</v>
      </c>
      <c r="L182" s="301" t="str">
        <v>Other paint uses (prof) outdoor</v>
      </c>
      <c r="M182" s="306"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flow</v>
      </c>
      <c r="N182" s="7"/>
      <c r="O182" s="6"/>
      <c r="P182" s="6"/>
      <c r="Q182">
        <f>Lifetimes!GE1</f>
        <v>0</v>
      </c>
      <c r="R182" t="str">
        <f t="shared" si="6"/>
        <v>OK</v>
      </c>
      <c r="AA182" t="s">
        <v>1909</v>
      </c>
    </row>
    <row r="183" spans="10:27">
      <c r="J183" s="301" t="str">
        <v>Lacquer (DIY) indoor (in use)</v>
      </c>
      <c r="K183" s="306" t="str">
        <f>IF(ISBLANK(J183),"",IF(COUNTIF(L:L,J183),IF(_xlfn.XLOOKUP(J183,'Compartments_Kawecki&amp;Nowack19'!A:A,'Compartments_Kawecki&amp;Nowack19'!B:B,_xlfn.XLOOKUP(J183,Compartments_Added!A:A,Compartments_Added!B:B))="Stock","OK stock","OK flow"),IF(COUNTIF($G$4:$G$18,J183),IF(COUNTIF($E$4:$E$18,J183),"OK input","Missing"),"Missing")))</f>
        <v>OK stock</v>
      </c>
      <c r="L183" s="301" t="str">
        <v>Other paint uses (prof) indoor</v>
      </c>
      <c r="M183" s="306"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flow</v>
      </c>
      <c r="N183" s="7"/>
      <c r="O183" s="6"/>
      <c r="P183" s="6"/>
      <c r="Q183">
        <f>Lifetimes!GF1</f>
        <v>0</v>
      </c>
      <c r="R183" t="str">
        <f t="shared" si="6"/>
        <v>OK</v>
      </c>
      <c r="AA183" t="s">
        <v>1910</v>
      </c>
    </row>
    <row r="184" spans="10:27">
      <c r="J184" s="301" t="str">
        <v>Lacquer (DIY) outdoor (discarded)</v>
      </c>
      <c r="K184" s="306" t="str">
        <f>IF(ISBLANK(J184),"",IF(COUNTIF(L:L,J184),IF(_xlfn.XLOOKUP(J184,'Compartments_Kawecki&amp;Nowack19'!A:A,'Compartments_Kawecki&amp;Nowack19'!B:B,_xlfn.XLOOKUP(J184,Compartments_Added!A:A,Compartments_Added!B:B))="Stock","OK stock","OK flow"),IF(COUNTIF($G$4:$G$18,J184),IF(COUNTIF($E$4:$E$18,J184),"OK input","Missing"),"Missing")))</f>
        <v>OK stock</v>
      </c>
      <c r="L184" s="301" t="str">
        <v>Other paint uses (prof) outdoor (in use)</v>
      </c>
      <c r="M184" s="306"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Lifetimes!GG1</f>
        <v>0</v>
      </c>
      <c r="R184" t="str">
        <f t="shared" si="6"/>
        <v>OK</v>
      </c>
      <c r="AA184" t="s">
        <v>1911</v>
      </c>
    </row>
    <row r="185" spans="10:27">
      <c r="J185" s="301" t="str">
        <v>Lacquer (DIY) indoor (discarded)</v>
      </c>
      <c r="K185" s="306" t="str">
        <f>IF(ISBLANK(J185),"",IF(COUNTIF(L:L,J185),IF(_xlfn.XLOOKUP(J185,'Compartments_Kawecki&amp;Nowack19'!A:A,'Compartments_Kawecki&amp;Nowack19'!B:B,_xlfn.XLOOKUP(J185,Compartments_Added!A:A,Compartments_Added!B:B))="Stock","OK stock","OK flow"),IF(COUNTIF($G$4:$G$18,J185),IF(COUNTIF($E$4:$E$18,J185),"OK input","Missing"),"Missing")))</f>
        <v>OK stock</v>
      </c>
      <c r="L185" s="301" t="str">
        <v>Other paint uses (prof) outdoor (discarded)</v>
      </c>
      <c r="M185" s="306"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stock</v>
      </c>
      <c r="N185" s="7"/>
      <c r="O185" s="6"/>
      <c r="P185" s="6"/>
      <c r="Q185">
        <f>Lifetimes!GH1</f>
        <v>0</v>
      </c>
      <c r="R185" t="str">
        <f t="shared" si="6"/>
        <v>OK</v>
      </c>
      <c r="AA185" t="s">
        <v>1912</v>
      </c>
    </row>
    <row r="186" spans="10:27">
      <c r="J186" s="301" t="str">
        <v>Wood stain (DIY)</v>
      </c>
      <c r="K186" s="306" t="str">
        <f>IF(ISBLANK(J186),"",IF(COUNTIF(L:L,J186),IF(_xlfn.XLOOKUP(J186,'Compartments_Kawecki&amp;Nowack19'!A:A,'Compartments_Kawecki&amp;Nowack19'!B:B,_xlfn.XLOOKUP(J186,Compartments_Added!A:A,Compartments_Added!B:B))="Stock","OK stock","OK flow"),IF(COUNTIF($G$4:$G$18,J186),IF(COUNTIF($E$4:$E$18,J186),"OK input","Missing"),"Missing")))</f>
        <v>OK flow</v>
      </c>
      <c r="L186" s="301" t="str">
        <v>Other paint uses (prof) indoor (in use)</v>
      </c>
      <c r="M186" s="306"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stock</v>
      </c>
      <c r="N186" s="7"/>
      <c r="O186" s="6"/>
      <c r="P186" s="6"/>
      <c r="Q186">
        <f>Lifetimes!GI1</f>
        <v>0</v>
      </c>
      <c r="R186" t="str">
        <f t="shared" si="6"/>
        <v>OK</v>
      </c>
      <c r="AA186" t="s">
        <v>1913</v>
      </c>
    </row>
    <row r="187" spans="10:27">
      <c r="J187" s="301" t="str">
        <v>Wood stain (DIY) outdoor</v>
      </c>
      <c r="K187" s="306" t="str">
        <f>IF(ISBLANK(J187),"",IF(COUNTIF(L:L,J187),IF(_xlfn.XLOOKUP(J187,'Compartments_Kawecki&amp;Nowack19'!A:A,'Compartments_Kawecki&amp;Nowack19'!B:B,_xlfn.XLOOKUP(J187,Compartments_Added!A:A,Compartments_Added!B:B))="Stock","OK stock","OK flow"),IF(COUNTIF($G$4:$G$18,J187),IF(COUNTIF($E$4:$E$18,J187),"OK input","Missing"),"Missing")))</f>
        <v>OK flow</v>
      </c>
      <c r="L187" s="301" t="str">
        <v>Other paint uses (prof) indoor (discarded)</v>
      </c>
      <c r="M187" s="306"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Lifetimes!GJ1</f>
        <v>0</v>
      </c>
      <c r="R187" t="str">
        <f t="shared" si="6"/>
        <v>OK</v>
      </c>
      <c r="AA187" t="s">
        <v>1914</v>
      </c>
    </row>
    <row r="188" spans="10:27">
      <c r="J188" s="301" t="str">
        <v>Wood stain (DIY) outdoor (in use)</v>
      </c>
      <c r="K188" s="306" t="str">
        <f>IF(ISBLANK(J188),"",IF(COUNTIF(L:L,J188),IF(_xlfn.XLOOKUP(J188,'Compartments_Kawecki&amp;Nowack19'!A:A,'Compartments_Kawecki&amp;Nowack19'!B:B,_xlfn.XLOOKUP(J188,Compartments_Added!A:A,Compartments_Added!B:B))="Stock","OK stock","OK flow"),IF(COUNTIF($G$4:$G$18,J188),IF(COUNTIF($E$4:$E$18,J188),"OK input","Missing"),"Missing")))</f>
        <v>OK stock</v>
      </c>
      <c r="L188" s="301" t="str">
        <v>Paints used in pre-made wooden products outdoor</v>
      </c>
      <c r="M188" s="306"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flow</v>
      </c>
      <c r="N188" s="7"/>
      <c r="O188" s="6"/>
      <c r="P188" s="6"/>
      <c r="Q188">
        <f>Lifetimes!GK1</f>
        <v>0</v>
      </c>
      <c r="R188" t="str">
        <f t="shared" si="6"/>
        <v>OK</v>
      </c>
      <c r="AA188" t="s">
        <v>1915</v>
      </c>
    </row>
    <row r="189" spans="10:27">
      <c r="J189" s="301" t="str">
        <v>Wood stain (DIY) indoor</v>
      </c>
      <c r="K189" s="306" t="str">
        <f>IF(ISBLANK(J189),"",IF(COUNTIF(L:L,J189),IF(_xlfn.XLOOKUP(J189,'Compartments_Kawecki&amp;Nowack19'!A:A,'Compartments_Kawecki&amp;Nowack19'!B:B,_xlfn.XLOOKUP(J189,Compartments_Added!A:A,Compartments_Added!B:B))="Stock","OK stock","OK flow"),IF(COUNTIF($G$4:$G$18,J189),IF(COUNTIF($E$4:$E$18,J189),"OK input","Missing"),"Missing")))</f>
        <v>OK flow</v>
      </c>
      <c r="L189" s="301" t="str">
        <v>Paints used in pre-made wooden products indoor</v>
      </c>
      <c r="M189" s="306"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flow</v>
      </c>
      <c r="N189" s="7"/>
      <c r="O189" s="6"/>
      <c r="P189" s="6"/>
      <c r="Q189">
        <f>Lifetimes!GL1</f>
        <v>0</v>
      </c>
      <c r="R189" t="str">
        <f t="shared" si="6"/>
        <v>OK</v>
      </c>
      <c r="AA189" t="s">
        <v>1916</v>
      </c>
    </row>
    <row r="190" spans="10:27">
      <c r="J190" s="335" t="str">
        <v>Wood stain (DIY) indoor (in use)</v>
      </c>
      <c r="K190" s="306" t="str">
        <f>IF(ISBLANK(J190),"",IF(COUNTIF(L:L,J190),IF(_xlfn.XLOOKUP(J190,'Compartments_Kawecki&amp;Nowack19'!A:A,'Compartments_Kawecki&amp;Nowack19'!B:B,_xlfn.XLOOKUP(J190,Compartments_Added!A:A,Compartments_Added!B:B))="Stock","OK stock","OK flow"),IF(COUNTIF($G$4:$G$18,J190),IF(COUNTIF($E$4:$E$18,J190),"OK input","Missing"),"Missing")))</f>
        <v>OK stock</v>
      </c>
      <c r="L190" s="97" t="str">
        <v>Paints used in pre-made wooden products outdoor (in use)</v>
      </c>
      <c r="M190" s="306"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Lifetimes!GM1</f>
        <v>0</v>
      </c>
      <c r="R190" t="str">
        <f t="shared" si="6"/>
        <v>OK</v>
      </c>
      <c r="AA190" t="s">
        <v>1917</v>
      </c>
    </row>
    <row r="191" spans="10:27">
      <c r="J191" s="335" t="str">
        <v>Wood stain (DIY) outdoor (discarded)</v>
      </c>
      <c r="K191" s="306"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Paints used in pre-made wooden products outdoor (discarded)</v>
      </c>
      <c r="M191" s="306"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stock</v>
      </c>
      <c r="N191" s="7"/>
      <c r="O191" s="6"/>
      <c r="P191" s="6"/>
      <c r="Q191">
        <f>Lifetimes!GN1</f>
        <v>0</v>
      </c>
      <c r="R191" t="str">
        <f t="shared" si="6"/>
        <v>OK</v>
      </c>
      <c r="AA191" t="s">
        <v>1918</v>
      </c>
    </row>
    <row r="192" spans="10:27">
      <c r="J192" s="336" t="str">
        <v>Wood stain (DIY) indoor (discarded)</v>
      </c>
      <c r="K192" s="306" t="str">
        <f>IF(ISBLANK(J192),"",IF(COUNTIF(L:L,J192),IF(_xlfn.XLOOKUP(J192,'Compartments_Kawecki&amp;Nowack19'!A:A,'Compartments_Kawecki&amp;Nowack19'!B:B,_xlfn.XLOOKUP(J192,Compartments_Added!A:A,Compartments_Added!B:B))="Stock","OK stock","OK flow"),IF(COUNTIF($G$4:$G$18,J192),IF(COUNTIF($E$4:$E$18,J192),"OK input","Missing"),"Missing")))</f>
        <v>OK stock</v>
      </c>
      <c r="L192" s="97" t="str">
        <v>Paints used in pre-made wooden products indoor (in use)</v>
      </c>
      <c r="M192" s="306"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stock</v>
      </c>
      <c r="N192" s="7"/>
      <c r="O192" s="6"/>
      <c r="P192" s="6"/>
      <c r="Q192">
        <f>Lifetimes!GO1</f>
        <v>0</v>
      </c>
      <c r="R192" t="str">
        <f t="shared" si="6"/>
        <v>OK</v>
      </c>
      <c r="AA192" t="s">
        <v>1919</v>
      </c>
    </row>
    <row r="193" spans="10:27">
      <c r="J193" s="335" t="str">
        <v>Wall paint (DIY)</v>
      </c>
      <c r="K193" s="306" t="str">
        <f>IF(ISBLANK(J193),"",IF(COUNTIF(L:L,J193),IF(_xlfn.XLOOKUP(J193,'Compartments_Kawecki&amp;Nowack19'!A:A,'Compartments_Kawecki&amp;Nowack19'!B:B,_xlfn.XLOOKUP(J193,Compartments_Added!A:A,Compartments_Added!B:B))="Stock","OK stock","OK flow"),IF(COUNTIF($G$4:$G$18,J193),IF(COUNTIF($E$4:$E$18,J193),"OK input","Missing"),"Missing")))</f>
        <v>OK flow</v>
      </c>
      <c r="L193" s="97" t="str">
        <v>Paints used in pre-made wooden products indoor (discarded)</v>
      </c>
      <c r="M193" s="306"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Lifetimes!GP1</f>
        <v>0</v>
      </c>
      <c r="R193" t="str">
        <f t="shared" si="6"/>
        <v>OK</v>
      </c>
      <c r="AA193" t="s">
        <v>1920</v>
      </c>
    </row>
    <row r="194" spans="10:27">
      <c r="J194" s="335" t="str">
        <v>Wall paint (DIY) outdoor</v>
      </c>
      <c r="K194" s="306" t="str">
        <f>IF(ISBLANK(J194),"",IF(COUNTIF(L:L,J194),IF(_xlfn.XLOOKUP(J194,'Compartments_Kawecki&amp;Nowack19'!A:A,'Compartments_Kawecki&amp;Nowack19'!B:B,_xlfn.XLOOKUP(J194,Compartments_Added!A:A,Compartments_Added!B:B))="Stock","OK stock","OK flow"),IF(COUNTIF($G$4:$G$18,J194),IF(COUNTIF($E$4:$E$18,J194),"OK input","Missing"),"Missing")))</f>
        <v>OK flow</v>
      </c>
      <c r="L194" s="97" t="str">
        <v>Lacquer (DIY) outdoor</v>
      </c>
      <c r="M194" s="306"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flow</v>
      </c>
      <c r="N194" s="7"/>
      <c r="O194" s="6"/>
      <c r="P194" s="6"/>
      <c r="Q194">
        <f>Lifetimes!GQ1</f>
        <v>0</v>
      </c>
      <c r="R194" t="str">
        <f t="shared" si="6"/>
        <v>OK</v>
      </c>
      <c r="AA194" t="s">
        <v>1921</v>
      </c>
    </row>
    <row r="195" spans="10:27">
      <c r="J195" s="335" t="str">
        <v>Wall paint (DIY) outdoor (in use)</v>
      </c>
      <c r="K195" s="306" t="str">
        <f>IF(ISBLANK(J195),"",IF(COUNTIF(L:L,J195),IF(_xlfn.XLOOKUP(J195,'Compartments_Kawecki&amp;Nowack19'!A:A,'Compartments_Kawecki&amp;Nowack19'!B:B,_xlfn.XLOOKUP(J195,Compartments_Added!A:A,Compartments_Added!B:B))="Stock","OK stock","OK flow"),IF(COUNTIF($G$4:$G$18,J195),IF(COUNTIF($E$4:$E$18,J195),"OK input","Missing"),"Missing")))</f>
        <v>OK stock</v>
      </c>
      <c r="L195" s="97" t="str">
        <v>Lacquer (DIY) indoor</v>
      </c>
      <c r="M195" s="306"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flow</v>
      </c>
      <c r="N195" s="7"/>
      <c r="O195" s="6"/>
      <c r="P195" s="6"/>
      <c r="Q195">
        <f>Lifetimes!GR1</f>
        <v>0</v>
      </c>
      <c r="R195" t="str">
        <f t="shared" si="6"/>
        <v>OK</v>
      </c>
      <c r="AA195" t="s">
        <v>1922</v>
      </c>
    </row>
    <row r="196" spans="10:27">
      <c r="J196" s="335" t="str">
        <v>Wall paint (DIY) indoor</v>
      </c>
      <c r="K196" s="306"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Lacquer (DIY) outdoor (in use)</v>
      </c>
      <c r="M196" s="306"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Lifetimes!GS1</f>
        <v>0</v>
      </c>
      <c r="R196" t="str">
        <f t="shared" si="6"/>
        <v>OK</v>
      </c>
      <c r="AA196" t="s">
        <v>1923</v>
      </c>
    </row>
    <row r="197" spans="10:27">
      <c r="J197" s="335" t="str">
        <v>Wall paint (DIY) indoor applied</v>
      </c>
      <c r="K197" s="306" t="str">
        <f>IF(ISBLANK(J197),"",IF(COUNTIF(L:L,J197),IF(_xlfn.XLOOKUP(J197,'Compartments_Kawecki&amp;Nowack19'!A:A,'Compartments_Kawecki&amp;Nowack19'!B:B,_xlfn.XLOOKUP(J197,Compartments_Added!A:A,Compartments_Added!B:B))="Stock","OK stock","OK flow"),IF(COUNTIF($G$4:$G$18,J197),IF(COUNTIF($E$4:$E$18,J197),"OK input","Missing"),"Missing")))</f>
        <v>OK flow</v>
      </c>
      <c r="L197" s="335" t="str">
        <v>Lacquer (DIY) outdoor (discarded)</v>
      </c>
      <c r="M197" s="306"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stock</v>
      </c>
      <c r="N197" s="7"/>
      <c r="O197" s="6"/>
      <c r="P197" s="6"/>
      <c r="Q197">
        <f>Lifetimes!GT1</f>
        <v>0</v>
      </c>
      <c r="R197" t="str">
        <f t="shared" ref="R197:R235" si="7">IF(COUNTIF(P:P,Q197), "OK", "Missing")</f>
        <v>OK</v>
      </c>
      <c r="AA197" t="s">
        <v>1924</v>
      </c>
    </row>
    <row r="198" spans="10:27">
      <c r="J198" s="335" t="str">
        <v>Wall paint (DIY) indoor applied (in use)</v>
      </c>
      <c r="K198" s="306" t="str">
        <f>IF(ISBLANK(J198),"",IF(COUNTIF(L:L,J198),IF(_xlfn.XLOOKUP(J198,'Compartments_Kawecki&amp;Nowack19'!A:A,'Compartments_Kawecki&amp;Nowack19'!B:B,_xlfn.XLOOKUP(J198,Compartments_Added!A:A,Compartments_Added!B:B))="Stock","OK stock","OK flow"),IF(COUNTIF($G$4:$G$18,J198),IF(COUNTIF($E$4:$E$18,J198),"OK input","Missing"),"Missing")))</f>
        <v>OK stock</v>
      </c>
      <c r="L198" s="336" t="str">
        <v>Lacquer (DIY) indoor (in use)</v>
      </c>
      <c r="M198" s="306"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stock</v>
      </c>
      <c r="N198" s="7"/>
      <c r="O198" s="6"/>
      <c r="P198" s="6"/>
      <c r="Q198">
        <f>Lifetimes!GU1</f>
        <v>0</v>
      </c>
      <c r="R198" t="str">
        <f t="shared" si="7"/>
        <v>OK</v>
      </c>
      <c r="AA198" t="s">
        <v>1925</v>
      </c>
    </row>
    <row r="199" spans="10:27">
      <c r="J199" s="335" t="str">
        <v>Wall paint (DIY) indoor on brush</v>
      </c>
      <c r="K199" s="306"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Lacquer (DIY) indoor (discarded)</v>
      </c>
      <c r="M199" s="306"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Lifetimes!GV1</f>
        <v>0</v>
      </c>
      <c r="R199" t="str">
        <f t="shared" si="7"/>
        <v>OK</v>
      </c>
      <c r="AA199" t="s">
        <v>1926</v>
      </c>
    </row>
    <row r="200" spans="10:27">
      <c r="J200" s="335" t="str">
        <v>Wall paint (DIY) outdoor (discarded)</v>
      </c>
      <c r="K200" s="306"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Wood stain (DIY) outdoor</v>
      </c>
      <c r="M200" s="306"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flow</v>
      </c>
      <c r="N200" s="7"/>
      <c r="Q200">
        <f>Lifetimes!GW1</f>
        <v>0</v>
      </c>
      <c r="R200" t="str">
        <f t="shared" si="7"/>
        <v>OK</v>
      </c>
      <c r="AA200" t="s">
        <v>1927</v>
      </c>
    </row>
    <row r="201" spans="10:27">
      <c r="J201" s="335" t="str">
        <v>Wall paint (DIY) indoor applied (discarded)</v>
      </c>
      <c r="K201" s="306" t="str">
        <f>IF(ISBLANK(J201),"",IF(COUNTIF(L:L,J201),IF(_xlfn.XLOOKUP(J201,'Compartments_Kawecki&amp;Nowack19'!A:A,'Compartments_Kawecki&amp;Nowack19'!B:B,_xlfn.XLOOKUP(J201,Compartments_Added!A:A,Compartments_Added!B:B))="Stock","OK stock","OK flow"),IF(COUNTIF($G$4:$G$18,J201),IF(COUNTIF($E$4:$E$18,J201),"OK input","Missing"),"Missing")))</f>
        <v>OK stock</v>
      </c>
      <c r="L201" s="97" t="str">
        <v>Wood stain (DIY) indoor</v>
      </c>
      <c r="M201" s="306"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flow</v>
      </c>
      <c r="N201" s="7"/>
      <c r="Q201">
        <f>Lifetimes!GX1</f>
        <v>0</v>
      </c>
      <c r="R201" t="str">
        <f t="shared" si="7"/>
        <v>OK</v>
      </c>
      <c r="AA201" t="s">
        <v>1928</v>
      </c>
    </row>
    <row r="202" spans="10:27">
      <c r="J202" s="335" t="str">
        <v>Plaster (DIY)</v>
      </c>
      <c r="K202" s="306"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Wood stain (DIY) outdoor (in use)</v>
      </c>
      <c r="M202" s="306"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Lifetimes!GY1</f>
        <v>0</v>
      </c>
      <c r="R202" t="str">
        <f t="shared" si="7"/>
        <v>OK</v>
      </c>
      <c r="AA202" t="s">
        <v>1929</v>
      </c>
    </row>
    <row r="203" spans="10:27">
      <c r="J203" s="335" t="str">
        <v>Plaster (DIY) outdoor</v>
      </c>
      <c r="K203" s="306" t="str">
        <f>IF(ISBLANK(J203),"",IF(COUNTIF(L:L,J203),IF(_xlfn.XLOOKUP(J203,'Compartments_Kawecki&amp;Nowack19'!A:A,'Compartments_Kawecki&amp;Nowack19'!B:B,_xlfn.XLOOKUP(J203,Compartments_Added!A:A,Compartments_Added!B:B))="Stock","OK stock","OK flow"),IF(COUNTIF($G$4:$G$18,J203),IF(COUNTIF($E$4:$E$18,J203),"OK input","Missing"),"Missing")))</f>
        <v>OK flow</v>
      </c>
      <c r="L203" s="97" t="str">
        <v>Wood stain (DIY) outdoor (discarded)</v>
      </c>
      <c r="M203" s="306"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stock</v>
      </c>
      <c r="N203" s="7"/>
      <c r="Q203">
        <f>Lifetimes!GZ1</f>
        <v>0</v>
      </c>
      <c r="R203" t="str">
        <f t="shared" si="7"/>
        <v>OK</v>
      </c>
      <c r="AA203" t="s">
        <v>1930</v>
      </c>
    </row>
    <row r="204" spans="10:27">
      <c r="J204" s="335" t="str">
        <v>Plaster (DIY) outdoor (in use)</v>
      </c>
      <c r="K204" s="306"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Wood stain (DIY) indoor (in use)</v>
      </c>
      <c r="M204" s="306"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stock</v>
      </c>
      <c r="N204" s="7"/>
      <c r="Q204">
        <f>Lifetimes!HA1</f>
        <v>0</v>
      </c>
      <c r="R204" t="str">
        <f t="shared" si="7"/>
        <v>OK</v>
      </c>
      <c r="AA204" t="s">
        <v>1931</v>
      </c>
    </row>
    <row r="205" spans="10:27">
      <c r="J205" s="335" t="str">
        <v>Plaster (DIY) indoor</v>
      </c>
      <c r="K205" s="306"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Wood stain (DIY) indoor (discarded)</v>
      </c>
      <c r="M205" s="306"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1932</v>
      </c>
    </row>
    <row r="206" spans="10:27">
      <c r="J206" s="335" t="str">
        <v>Plaster (DIY) indoor (in use)</v>
      </c>
      <c r="K206" s="306" t="str">
        <f>IF(ISBLANK(J206),"",IF(COUNTIF(L:L,J206),IF(_xlfn.XLOOKUP(J206,'Compartments_Kawecki&amp;Nowack19'!A:A,'Compartments_Kawecki&amp;Nowack19'!B:B,_xlfn.XLOOKUP(J206,Compartments_Added!A:A,Compartments_Added!B:B))="Stock","OK stock","OK flow"),IF(COUNTIF($G$4:$G$18,J206),IF(COUNTIF($E$4:$E$18,J206),"OK input","Missing"),"Missing")))</f>
        <v>OK stock</v>
      </c>
      <c r="L206" s="97" t="str">
        <v>Wall paint (DIY) outdoor</v>
      </c>
      <c r="M206" s="306"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flow</v>
      </c>
      <c r="N206" s="7"/>
      <c r="Q206">
        <f>Lifetimes!HC1</f>
        <v>0</v>
      </c>
      <c r="R206" t="str">
        <f t="shared" si="7"/>
        <v>OK</v>
      </c>
      <c r="AA206" t="s">
        <v>1933</v>
      </c>
    </row>
    <row r="207" spans="10:27">
      <c r="J207" s="335" t="str">
        <v>Plaster (DIY) outdoor (discarded)</v>
      </c>
      <c r="K207" s="306"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Wall paint (DIY) indoor</v>
      </c>
      <c r="M207" s="306"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flow</v>
      </c>
      <c r="N207" s="7"/>
      <c r="Q207">
        <f>Lifetimes!HD1</f>
        <v>0</v>
      </c>
      <c r="R207" t="str">
        <f t="shared" si="7"/>
        <v>OK</v>
      </c>
      <c r="AA207" t="s">
        <v>1934</v>
      </c>
    </row>
    <row r="208" spans="10:27">
      <c r="J208" s="335" t="str">
        <v>Plaster (DIY) indoor (discarded)</v>
      </c>
      <c r="K208" s="306" t="str">
        <f>IF(ISBLANK(J208),"",IF(COUNTIF(L:L,J208),IF(_xlfn.XLOOKUP(J208,'Compartments_Kawecki&amp;Nowack19'!A:A,'Compartments_Kawecki&amp;Nowack19'!B:B,_xlfn.XLOOKUP(J208,Compartments_Added!A:A,Compartments_Added!B:B))="Stock","OK stock","OK flow"),IF(COUNTIF($G$4:$G$18,J208),IF(COUNTIF($E$4:$E$18,J208),"OK input","Missing"),"Missing")))</f>
        <v>OK stock</v>
      </c>
      <c r="L208" s="97" t="str">
        <v>Wall paint (DIY) outdoor (in use)</v>
      </c>
      <c r="M208" s="306"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stock</v>
      </c>
      <c r="N208" s="7"/>
      <c r="Q208">
        <f>Lifetimes!HE1</f>
        <v>0</v>
      </c>
      <c r="R208" t="str">
        <f t="shared" si="7"/>
        <v>OK</v>
      </c>
      <c r="AA208" t="s">
        <v>1935</v>
      </c>
    </row>
    <row r="209" spans="10:27">
      <c r="J209" s="335" t="str">
        <v>Other paint uses (DIY)</v>
      </c>
      <c r="K209" s="306" t="str">
        <f>IF(ISBLANK(J209),"",IF(COUNTIF(L:L,J209),IF(_xlfn.XLOOKUP(J209,'Compartments_Kawecki&amp;Nowack19'!A:A,'Compartments_Kawecki&amp;Nowack19'!B:B,_xlfn.XLOOKUP(J209,Compartments_Added!A:A,Compartments_Added!B:B))="Stock","OK stock","OK flow"),IF(COUNTIF($G$4:$G$18,J209),IF(COUNTIF($E$4:$E$18,J209),"OK input","Missing"),"Missing")))</f>
        <v>OK flow</v>
      </c>
      <c r="L209" s="335" t="str">
        <v>Wall paint (DIY) outdoor (discarded)</v>
      </c>
      <c r="M209" s="306"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stock</v>
      </c>
      <c r="N209" s="7"/>
      <c r="Q209">
        <f>Lifetimes!HF1</f>
        <v>0</v>
      </c>
      <c r="R209" t="str">
        <f t="shared" si="7"/>
        <v>OK</v>
      </c>
      <c r="AA209" t="s">
        <v>1936</v>
      </c>
    </row>
    <row r="210" spans="10:27">
      <c r="J210" s="335" t="str">
        <v>Other paint uses (DIY) outdoor</v>
      </c>
      <c r="K210" s="306" t="str">
        <f>IF(ISBLANK(J210),"",IF(COUNTIF(L:L,J210),IF(_xlfn.XLOOKUP(J210,'Compartments_Kawecki&amp;Nowack19'!A:A,'Compartments_Kawecki&amp;Nowack19'!B:B,_xlfn.XLOOKUP(J210,Compartments_Added!A:A,Compartments_Added!B:B))="Stock","OK stock","OK flow"),IF(COUNTIF($G$4:$G$18,J210),IF(COUNTIF($E$4:$E$18,J210),"OK input","Missing"),"Missing")))</f>
        <v>OK flow</v>
      </c>
      <c r="L210" s="97" t="str">
        <v>Wall paint (DIY) indoor applied</v>
      </c>
      <c r="M210" s="306"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flow</v>
      </c>
      <c r="N210" s="7"/>
      <c r="Q210">
        <f>Lifetimes!HG1</f>
        <v>0</v>
      </c>
      <c r="R210" t="str">
        <f t="shared" si="7"/>
        <v>OK</v>
      </c>
    </row>
    <row r="211" spans="10:27" ht="15.75" thickBot="1">
      <c r="J211" s="304" t="str">
        <v>Other paint uses (DIY) outdoor (in use)</v>
      </c>
      <c r="K211" s="306" t="str">
        <f>IF(ISBLANK(J211),"",IF(COUNTIF(L:L,J211),IF(_xlfn.XLOOKUP(J211,'Compartments_Kawecki&amp;Nowack19'!A:A,'Compartments_Kawecki&amp;Nowack19'!B:B,_xlfn.XLOOKUP(J211,Compartments_Added!A:A,Compartments_Added!B:B))="Stock","OK stock","OK flow"),IF(COUNTIF($G$4:$G$18,J211),IF(COUNTIF($E$4:$E$18,J211),"OK input","Missing"),"Missing")))</f>
        <v>OK stock</v>
      </c>
      <c r="L211" s="304" t="str">
        <v>Wall paint (DIY) indoor on brush</v>
      </c>
      <c r="M211" s="306"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flow</v>
      </c>
      <c r="N211" s="7"/>
      <c r="R211" t="str">
        <f t="shared" si="7"/>
        <v>OK</v>
      </c>
    </row>
    <row r="212" spans="10:27">
      <c r="J212" s="16" t="str">
        <v>Other paint uses (DIY) indoor</v>
      </c>
      <c r="K212" s="306"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Wall paint (DIY) indoor applied (in use)</v>
      </c>
      <c r="M212" s="306"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stock</v>
      </c>
      <c r="N212" s="7"/>
      <c r="R212" t="str">
        <f t="shared" si="7"/>
        <v>OK</v>
      </c>
    </row>
    <row r="213" spans="10:27">
      <c r="J213" s="16" t="str">
        <v>Other paint uses (DIY) indoor (in use)</v>
      </c>
      <c r="K213" s="306" t="str">
        <f>IF(ISBLANK(J213),"",IF(COUNTIF(L:L,J213),IF(_xlfn.XLOOKUP(J213,'Compartments_Kawecki&amp;Nowack19'!A:A,'Compartments_Kawecki&amp;Nowack19'!B:B,_xlfn.XLOOKUP(J213,Compartments_Added!A:A,Compartments_Added!B:B))="Stock","OK stock","OK flow"),IF(COUNTIF($G$4:$G$18,J213),IF(COUNTIF($E$4:$E$18,J213),"OK input","Missing"),"Missing")))</f>
        <v>OK stock</v>
      </c>
      <c r="L213" t="str">
        <v>Wall paint (DIY) indoor applied (discarded)</v>
      </c>
      <c r="M213" s="306"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Other paint uses (DIY) outdoor (discarded)</v>
      </c>
      <c r="K214" s="306" t="str">
        <f>IF(ISBLANK(J214),"",IF(COUNTIF(L:L,J214),IF(_xlfn.XLOOKUP(J214,'Compartments_Kawecki&amp;Nowack19'!A:A,'Compartments_Kawecki&amp;Nowack19'!B:B,_xlfn.XLOOKUP(J214,Compartments_Added!A:A,Compartments_Added!B:B))="Stock","OK stock","OK flow"),IF(COUNTIF($G$4:$G$18,J214),IF(COUNTIF($E$4:$E$18,J214),"OK input","Missing"),"Missing")))</f>
        <v>OK stock</v>
      </c>
      <c r="L214" t="str">
        <v>Plaster (DIY) outdoor</v>
      </c>
      <c r="M214" s="306"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flow</v>
      </c>
      <c r="N214" s="7"/>
      <c r="R214" t="str">
        <f t="shared" si="7"/>
        <v>OK</v>
      </c>
    </row>
    <row r="215" spans="10:27">
      <c r="J215" s="16" t="str">
        <v>Other paint uses (DIY) indoor (discarded)</v>
      </c>
      <c r="K215" s="306" t="str">
        <f>IF(ISBLANK(J215),"",IF(COUNTIF(L:L,J215),IF(_xlfn.XLOOKUP(J215,'Compartments_Kawecki&amp;Nowack19'!A:A,'Compartments_Kawecki&amp;Nowack19'!B:B,_xlfn.XLOOKUP(J215,Compartments_Added!A:A,Compartments_Added!B:B))="Stock","OK stock","OK flow"),IF(COUNTIF($G$4:$G$18,J215),IF(COUNTIF($E$4:$E$18,J215),"OK input","Missing"),"Missing")))</f>
        <v>OK stock</v>
      </c>
      <c r="L215" t="str">
        <v>Plaster (DIY) indoor</v>
      </c>
      <c r="M215" s="306"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flow</v>
      </c>
      <c r="N215" s="7"/>
      <c r="R215" t="str">
        <f t="shared" si="7"/>
        <v>OK</v>
      </c>
    </row>
    <row r="216" spans="10:27">
      <c r="J216" s="16" t="str">
        <v>Import of clothing (EU)</v>
      </c>
      <c r="K216" s="306" t="str">
        <f>IF(ISBLANK(J216),"",IF(COUNTIF(L:L,J216),IF(_xlfn.XLOOKUP(J216,'Compartments_Kawecki&amp;Nowack19'!A:A,'Compartments_Kawecki&amp;Nowack19'!B:B,_xlfn.XLOOKUP(J216,Compartments_Added!A:A,Compartments_Added!B:B))="Stock","OK stock","OK flow"),IF(COUNTIF($G$4:$G$18,J216),IF(COUNTIF($E$4:$E$18,J216),"OK input","Missing"),"Missing")))</f>
        <v>Missing</v>
      </c>
      <c r="L216" t="str">
        <v>Plaster (DIY) outdoor (in use)</v>
      </c>
      <c r="M216" s="306"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stock</v>
      </c>
      <c r="N216" s="7"/>
      <c r="R216" t="str">
        <f t="shared" si="7"/>
        <v>OK</v>
      </c>
    </row>
    <row r="217" spans="10:27">
      <c r="J217" s="16" t="str">
        <v>Clothing (product sector)</v>
      </c>
      <c r="K217" s="306" t="str">
        <f>IF(ISBLANK(J217),"",IF(COUNTIF(L:L,J217),IF(_xlfn.XLOOKUP(J217,'Compartments_Kawecki&amp;Nowack19'!A:A,'Compartments_Kawecki&amp;Nowack19'!B:B,_xlfn.XLOOKUP(J217,Compartments_Added!A:A,Compartments_Added!B:B))="Stock","OK stock","OK flow"),IF(COUNTIF($G$4:$G$18,J217),IF(COUNTIF($E$4:$E$18,J217),"OK input","Missing"),"Missing")))</f>
        <v>OK flow</v>
      </c>
      <c r="L217" t="str">
        <v>Plaster (DIY) outdoor (discarded)</v>
      </c>
      <c r="M217" s="306"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stock</v>
      </c>
      <c r="N217" s="7"/>
      <c r="R217" t="str">
        <f t="shared" si="7"/>
        <v>OK</v>
      </c>
    </row>
    <row r="218" spans="10:27">
      <c r="J218" s="16" t="str">
        <v>Clothing washing</v>
      </c>
      <c r="K218" s="306"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Plaster (DIY) indoor (in use)</v>
      </c>
      <c r="M218" s="306"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Clothing washing machine (with external filter)</v>
      </c>
      <c r="K219" s="306"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Plaster (DIY) indoor (discarded)</v>
      </c>
      <c r="M219" s="306"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Clothing washing machine (without external filter)</v>
      </c>
      <c r="K220" s="306" t="str">
        <f>IF(ISBLANK(J220),"",IF(COUNTIF(L:L,J220),IF(_xlfn.XLOOKUP(J220,'Compartments_Kawecki&amp;Nowack19'!A:A,'Compartments_Kawecki&amp;Nowack19'!B:B,_xlfn.XLOOKUP(J220,Compartments_Added!A:A,Compartments_Added!B:B))="Stock","OK stock","OK flow"),IF(COUNTIF($G$4:$G$18,J220),IF(COUNTIF($E$4:$E$18,J220),"OK input","Missing"),"Missing")))</f>
        <v>OK flow</v>
      </c>
      <c r="L220" t="str">
        <v>Other paint uses (DIY) outdoor</v>
      </c>
      <c r="M220" s="306"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flow</v>
      </c>
      <c r="N220" s="7"/>
      <c r="R220" t="str">
        <f t="shared" si="7"/>
        <v>OK</v>
      </c>
    </row>
    <row r="221" spans="10:27">
      <c r="J221" s="16" t="str">
        <v>Clothing washing by hand</v>
      </c>
      <c r="K221" s="306"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Other paint uses (DIY) indoor</v>
      </c>
      <c r="M221" s="306"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flow</v>
      </c>
      <c r="N221" s="7"/>
      <c r="R221" t="str">
        <f t="shared" si="7"/>
        <v>OK</v>
      </c>
    </row>
    <row r="222" spans="10:27">
      <c r="J222" s="16" t="str">
        <v>Clothing wearing</v>
      </c>
      <c r="K222" s="306" t="str">
        <f>IF(ISBLANK(J222),"",IF(COUNTIF(L:L,J222),IF(_xlfn.XLOOKUP(J222,'Compartments_Kawecki&amp;Nowack19'!A:A,'Compartments_Kawecki&amp;Nowack19'!B:B,_xlfn.XLOOKUP(J222,Compartments_Added!A:A,Compartments_Added!B:B))="Stock","OK stock","OK flow"),IF(COUNTIF($G$4:$G$18,J222),IF(COUNTIF($E$4:$E$18,J222),"OK input","Missing"),"Missing")))</f>
        <v>OK flow</v>
      </c>
      <c r="L222" t="str">
        <v>Other paint uses (DIY) outdoor (in use)</v>
      </c>
      <c r="M222" s="306"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Clothing drying</v>
      </c>
      <c r="K223" s="306" t="str">
        <f>IF(ISBLANK(J223),"",IF(COUNTIF(L:L,J223),IF(_xlfn.XLOOKUP(J223,'Compartments_Kawecki&amp;Nowack19'!A:A,'Compartments_Kawecki&amp;Nowack19'!B:B,_xlfn.XLOOKUP(J223,Compartments_Added!A:A,Compartments_Added!B:B))="Stock","OK stock","OK flow"),IF(COUNTIF($G$4:$G$18,J223),IF(COUNTIF($E$4:$E$18,J223),"OK input","Missing"),"Missing")))</f>
        <v>OK flow</v>
      </c>
      <c r="L223" t="str">
        <v>Other paint uses (DIY) outdoor (discarded)</v>
      </c>
      <c r="M223" s="306"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stock</v>
      </c>
      <c r="N223" s="7"/>
      <c r="R223" t="str">
        <f t="shared" si="7"/>
        <v>OK</v>
      </c>
    </row>
    <row r="224" spans="10:27">
      <c r="J224" s="16" t="str">
        <v>Clothing indoor drying</v>
      </c>
      <c r="K224" s="306" t="str">
        <f>IF(ISBLANK(J224),"",IF(COUNTIF(L:L,J224),IF(_xlfn.XLOOKUP(J224,'Compartments_Kawecki&amp;Nowack19'!A:A,'Compartments_Kawecki&amp;Nowack19'!B:B,_xlfn.XLOOKUP(J224,Compartments_Added!A:A,Compartments_Added!B:B))="Stock","OK stock","OK flow"),IF(COUNTIF($G$4:$G$18,J224),IF(COUNTIF($E$4:$E$18,J224),"OK input","Missing"),"Missing")))</f>
        <v>OK flow</v>
      </c>
      <c r="L224" t="str">
        <v>Other paint uses (DIY) indoor (in use)</v>
      </c>
      <c r="M224" s="306"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Clothing outdoor drying</v>
      </c>
      <c r="K225" s="306" t="str">
        <f>IF(ISBLANK(J225),"",IF(COUNTIF(L:L,J225),IF(_xlfn.XLOOKUP(J225,'Compartments_Kawecki&amp;Nowack19'!A:A,'Compartments_Kawecki&amp;Nowack19'!B:B,_xlfn.XLOOKUP(J225,Compartments_Added!A:A,Compartments_Added!B:B))="Stock","OK stock","OK flow"),IF(COUNTIF($G$4:$G$18,J225),IF(COUNTIF($E$4:$E$18,J225),"OK input","Missing"),"Missing")))</f>
        <v>OK flow</v>
      </c>
      <c r="L225" t="str">
        <v>Other paint uses (DIY) indoor (discarded)</v>
      </c>
      <c r="M225" s="306"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J226" s="16" t="str">
        <v>Clothing drying VTD</v>
      </c>
      <c r="K226" s="306" t="str">
        <f>IF(ISBLANK(J226),"",IF(COUNTIF(L:L,J226),IF(_xlfn.XLOOKUP(J226,'Compartments_Kawecki&amp;Nowack19'!A:A,'Compartments_Kawecki&amp;Nowack19'!B:B,_xlfn.XLOOKUP(J226,Compartments_Added!A:A,Compartments_Added!B:B))="Stock","OK stock","OK flow"),IF(COUNTIF($G$4:$G$18,J226),IF(COUNTIF($E$4:$E$18,J226),"OK input","Missing"),"Missing")))</f>
        <v>OK flow</v>
      </c>
      <c r="L226" t="str">
        <v>Clothing (product sector)</v>
      </c>
      <c r="M226" s="306"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flow</v>
      </c>
      <c r="N226" s="7"/>
      <c r="R226" t="str">
        <f t="shared" si="7"/>
        <v>OK</v>
      </c>
    </row>
    <row r="227" spans="10:18">
      <c r="J227" s="16" t="str">
        <v>Clothing drying CHPTD</v>
      </c>
      <c r="K227" s="306" t="str">
        <f>IF(ISBLANK(J227),"",IF(COUNTIF(L:L,J227),IF(_xlfn.XLOOKUP(J227,'Compartments_Kawecki&amp;Nowack19'!A:A,'Compartments_Kawecki&amp;Nowack19'!B:B,_xlfn.XLOOKUP(J227,Compartments_Added!A:A,Compartments_Added!B:B))="Stock","OK stock","OK flow"),IF(COUNTIF($G$4:$G$18,J227),IF(COUNTIF($E$4:$E$18,J227),"OK input","Missing"),"Missing")))</f>
        <v>OK flow</v>
      </c>
      <c r="L227" t="str">
        <v>Apparel accessories</v>
      </c>
      <c r="M227" s="306"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J228" s="16" t="str">
        <v>Clothing drying CHETD</v>
      </c>
      <c r="K228" s="306" t="str">
        <f>IF(ISBLANK(J228),"",IF(COUNTIF(L:L,J228),IF(_xlfn.XLOOKUP(J228,'Compartments_Kawecki&amp;Nowack19'!A:A,'Compartments_Kawecki&amp;Nowack19'!B:B,_xlfn.XLOOKUP(J228,Compartments_Added!A:A,Compartments_Added!B:B))="Stock","OK stock","OK flow"),IF(COUNTIF($G$4:$G$18,J228),IF(COUNTIF($E$4:$E$18,J228),"OK input","Missing"),"Missing")))</f>
        <v>OK flow</v>
      </c>
      <c r="L228" t="str">
        <v>Boots</v>
      </c>
      <c r="M228" s="306"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J229" s="16" t="str">
        <v>Clothing washer-dryer combo</v>
      </c>
      <c r="K229" s="306" t="str">
        <f>IF(ISBLANK(J229),"",IF(COUNTIF(L:L,J229),IF(_xlfn.XLOOKUP(J229,'Compartments_Kawecki&amp;Nowack19'!A:A,'Compartments_Kawecki&amp;Nowack19'!B:B,_xlfn.XLOOKUP(J229,Compartments_Added!A:A,Compartments_Added!B:B))="Stock","OK stock","OK flow"),IF(COUNTIF($G$4:$G$18,J229),IF(COUNTIF($E$4:$E$18,J229),"OK input","Missing"),"Missing")))</f>
        <v>OK flow</v>
      </c>
      <c r="L229" t="str">
        <v>Closed-toed shoes</v>
      </c>
      <c r="M229" s="306"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Lint filter (VTD)</v>
      </c>
      <c r="K230" s="306" t="str">
        <f>IF(ISBLANK(J230),"",IF(COUNTIF(L:L,J230),IF(_xlfn.XLOOKUP(J230,'Compartments_Kawecki&amp;Nowack19'!A:A,'Compartments_Kawecki&amp;Nowack19'!B:B,_xlfn.XLOOKUP(J230,Compartments_Added!A:A,Compartments_Added!B:B))="Stock","OK stock","OK flow"),IF(COUNTIF($G$4:$G$18,J230),IF(COUNTIF($E$4:$E$18,J230),"OK input","Missing"),"Missing")))</f>
        <v>OK flow</v>
      </c>
      <c r="L230" t="str">
        <v>Dresses skirts and jumpsuits</v>
      </c>
      <c r="M230" s="306"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Lint filter (CHPTD)</v>
      </c>
      <c r="K231" s="306" t="str">
        <f>IF(ISBLANK(J231),"",IF(COUNTIF(L:L,J231),IF(_xlfn.XLOOKUP(J231,'Compartments_Kawecki&amp;Nowack19'!A:A,'Compartments_Kawecki&amp;Nowack19'!B:B,_xlfn.XLOOKUP(J231,Compartments_Added!A:A,Compartments_Added!B:B))="Stock","OK stock","OK flow"),IF(COUNTIF($G$4:$G$18,J231),IF(COUNTIF($E$4:$E$18,J231),"OK input","Missing"),"Missing")))</f>
        <v>OK flow</v>
      </c>
      <c r="L231" t="str">
        <v>Jackets and coats</v>
      </c>
      <c r="M231" s="306"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Lint filter (CHETD)</v>
      </c>
      <c r="K232" s="306" t="str">
        <f>IF(ISBLANK(J232),"",IF(COUNTIF(L:L,J232),IF(_xlfn.XLOOKUP(J232,'Compartments_Kawecki&amp;Nowack19'!A:A,'Compartments_Kawecki&amp;Nowack19'!B:B,_xlfn.XLOOKUP(J232,Compartments_Added!A:A,Compartments_Added!B:B))="Stock","OK stock","OK flow"),IF(COUNTIF($G$4:$G$18,J232),IF(COUNTIF($E$4:$E$18,J232),"OK input","Missing"),"Missing")))</f>
        <v>OK flow</v>
      </c>
      <c r="L232" t="str">
        <v>Leggings stockings tights and socks</v>
      </c>
      <c r="M232" s="306"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J233" s="16" t="str">
        <v>Clean lint filter by hand</v>
      </c>
      <c r="K233" s="306" t="str">
        <f>IF(ISBLANK(J233),"",IF(COUNTIF(L:L,J233),IF(_xlfn.XLOOKUP(J233,'Compartments_Kawecki&amp;Nowack19'!A:A,'Compartments_Kawecki&amp;Nowack19'!B:B,_xlfn.XLOOKUP(J233,Compartments_Added!A:A,Compartments_Added!B:B))="Stock","OK stock","OK flow"),IF(COUNTIF($G$4:$G$18,J233),IF(COUNTIF($E$4:$E$18,J233),"OK input","Missing"),"Missing")))</f>
        <v>OK flow</v>
      </c>
      <c r="L233" t="str">
        <v>Open-toed shoes</v>
      </c>
      <c r="M233" s="306"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J234" s="16" t="str">
        <v>Clean lint filter under running water</v>
      </c>
      <c r="K234" s="306"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Pants and shorts</v>
      </c>
      <c r="M234" s="306"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Footwear wearing (soles)</v>
      </c>
      <c r="K235" s="306" t="str">
        <f>IF(ISBLANK(J235),"",IF(COUNTIF(L:L,J235),IF(_xlfn.XLOOKUP(J235,'Compartments_Kawecki&amp;Nowack19'!A:A,'Compartments_Kawecki&amp;Nowack19'!B:B,_xlfn.XLOOKUP(J235,Compartments_Added!A:A,Compartments_Added!B:B))="Stock","OK stock","OK flow"),IF(COUNTIF($G$4:$G$18,J235),IF(COUNTIF($E$4:$E$18,J235),"OK input","Missing"),"Missing")))</f>
        <v>OK flow</v>
      </c>
      <c r="L235" t="str">
        <v>Shirts and blouses</v>
      </c>
      <c r="M235" s="306"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Footwear wearing (uppers)</v>
      </c>
      <c r="K236" s="306" t="str">
        <f>IF(ISBLANK(J236),"",IF(COUNTIF(L:L,J236),IF(_xlfn.XLOOKUP(J236,'Compartments_Kawecki&amp;Nowack19'!A:A,'Compartments_Kawecki&amp;Nowack19'!B:B,_xlfn.XLOOKUP(J236,Compartments_Added!A:A,Compartments_Added!B:B))="Stock","OK stock","OK flow"),IF(COUNTIF($G$4:$G$18,J236),IF(COUNTIF($E$4:$E$18,J236),"OK input","Missing"),"Missing")))</f>
        <v>OK flow</v>
      </c>
      <c r="L236" t="str">
        <v>Sweaters and midlayers</v>
      </c>
      <c r="M236" s="306"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stock</v>
      </c>
    </row>
    <row r="237" spans="10:18">
      <c r="J237" s="16" t="str">
        <v>Import of clothing (Global)</v>
      </c>
      <c r="K237" s="306" t="str">
        <f>IF(ISBLANK(J237),"",IF(COUNTIF(L:L,J237),IF(_xlfn.XLOOKUP(J237,'Compartments_Kawecki&amp;Nowack19'!A:A,'Compartments_Kawecki&amp;Nowack19'!B:B,_xlfn.XLOOKUP(J237,Compartments_Added!A:A,Compartments_Added!B:B))="Stock","OK stock","OK flow"),IF(COUNTIF($G$4:$G$18,J237),IF(COUNTIF($E$4:$E$18,J237),"OK input","Missing"),"Missing")))</f>
        <v>OK input</v>
      </c>
      <c r="L237" t="str">
        <v>Swimwear</v>
      </c>
      <c r="M237" s="306"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stock</v>
      </c>
    </row>
    <row r="238" spans="10:18">
      <c r="J238" s="16" t="str">
        <v>Manufacturing of clothing</v>
      </c>
      <c r="K238" s="306"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T-shirts</v>
      </c>
      <c r="M238" s="306"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stock</v>
      </c>
    </row>
    <row r="239" spans="10:18">
      <c r="J239" s="16" t="str">
        <v>Import of plastic sheets</v>
      </c>
      <c r="K239" s="306" t="str">
        <f>IF(ISBLANK(J239),"",IF(COUNTIF(L:L,J239),IF(_xlfn.XLOOKUP(J239,'Compartments_Kawecki&amp;Nowack19'!A:A,'Compartments_Kawecki&amp;Nowack19'!B:B,_xlfn.XLOOKUP(J239,Compartments_Added!A:A,Compartments_Added!B:B))="Stock","OK stock","OK flow"),IF(COUNTIF($G$4:$G$18,J239),IF(COUNTIF($E$4:$E$18,J239),"OK input","Missing"),"Missing")))</f>
        <v>Missing</v>
      </c>
      <c r="L239" t="str">
        <v>Underwear</v>
      </c>
      <c r="M239" s="306"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stock</v>
      </c>
    </row>
    <row r="240" spans="10:18">
      <c r="J240" s="16" t="str">
        <v>Import of yarn</v>
      </c>
      <c r="K240" s="306" t="str">
        <f>IF(ISBLANK(J240),"",IF(COUNTIF(L:L,J240),IF(_xlfn.XLOOKUP(J240,'Compartments_Kawecki&amp;Nowack19'!A:A,'Compartments_Kawecki&amp;Nowack19'!B:B,_xlfn.XLOOKUP(J240,Compartments_Added!A:A,Compartments_Added!B:B))="Stock","OK stock","OK flow"),IF(COUNTIF($G$4:$G$18,J240),IF(COUNTIF($E$4:$E$18,J240),"OK input","Missing"),"Missing")))</f>
        <v>Missing</v>
      </c>
      <c r="L240" t="str">
        <v>Clothing washing machine (with external filter)</v>
      </c>
      <c r="M240" s="306"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flow</v>
      </c>
    </row>
    <row r="241" spans="10:13">
      <c r="J241" s="16" t="str">
        <v>Clothing waste collection</v>
      </c>
      <c r="K241" s="306" t="str">
        <f>IF(ISBLANK(J241),"",IF(COUNTIF(L:L,J241),IF(_xlfn.XLOOKUP(J241,'Compartments_Kawecki&amp;Nowack19'!A:A,'Compartments_Kawecki&amp;Nowack19'!B:B,_xlfn.XLOOKUP(J241,Compartments_Added!A:A,Compartments_Added!B:B))="Stock","OK stock","OK flow"),IF(COUNTIF($G$4:$G$18,J241),IF(COUNTIF($E$4:$E$18,J241),"OK input","Missing"),"Missing")))</f>
        <v>OK flow</v>
      </c>
      <c r="L241" t="str">
        <v>Clothing washing machine (without external filter)</v>
      </c>
      <c r="M241" s="306"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flow</v>
      </c>
    </row>
    <row r="242" spans="10:13">
      <c r="J242" s="16" t="str">
        <v>Home textile waste collection</v>
      </c>
      <c r="K242" s="306" t="str">
        <f>IF(ISBLANK(J242),"",IF(COUNTIF(L:L,J242),IF(_xlfn.XLOOKUP(J242,'Compartments_Kawecki&amp;Nowack19'!A:A,'Compartments_Kawecki&amp;Nowack19'!B:B,_xlfn.XLOOKUP(J242,Compartments_Added!A:A,Compartments_Added!B:B))="Stock","OK stock","OK flow"),IF(COUNTIF($G$4:$G$18,J242),IF(COUNTIF($E$4:$E$18,J242),"OK input","Missing"),"Missing")))</f>
        <v>OK flow</v>
      </c>
      <c r="L242" t="str">
        <v>Clothing washing by hand</v>
      </c>
      <c r="M242" s="306"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Technical textile waste collection</v>
      </c>
      <c r="K243" s="306" t="str">
        <f>IF(ISBLANK(J243),"",IF(COUNTIF(L:L,J243),IF(_xlfn.XLOOKUP(J243,'Compartments_Kawecki&amp;Nowack19'!A:A,'Compartments_Kawecki&amp;Nowack19'!B:B,_xlfn.XLOOKUP(J243,Compartments_Added!A:A,Compartments_Added!B:B))="Stock","OK stock","OK flow"),IF(COUNTIF($G$4:$G$18,J243),IF(COUNTIF($E$4:$E$18,J243),"OK input","Missing"),"Missing")))</f>
        <v>OK flow</v>
      </c>
      <c r="L243" t="str">
        <v>Clothing indoor drying</v>
      </c>
      <c r="M243" s="306"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Footwear waste collection</v>
      </c>
      <c r="K244" s="306" t="str">
        <f>IF(ISBLANK(J244),"",IF(COUNTIF(L:L,J244),IF(_xlfn.XLOOKUP(J244,'Compartments_Kawecki&amp;Nowack19'!A:A,'Compartments_Kawecki&amp;Nowack19'!B:B,_xlfn.XLOOKUP(J244,Compartments_Added!A:A,Compartments_Added!B:B))="Stock","OK stock","OK flow"),IF(COUNTIF($G$4:$G$18,J244),IF(COUNTIF($E$4:$E$18,J244),"OK input","Missing"),"Missing")))</f>
        <v>OK flow</v>
      </c>
      <c r="L244" t="str">
        <v>Clothing outdoor drying</v>
      </c>
      <c r="M244" s="306"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Apparel accessories</v>
      </c>
      <c r="K245" s="306" t="str">
        <f>IF(ISBLANK(J245),"",IF(COUNTIF(L:L,J245),IF(_xlfn.XLOOKUP(J245,'Compartments_Kawecki&amp;Nowack19'!A:A,'Compartments_Kawecki&amp;Nowack19'!B:B,_xlfn.XLOOKUP(J245,Compartments_Added!A:A,Compartments_Added!B:B))="Stock","OK stock","OK flow"),IF(COUNTIF($G$4:$G$18,J245),IF(COUNTIF($E$4:$E$18,J245),"OK input","Missing"),"Missing")))</f>
        <v>OK stock</v>
      </c>
      <c r="L245" t="str">
        <v>Clothing drying VTD</v>
      </c>
      <c r="M245" s="306"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Jackets and coats</v>
      </c>
      <c r="K246" s="306" t="str">
        <f>IF(ISBLANK(J246),"",IF(COUNTIF(L:L,J246),IF(_xlfn.XLOOKUP(J246,'Compartments_Kawecki&amp;Nowack19'!A:A,'Compartments_Kawecki&amp;Nowack19'!B:B,_xlfn.XLOOKUP(J246,Compartments_Added!A:A,Compartments_Added!B:B))="Stock","OK stock","OK flow"),IF(COUNTIF($G$4:$G$18,J246),IF(COUNTIF($E$4:$E$18,J246),"OK input","Missing"),"Missing")))</f>
        <v>OK stock</v>
      </c>
      <c r="L246" t="str">
        <v>Clothing drying CHPTD</v>
      </c>
      <c r="M246" s="306"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Dresses skirts and jumpsuits</v>
      </c>
      <c r="K247" s="306" t="str">
        <f>IF(ISBLANK(J247),"",IF(COUNTIF(L:L,J247),IF(_xlfn.XLOOKUP(J247,'Compartments_Kawecki&amp;Nowack19'!A:A,'Compartments_Kawecki&amp;Nowack19'!B:B,_xlfn.XLOOKUP(J247,Compartments_Added!A:A,Compartments_Added!B:B))="Stock","OK stock","OK flow"),IF(COUNTIF($G$4:$G$18,J247),IF(COUNTIF($E$4:$E$18,J247),"OK input","Missing"),"Missing")))</f>
        <v>OK stock</v>
      </c>
      <c r="L247" t="str">
        <v>Clothing drying CHETD</v>
      </c>
      <c r="M247" s="306"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flow</v>
      </c>
    </row>
    <row r="248" spans="10:13">
      <c r="J248" s="16" t="str">
        <v>Leggings stockings tights and socks</v>
      </c>
      <c r="K248" s="306" t="str">
        <f>IF(ISBLANK(J248),"",IF(COUNTIF(L:L,J248),IF(_xlfn.XLOOKUP(J248,'Compartments_Kawecki&amp;Nowack19'!A:A,'Compartments_Kawecki&amp;Nowack19'!B:B,_xlfn.XLOOKUP(J248,Compartments_Added!A:A,Compartments_Added!B:B))="Stock","OK stock","OK flow"),IF(COUNTIF($G$4:$G$18,J248),IF(COUNTIF($E$4:$E$18,J248),"OK input","Missing"),"Missing")))</f>
        <v>OK stock</v>
      </c>
      <c r="L248" t="str">
        <v>Clothing washer-dryer combo</v>
      </c>
      <c r="M248" s="306"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flow</v>
      </c>
    </row>
    <row r="249" spans="10:13">
      <c r="J249" s="16" t="str">
        <v>Pants and shorts</v>
      </c>
      <c r="K249" s="306" t="str">
        <f>IF(ISBLANK(J249),"",IF(COUNTIF(L:L,J249),IF(_xlfn.XLOOKUP(J249,'Compartments_Kawecki&amp;Nowack19'!A:A,'Compartments_Kawecki&amp;Nowack19'!B:B,_xlfn.XLOOKUP(J249,Compartments_Added!A:A,Compartments_Added!B:B))="Stock","OK stock","OK flow"),IF(COUNTIF($G$4:$G$18,J249),IF(COUNTIF($E$4:$E$18,J249),"OK input","Missing"),"Missing")))</f>
        <v>OK stock</v>
      </c>
      <c r="L249" t="str">
        <v>Lint filter (VTD)</v>
      </c>
      <c r="M249" s="306"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flow</v>
      </c>
    </row>
    <row r="250" spans="10:13">
      <c r="J250" s="16" t="str">
        <v>Shirts and blouses</v>
      </c>
      <c r="K250" s="306" t="str">
        <f>IF(ISBLANK(J250),"",IF(COUNTIF(L:L,J250),IF(_xlfn.XLOOKUP(J250,'Compartments_Kawecki&amp;Nowack19'!A:A,'Compartments_Kawecki&amp;Nowack19'!B:B,_xlfn.XLOOKUP(J250,Compartments_Added!A:A,Compartments_Added!B:B))="Stock","OK stock","OK flow"),IF(COUNTIF($G$4:$G$18,J250),IF(COUNTIF($E$4:$E$18,J250),"OK input","Missing"),"Missing")))</f>
        <v>OK stock</v>
      </c>
      <c r="L250" t="str">
        <v>Lint filter (CHPTD)</v>
      </c>
      <c r="M250" s="306"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flow</v>
      </c>
    </row>
    <row r="251" spans="10:13">
      <c r="J251" s="16" t="str">
        <v>Sweaters and midlayers</v>
      </c>
      <c r="K251" s="306" t="str">
        <f>IF(ISBLANK(J251),"",IF(COUNTIF(L:L,J251),IF(_xlfn.XLOOKUP(J251,'Compartments_Kawecki&amp;Nowack19'!A:A,'Compartments_Kawecki&amp;Nowack19'!B:B,_xlfn.XLOOKUP(J251,Compartments_Added!A:A,Compartments_Added!B:B))="Stock","OK stock","OK flow"),IF(COUNTIF($G$4:$G$18,J251),IF(COUNTIF($E$4:$E$18,J251),"OK input","Missing"),"Missing")))</f>
        <v>OK stock</v>
      </c>
      <c r="L251" t="str">
        <v>Lint filter (CHETD)</v>
      </c>
      <c r="M251" s="306"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Swimwear</v>
      </c>
      <c r="K252" s="306" t="str">
        <f>IF(ISBLANK(J252),"",IF(COUNTIF(L:L,J252),IF(_xlfn.XLOOKUP(J252,'Compartments_Kawecki&amp;Nowack19'!A:A,'Compartments_Kawecki&amp;Nowack19'!B:B,_xlfn.XLOOKUP(J252,Compartments_Added!A:A,Compartments_Added!B:B))="Stock","OK stock","OK flow"),IF(COUNTIF($G$4:$G$18,J252),IF(COUNTIF($E$4:$E$18,J252),"OK input","Missing"),"Missing")))</f>
        <v>OK stock</v>
      </c>
      <c r="L252" t="str">
        <v>Clean lint filter by hand</v>
      </c>
      <c r="M252" s="306"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T-shirts</v>
      </c>
      <c r="K253" s="306" t="str">
        <f>IF(ISBLANK(J253),"",IF(COUNTIF(L:L,J253),IF(_xlfn.XLOOKUP(J253,'Compartments_Kawecki&amp;Nowack19'!A:A,'Compartments_Kawecki&amp;Nowack19'!B:B,_xlfn.XLOOKUP(J253,Compartments_Added!A:A,Compartments_Added!B:B))="Stock","OK stock","OK flow"),IF(COUNTIF($G$4:$G$18,J253),IF(COUNTIF($E$4:$E$18,J253),"OK input","Missing"),"Missing")))</f>
        <v>OK stock</v>
      </c>
      <c r="L253" t="str">
        <v>Clean lint filter under running water</v>
      </c>
      <c r="M253" s="306"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flow</v>
      </c>
    </row>
    <row r="254" spans="10:13">
      <c r="J254" s="16" t="str">
        <v>Underwear</v>
      </c>
      <c r="K254" s="306" t="str">
        <f>IF(ISBLANK(J254),"",IF(COUNTIF(L:L,J254),IF(_xlfn.XLOOKUP(J254,'Compartments_Kawecki&amp;Nowack19'!A:A,'Compartments_Kawecki&amp;Nowack19'!B:B,_xlfn.XLOOKUP(J254,Compartments_Added!A:A,Compartments_Added!B:B))="Stock","OK stock","OK flow"),IF(COUNTIF($G$4:$G$18,J254),IF(COUNTIF($E$4:$E$18,J254),"OK input","Missing"),"Missing")))</f>
        <v>OK stock</v>
      </c>
      <c r="L254" t="str">
        <v>Manufacturing of clothing</v>
      </c>
      <c r="M254" s="306"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flow</v>
      </c>
    </row>
    <row r="255" spans="10:13">
      <c r="J255" s="16" t="str">
        <v>Clothing washed (in use)</v>
      </c>
      <c r="K255" s="306" t="str">
        <f>IF(ISBLANK(J255),"",IF(COUNTIF(L:L,J255),IF(_xlfn.XLOOKUP(J255,'Compartments_Kawecki&amp;Nowack19'!A:A,'Compartments_Kawecki&amp;Nowack19'!B:B,_xlfn.XLOOKUP(J255,Compartments_Added!A:A,Compartments_Added!B:B))="Stock","OK stock","OK flow"),IF(COUNTIF($G$4:$G$18,J255),IF(COUNTIF($E$4:$E$18,J255),"OK input","Missing"),"Missing")))</f>
        <v>OK flow</v>
      </c>
      <c r="L255" t="str">
        <v>Textile recycling</v>
      </c>
      <c r="M255" s="306"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flow</v>
      </c>
    </row>
    <row r="256" spans="10:13">
      <c r="J256" s="16" t="str">
        <v>Clothing washed (discarded)</v>
      </c>
      <c r="K256" s="306" t="str">
        <f>IF(ISBLANK(J256),"",IF(COUNTIF(L:L,J256),IF(_xlfn.XLOOKUP(J256,'Compartments_Kawecki&amp;Nowack19'!A:A,'Compartments_Kawecki&amp;Nowack19'!B:B,_xlfn.XLOOKUP(J256,Compartments_Added!A:A,Compartments_Added!B:B))="Stock","OK stock","OK flow"),IF(COUNTIF($G$4:$G$18,J256),IF(COUNTIF($E$4:$E$18,J256),"OK input","Missing"),"Missing")))</f>
        <v>OK flow</v>
      </c>
      <c r="L256" t="str">
        <v>Home textile waste collection</v>
      </c>
      <c r="M256" s="306"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flow</v>
      </c>
    </row>
    <row r="257" spans="10:13">
      <c r="J257" s="16" t="str">
        <v>Clothing rarely washed (in use)</v>
      </c>
      <c r="K257" s="306" t="str">
        <f>IF(ISBLANK(J257),"",IF(COUNTIF(L:L,J257),IF(_xlfn.XLOOKUP(J257,'Compartments_Kawecki&amp;Nowack19'!A:A,'Compartments_Kawecki&amp;Nowack19'!B:B,_xlfn.XLOOKUP(J257,Compartments_Added!A:A,Compartments_Added!B:B))="Stock","OK stock","OK flow"),IF(COUNTIF($G$4:$G$18,J257),IF(COUNTIF($E$4:$E$18,J257),"OK input","Missing"),"Missing")))</f>
        <v>OK flow</v>
      </c>
      <c r="L257" t="str">
        <v>Technical textile waste collection</v>
      </c>
      <c r="M257" s="306"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Clothing rarely washed (discarded)</v>
      </c>
      <c r="K258" s="306" t="str">
        <f>IF(ISBLANK(J258),"",IF(COUNTIF(L:L,J258),IF(_xlfn.XLOOKUP(J258,'Compartments_Kawecki&amp;Nowack19'!A:A,'Compartments_Kawecki&amp;Nowack19'!B:B,_xlfn.XLOOKUP(J258,Compartments_Added!A:A,Compartments_Added!B:B))="Stock","OK stock","OK flow"),IF(COUNTIF($G$4:$G$18,J258),IF(COUNTIF($E$4:$E$18,J258),"OK input","Missing"),"Missing")))</f>
        <v>OK flow</v>
      </c>
      <c r="L258" t="str">
        <v>Textile reuse</v>
      </c>
      <c r="M258" s="306"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Sink</v>
      </c>
    </row>
    <row r="259" spans="10:13">
      <c r="J259" s="16" t="str">
        <v>Clothing not washed (in use)</v>
      </c>
      <c r="K259" s="306" t="str">
        <f>IF(ISBLANK(J259),"",IF(COUNTIF(L:L,J259),IF(_xlfn.XLOOKUP(J259,'Compartments_Kawecki&amp;Nowack19'!A:A,'Compartments_Kawecki&amp;Nowack19'!B:B,_xlfn.XLOOKUP(J259,Compartments_Added!A:A,Compartments_Added!B:B))="Stock","OK stock","OK flow"),IF(COUNTIF($G$4:$G$18,J259),IF(COUNTIF($E$4:$E$18,J259),"OK input","Missing"),"Missing")))</f>
        <v>OK flow</v>
      </c>
      <c r="L259" t="str">
        <v>Footwear reuse</v>
      </c>
      <c r="M259" s="306"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Sink</v>
      </c>
    </row>
    <row r="260" spans="10:13">
      <c r="J260" s="16" t="str">
        <v>Clothing not washed (discarded)</v>
      </c>
      <c r="K260" s="306"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Clothing not washed (in use)</v>
      </c>
      <c r="M260" s="306"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t="str">
        <v>Boots</v>
      </c>
      <c r="K261" s="306" t="str">
        <f>IF(ISBLANK(J261),"",IF(COUNTIF(L:L,J261),IF(_xlfn.XLOOKUP(J261,'Compartments_Kawecki&amp;Nowack19'!A:A,'Compartments_Kawecki&amp;Nowack19'!B:B,_xlfn.XLOOKUP(J261,Compartments_Added!A:A,Compartments_Added!B:B))="Stock","OK stock","OK flow"),IF(COUNTIF($G$4:$G$18,J261),IF(COUNTIF($E$4:$E$18,J261),"OK input","Missing"),"Missing")))</f>
        <v>OK stock</v>
      </c>
      <c r="L261" t="str">
        <v>Clothing not washed (discarded)</v>
      </c>
      <c r="M261" s="306"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J262" s="16" t="str">
        <v>Closed-toed shoes</v>
      </c>
      <c r="K262" s="306" t="str">
        <f>IF(ISBLANK(J262),"",IF(COUNTIF(L:L,J262),IF(_xlfn.XLOOKUP(J262,'Compartments_Kawecki&amp;Nowack19'!A:A,'Compartments_Kawecki&amp;Nowack19'!B:B,_xlfn.XLOOKUP(J262,Compartments_Added!A:A,Compartments_Added!B:B))="Stock","OK stock","OK flow"),IF(COUNTIF($G$4:$G$18,J262),IF(COUNTIF($E$4:$E$18,J262),"OK input","Missing"),"Missing")))</f>
        <v>OK stock</v>
      </c>
      <c r="L262" t="str">
        <v>Clothing rarely washed (in use)</v>
      </c>
      <c r="M262" s="306"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J263" s="16" t="str">
        <v>Open-toed shoes</v>
      </c>
      <c r="K263" s="306" t="str">
        <f>IF(ISBLANK(J263),"",IF(COUNTIF(L:L,J263),IF(_xlfn.XLOOKUP(J263,'Compartments_Kawecki&amp;Nowack19'!A:A,'Compartments_Kawecki&amp;Nowack19'!B:B,_xlfn.XLOOKUP(J263,Compartments_Added!A:A,Compartments_Added!B:B))="Stock","OK stock","OK flow"),IF(COUNTIF($G$4:$G$18,J263),IF(COUNTIF($E$4:$E$18,J263),"OK input","Missing"),"Missing")))</f>
        <v>OK stock</v>
      </c>
      <c r="L263" t="str">
        <v>Clothing rarely washed (discarded)</v>
      </c>
      <c r="M263" s="306"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J264" s="16" t="str">
        <v>Primary water treatment (micro)</v>
      </c>
      <c r="K264" s="306" t="str">
        <f>IF(ISBLANK(J264),"",IF(COUNTIF(L:L,J264),IF(_xlfn.XLOOKUP(J264,'Compartments_Kawecki&amp;Nowack19'!A:A,'Compartments_Kawecki&amp;Nowack19'!B:B,_xlfn.XLOOKUP(J264,Compartments_Added!A:A,Compartments_Added!B:B))="Stock","OK stock","OK flow"),IF(COUNTIF($G$4:$G$18,J264),IF(COUNTIF($E$4:$E$18,J264),"OK input","Missing"),"Missing")))</f>
        <v>OK flow</v>
      </c>
      <c r="L264" t="str">
        <v>Clothing washed (in use)</v>
      </c>
      <c r="M264" s="306"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J265" s="16" t="str">
        <v>Secondary water treatment (micro)</v>
      </c>
      <c r="K265" s="306" t="str">
        <f>IF(ISBLANK(J265),"",IF(COUNTIF(L:L,J265),IF(_xlfn.XLOOKUP(J265,'Compartments_Kawecki&amp;Nowack19'!A:A,'Compartments_Kawecki&amp;Nowack19'!B:B,_xlfn.XLOOKUP(J265,Compartments_Added!A:A,Compartments_Added!B:B))="Stock","OK stock","OK flow"),IF(COUNTIF($G$4:$G$18,J265),IF(COUNTIF($E$4:$E$18,J265),"OK input","Missing"),"Missing")))</f>
        <v>OK flow</v>
      </c>
      <c r="L265" t="str">
        <v>Clothing washed (discarded)</v>
      </c>
      <c r="M265" s="306"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flow</v>
      </c>
    </row>
    <row r="266" spans="10:13">
      <c r="J266" s="16" t="str">
        <v>Tertiary water treatment (micro)</v>
      </c>
      <c r="K266" s="306" t="str">
        <f>IF(ISBLANK(J266),"",IF(COUNTIF(L:L,J266),IF(_xlfn.XLOOKUP(J266,'Compartments_Kawecki&amp;Nowack19'!A:A,'Compartments_Kawecki&amp;Nowack19'!B:B,_xlfn.XLOOKUP(J266,Compartments_Added!A:A,Compartments_Added!B:B))="Stock","OK stock","OK flow"),IF(COUNTIF($G$4:$G$18,J266),IF(COUNTIF($E$4:$E$18,J266),"OK input","Missing"),"Missing")))</f>
        <v>OK flow</v>
      </c>
      <c r="L266" t="str">
        <v>Clothing wearing</v>
      </c>
      <c r="M266" s="306"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flow</v>
      </c>
    </row>
    <row r="267" spans="10:13">
      <c r="J267" s="16">
        <v>0</v>
      </c>
      <c r="K267" s="306" t="e">
        <f>IF(ISBLANK(J267),"",IF(COUNTIF(L:L,J267),IF(_xlfn.XLOOKUP(J267,'Compartments_Kawecki&amp;Nowack19'!A:A,'Compartments_Kawecki&amp;Nowack19'!B:B,_xlfn.XLOOKUP(J267,Compartments_Added!A:A,Compartments_Added!B:B))="Stock","OK stock","OK flow"),IF(COUNTIF($G$4:$G$18,J267),IF(COUNTIF($E$4:$E$18,J267),"OK input","Missing"),"Missing")))</f>
        <v>#N/A</v>
      </c>
      <c r="L267" t="str">
        <v>Clothing washing</v>
      </c>
      <c r="M267" s="306"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flow</v>
      </c>
    </row>
    <row r="268" spans="10:13">
      <c r="K268" s="306" t="str">
        <f>IF(ISBLANK(J268),"",IF(COUNTIF(L:L,J268),IF(_xlfn.XLOOKUP(J268,'Compartments_Kawecki&amp;Nowack19'!A:A,'Compartments_Kawecki&amp;Nowack19'!B:B,_xlfn.XLOOKUP(J268,Compartments_Added!A:A,Compartments_Added!B:B))="Stock","OK stock","OK flow"),IF(COUNTIF($G$4:$G$18,J268),IF(COUNTIF($E$4:$E$18,J268),"OK input","Missing"),"Missing")))</f>
        <v/>
      </c>
      <c r="L268" t="str">
        <v>Clothing drying</v>
      </c>
      <c r="M268" s="306"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OK flow</v>
      </c>
    </row>
    <row r="269" spans="10:13">
      <c r="K269" s="306" t="str">
        <f>IF(ISBLANK(J269),"",IF(COUNTIF(L:L,J269),IF(_xlfn.XLOOKUP(J269,'Compartments_Kawecki&amp;Nowack19'!A:A,'Compartments_Kawecki&amp;Nowack19'!B:B,_xlfn.XLOOKUP(J269,Compartments_Added!A:A,Compartments_Added!B:B))="Stock","OK stock","OK flow"),IF(COUNTIF($G$4:$G$18,J269),IF(COUNTIF($E$4:$E$18,J269),"OK input","Missing"),"Missing")))</f>
        <v/>
      </c>
      <c r="L269" t="str">
        <v>Clothing waste collection</v>
      </c>
      <c r="M269" s="306" t="str">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OK flow</v>
      </c>
    </row>
    <row r="270" spans="10:13">
      <c r="K270" s="306" t="str">
        <f>IF(ISBLANK(J270),"",IF(COUNTIF(L:L,J270),IF(_xlfn.XLOOKUP(J270,'Compartments_Kawecki&amp;Nowack19'!A:A,'Compartments_Kawecki&amp;Nowack19'!B:B,_xlfn.XLOOKUP(J270,Compartments_Added!A:A,Compartments_Added!B:B))="Stock","OK stock","OK flow"),IF(COUNTIF($G$4:$G$18,J270),IF(COUNTIF($E$4:$E$18,J270),"OK input","Missing"),"Missing")))</f>
        <v/>
      </c>
      <c r="L270" t="str">
        <v>Footwear waste collection</v>
      </c>
      <c r="M270" s="306" t="str">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OK flow</v>
      </c>
    </row>
    <row r="271" spans="10:13">
      <c r="K271" s="306" t="str">
        <f>IF(ISBLANK(J271),"",IF(COUNTIF(L:L,J271),IF(_xlfn.XLOOKUP(J271,'Compartments_Kawecki&amp;Nowack19'!A:A,'Compartments_Kawecki&amp;Nowack19'!B:B,_xlfn.XLOOKUP(J271,Compartments_Added!A:A,Compartments_Added!B:B))="Stock","OK stock","OK flow"),IF(COUNTIF($G$4:$G$18,J271),IF(COUNTIF($E$4:$E$18,J271),"OK input","Missing"),"Missing")))</f>
        <v/>
      </c>
      <c r="L271" t="str">
        <v>Footwear wearing (soles)</v>
      </c>
      <c r="M271" s="306" t="str">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OK flow</v>
      </c>
    </row>
    <row r="272" spans="10:13">
      <c r="L272" t="str">
        <v>Footwear wearing (uppers)</v>
      </c>
      <c r="M272" s="306" t="str">
        <f>IF(COUNTIF(J:J,L272),IF(_xlfn.XLOOKUP(L272,'Compartments_Kawecki&amp;Nowack19'!A:A,'Compartments_Kawecki&amp;Nowack19'!B:B,_xlfn.XLOOKUP(L272,Compartments_Added!A:A,Compartments_Added!B:B))="Stock","OK stock","OK flow"),IF(_xlfn.XLOOKUP(L272,'Compartments_Kawecki&amp;Nowack19'!A:A,'Compartments_Kawecki&amp;Nowack19'!B:B,_xlfn.XLOOKUP(L272,Compartments_Added!A:A,Compartments_Added!B:B))="Sink","OK, Sink","Missing"))</f>
        <v>OK flow</v>
      </c>
    </row>
    <row r="273" spans="12:13">
      <c r="L273" t="str">
        <v>Secondary water treatment (micro)</v>
      </c>
      <c r="M273" s="306" t="str">
        <f>IF(COUNTIF(J:J,L273),IF(_xlfn.XLOOKUP(L273,'Compartments_Kawecki&amp;Nowack19'!A:A,'Compartments_Kawecki&amp;Nowack19'!B:B,_xlfn.XLOOKUP(L273,Compartments_Added!A:A,Compartments_Added!B:B))="Stock","OK stock","OK flow"),IF(_xlfn.XLOOKUP(L273,'Compartments_Kawecki&amp;Nowack19'!A:A,'Compartments_Kawecki&amp;Nowack19'!B:B,_xlfn.XLOOKUP(L273,Compartments_Added!A:A,Compartments_Added!B:B))="Sink","OK, Sink","Missing"))</f>
        <v>OK flow</v>
      </c>
    </row>
    <row r="274" spans="12:13">
      <c r="L274" t="str">
        <v>Tertiary water treatment (micro)</v>
      </c>
      <c r="M274" s="306" t="str">
        <f>IF(COUNTIF(J:J,L274),IF(_xlfn.XLOOKUP(L274,'Compartments_Kawecki&amp;Nowack19'!A:A,'Compartments_Kawecki&amp;Nowack19'!B:B,_xlfn.XLOOKUP(L274,Compartments_Added!A:A,Compartments_Added!B:B))="Stock","OK stock","OK flow"),IF(_xlfn.XLOOKUP(L274,'Compartments_Kawecki&amp;Nowack19'!A:A,'Compartments_Kawecki&amp;Nowack19'!B:B,_xlfn.XLOOKUP(L274,Compartments_Added!A:A,Compartments_Added!B:B))="Sink","OK, Sink","Missing"))</f>
        <v>OK flow</v>
      </c>
    </row>
    <row r="275" spans="12:13">
      <c r="L275">
        <v>0</v>
      </c>
    </row>
  </sheetData>
  <mergeCells count="3">
    <mergeCell ref="A1:C1"/>
    <mergeCell ref="E1:H1"/>
    <mergeCell ref="J1:M1"/>
  </mergeCells>
  <conditionalFormatting sqref="K4:K271">
    <cfRule type="containsText" dxfId="15" priority="4" operator="containsText" text="Stock">
      <formula>NOT(ISERROR(SEARCH("Stock",K4)))</formula>
    </cfRule>
    <cfRule type="containsText" dxfId="14" priority="5" operator="containsText" text="Sink">
      <formula>NOT(ISERROR(SEARCH("Sink",K4)))</formula>
    </cfRule>
    <cfRule type="containsText" dxfId="13" priority="6" operator="containsText" text="flow">
      <formula>NOT(ISERROR(SEARCH("flow",K4)))</formula>
    </cfRule>
    <cfRule type="containsText" dxfId="12" priority="7" operator="containsText" text="missing">
      <formula>NOT(ISERROR(SEARCH("missing",K4)))</formula>
    </cfRule>
    <cfRule type="containsErrors" dxfId="11" priority="10">
      <formula>ISERROR(K4)</formula>
    </cfRule>
  </conditionalFormatting>
  <conditionalFormatting sqref="M1:M1048576">
    <cfRule type="containsText" dxfId="10" priority="8" operator="containsText" text="Stock">
      <formula>NOT(ISERROR(SEARCH("Stock",M1)))</formula>
    </cfRule>
    <cfRule type="containsText" dxfId="9" priority="9" operator="containsText" text="Sink">
      <formula>NOT(ISERROR(SEARCH("Sink",M1)))</formula>
    </cfRule>
    <cfRule type="containsText" dxfId="8" priority="11" operator="containsText" text="flow">
      <formula>NOT(ISERROR(SEARCH("flow",M1)))</formula>
    </cfRule>
    <cfRule type="containsText" dxfId="7" priority="11" operator="containsText" text="missing">
      <formula>NOT(ISERROR(SEARCH("missing",M1)))</formula>
    </cfRule>
    <cfRule type="containsErrors" dxfId="6" priority="11">
      <formula>ISERROR(M1)</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11B296-E2B3-4EB8-832A-36716F7B0382}">
  <ds:schemaRefs>
    <ds:schemaRef ds:uri="http://purl.org/dc/terms/"/>
    <ds:schemaRef ds:uri="http://purl.org/dc/elements/1.1/"/>
    <ds:schemaRef ds:uri="http://schemas.openxmlformats.org/package/2006/metadata/core-properties"/>
    <ds:schemaRef ds:uri="http://www.w3.org/XML/1998/namespace"/>
    <ds:schemaRef ds:uri="0577e6a0-5f74-4659-a81a-c7bdc984432d"/>
    <ds:schemaRef ds:uri="http://schemas.microsoft.com/office/2006/documentManagement/types"/>
    <ds:schemaRef ds:uri="http://schemas.microsoft.com/office/2006/metadata/properties"/>
    <ds:schemaRef ds:uri="http://schemas.microsoft.com/office/infopath/2007/PartnerControls"/>
    <ds:schemaRef ds:uri="f5c8fe0e-f8db-4fac-9fd3-e69469f9c90b"/>
    <ds:schemaRef ds:uri="http://schemas.microsoft.com/sharepoint/v3"/>
    <ds:schemaRef ds:uri="http://purl.org/dc/dcmitype/"/>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29</vt:i4>
      </vt:variant>
      <vt:variant>
        <vt:lpstr>Benoemde bereiken</vt:lpstr>
      </vt:variant>
      <vt:variant>
        <vt:i4>13</vt:i4>
      </vt:variant>
    </vt:vector>
  </HeadingPairs>
  <TitlesOfParts>
    <vt:vector size="42" baseType="lpstr">
      <vt:lpstr>README</vt:lpstr>
      <vt:lpstr>Data Quality Indicators</vt:lpstr>
      <vt:lpstr>Materials</vt:lpstr>
      <vt:lpstr>Input_NL</vt:lpstr>
      <vt:lpstr>Input_EU</vt:lpstr>
      <vt:lpstr>Input_Global</vt:lpstr>
      <vt:lpstr>Transfer coefficients</vt:lpstr>
      <vt:lpstr>Clothing</vt:lpstr>
      <vt:lpstr>WWTP TCs</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Blad1</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2025-06-18T11:12:40Z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